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codeName="ThisWorkbook" autoCompressPictures="0"/>
  <bookViews>
    <workbookView xWindow="0" yWindow="0" windowWidth="25300" windowHeight="17460"/>
  </bookViews>
  <sheets>
    <sheet name="Help" sheetId="9" r:id="rId1"/>
    <sheet name="Setup" sheetId="6" r:id="rId2"/>
    <sheet name="Input" sheetId="12" r:id="rId3"/>
    <sheet name="Summary" sheetId="17" r:id="rId4"/>
    <sheet name="2017" sheetId="5" r:id="rId5"/>
    <sheet name="2016" sheetId="18" r:id="rId6"/>
    <sheet name="2015" sheetId="16" r:id="rId7"/>
    <sheet name="Graphs" sheetId="20" r:id="rId8"/>
    <sheet name="Upload" sheetId="11" r:id="rId9"/>
    <sheet name="Sheet1" sheetId="19" state="hidden" r:id="rId10"/>
    <sheet name="Expirations" sheetId="21" r:id="rId11"/>
  </sheets>
  <definedNames>
    <definedName name="_xlnm._FilterDatabase" localSheetId="5" hidden="1">'2016'!$A$1:$Q$232</definedName>
    <definedName name="_xlnm.Print_Area" localSheetId="6">'2015'!$A$1:$P$238</definedName>
    <definedName name="_xlnm.Print_Area" localSheetId="5">'2016'!$A$1:$P$239</definedName>
    <definedName name="_xlnm.Print_Area" localSheetId="4">'2017'!$A$1:$Q$452</definedName>
    <definedName name="_xlnm.Print_Area" localSheetId="10">Expirations!$A$17:$W$66</definedName>
    <definedName name="_xlnm.Print_Area" localSheetId="7">Graphs!$A$1:$P$32</definedName>
    <definedName name="_xlnm.Print_Area" localSheetId="0">Help!$A$93:$H$111</definedName>
    <definedName name="_xlnm.Print_Area" localSheetId="2">Input!$B$1:$T$438</definedName>
    <definedName name="_xlnm.Print_Area" localSheetId="3">Summary!$A$4:$P$65</definedName>
    <definedName name="_xlnm.Print_Area" localSheetId="8">Upload!$A$4:$P$339</definedName>
    <definedName name="_xlnm.Print_Titles" localSheetId="6">'2015'!$2:$4</definedName>
    <definedName name="_xlnm.Print_Titles" localSheetId="5">'2016'!$1:$4</definedName>
    <definedName name="_xlnm.Print_Titles" localSheetId="4">'2017'!$2:$4</definedName>
    <definedName name="_xlnm.Print_Titles" localSheetId="2">Input!$1:$4</definedName>
    <definedName name="_xlnm.Print_Titles" localSheetId="1">Setup!$1:$3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8" i="12" l="1"/>
  <c r="G417" i="12"/>
  <c r="G416" i="12"/>
  <c r="G415" i="12"/>
  <c r="G414" i="12"/>
  <c r="G413" i="12"/>
  <c r="G412" i="12"/>
  <c r="G411" i="12"/>
  <c r="G397" i="12"/>
  <c r="G396" i="12"/>
  <c r="G395" i="12"/>
  <c r="G394" i="12"/>
  <c r="G393" i="12"/>
  <c r="G392" i="12"/>
  <c r="G391" i="12"/>
  <c r="G390" i="12"/>
  <c r="G389" i="12"/>
  <c r="G388" i="12"/>
  <c r="G387" i="12"/>
  <c r="G386" i="12"/>
  <c r="G385" i="12"/>
  <c r="G384" i="12"/>
  <c r="G405" i="12"/>
  <c r="G404" i="12"/>
  <c r="G403" i="12"/>
  <c r="G402" i="12"/>
  <c r="G401" i="12"/>
  <c r="G400" i="12"/>
  <c r="G399" i="12"/>
  <c r="G398" i="12"/>
  <c r="G383" i="12"/>
  <c r="G382" i="12"/>
  <c r="G381" i="12"/>
  <c r="G380" i="12"/>
  <c r="G379" i="12"/>
  <c r="G378" i="12"/>
  <c r="G377" i="12"/>
  <c r="G376" i="12"/>
  <c r="G375" i="12"/>
  <c r="G374" i="12"/>
  <c r="G373" i="12"/>
  <c r="G372" i="12"/>
  <c r="G371" i="12"/>
  <c r="G370" i="12"/>
  <c r="G369" i="12"/>
  <c r="G344" i="12"/>
  <c r="G343" i="12"/>
  <c r="G305" i="12"/>
  <c r="G297" i="12"/>
  <c r="G296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44" i="12"/>
  <c r="G243" i="12"/>
  <c r="G259" i="12"/>
  <c r="G255" i="12"/>
  <c r="G254" i="12"/>
  <c r="G253" i="12"/>
  <c r="G241" i="12"/>
  <c r="G240" i="12"/>
  <c r="G239" i="12"/>
  <c r="G238" i="12"/>
  <c r="G237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2" i="12"/>
  <c r="G201" i="12"/>
  <c r="G200" i="12"/>
  <c r="G199" i="12"/>
  <c r="G195" i="12"/>
  <c r="G194" i="12"/>
  <c r="G193" i="12"/>
  <c r="G192" i="12"/>
  <c r="G191" i="12"/>
  <c r="G190" i="12"/>
  <c r="G187" i="12"/>
  <c r="G186" i="12"/>
  <c r="G185" i="12"/>
  <c r="G184" i="12"/>
  <c r="G183" i="12"/>
  <c r="G182" i="12"/>
  <c r="G178" i="12"/>
  <c r="G177" i="12"/>
  <c r="G176" i="12"/>
  <c r="G175" i="12"/>
  <c r="G174" i="12"/>
  <c r="G173" i="12"/>
  <c r="G172" i="12"/>
  <c r="G171" i="12"/>
  <c r="G170" i="12"/>
  <c r="G169" i="12"/>
  <c r="G124" i="12"/>
  <c r="G123" i="12"/>
  <c r="G122" i="12"/>
  <c r="G121" i="12"/>
  <c r="G120" i="12"/>
  <c r="G119" i="12"/>
  <c r="G108" i="12"/>
  <c r="G107" i="12"/>
  <c r="G106" i="12"/>
  <c r="G105" i="12"/>
  <c r="G104" i="12"/>
  <c r="G103" i="12"/>
  <c r="G102" i="12"/>
  <c r="G97" i="12"/>
  <c r="G96" i="12"/>
  <c r="G85" i="12"/>
  <c r="G84" i="12"/>
  <c r="G83" i="12"/>
  <c r="G76" i="12"/>
  <c r="G75" i="12"/>
  <c r="G74" i="12"/>
  <c r="G73" i="12"/>
  <c r="G56" i="12"/>
  <c r="G55" i="12"/>
  <c r="G54" i="12"/>
  <c r="G53" i="12"/>
  <c r="G47" i="12"/>
  <c r="G43" i="12"/>
  <c r="G42" i="12"/>
  <c r="G41" i="12"/>
  <c r="G26" i="12"/>
  <c r="G27" i="12"/>
  <c r="G28" i="12"/>
  <c r="G29" i="12"/>
  <c r="G30" i="12"/>
  <c r="G31" i="12"/>
  <c r="G32" i="12"/>
  <c r="G33" i="12"/>
  <c r="G34" i="12"/>
  <c r="G35" i="12"/>
  <c r="G36" i="12"/>
  <c r="G25" i="12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J62" i="6"/>
  <c r="U28" i="6"/>
  <c r="U29" i="6"/>
  <c r="U30" i="6"/>
  <c r="U31" i="6"/>
  <c r="U27" i="6"/>
  <c r="P28" i="6"/>
  <c r="P29" i="6"/>
  <c r="P30" i="6"/>
  <c r="P31" i="6"/>
  <c r="P27" i="6"/>
  <c r="L27" i="6"/>
  <c r="M27" i="6"/>
  <c r="N27" i="6"/>
  <c r="O27" i="6"/>
  <c r="L28" i="6"/>
  <c r="M28" i="6"/>
  <c r="N28" i="6"/>
  <c r="O28" i="6"/>
  <c r="L29" i="6"/>
  <c r="M29" i="6"/>
  <c r="N29" i="6"/>
  <c r="O29" i="6"/>
  <c r="Q29" i="6"/>
  <c r="R29" i="6"/>
  <c r="S29" i="6"/>
  <c r="T29" i="6"/>
  <c r="V29" i="6"/>
  <c r="W29" i="6"/>
  <c r="X29" i="6"/>
  <c r="L30" i="6"/>
  <c r="M30" i="6"/>
  <c r="N30" i="6"/>
  <c r="O30" i="6"/>
  <c r="L31" i="6"/>
  <c r="M31" i="6"/>
  <c r="N31" i="6"/>
  <c r="O31" i="6"/>
  <c r="Q31" i="6"/>
  <c r="R31" i="6"/>
  <c r="S31" i="6"/>
  <c r="T31" i="6"/>
  <c r="K28" i="6"/>
  <c r="K29" i="6"/>
  <c r="K30" i="6"/>
  <c r="K31" i="6"/>
  <c r="K27" i="6"/>
  <c r="J28" i="6"/>
  <c r="J29" i="6"/>
  <c r="J30" i="6"/>
  <c r="J31" i="6"/>
  <c r="J27" i="6"/>
  <c r="V31" i="6"/>
  <c r="W31" i="6"/>
  <c r="X31" i="6"/>
  <c r="Q30" i="6"/>
  <c r="R30" i="6"/>
  <c r="S30" i="6"/>
  <c r="T30" i="6"/>
  <c r="V30" i="6"/>
  <c r="W30" i="6"/>
  <c r="X30" i="6"/>
  <c r="Q28" i="6"/>
  <c r="R28" i="6"/>
  <c r="S28" i="6"/>
  <c r="T28" i="6"/>
  <c r="V28" i="6"/>
  <c r="W28" i="6"/>
  <c r="X28" i="6"/>
  <c r="Q27" i="6"/>
  <c r="R27" i="6"/>
  <c r="S27" i="6"/>
  <c r="T27" i="6"/>
  <c r="V27" i="6"/>
  <c r="W27" i="6"/>
  <c r="X27" i="6"/>
  <c r="I152" i="6"/>
  <c r="I132" i="6"/>
  <c r="I165" i="6"/>
  <c r="I131" i="6"/>
  <c r="I150" i="6"/>
  <c r="I126" i="6"/>
  <c r="B22" i="6"/>
  <c r="I1" i="12"/>
  <c r="J1" i="12"/>
  <c r="K1" i="12"/>
  <c r="L1" i="12"/>
  <c r="M1" i="12"/>
  <c r="N1" i="12"/>
  <c r="O1" i="12"/>
  <c r="P1" i="12"/>
  <c r="Q1" i="12"/>
  <c r="R1" i="12"/>
  <c r="S1" i="12"/>
  <c r="H1" i="12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E147" i="11"/>
  <c r="F147" i="11"/>
  <c r="G147" i="11"/>
  <c r="H147" i="11"/>
  <c r="I147" i="11"/>
  <c r="J147" i="11"/>
  <c r="K147" i="11"/>
  <c r="L147" i="11"/>
  <c r="M147" i="11"/>
  <c r="N147" i="11"/>
  <c r="O147" i="11"/>
  <c r="P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75" i="6"/>
  <c r="H34" i="6"/>
  <c r="H35" i="6"/>
  <c r="H38" i="6"/>
  <c r="H39" i="6"/>
  <c r="H41" i="6"/>
  <c r="F28" i="6"/>
  <c r="H28" i="6"/>
  <c r="F29" i="6"/>
  <c r="H29" i="6"/>
  <c r="F30" i="6"/>
  <c r="H30" i="6"/>
  <c r="F31" i="6"/>
  <c r="H31" i="6"/>
  <c r="F32" i="6"/>
  <c r="H32" i="6"/>
  <c r="F33" i="6"/>
  <c r="H33" i="6"/>
  <c r="F34" i="6"/>
  <c r="F35" i="6"/>
  <c r="F36" i="6"/>
  <c r="H36" i="6"/>
  <c r="F37" i="6"/>
  <c r="H37" i="6"/>
  <c r="F38" i="6"/>
  <c r="F39" i="6"/>
  <c r="F40" i="6"/>
  <c r="H40" i="6"/>
  <c r="F41" i="6"/>
  <c r="F27" i="6"/>
  <c r="D95" i="12"/>
  <c r="I124" i="6"/>
  <c r="I125" i="6"/>
  <c r="I154" i="6"/>
  <c r="I127" i="6"/>
  <c r="L68" i="6"/>
  <c r="K68" i="6"/>
  <c r="J68" i="6"/>
  <c r="L63" i="6"/>
  <c r="K63" i="6"/>
  <c r="J63" i="6"/>
  <c r="O5" i="18"/>
  <c r="O5" i="16"/>
  <c r="H208" i="6"/>
  <c r="H203" i="6"/>
  <c r="H204" i="6"/>
  <c r="H205" i="6"/>
  <c r="H206" i="6"/>
  <c r="G42" i="6"/>
  <c r="J46" i="6"/>
  <c r="W58" i="6"/>
  <c r="X52" i="6"/>
  <c r="X58" i="6"/>
  <c r="L58" i="6"/>
  <c r="M52" i="6"/>
  <c r="M58" i="6"/>
  <c r="N52" i="6"/>
  <c r="N58" i="6"/>
  <c r="O52" i="6"/>
  <c r="O58" i="6"/>
  <c r="P52" i="6"/>
  <c r="P58" i="6"/>
  <c r="Q52" i="6"/>
  <c r="Q58" i="6"/>
  <c r="R52" i="6"/>
  <c r="R58" i="6"/>
  <c r="S52" i="6"/>
  <c r="S58" i="6"/>
  <c r="T52" i="6"/>
  <c r="T58" i="6"/>
  <c r="U52" i="6"/>
  <c r="U58" i="6"/>
  <c r="V52" i="6"/>
  <c r="V58" i="6"/>
  <c r="W52" i="6"/>
  <c r="N251" i="5"/>
  <c r="I130" i="6"/>
  <c r="C42" i="6"/>
  <c r="N253" i="5"/>
  <c r="N254" i="5"/>
  <c r="N255" i="5"/>
  <c r="C251" i="5"/>
  <c r="E257" i="11"/>
  <c r="C253" i="5"/>
  <c r="E259" i="11"/>
  <c r="C254" i="5"/>
  <c r="C255" i="5"/>
  <c r="E261" i="11"/>
  <c r="D251" i="5"/>
  <c r="D253" i="5"/>
  <c r="D254" i="5"/>
  <c r="F260" i="11"/>
  <c r="D255" i="5"/>
  <c r="F261" i="11"/>
  <c r="E251" i="5"/>
  <c r="G257" i="11"/>
  <c r="E253" i="5"/>
  <c r="G259" i="11"/>
  <c r="E254" i="5"/>
  <c r="E255" i="5"/>
  <c r="G261" i="11"/>
  <c r="F251" i="5"/>
  <c r="F253" i="5"/>
  <c r="F254" i="5"/>
  <c r="H260" i="11"/>
  <c r="F255" i="5"/>
  <c r="H261" i="11"/>
  <c r="G251" i="5"/>
  <c r="I257" i="11"/>
  <c r="G253" i="5"/>
  <c r="G254" i="5"/>
  <c r="G255" i="5"/>
  <c r="I261" i="11"/>
  <c r="H251" i="5"/>
  <c r="H253" i="5"/>
  <c r="J259" i="11"/>
  <c r="H254" i="5"/>
  <c r="J260" i="11"/>
  <c r="H255" i="5"/>
  <c r="J261" i="11"/>
  <c r="I251" i="5"/>
  <c r="K257" i="11"/>
  <c r="I253" i="5"/>
  <c r="K259" i="11"/>
  <c r="I254" i="5"/>
  <c r="I255" i="5"/>
  <c r="J251" i="5"/>
  <c r="J253" i="5"/>
  <c r="L259" i="11"/>
  <c r="J254" i="5"/>
  <c r="J255" i="5"/>
  <c r="L261" i="11"/>
  <c r="K251" i="5"/>
  <c r="M257" i="11"/>
  <c r="K253" i="5"/>
  <c r="K254" i="5"/>
  <c r="K255" i="5"/>
  <c r="L251" i="5"/>
  <c r="L253" i="5"/>
  <c r="N259" i="11"/>
  <c r="L254" i="5"/>
  <c r="N260" i="11"/>
  <c r="L255" i="5"/>
  <c r="N261" i="11"/>
  <c r="M251" i="5"/>
  <c r="O257" i="11"/>
  <c r="M253" i="5"/>
  <c r="O259" i="11"/>
  <c r="M254" i="5"/>
  <c r="M255" i="5"/>
  <c r="N259" i="5"/>
  <c r="N260" i="5"/>
  <c r="N261" i="5"/>
  <c r="N263" i="5"/>
  <c r="N43" i="17"/>
  <c r="C259" i="5"/>
  <c r="C260" i="5"/>
  <c r="C261" i="5"/>
  <c r="D259" i="5"/>
  <c r="F262" i="11"/>
  <c r="D260" i="5"/>
  <c r="D261" i="5"/>
  <c r="E259" i="5"/>
  <c r="G262" i="11"/>
  <c r="E260" i="5"/>
  <c r="E261" i="5"/>
  <c r="G263" i="11"/>
  <c r="F259" i="5"/>
  <c r="H262" i="11"/>
  <c r="F260" i="5"/>
  <c r="F261" i="5"/>
  <c r="G259" i="5"/>
  <c r="G260" i="5"/>
  <c r="G261" i="5"/>
  <c r="I263" i="11"/>
  <c r="H259" i="5"/>
  <c r="J262" i="11"/>
  <c r="H260" i="5"/>
  <c r="H261" i="5"/>
  <c r="I259" i="5"/>
  <c r="I260" i="5"/>
  <c r="I261" i="5"/>
  <c r="J259" i="5"/>
  <c r="J260" i="5"/>
  <c r="J261" i="5"/>
  <c r="K259" i="5"/>
  <c r="K260" i="5"/>
  <c r="K261" i="5"/>
  <c r="L259" i="5"/>
  <c r="L260" i="5"/>
  <c r="L261" i="5"/>
  <c r="M259" i="5"/>
  <c r="O262" i="11"/>
  <c r="M260" i="5"/>
  <c r="M261" i="5"/>
  <c r="O263" i="11"/>
  <c r="N53" i="5"/>
  <c r="P126" i="11"/>
  <c r="N54" i="5"/>
  <c r="N55" i="5"/>
  <c r="P128" i="11"/>
  <c r="N56" i="5"/>
  <c r="N41" i="5"/>
  <c r="P117" i="11"/>
  <c r="N42" i="5"/>
  <c r="P118" i="11"/>
  <c r="N43" i="5"/>
  <c r="P119" i="11"/>
  <c r="N45" i="5"/>
  <c r="N47" i="5"/>
  <c r="N49" i="5"/>
  <c r="P125" i="11"/>
  <c r="N25" i="5"/>
  <c r="P104" i="11"/>
  <c r="N26" i="5"/>
  <c r="P105" i="11"/>
  <c r="N27" i="5"/>
  <c r="P106" i="11"/>
  <c r="N28" i="5"/>
  <c r="P107" i="11"/>
  <c r="N29" i="5"/>
  <c r="P108" i="11"/>
  <c r="N30" i="5"/>
  <c r="P109" i="11"/>
  <c r="N31" i="5"/>
  <c r="P110" i="11"/>
  <c r="N32" i="5"/>
  <c r="N33" i="5"/>
  <c r="P112" i="11"/>
  <c r="N34" i="5"/>
  <c r="N35" i="5"/>
  <c r="P114" i="11"/>
  <c r="N36" i="5"/>
  <c r="P115" i="11"/>
  <c r="I42" i="6"/>
  <c r="J47" i="6"/>
  <c r="J55" i="6"/>
  <c r="K55" i="6"/>
  <c r="L55" i="6"/>
  <c r="L54" i="6"/>
  <c r="N14" i="5"/>
  <c r="P96" i="11"/>
  <c r="N15" i="5"/>
  <c r="P97" i="11"/>
  <c r="N16" i="5"/>
  <c r="P98" i="11"/>
  <c r="D66" i="6"/>
  <c r="G17" i="12"/>
  <c r="X63" i="6"/>
  <c r="S18" i="12"/>
  <c r="N18" i="5"/>
  <c r="P100" i="11"/>
  <c r="R98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N20" i="5"/>
  <c r="P103" i="11"/>
  <c r="C53" i="5"/>
  <c r="C54" i="5"/>
  <c r="E127" i="11"/>
  <c r="C55" i="5"/>
  <c r="E128" i="11"/>
  <c r="C56" i="5"/>
  <c r="C41" i="5"/>
  <c r="E117" i="11"/>
  <c r="C42" i="5"/>
  <c r="E118" i="11"/>
  <c r="C43" i="5"/>
  <c r="E119" i="11"/>
  <c r="C45" i="5"/>
  <c r="E121" i="11"/>
  <c r="C47" i="5"/>
  <c r="E123" i="11"/>
  <c r="C49" i="5"/>
  <c r="E125" i="11"/>
  <c r="C25" i="5"/>
  <c r="E104" i="11"/>
  <c r="C26" i="5"/>
  <c r="E105" i="11"/>
  <c r="C27" i="5"/>
  <c r="E106" i="11"/>
  <c r="C28" i="5"/>
  <c r="E107" i="11"/>
  <c r="C29" i="5"/>
  <c r="E108" i="11"/>
  <c r="C30" i="5"/>
  <c r="E109" i="11"/>
  <c r="C31" i="5"/>
  <c r="E110" i="11"/>
  <c r="C32" i="5"/>
  <c r="E111" i="11"/>
  <c r="C33" i="5"/>
  <c r="E112" i="11"/>
  <c r="C34" i="5"/>
  <c r="E113" i="11"/>
  <c r="C35" i="5"/>
  <c r="E114" i="11"/>
  <c r="C36" i="5"/>
  <c r="C14" i="5"/>
  <c r="E96" i="11"/>
  <c r="C15" i="5"/>
  <c r="C16" i="5"/>
  <c r="E98" i="11"/>
  <c r="M63" i="6"/>
  <c r="H18" i="12"/>
  <c r="C18" i="5"/>
  <c r="E100" i="11"/>
  <c r="C20" i="5"/>
  <c r="E103" i="11"/>
  <c r="D53" i="5"/>
  <c r="D54" i="5"/>
  <c r="D55" i="5"/>
  <c r="D56" i="5"/>
  <c r="F129" i="11"/>
  <c r="D41" i="5"/>
  <c r="F117" i="11"/>
  <c r="D42" i="5"/>
  <c r="F118" i="11"/>
  <c r="D43" i="5"/>
  <c r="F119" i="11"/>
  <c r="D45" i="5"/>
  <c r="D47" i="5"/>
  <c r="D49" i="5"/>
  <c r="F125" i="11"/>
  <c r="D25" i="5"/>
  <c r="D26" i="5"/>
  <c r="F105" i="11"/>
  <c r="D27" i="5"/>
  <c r="F106" i="11"/>
  <c r="D28" i="5"/>
  <c r="F107" i="11"/>
  <c r="D29" i="5"/>
  <c r="F108" i="11"/>
  <c r="D30" i="5"/>
  <c r="F109" i="11"/>
  <c r="D31" i="5"/>
  <c r="F110" i="11"/>
  <c r="D32" i="5"/>
  <c r="F111" i="11"/>
  <c r="D33" i="5"/>
  <c r="D34" i="5"/>
  <c r="F113" i="11"/>
  <c r="D35" i="5"/>
  <c r="F114" i="11"/>
  <c r="D36" i="5"/>
  <c r="F115" i="11"/>
  <c r="D14" i="5"/>
  <c r="F96" i="11"/>
  <c r="D15" i="5"/>
  <c r="F97" i="11"/>
  <c r="D16" i="5"/>
  <c r="F98" i="11"/>
  <c r="N63" i="6"/>
  <c r="I18" i="12"/>
  <c r="D18" i="5"/>
  <c r="F100" i="11"/>
  <c r="D20" i="5"/>
  <c r="E53" i="5"/>
  <c r="G126" i="11"/>
  <c r="E54" i="5"/>
  <c r="G127" i="11"/>
  <c r="E55" i="5"/>
  <c r="G128" i="11"/>
  <c r="E56" i="5"/>
  <c r="G129" i="11"/>
  <c r="E41" i="5"/>
  <c r="G117" i="11"/>
  <c r="E42" i="5"/>
  <c r="E43" i="5"/>
  <c r="G119" i="11"/>
  <c r="E45" i="5"/>
  <c r="E47" i="5"/>
  <c r="G123" i="11"/>
  <c r="E49" i="5"/>
  <c r="G125" i="11"/>
  <c r="E25" i="5"/>
  <c r="G104" i="11"/>
  <c r="E26" i="5"/>
  <c r="G105" i="11"/>
  <c r="E27" i="5"/>
  <c r="E28" i="5"/>
  <c r="G107" i="11"/>
  <c r="E29" i="5"/>
  <c r="G108" i="11"/>
  <c r="E30" i="5"/>
  <c r="G109" i="11"/>
  <c r="E31" i="5"/>
  <c r="G110" i="11"/>
  <c r="E32" i="5"/>
  <c r="G111" i="11"/>
  <c r="E33" i="5"/>
  <c r="G112" i="11"/>
  <c r="E34" i="5"/>
  <c r="G113" i="11"/>
  <c r="E35" i="5"/>
  <c r="G114" i="11"/>
  <c r="E36" i="5"/>
  <c r="E14" i="5"/>
  <c r="G96" i="11"/>
  <c r="E15" i="5"/>
  <c r="E16" i="5"/>
  <c r="O63" i="6"/>
  <c r="J18" i="12"/>
  <c r="E18" i="5"/>
  <c r="G100" i="11"/>
  <c r="E20" i="5"/>
  <c r="G103" i="11"/>
  <c r="F53" i="5"/>
  <c r="H126" i="11"/>
  <c r="F54" i="5"/>
  <c r="F55" i="5"/>
  <c r="H128" i="11"/>
  <c r="F56" i="5"/>
  <c r="H129" i="11"/>
  <c r="F41" i="5"/>
  <c r="F42" i="5"/>
  <c r="H118" i="11"/>
  <c r="F43" i="5"/>
  <c r="H119" i="11"/>
  <c r="F45" i="5"/>
  <c r="H121" i="11"/>
  <c r="F47" i="5"/>
  <c r="F49" i="5"/>
  <c r="H125" i="11"/>
  <c r="F25" i="5"/>
  <c r="H104" i="11"/>
  <c r="F26" i="5"/>
  <c r="F27" i="5"/>
  <c r="H106" i="11"/>
  <c r="F28" i="5"/>
  <c r="H107" i="11"/>
  <c r="F29" i="5"/>
  <c r="H108" i="11"/>
  <c r="F30" i="5"/>
  <c r="H109" i="11"/>
  <c r="F31" i="5"/>
  <c r="H110" i="11"/>
  <c r="F32" i="5"/>
  <c r="F33" i="5"/>
  <c r="F34" i="5"/>
  <c r="H113" i="11"/>
  <c r="F35" i="5"/>
  <c r="H114" i="11"/>
  <c r="F36" i="5"/>
  <c r="H115" i="11"/>
  <c r="F14" i="5"/>
  <c r="H96" i="11"/>
  <c r="F15" i="5"/>
  <c r="H97" i="11"/>
  <c r="F16" i="5"/>
  <c r="H98" i="11"/>
  <c r="P63" i="6"/>
  <c r="K18" i="12"/>
  <c r="F18" i="5"/>
  <c r="H100" i="11"/>
  <c r="F20" i="5"/>
  <c r="G53" i="5"/>
  <c r="G54" i="5"/>
  <c r="I127" i="11"/>
  <c r="G55" i="5"/>
  <c r="I128" i="11"/>
  <c r="G56" i="5"/>
  <c r="I129" i="11"/>
  <c r="G41" i="5"/>
  <c r="I117" i="11"/>
  <c r="G42" i="5"/>
  <c r="I118" i="11"/>
  <c r="G43" i="5"/>
  <c r="I119" i="11"/>
  <c r="G45" i="5"/>
  <c r="I121" i="11"/>
  <c r="G47" i="5"/>
  <c r="G49" i="5"/>
  <c r="I125" i="11"/>
  <c r="G25" i="5"/>
  <c r="I104" i="11"/>
  <c r="G26" i="5"/>
  <c r="I105" i="11"/>
  <c r="G27" i="5"/>
  <c r="I106" i="11"/>
  <c r="G28" i="5"/>
  <c r="I107" i="11"/>
  <c r="G29" i="5"/>
  <c r="G30" i="5"/>
  <c r="I109" i="11"/>
  <c r="G31" i="5"/>
  <c r="G32" i="5"/>
  <c r="I111" i="11"/>
  <c r="G33" i="5"/>
  <c r="I112" i="11"/>
  <c r="G34" i="5"/>
  <c r="I113" i="11"/>
  <c r="G35" i="5"/>
  <c r="I114" i="11"/>
  <c r="G36" i="5"/>
  <c r="I115" i="11"/>
  <c r="G14" i="5"/>
  <c r="I96" i="11"/>
  <c r="G15" i="5"/>
  <c r="I97" i="11"/>
  <c r="G16" i="5"/>
  <c r="Q63" i="6"/>
  <c r="L18" i="12"/>
  <c r="G18" i="5"/>
  <c r="I100" i="11"/>
  <c r="G20" i="5"/>
  <c r="H53" i="5"/>
  <c r="H54" i="5"/>
  <c r="J127" i="11"/>
  <c r="H55" i="5"/>
  <c r="H56" i="5"/>
  <c r="J129" i="11"/>
  <c r="H41" i="5"/>
  <c r="J117" i="11"/>
  <c r="H42" i="5"/>
  <c r="J118" i="11"/>
  <c r="H43" i="5"/>
  <c r="H45" i="5"/>
  <c r="J121" i="11"/>
  <c r="H47" i="5"/>
  <c r="J123" i="11"/>
  <c r="H49" i="5"/>
  <c r="J125" i="11"/>
  <c r="H25" i="5"/>
  <c r="H26" i="5"/>
  <c r="J105" i="11"/>
  <c r="H27" i="5"/>
  <c r="J106" i="11"/>
  <c r="H28" i="5"/>
  <c r="H29" i="5"/>
  <c r="J108" i="11"/>
  <c r="H30" i="5"/>
  <c r="J109" i="11"/>
  <c r="H31" i="5"/>
  <c r="J110" i="11"/>
  <c r="H32" i="5"/>
  <c r="J111" i="11"/>
  <c r="H33" i="5"/>
  <c r="J112" i="11"/>
  <c r="H34" i="5"/>
  <c r="J113" i="11"/>
  <c r="H35" i="5"/>
  <c r="J114" i="11"/>
  <c r="H36" i="5"/>
  <c r="H14" i="5"/>
  <c r="J96" i="11"/>
  <c r="H15" i="5"/>
  <c r="J97" i="11"/>
  <c r="H16" i="5"/>
  <c r="J98" i="11"/>
  <c r="R63" i="6"/>
  <c r="M18" i="12"/>
  <c r="H18" i="5"/>
  <c r="J100" i="11"/>
  <c r="H20" i="5"/>
  <c r="J103" i="11"/>
  <c r="I53" i="5"/>
  <c r="K126" i="11"/>
  <c r="I54" i="5"/>
  <c r="I55" i="5"/>
  <c r="K128" i="11"/>
  <c r="I56" i="5"/>
  <c r="K129" i="11"/>
  <c r="I41" i="5"/>
  <c r="K117" i="11"/>
  <c r="I42" i="5"/>
  <c r="K118" i="11"/>
  <c r="I43" i="5"/>
  <c r="K119" i="11"/>
  <c r="I45" i="5"/>
  <c r="K121" i="11"/>
  <c r="I47" i="5"/>
  <c r="I49" i="5"/>
  <c r="K125" i="11"/>
  <c r="I25" i="5"/>
  <c r="I26" i="5"/>
  <c r="K105" i="11"/>
  <c r="I27" i="5"/>
  <c r="K106" i="11"/>
  <c r="I28" i="5"/>
  <c r="K107" i="11"/>
  <c r="I29" i="5"/>
  <c r="K108" i="11"/>
  <c r="I30" i="5"/>
  <c r="K109" i="11"/>
  <c r="I31" i="5"/>
  <c r="I32" i="5"/>
  <c r="K111" i="11"/>
  <c r="I33" i="5"/>
  <c r="I34" i="5"/>
  <c r="K113" i="11"/>
  <c r="I35" i="5"/>
  <c r="K114" i="11"/>
  <c r="I36" i="5"/>
  <c r="K115" i="11"/>
  <c r="I14" i="5"/>
  <c r="K96" i="11"/>
  <c r="I15" i="5"/>
  <c r="K97" i="11"/>
  <c r="I16" i="5"/>
  <c r="S63" i="6"/>
  <c r="N18" i="12"/>
  <c r="I18" i="5"/>
  <c r="K100" i="11"/>
  <c r="I20" i="5"/>
  <c r="J53" i="5"/>
  <c r="L126" i="11"/>
  <c r="J54" i="5"/>
  <c r="L127" i="11"/>
  <c r="J55" i="5"/>
  <c r="L128" i="11"/>
  <c r="J56" i="5"/>
  <c r="L129" i="11"/>
  <c r="J41" i="5"/>
  <c r="L117" i="11"/>
  <c r="J42" i="5"/>
  <c r="J43" i="5"/>
  <c r="J45" i="5"/>
  <c r="L121" i="11"/>
  <c r="J47" i="5"/>
  <c r="J49" i="5"/>
  <c r="L125" i="11"/>
  <c r="J25" i="5"/>
  <c r="L104" i="11"/>
  <c r="J26" i="5"/>
  <c r="L105" i="11"/>
  <c r="J27" i="5"/>
  <c r="L106" i="11"/>
  <c r="J28" i="5"/>
  <c r="J29" i="5"/>
  <c r="L108" i="11"/>
  <c r="J30" i="5"/>
  <c r="J31" i="5"/>
  <c r="J32" i="5"/>
  <c r="L111" i="11"/>
  <c r="J33" i="5"/>
  <c r="L112" i="11"/>
  <c r="J34" i="5"/>
  <c r="L113" i="11"/>
  <c r="J35" i="5"/>
  <c r="L114" i="11"/>
  <c r="J36" i="5"/>
  <c r="J14" i="5"/>
  <c r="L96" i="11"/>
  <c r="J15" i="5"/>
  <c r="J16" i="5"/>
  <c r="L98" i="11"/>
  <c r="T63" i="6"/>
  <c r="O18" i="12"/>
  <c r="J18" i="5"/>
  <c r="L100" i="11"/>
  <c r="J20" i="5"/>
  <c r="L103" i="11"/>
  <c r="K53" i="5"/>
  <c r="M126" i="11"/>
  <c r="K54" i="5"/>
  <c r="M127" i="11"/>
  <c r="K55" i="5"/>
  <c r="K56" i="5"/>
  <c r="K41" i="5"/>
  <c r="M117" i="11"/>
  <c r="K42" i="5"/>
  <c r="K43" i="5"/>
  <c r="M119" i="11"/>
  <c r="K45" i="5"/>
  <c r="M121" i="11"/>
  <c r="K47" i="5"/>
  <c r="M123" i="11"/>
  <c r="K49" i="5"/>
  <c r="M125" i="11"/>
  <c r="K25" i="5"/>
  <c r="K26" i="5"/>
  <c r="M105" i="11"/>
  <c r="K27" i="5"/>
  <c r="M106" i="11"/>
  <c r="K28" i="5"/>
  <c r="K29" i="5"/>
  <c r="K30" i="5"/>
  <c r="M109" i="11"/>
  <c r="K31" i="5"/>
  <c r="M110" i="11"/>
  <c r="K32" i="5"/>
  <c r="M111" i="11"/>
  <c r="K33" i="5"/>
  <c r="K34" i="5"/>
  <c r="M113" i="11"/>
  <c r="K35" i="5"/>
  <c r="M114" i="11"/>
  <c r="K36" i="5"/>
  <c r="K14" i="5"/>
  <c r="M96" i="11"/>
  <c r="K15" i="5"/>
  <c r="K16" i="5"/>
  <c r="M98" i="11"/>
  <c r="U63" i="6"/>
  <c r="P18" i="12"/>
  <c r="K18" i="5"/>
  <c r="M100" i="11"/>
  <c r="K20" i="5"/>
  <c r="L53" i="5"/>
  <c r="L54" i="5"/>
  <c r="N127" i="11"/>
  <c r="L55" i="5"/>
  <c r="L56" i="5"/>
  <c r="N129" i="11"/>
  <c r="L41" i="5"/>
  <c r="N117" i="11"/>
  <c r="L42" i="5"/>
  <c r="N118" i="11"/>
  <c r="L43" i="5"/>
  <c r="N119" i="11"/>
  <c r="L45" i="5"/>
  <c r="L47" i="5"/>
  <c r="N123" i="11"/>
  <c r="L49" i="5"/>
  <c r="N125" i="11"/>
  <c r="L25" i="5"/>
  <c r="L26" i="5"/>
  <c r="N105" i="11"/>
  <c r="L27" i="5"/>
  <c r="N106" i="11"/>
  <c r="L28" i="5"/>
  <c r="N107" i="11"/>
  <c r="L29" i="5"/>
  <c r="N108" i="11"/>
  <c r="L30" i="5"/>
  <c r="N109" i="11"/>
  <c r="L31" i="5"/>
  <c r="N110" i="11"/>
  <c r="L32" i="5"/>
  <c r="L33" i="5"/>
  <c r="N112" i="11"/>
  <c r="L34" i="5"/>
  <c r="L35" i="5"/>
  <c r="N114" i="11"/>
  <c r="L36" i="5"/>
  <c r="N115" i="11"/>
  <c r="L14" i="5"/>
  <c r="L15" i="5"/>
  <c r="N97" i="11"/>
  <c r="L16" i="5"/>
  <c r="N98" i="11"/>
  <c r="V63" i="6"/>
  <c r="Q18" i="12"/>
  <c r="L18" i="5"/>
  <c r="N100" i="11"/>
  <c r="L20" i="5"/>
  <c r="M53" i="5"/>
  <c r="M54" i="5"/>
  <c r="O127" i="11"/>
  <c r="M55" i="5"/>
  <c r="O128" i="11"/>
  <c r="M56" i="5"/>
  <c r="O129" i="11"/>
  <c r="M41" i="5"/>
  <c r="M42" i="5"/>
  <c r="O118" i="11"/>
  <c r="M43" i="5"/>
  <c r="M45" i="5"/>
  <c r="O121" i="11"/>
  <c r="M47" i="5"/>
  <c r="O123" i="11"/>
  <c r="M49" i="5"/>
  <c r="O125" i="11"/>
  <c r="M25" i="5"/>
  <c r="O104" i="11"/>
  <c r="M26" i="5"/>
  <c r="M27" i="5"/>
  <c r="O106" i="11"/>
  <c r="M28" i="5"/>
  <c r="M29" i="5"/>
  <c r="M30" i="5"/>
  <c r="O109" i="11"/>
  <c r="M31" i="5"/>
  <c r="O110" i="11"/>
  <c r="M32" i="5"/>
  <c r="O111" i="11"/>
  <c r="M33" i="5"/>
  <c r="O112" i="11"/>
  <c r="M34" i="5"/>
  <c r="O113" i="11"/>
  <c r="M35" i="5"/>
  <c r="M36" i="5"/>
  <c r="O115" i="11"/>
  <c r="M14" i="5"/>
  <c r="O96" i="11"/>
  <c r="M15" i="5"/>
  <c r="M16" i="5"/>
  <c r="O98" i="11"/>
  <c r="W63" i="6"/>
  <c r="R18" i="12"/>
  <c r="M18" i="5"/>
  <c r="O100" i="11"/>
  <c r="M20" i="5"/>
  <c r="O103" i="11"/>
  <c r="N73" i="5"/>
  <c r="P133" i="11"/>
  <c r="N74" i="5"/>
  <c r="P134" i="11"/>
  <c r="N75" i="5"/>
  <c r="P135" i="11"/>
  <c r="N76" i="5"/>
  <c r="C73" i="5"/>
  <c r="C74" i="5"/>
  <c r="E134" i="11"/>
  <c r="C75" i="5"/>
  <c r="E135" i="11"/>
  <c r="C76" i="5"/>
  <c r="D73" i="5"/>
  <c r="F133" i="11"/>
  <c r="D74" i="5"/>
  <c r="F134" i="11"/>
  <c r="D75" i="5"/>
  <c r="F135" i="11"/>
  <c r="D76" i="5"/>
  <c r="E73" i="5"/>
  <c r="E74" i="5"/>
  <c r="G134" i="11"/>
  <c r="E75" i="5"/>
  <c r="G135" i="11"/>
  <c r="E76" i="5"/>
  <c r="F73" i="5"/>
  <c r="H133" i="11"/>
  <c r="F74" i="5"/>
  <c r="H134" i="11"/>
  <c r="F75" i="5"/>
  <c r="H135" i="11"/>
  <c r="F76" i="5"/>
  <c r="G73" i="5"/>
  <c r="I133" i="11"/>
  <c r="G74" i="5"/>
  <c r="I134" i="11"/>
  <c r="G75" i="5"/>
  <c r="I135" i="11"/>
  <c r="G76" i="5"/>
  <c r="H73" i="5"/>
  <c r="J133" i="11"/>
  <c r="H74" i="5"/>
  <c r="J134" i="11"/>
  <c r="H75" i="5"/>
  <c r="J135" i="11"/>
  <c r="H76" i="5"/>
  <c r="I73" i="5"/>
  <c r="I74" i="5"/>
  <c r="K134" i="11"/>
  <c r="I75" i="5"/>
  <c r="K135" i="11"/>
  <c r="I76" i="5"/>
  <c r="J73" i="5"/>
  <c r="L133" i="11"/>
  <c r="J74" i="5"/>
  <c r="L134" i="11"/>
  <c r="J75" i="5"/>
  <c r="L135" i="11"/>
  <c r="J76" i="5"/>
  <c r="K73" i="5"/>
  <c r="K74" i="5"/>
  <c r="M134" i="11"/>
  <c r="K75" i="5"/>
  <c r="M135" i="11"/>
  <c r="K76" i="5"/>
  <c r="L73" i="5"/>
  <c r="N133" i="11"/>
  <c r="L74" i="5"/>
  <c r="N134" i="11"/>
  <c r="L75" i="5"/>
  <c r="N135" i="11"/>
  <c r="L76" i="5"/>
  <c r="M73" i="5"/>
  <c r="M74" i="5"/>
  <c r="O134" i="11"/>
  <c r="M75" i="5"/>
  <c r="O135" i="11"/>
  <c r="M76" i="5"/>
  <c r="N80" i="5"/>
  <c r="P136" i="11"/>
  <c r="N83" i="5"/>
  <c r="P139" i="11"/>
  <c r="N84" i="5"/>
  <c r="N85" i="5"/>
  <c r="P140" i="11"/>
  <c r="C80" i="5"/>
  <c r="E136" i="11"/>
  <c r="C83" i="5"/>
  <c r="E139" i="11"/>
  <c r="C84" i="5"/>
  <c r="C85" i="5"/>
  <c r="E140" i="11"/>
  <c r="D80" i="5"/>
  <c r="F136" i="11"/>
  <c r="D83" i="5"/>
  <c r="F139" i="11"/>
  <c r="D84" i="5"/>
  <c r="D85" i="5"/>
  <c r="F140" i="11"/>
  <c r="E80" i="5"/>
  <c r="G136" i="11"/>
  <c r="E83" i="5"/>
  <c r="G139" i="11"/>
  <c r="E84" i="5"/>
  <c r="E85" i="5"/>
  <c r="G140" i="11"/>
  <c r="F80" i="5"/>
  <c r="H136" i="11"/>
  <c r="F83" i="5"/>
  <c r="H139" i="11"/>
  <c r="F84" i="5"/>
  <c r="F85" i="5"/>
  <c r="H140" i="11"/>
  <c r="G80" i="5"/>
  <c r="I136" i="11"/>
  <c r="G83" i="5"/>
  <c r="I139" i="11"/>
  <c r="G84" i="5"/>
  <c r="G85" i="5"/>
  <c r="I140" i="11"/>
  <c r="H80" i="5"/>
  <c r="J136" i="11"/>
  <c r="H83" i="5"/>
  <c r="J139" i="11"/>
  <c r="H84" i="5"/>
  <c r="H85" i="5"/>
  <c r="J140" i="11"/>
  <c r="I80" i="5"/>
  <c r="K136" i="11"/>
  <c r="I83" i="5"/>
  <c r="K139" i="11"/>
  <c r="I84" i="5"/>
  <c r="I85" i="5"/>
  <c r="K140" i="11"/>
  <c r="J80" i="5"/>
  <c r="L136" i="11"/>
  <c r="J83" i="5"/>
  <c r="L139" i="11"/>
  <c r="J84" i="5"/>
  <c r="J85" i="5"/>
  <c r="L140" i="11"/>
  <c r="K80" i="5"/>
  <c r="M136" i="11"/>
  <c r="K83" i="5"/>
  <c r="M139" i="11"/>
  <c r="K84" i="5"/>
  <c r="K85" i="5"/>
  <c r="M140" i="11"/>
  <c r="L80" i="5"/>
  <c r="N136" i="11"/>
  <c r="L83" i="5"/>
  <c r="N139" i="11"/>
  <c r="L84" i="5"/>
  <c r="L85" i="5"/>
  <c r="N140" i="11"/>
  <c r="M80" i="5"/>
  <c r="O136" i="11"/>
  <c r="M83" i="5"/>
  <c r="O139" i="11"/>
  <c r="M84" i="5"/>
  <c r="M85" i="5"/>
  <c r="O140" i="11"/>
  <c r="N90" i="5"/>
  <c r="P142" i="11"/>
  <c r="N91" i="5"/>
  <c r="P143" i="11"/>
  <c r="N96" i="5"/>
  <c r="P148" i="11"/>
  <c r="N97" i="5"/>
  <c r="P149" i="11"/>
  <c r="N98" i="5"/>
  <c r="P150" i="11"/>
  <c r="N100" i="5"/>
  <c r="P152" i="11"/>
  <c r="N102" i="5"/>
  <c r="P154" i="11"/>
  <c r="N103" i="5"/>
  <c r="N104" i="5"/>
  <c r="P156" i="11"/>
  <c r="N105" i="5"/>
  <c r="P157" i="11"/>
  <c r="N106" i="5"/>
  <c r="P158" i="11"/>
  <c r="N107" i="5"/>
  <c r="P159" i="11"/>
  <c r="N108" i="5"/>
  <c r="P160" i="11"/>
  <c r="N110" i="5"/>
  <c r="N111" i="5"/>
  <c r="P163" i="11"/>
  <c r="N115" i="5"/>
  <c r="C90" i="5"/>
  <c r="E142" i="11"/>
  <c r="C91" i="5"/>
  <c r="E143" i="11"/>
  <c r="C96" i="5"/>
  <c r="E148" i="11"/>
  <c r="C97" i="5"/>
  <c r="E149" i="11"/>
  <c r="C98" i="5"/>
  <c r="E150" i="11"/>
  <c r="C100" i="5"/>
  <c r="E152" i="11"/>
  <c r="C102" i="5"/>
  <c r="E154" i="11"/>
  <c r="C103" i="5"/>
  <c r="E155" i="11"/>
  <c r="C104" i="5"/>
  <c r="E156" i="11"/>
  <c r="C105" i="5"/>
  <c r="E157" i="11"/>
  <c r="C106" i="5"/>
  <c r="E158" i="11"/>
  <c r="C107" i="5"/>
  <c r="E159" i="11"/>
  <c r="C108" i="5"/>
  <c r="E160" i="11"/>
  <c r="C110" i="5"/>
  <c r="E162" i="11"/>
  <c r="C111" i="5"/>
  <c r="E163" i="11"/>
  <c r="C115" i="5"/>
  <c r="D90" i="5"/>
  <c r="F142" i="11"/>
  <c r="D91" i="5"/>
  <c r="F143" i="11"/>
  <c r="D96" i="5"/>
  <c r="F148" i="11"/>
  <c r="D97" i="5"/>
  <c r="F149" i="11"/>
  <c r="D98" i="5"/>
  <c r="F150" i="11"/>
  <c r="D100" i="5"/>
  <c r="F152" i="11"/>
  <c r="D102" i="5"/>
  <c r="F154" i="11"/>
  <c r="D103" i="5"/>
  <c r="F155" i="11"/>
  <c r="D104" i="5"/>
  <c r="F156" i="11"/>
  <c r="D105" i="5"/>
  <c r="F157" i="11"/>
  <c r="D106" i="5"/>
  <c r="F158" i="11"/>
  <c r="D107" i="5"/>
  <c r="F159" i="11"/>
  <c r="D108" i="5"/>
  <c r="F160" i="11"/>
  <c r="D110" i="5"/>
  <c r="F162" i="11"/>
  <c r="D111" i="5"/>
  <c r="F163" i="11"/>
  <c r="D115" i="5"/>
  <c r="F167" i="11"/>
  <c r="E90" i="5"/>
  <c r="G142" i="11"/>
  <c r="E91" i="5"/>
  <c r="G143" i="11"/>
  <c r="E96" i="5"/>
  <c r="G148" i="11"/>
  <c r="E97" i="5"/>
  <c r="G149" i="11"/>
  <c r="E98" i="5"/>
  <c r="G150" i="11"/>
  <c r="E100" i="5"/>
  <c r="G152" i="11"/>
  <c r="E102" i="5"/>
  <c r="G154" i="11"/>
  <c r="E103" i="5"/>
  <c r="G155" i="11"/>
  <c r="E104" i="5"/>
  <c r="G156" i="11"/>
  <c r="E105" i="5"/>
  <c r="G157" i="11"/>
  <c r="E106" i="5"/>
  <c r="G158" i="11"/>
  <c r="E107" i="5"/>
  <c r="G159" i="11"/>
  <c r="E108" i="5"/>
  <c r="G160" i="11"/>
  <c r="E110" i="5"/>
  <c r="G162" i="11"/>
  <c r="E111" i="5"/>
  <c r="G163" i="11"/>
  <c r="E115" i="5"/>
  <c r="G167" i="11"/>
  <c r="F90" i="5"/>
  <c r="H142" i="11"/>
  <c r="F91" i="5"/>
  <c r="H143" i="11"/>
  <c r="F96" i="5"/>
  <c r="H148" i="11"/>
  <c r="F97" i="5"/>
  <c r="H149" i="11"/>
  <c r="F98" i="5"/>
  <c r="H150" i="11"/>
  <c r="F100" i="5"/>
  <c r="H152" i="11"/>
  <c r="F102" i="5"/>
  <c r="H154" i="11"/>
  <c r="F103" i="5"/>
  <c r="H155" i="11"/>
  <c r="F104" i="5"/>
  <c r="H156" i="11"/>
  <c r="F105" i="5"/>
  <c r="H157" i="11"/>
  <c r="F106" i="5"/>
  <c r="H158" i="11"/>
  <c r="F107" i="5"/>
  <c r="H159" i="11"/>
  <c r="F108" i="5"/>
  <c r="H160" i="11"/>
  <c r="F110" i="5"/>
  <c r="H162" i="11"/>
  <c r="F111" i="5"/>
  <c r="H163" i="11"/>
  <c r="F115" i="5"/>
  <c r="H167" i="11"/>
  <c r="G90" i="5"/>
  <c r="I142" i="11"/>
  <c r="G91" i="5"/>
  <c r="I143" i="11"/>
  <c r="G96" i="5"/>
  <c r="I148" i="11"/>
  <c r="G97" i="5"/>
  <c r="I149" i="11"/>
  <c r="G98" i="5"/>
  <c r="I150" i="11"/>
  <c r="G100" i="5"/>
  <c r="I152" i="11"/>
  <c r="G102" i="5"/>
  <c r="I154" i="11"/>
  <c r="G103" i="5"/>
  <c r="I155" i="11"/>
  <c r="G104" i="5"/>
  <c r="I156" i="11"/>
  <c r="G105" i="5"/>
  <c r="I157" i="11"/>
  <c r="G106" i="5"/>
  <c r="I158" i="11"/>
  <c r="G107" i="5"/>
  <c r="I159" i="11"/>
  <c r="G108" i="5"/>
  <c r="I160" i="11"/>
  <c r="G110" i="5"/>
  <c r="I162" i="11"/>
  <c r="G111" i="5"/>
  <c r="I163" i="11"/>
  <c r="G115" i="5"/>
  <c r="I167" i="11"/>
  <c r="H90" i="5"/>
  <c r="J142" i="11"/>
  <c r="H91" i="5"/>
  <c r="J143" i="11"/>
  <c r="H96" i="5"/>
  <c r="J148" i="11"/>
  <c r="H97" i="5"/>
  <c r="J149" i="11"/>
  <c r="H98" i="5"/>
  <c r="J150" i="11"/>
  <c r="H100" i="5"/>
  <c r="J152" i="11"/>
  <c r="H102" i="5"/>
  <c r="J154" i="11"/>
  <c r="H103" i="5"/>
  <c r="J155" i="11"/>
  <c r="H104" i="5"/>
  <c r="J156" i="11"/>
  <c r="H105" i="5"/>
  <c r="J157" i="11"/>
  <c r="H106" i="5"/>
  <c r="J158" i="11"/>
  <c r="H107" i="5"/>
  <c r="J159" i="11"/>
  <c r="H108" i="5"/>
  <c r="J160" i="11"/>
  <c r="H110" i="5"/>
  <c r="J162" i="11"/>
  <c r="H111" i="5"/>
  <c r="J163" i="11"/>
  <c r="H115" i="5"/>
  <c r="J167" i="11"/>
  <c r="I90" i="5"/>
  <c r="K142" i="11"/>
  <c r="I91" i="5"/>
  <c r="K143" i="11"/>
  <c r="I96" i="5"/>
  <c r="K148" i="11"/>
  <c r="I97" i="5"/>
  <c r="K149" i="11"/>
  <c r="I98" i="5"/>
  <c r="K150" i="11"/>
  <c r="I100" i="5"/>
  <c r="K152" i="11"/>
  <c r="I102" i="5"/>
  <c r="K154" i="11"/>
  <c r="I103" i="5"/>
  <c r="K155" i="11"/>
  <c r="I104" i="5"/>
  <c r="K156" i="11"/>
  <c r="I105" i="5"/>
  <c r="K157" i="11"/>
  <c r="I106" i="5"/>
  <c r="K158" i="11"/>
  <c r="I107" i="5"/>
  <c r="K159" i="11"/>
  <c r="I108" i="5"/>
  <c r="K160" i="11"/>
  <c r="I110" i="5"/>
  <c r="K162" i="11"/>
  <c r="I111" i="5"/>
  <c r="K163" i="11"/>
  <c r="I115" i="5"/>
  <c r="K167" i="11"/>
  <c r="J90" i="5"/>
  <c r="L142" i="11"/>
  <c r="J91" i="5"/>
  <c r="L143" i="11"/>
  <c r="J96" i="5"/>
  <c r="L148" i="11"/>
  <c r="J97" i="5"/>
  <c r="L149" i="11"/>
  <c r="J98" i="5"/>
  <c r="L150" i="11"/>
  <c r="J100" i="5"/>
  <c r="L152" i="11"/>
  <c r="J102" i="5"/>
  <c r="L154" i="11"/>
  <c r="J103" i="5"/>
  <c r="L155" i="11"/>
  <c r="J104" i="5"/>
  <c r="L156" i="11"/>
  <c r="J105" i="5"/>
  <c r="L157" i="11"/>
  <c r="J106" i="5"/>
  <c r="L158" i="11"/>
  <c r="J107" i="5"/>
  <c r="L159" i="11"/>
  <c r="J108" i="5"/>
  <c r="L160" i="11"/>
  <c r="J110" i="5"/>
  <c r="L162" i="11"/>
  <c r="J111" i="5"/>
  <c r="L163" i="11"/>
  <c r="J115" i="5"/>
  <c r="L167" i="11"/>
  <c r="K90" i="5"/>
  <c r="M142" i="11"/>
  <c r="K91" i="5"/>
  <c r="M143" i="11"/>
  <c r="K96" i="5"/>
  <c r="M148" i="11"/>
  <c r="K97" i="5"/>
  <c r="M149" i="11"/>
  <c r="K98" i="5"/>
  <c r="M150" i="11"/>
  <c r="K100" i="5"/>
  <c r="M152" i="11"/>
  <c r="K102" i="5"/>
  <c r="M154" i="11"/>
  <c r="K103" i="5"/>
  <c r="M155" i="11"/>
  <c r="K104" i="5"/>
  <c r="M156" i="11"/>
  <c r="K105" i="5"/>
  <c r="M157" i="11"/>
  <c r="K106" i="5"/>
  <c r="M158" i="11"/>
  <c r="K107" i="5"/>
  <c r="M159" i="11"/>
  <c r="K108" i="5"/>
  <c r="M160" i="11"/>
  <c r="K110" i="5"/>
  <c r="M162" i="11"/>
  <c r="K111" i="5"/>
  <c r="M163" i="11"/>
  <c r="K115" i="5"/>
  <c r="M167" i="11"/>
  <c r="L90" i="5"/>
  <c r="N142" i="11"/>
  <c r="L91" i="5"/>
  <c r="N143" i="11"/>
  <c r="L96" i="5"/>
  <c r="N148" i="11"/>
  <c r="L97" i="5"/>
  <c r="N149" i="11"/>
  <c r="L98" i="5"/>
  <c r="N150" i="11"/>
  <c r="L100" i="5"/>
  <c r="N152" i="11"/>
  <c r="L102" i="5"/>
  <c r="N154" i="11"/>
  <c r="L103" i="5"/>
  <c r="N155" i="11"/>
  <c r="L104" i="5"/>
  <c r="N156" i="11"/>
  <c r="L105" i="5"/>
  <c r="N157" i="11"/>
  <c r="L106" i="5"/>
  <c r="N158" i="11"/>
  <c r="L107" i="5"/>
  <c r="N159" i="11"/>
  <c r="L108" i="5"/>
  <c r="N160" i="11"/>
  <c r="L110" i="5"/>
  <c r="N162" i="11"/>
  <c r="L111" i="5"/>
  <c r="N163" i="11"/>
  <c r="L115" i="5"/>
  <c r="N167" i="11"/>
  <c r="M90" i="5"/>
  <c r="O142" i="11"/>
  <c r="M91" i="5"/>
  <c r="O143" i="11"/>
  <c r="M96" i="5"/>
  <c r="O148" i="11"/>
  <c r="M97" i="5"/>
  <c r="O149" i="11"/>
  <c r="M98" i="5"/>
  <c r="O150" i="11"/>
  <c r="M100" i="5"/>
  <c r="O152" i="11"/>
  <c r="M102" i="5"/>
  <c r="O154" i="11"/>
  <c r="M103" i="5"/>
  <c r="O155" i="11"/>
  <c r="M104" i="5"/>
  <c r="O156" i="11"/>
  <c r="M105" i="5"/>
  <c r="O157" i="11"/>
  <c r="M106" i="5"/>
  <c r="O158" i="11"/>
  <c r="M107" i="5"/>
  <c r="O159" i="11"/>
  <c r="M108" i="5"/>
  <c r="O160" i="11"/>
  <c r="M110" i="5"/>
  <c r="O162" i="11"/>
  <c r="M111" i="5"/>
  <c r="O163" i="11"/>
  <c r="M115" i="5"/>
  <c r="O167" i="11"/>
  <c r="N169" i="5"/>
  <c r="P199" i="11"/>
  <c r="N170" i="5"/>
  <c r="P200" i="11"/>
  <c r="N171" i="5"/>
  <c r="P201" i="11"/>
  <c r="N172" i="5"/>
  <c r="N173" i="5"/>
  <c r="N174" i="5"/>
  <c r="P204" i="11"/>
  <c r="N175" i="5"/>
  <c r="P205" i="11"/>
  <c r="N176" i="5"/>
  <c r="P206" i="11"/>
  <c r="N177" i="5"/>
  <c r="P207" i="11"/>
  <c r="N178" i="5"/>
  <c r="P208" i="11"/>
  <c r="C169" i="5"/>
  <c r="E199" i="11"/>
  <c r="C170" i="5"/>
  <c r="E200" i="11"/>
  <c r="C171" i="5"/>
  <c r="C172" i="5"/>
  <c r="E202" i="11"/>
  <c r="C173" i="5"/>
  <c r="E203" i="11"/>
  <c r="C174" i="5"/>
  <c r="E204" i="11"/>
  <c r="C175" i="5"/>
  <c r="C176" i="5"/>
  <c r="C177" i="5"/>
  <c r="C178" i="5"/>
  <c r="D169" i="5"/>
  <c r="D170" i="5"/>
  <c r="F200" i="11"/>
  <c r="D171" i="5"/>
  <c r="F201" i="11"/>
  <c r="D172" i="5"/>
  <c r="F202" i="11"/>
  <c r="D173" i="5"/>
  <c r="D174" i="5"/>
  <c r="D175" i="5"/>
  <c r="D176" i="5"/>
  <c r="D177" i="5"/>
  <c r="F207" i="11"/>
  <c r="D178" i="5"/>
  <c r="F208" i="11"/>
  <c r="E169" i="5"/>
  <c r="G199" i="11"/>
  <c r="E170" i="5"/>
  <c r="G200" i="11"/>
  <c r="E171" i="5"/>
  <c r="G201" i="11"/>
  <c r="E172" i="5"/>
  <c r="E173" i="5"/>
  <c r="E174" i="5"/>
  <c r="G204" i="11"/>
  <c r="E175" i="5"/>
  <c r="G205" i="11"/>
  <c r="E176" i="5"/>
  <c r="G206" i="11"/>
  <c r="E177" i="5"/>
  <c r="G207" i="11"/>
  <c r="E178" i="5"/>
  <c r="G208" i="11"/>
  <c r="F169" i="5"/>
  <c r="F170" i="5"/>
  <c r="F171" i="5"/>
  <c r="F172" i="5"/>
  <c r="H202" i="11"/>
  <c r="F173" i="5"/>
  <c r="F174" i="5"/>
  <c r="H204" i="11"/>
  <c r="F175" i="5"/>
  <c r="H205" i="11"/>
  <c r="F176" i="5"/>
  <c r="H206" i="11"/>
  <c r="F177" i="5"/>
  <c r="H207" i="11"/>
  <c r="F178" i="5"/>
  <c r="G169" i="5"/>
  <c r="G170" i="5"/>
  <c r="G171" i="5"/>
  <c r="I201" i="11"/>
  <c r="G172" i="5"/>
  <c r="I202" i="11"/>
  <c r="G173" i="5"/>
  <c r="G174" i="5"/>
  <c r="I204" i="11"/>
  <c r="G175" i="5"/>
  <c r="I205" i="11"/>
  <c r="G176" i="5"/>
  <c r="G177" i="5"/>
  <c r="G178" i="5"/>
  <c r="I208" i="11"/>
  <c r="H169" i="5"/>
  <c r="H170" i="5"/>
  <c r="J200" i="11"/>
  <c r="H171" i="5"/>
  <c r="J201" i="11"/>
  <c r="H172" i="5"/>
  <c r="J202" i="11"/>
  <c r="H173" i="5"/>
  <c r="J203" i="11"/>
  <c r="H174" i="5"/>
  <c r="H175" i="5"/>
  <c r="H176" i="5"/>
  <c r="H177" i="5"/>
  <c r="J207" i="11"/>
  <c r="H178" i="5"/>
  <c r="I169" i="5"/>
  <c r="K199" i="11"/>
  <c r="I170" i="5"/>
  <c r="K200" i="11"/>
  <c r="I171" i="5"/>
  <c r="K201" i="11"/>
  <c r="I172" i="5"/>
  <c r="I173" i="5"/>
  <c r="I174" i="5"/>
  <c r="I175" i="5"/>
  <c r="K205" i="11"/>
  <c r="I176" i="5"/>
  <c r="K206" i="11"/>
  <c r="I177" i="5"/>
  <c r="K207" i="11"/>
  <c r="I178" i="5"/>
  <c r="K208" i="11"/>
  <c r="J169" i="5"/>
  <c r="L199" i="11"/>
  <c r="J170" i="5"/>
  <c r="J171" i="5"/>
  <c r="J172" i="5"/>
  <c r="L202" i="11"/>
  <c r="J173" i="5"/>
  <c r="J174" i="5"/>
  <c r="L204" i="11"/>
  <c r="J175" i="5"/>
  <c r="L205" i="11"/>
  <c r="J176" i="5"/>
  <c r="L206" i="11"/>
  <c r="J177" i="5"/>
  <c r="L207" i="11"/>
  <c r="J178" i="5"/>
  <c r="K169" i="5"/>
  <c r="K170" i="5"/>
  <c r="K171" i="5"/>
  <c r="M201" i="11"/>
  <c r="K172" i="5"/>
  <c r="K173" i="5"/>
  <c r="M203" i="11"/>
  <c r="K174" i="5"/>
  <c r="M204" i="11"/>
  <c r="K175" i="5"/>
  <c r="M205" i="11"/>
  <c r="K176" i="5"/>
  <c r="K177" i="5"/>
  <c r="M207" i="11"/>
  <c r="K178" i="5"/>
  <c r="L169" i="5"/>
  <c r="L170" i="5"/>
  <c r="N200" i="11"/>
  <c r="L171" i="5"/>
  <c r="N201" i="11"/>
  <c r="L172" i="5"/>
  <c r="N202" i="11"/>
  <c r="L173" i="5"/>
  <c r="L174" i="5"/>
  <c r="L175" i="5"/>
  <c r="L176" i="5"/>
  <c r="N206" i="11"/>
  <c r="L177" i="5"/>
  <c r="L178" i="5"/>
  <c r="N208" i="11"/>
  <c r="M169" i="5"/>
  <c r="O199" i="11"/>
  <c r="M170" i="5"/>
  <c r="O200" i="11"/>
  <c r="M171" i="5"/>
  <c r="M172" i="5"/>
  <c r="M173" i="5"/>
  <c r="M174" i="5"/>
  <c r="O204" i="11"/>
  <c r="M175" i="5"/>
  <c r="M176" i="5"/>
  <c r="O206" i="11"/>
  <c r="M177" i="5"/>
  <c r="O207" i="11"/>
  <c r="M178" i="5"/>
  <c r="O208" i="11"/>
  <c r="N182" i="5"/>
  <c r="P209" i="11"/>
  <c r="N183" i="5"/>
  <c r="N184" i="5"/>
  <c r="P211" i="11"/>
  <c r="N185" i="5"/>
  <c r="N186" i="5"/>
  <c r="P213" i="11"/>
  <c r="N187" i="5"/>
  <c r="P214" i="11"/>
  <c r="N189" i="5"/>
  <c r="P216" i="11"/>
  <c r="N190" i="5"/>
  <c r="P217" i="11"/>
  <c r="N191" i="5"/>
  <c r="P218" i="11"/>
  <c r="N192" i="5"/>
  <c r="N193" i="5"/>
  <c r="P220" i="11"/>
  <c r="N194" i="5"/>
  <c r="N195" i="5"/>
  <c r="P222" i="11"/>
  <c r="C182" i="5"/>
  <c r="E209" i="11"/>
  <c r="C183" i="5"/>
  <c r="E210" i="11"/>
  <c r="C184" i="5"/>
  <c r="E211" i="11"/>
  <c r="C185" i="5"/>
  <c r="E212" i="11"/>
  <c r="C186" i="5"/>
  <c r="C187" i="5"/>
  <c r="C189" i="5"/>
  <c r="C190" i="5"/>
  <c r="C191" i="5"/>
  <c r="E218" i="11"/>
  <c r="C192" i="5"/>
  <c r="E219" i="11"/>
  <c r="C193" i="5"/>
  <c r="E220" i="11"/>
  <c r="C194" i="5"/>
  <c r="E221" i="11"/>
  <c r="C195" i="5"/>
  <c r="D182" i="5"/>
  <c r="D183" i="5"/>
  <c r="D184" i="5"/>
  <c r="F211" i="11"/>
  <c r="D185" i="5"/>
  <c r="F212" i="11"/>
  <c r="D186" i="5"/>
  <c r="F213" i="11"/>
  <c r="D187" i="5"/>
  <c r="F214" i="11"/>
  <c r="D189" i="5"/>
  <c r="F216" i="11"/>
  <c r="D190" i="5"/>
  <c r="D191" i="5"/>
  <c r="F218" i="11"/>
  <c r="D192" i="5"/>
  <c r="D193" i="5"/>
  <c r="F220" i="11"/>
  <c r="D194" i="5"/>
  <c r="F221" i="11"/>
  <c r="D195" i="5"/>
  <c r="F222" i="11"/>
  <c r="E182" i="5"/>
  <c r="G209" i="11"/>
  <c r="E183" i="5"/>
  <c r="G210" i="11"/>
  <c r="E184" i="5"/>
  <c r="E185" i="5"/>
  <c r="G212" i="11"/>
  <c r="E186" i="5"/>
  <c r="G213" i="11"/>
  <c r="E187" i="5"/>
  <c r="E189" i="5"/>
  <c r="G216" i="11"/>
  <c r="E190" i="5"/>
  <c r="G217" i="11"/>
  <c r="E191" i="5"/>
  <c r="G218" i="11"/>
  <c r="E192" i="5"/>
  <c r="G219" i="11"/>
  <c r="E193" i="5"/>
  <c r="E194" i="5"/>
  <c r="E195" i="5"/>
  <c r="G222" i="11"/>
  <c r="F182" i="5"/>
  <c r="H209" i="11"/>
  <c r="F183" i="5"/>
  <c r="H210" i="11"/>
  <c r="F184" i="5"/>
  <c r="H211" i="11"/>
  <c r="F185" i="5"/>
  <c r="H212" i="11"/>
  <c r="F186" i="5"/>
  <c r="H213" i="11"/>
  <c r="F187" i="5"/>
  <c r="F189" i="5"/>
  <c r="F190" i="5"/>
  <c r="H217" i="11"/>
  <c r="F191" i="5"/>
  <c r="H218" i="11"/>
  <c r="F192" i="5"/>
  <c r="H219" i="11"/>
  <c r="F193" i="5"/>
  <c r="H220" i="11"/>
  <c r="F194" i="5"/>
  <c r="H221" i="11"/>
  <c r="F195" i="5"/>
  <c r="H222" i="11"/>
  <c r="G182" i="5"/>
  <c r="G183" i="5"/>
  <c r="G184" i="5"/>
  <c r="G185" i="5"/>
  <c r="I212" i="11"/>
  <c r="G186" i="5"/>
  <c r="I213" i="11"/>
  <c r="G187" i="5"/>
  <c r="I214" i="11"/>
  <c r="G189" i="5"/>
  <c r="I216" i="11"/>
  <c r="G190" i="5"/>
  <c r="I217" i="11"/>
  <c r="G191" i="5"/>
  <c r="G192" i="5"/>
  <c r="I219" i="11"/>
  <c r="G193" i="5"/>
  <c r="I220" i="11"/>
  <c r="G194" i="5"/>
  <c r="I221" i="11"/>
  <c r="G195" i="5"/>
  <c r="I222" i="11"/>
  <c r="H182" i="5"/>
  <c r="J209" i="11"/>
  <c r="H183" i="5"/>
  <c r="J210" i="11"/>
  <c r="H184" i="5"/>
  <c r="J211" i="11"/>
  <c r="H185" i="5"/>
  <c r="J212" i="11"/>
  <c r="H186" i="5"/>
  <c r="H187" i="5"/>
  <c r="J214" i="11"/>
  <c r="H189" i="5"/>
  <c r="H190" i="5"/>
  <c r="J217" i="11"/>
  <c r="H191" i="5"/>
  <c r="J218" i="11"/>
  <c r="H192" i="5"/>
  <c r="J219" i="11"/>
  <c r="H193" i="5"/>
  <c r="J220" i="11"/>
  <c r="H194" i="5"/>
  <c r="H195" i="5"/>
  <c r="J222" i="11"/>
  <c r="I182" i="5"/>
  <c r="I183" i="5"/>
  <c r="I184" i="5"/>
  <c r="K211" i="11"/>
  <c r="I185" i="5"/>
  <c r="K212" i="11"/>
  <c r="I186" i="5"/>
  <c r="K213" i="11"/>
  <c r="I187" i="5"/>
  <c r="K214" i="11"/>
  <c r="I189" i="5"/>
  <c r="I190" i="5"/>
  <c r="K217" i="11"/>
  <c r="I191" i="5"/>
  <c r="I192" i="5"/>
  <c r="K219" i="11"/>
  <c r="I193" i="5"/>
  <c r="K220" i="11"/>
  <c r="I194" i="5"/>
  <c r="K221" i="11"/>
  <c r="I195" i="5"/>
  <c r="K222" i="11"/>
  <c r="J182" i="5"/>
  <c r="L209" i="11"/>
  <c r="J183" i="5"/>
  <c r="J184" i="5"/>
  <c r="J185" i="5"/>
  <c r="L212" i="11"/>
  <c r="J186" i="5"/>
  <c r="J187" i="5"/>
  <c r="L214" i="11"/>
  <c r="J189" i="5"/>
  <c r="L216" i="11"/>
  <c r="J190" i="5"/>
  <c r="L217" i="11"/>
  <c r="J191" i="5"/>
  <c r="L218" i="11"/>
  <c r="J192" i="5"/>
  <c r="J193" i="5"/>
  <c r="J194" i="5"/>
  <c r="L221" i="11"/>
  <c r="J195" i="5"/>
  <c r="K182" i="5"/>
  <c r="M209" i="11"/>
  <c r="K183" i="5"/>
  <c r="M210" i="11"/>
  <c r="K184" i="5"/>
  <c r="M211" i="11"/>
  <c r="K185" i="5"/>
  <c r="K186" i="5"/>
  <c r="K187" i="5"/>
  <c r="K189" i="5"/>
  <c r="M216" i="11"/>
  <c r="K190" i="5"/>
  <c r="M217" i="11"/>
  <c r="K191" i="5"/>
  <c r="M218" i="11"/>
  <c r="K192" i="5"/>
  <c r="M219" i="11"/>
  <c r="K193" i="5"/>
  <c r="M220" i="11"/>
  <c r="K194" i="5"/>
  <c r="M221" i="11"/>
  <c r="K195" i="5"/>
  <c r="L182" i="5"/>
  <c r="L183" i="5"/>
  <c r="L184" i="5"/>
  <c r="L185" i="5"/>
  <c r="N212" i="11"/>
  <c r="L186" i="5"/>
  <c r="N213" i="11"/>
  <c r="L187" i="5"/>
  <c r="N214" i="11"/>
  <c r="L189" i="5"/>
  <c r="L190" i="5"/>
  <c r="L191" i="5"/>
  <c r="L192" i="5"/>
  <c r="L193" i="5"/>
  <c r="N220" i="11"/>
  <c r="L194" i="5"/>
  <c r="N221" i="11"/>
  <c r="L195" i="5"/>
  <c r="N222" i="11"/>
  <c r="M182" i="5"/>
  <c r="O209" i="11"/>
  <c r="M183" i="5"/>
  <c r="O210" i="11"/>
  <c r="M184" i="5"/>
  <c r="M185" i="5"/>
  <c r="O212" i="11"/>
  <c r="M186" i="5"/>
  <c r="O213" i="11"/>
  <c r="M187" i="5"/>
  <c r="O214" i="11"/>
  <c r="M189" i="5"/>
  <c r="O216" i="11"/>
  <c r="M190" i="5"/>
  <c r="O217" i="11"/>
  <c r="M191" i="5"/>
  <c r="O218" i="11"/>
  <c r="M192" i="5"/>
  <c r="O219" i="11"/>
  <c r="M193" i="5"/>
  <c r="M194" i="5"/>
  <c r="M195" i="5"/>
  <c r="N199" i="5"/>
  <c r="N200" i="5"/>
  <c r="P240" i="11"/>
  <c r="N201" i="5"/>
  <c r="P241" i="11"/>
  <c r="N202" i="5"/>
  <c r="P242" i="11"/>
  <c r="C199" i="5"/>
  <c r="E239" i="11"/>
  <c r="C200" i="5"/>
  <c r="C201" i="5"/>
  <c r="E241" i="11"/>
  <c r="C202" i="5"/>
  <c r="E242" i="11"/>
  <c r="D199" i="5"/>
  <c r="F239" i="11"/>
  <c r="D200" i="5"/>
  <c r="F240" i="11"/>
  <c r="D201" i="5"/>
  <c r="F241" i="11"/>
  <c r="D202" i="5"/>
  <c r="F242" i="11"/>
  <c r="E199" i="5"/>
  <c r="E200" i="5"/>
  <c r="E201" i="5"/>
  <c r="E202" i="5"/>
  <c r="F199" i="5"/>
  <c r="F200" i="5"/>
  <c r="H240" i="11"/>
  <c r="F201" i="5"/>
  <c r="H241" i="11"/>
  <c r="F202" i="5"/>
  <c r="H242" i="11"/>
  <c r="G199" i="5"/>
  <c r="G200" i="5"/>
  <c r="G201" i="5"/>
  <c r="I241" i="11"/>
  <c r="G202" i="5"/>
  <c r="I242" i="11"/>
  <c r="H199" i="5"/>
  <c r="H200" i="5"/>
  <c r="J240" i="11"/>
  <c r="H201" i="5"/>
  <c r="J241" i="11"/>
  <c r="H202" i="5"/>
  <c r="J242" i="11"/>
  <c r="I199" i="5"/>
  <c r="I200" i="5"/>
  <c r="I201" i="5"/>
  <c r="K241" i="11"/>
  <c r="I202" i="5"/>
  <c r="K242" i="11"/>
  <c r="J199" i="5"/>
  <c r="J200" i="5"/>
  <c r="L240" i="11"/>
  <c r="J201" i="5"/>
  <c r="L241" i="11"/>
  <c r="J202" i="5"/>
  <c r="K199" i="5"/>
  <c r="M239" i="11"/>
  <c r="K200" i="5"/>
  <c r="K201" i="5"/>
  <c r="K202" i="5"/>
  <c r="M242" i="11"/>
  <c r="L199" i="5"/>
  <c r="N239" i="11"/>
  <c r="L200" i="5"/>
  <c r="N240" i="11"/>
  <c r="L201" i="5"/>
  <c r="N241" i="11"/>
  <c r="L202" i="5"/>
  <c r="N242" i="11"/>
  <c r="M199" i="5"/>
  <c r="M200" i="5"/>
  <c r="M201" i="5"/>
  <c r="M202" i="5"/>
  <c r="O242" i="11"/>
  <c r="N206" i="5"/>
  <c r="N207" i="5"/>
  <c r="N208" i="5"/>
  <c r="P225" i="11"/>
  <c r="N209" i="5"/>
  <c r="P226" i="11"/>
  <c r="N210" i="5"/>
  <c r="N211" i="5"/>
  <c r="N212" i="5"/>
  <c r="P229" i="11"/>
  <c r="N213" i="5"/>
  <c r="P230" i="11"/>
  <c r="N214" i="5"/>
  <c r="P231" i="11"/>
  <c r="N215" i="5"/>
  <c r="P232" i="11"/>
  <c r="N216" i="5"/>
  <c r="P233" i="11"/>
  <c r="N217" i="5"/>
  <c r="P234" i="11"/>
  <c r="N218" i="5"/>
  <c r="P235" i="11"/>
  <c r="N219" i="5"/>
  <c r="N220" i="5"/>
  <c r="P237" i="11"/>
  <c r="N221" i="5"/>
  <c r="P238" i="11"/>
  <c r="C206" i="5"/>
  <c r="C207" i="5"/>
  <c r="C208" i="5"/>
  <c r="E225" i="11"/>
  <c r="C209" i="5"/>
  <c r="E226" i="11"/>
  <c r="C210" i="5"/>
  <c r="E227" i="11"/>
  <c r="C211" i="5"/>
  <c r="C212" i="5"/>
  <c r="C213" i="5"/>
  <c r="E230" i="11"/>
  <c r="C214" i="5"/>
  <c r="C215" i="5"/>
  <c r="E232" i="11"/>
  <c r="C216" i="5"/>
  <c r="E233" i="11"/>
  <c r="C217" i="5"/>
  <c r="E234" i="11"/>
  <c r="C218" i="5"/>
  <c r="E235" i="11"/>
  <c r="C219" i="5"/>
  <c r="C220" i="5"/>
  <c r="E237" i="11"/>
  <c r="C221" i="5"/>
  <c r="D206" i="5"/>
  <c r="F223" i="11"/>
  <c r="D207" i="5"/>
  <c r="D208" i="5"/>
  <c r="F225" i="11"/>
  <c r="D209" i="5"/>
  <c r="F226" i="11"/>
  <c r="D210" i="5"/>
  <c r="F227" i="11"/>
  <c r="D211" i="5"/>
  <c r="D212" i="5"/>
  <c r="F229" i="11"/>
  <c r="D213" i="5"/>
  <c r="F230" i="11"/>
  <c r="D214" i="5"/>
  <c r="F231" i="11"/>
  <c r="D215" i="5"/>
  <c r="F232" i="11"/>
  <c r="D216" i="5"/>
  <c r="F233" i="11"/>
  <c r="D217" i="5"/>
  <c r="F234" i="11"/>
  <c r="D218" i="5"/>
  <c r="F235" i="11"/>
  <c r="D219" i="5"/>
  <c r="D220" i="5"/>
  <c r="D221" i="5"/>
  <c r="E206" i="5"/>
  <c r="G223" i="11"/>
  <c r="E207" i="5"/>
  <c r="E208" i="5"/>
  <c r="G225" i="11"/>
  <c r="E209" i="5"/>
  <c r="G226" i="11"/>
  <c r="E210" i="5"/>
  <c r="G227" i="11"/>
  <c r="E211" i="5"/>
  <c r="G228" i="11"/>
  <c r="E212" i="5"/>
  <c r="G229" i="11"/>
  <c r="E213" i="5"/>
  <c r="G230" i="11"/>
  <c r="E214" i="5"/>
  <c r="G231" i="11"/>
  <c r="E215" i="5"/>
  <c r="G232" i="11"/>
  <c r="E216" i="5"/>
  <c r="G233" i="11"/>
  <c r="E217" i="5"/>
  <c r="G234" i="11"/>
  <c r="E218" i="5"/>
  <c r="G235" i="11"/>
  <c r="E219" i="5"/>
  <c r="G236" i="11"/>
  <c r="E220" i="5"/>
  <c r="E221" i="5"/>
  <c r="F206" i="5"/>
  <c r="F207" i="5"/>
  <c r="H224" i="11"/>
  <c r="F208" i="5"/>
  <c r="H225" i="11"/>
  <c r="F209" i="5"/>
  <c r="H226" i="11"/>
  <c r="F210" i="5"/>
  <c r="F211" i="5"/>
  <c r="H228" i="11"/>
  <c r="F212" i="5"/>
  <c r="H229" i="11"/>
  <c r="F213" i="5"/>
  <c r="H230" i="11"/>
  <c r="F214" i="5"/>
  <c r="H231" i="11"/>
  <c r="F215" i="5"/>
  <c r="F216" i="5"/>
  <c r="F217" i="5"/>
  <c r="H234" i="11"/>
  <c r="F218" i="5"/>
  <c r="H235" i="11"/>
  <c r="F219" i="5"/>
  <c r="H236" i="11"/>
  <c r="F220" i="5"/>
  <c r="F221" i="5"/>
  <c r="H238" i="11"/>
  <c r="G206" i="5"/>
  <c r="I223" i="11"/>
  <c r="G207" i="5"/>
  <c r="G208" i="5"/>
  <c r="I225" i="11"/>
  <c r="G209" i="5"/>
  <c r="I226" i="11"/>
  <c r="G210" i="5"/>
  <c r="I227" i="11"/>
  <c r="G211" i="5"/>
  <c r="I228" i="11"/>
  <c r="G212" i="5"/>
  <c r="I229" i="11"/>
  <c r="G213" i="5"/>
  <c r="I230" i="11"/>
  <c r="G214" i="5"/>
  <c r="I231" i="11"/>
  <c r="G215" i="5"/>
  <c r="G216" i="5"/>
  <c r="I233" i="11"/>
  <c r="G217" i="5"/>
  <c r="I234" i="11"/>
  <c r="G218" i="5"/>
  <c r="I235" i="11"/>
  <c r="G219" i="5"/>
  <c r="I236" i="11"/>
  <c r="G220" i="5"/>
  <c r="I237" i="11"/>
  <c r="G221" i="5"/>
  <c r="H206" i="5"/>
  <c r="J223" i="11"/>
  <c r="H207" i="5"/>
  <c r="J224" i="11"/>
  <c r="H208" i="5"/>
  <c r="J225" i="11"/>
  <c r="H209" i="5"/>
  <c r="J226" i="11"/>
  <c r="H210" i="5"/>
  <c r="J227" i="11"/>
  <c r="H211" i="5"/>
  <c r="J228" i="11"/>
  <c r="H212" i="5"/>
  <c r="J229" i="11"/>
  <c r="H213" i="5"/>
  <c r="J230" i="11"/>
  <c r="H214" i="5"/>
  <c r="H215" i="5"/>
  <c r="H216" i="5"/>
  <c r="J233" i="11"/>
  <c r="H217" i="5"/>
  <c r="J234" i="11"/>
  <c r="H218" i="5"/>
  <c r="H219" i="5"/>
  <c r="J236" i="11"/>
  <c r="H220" i="5"/>
  <c r="J237" i="11"/>
  <c r="H221" i="5"/>
  <c r="J238" i="11"/>
  <c r="I206" i="5"/>
  <c r="I207" i="5"/>
  <c r="K224" i="11"/>
  <c r="I208" i="5"/>
  <c r="K225" i="11"/>
  <c r="I209" i="5"/>
  <c r="K226" i="11"/>
  <c r="I210" i="5"/>
  <c r="K227" i="11"/>
  <c r="I211" i="5"/>
  <c r="I212" i="5"/>
  <c r="I213" i="5"/>
  <c r="I214" i="5"/>
  <c r="I215" i="5"/>
  <c r="K232" i="11"/>
  <c r="I216" i="5"/>
  <c r="K233" i="11"/>
  <c r="I217" i="5"/>
  <c r="K234" i="11"/>
  <c r="I218" i="5"/>
  <c r="K235" i="11"/>
  <c r="I219" i="5"/>
  <c r="I220" i="5"/>
  <c r="I221" i="5"/>
  <c r="J206" i="5"/>
  <c r="L223" i="11"/>
  <c r="J207" i="5"/>
  <c r="L224" i="11"/>
  <c r="J208" i="5"/>
  <c r="L225" i="11"/>
  <c r="J209" i="5"/>
  <c r="L226" i="11"/>
  <c r="J210" i="5"/>
  <c r="L227" i="11"/>
  <c r="J211" i="5"/>
  <c r="J212" i="5"/>
  <c r="L229" i="11"/>
  <c r="J213" i="5"/>
  <c r="L230" i="11"/>
  <c r="J214" i="5"/>
  <c r="L231" i="11"/>
  <c r="J215" i="5"/>
  <c r="L232" i="11"/>
  <c r="J216" i="5"/>
  <c r="L233" i="11"/>
  <c r="J217" i="5"/>
  <c r="L234" i="11"/>
  <c r="J218" i="5"/>
  <c r="L235" i="11"/>
  <c r="J219" i="5"/>
  <c r="J220" i="5"/>
  <c r="J221" i="5"/>
  <c r="K206" i="5"/>
  <c r="M223" i="11"/>
  <c r="K207" i="5"/>
  <c r="M224" i="11"/>
  <c r="K208" i="5"/>
  <c r="M225" i="11"/>
  <c r="K209" i="5"/>
  <c r="M226" i="11"/>
  <c r="K210" i="5"/>
  <c r="M227" i="11"/>
  <c r="K211" i="5"/>
  <c r="M228" i="11"/>
  <c r="K212" i="5"/>
  <c r="K213" i="5"/>
  <c r="M230" i="11"/>
  <c r="K214" i="5"/>
  <c r="M231" i="11"/>
  <c r="K215" i="5"/>
  <c r="K216" i="5"/>
  <c r="M233" i="11"/>
  <c r="K217" i="5"/>
  <c r="M234" i="11"/>
  <c r="K218" i="5"/>
  <c r="M235" i="11"/>
  <c r="K219" i="5"/>
  <c r="M236" i="11"/>
  <c r="K220" i="5"/>
  <c r="M237" i="11"/>
  <c r="K221" i="5"/>
  <c r="L206" i="5"/>
  <c r="L207" i="5"/>
  <c r="L208" i="5"/>
  <c r="N225" i="11"/>
  <c r="L209" i="5"/>
  <c r="N226" i="11"/>
  <c r="L210" i="5"/>
  <c r="N227" i="11"/>
  <c r="L211" i="5"/>
  <c r="L212" i="5"/>
  <c r="L213" i="5"/>
  <c r="N230" i="11"/>
  <c r="L214" i="5"/>
  <c r="L215" i="5"/>
  <c r="N232" i="11"/>
  <c r="L216" i="5"/>
  <c r="N233" i="11"/>
  <c r="L217" i="5"/>
  <c r="N234" i="11"/>
  <c r="L218" i="5"/>
  <c r="N235" i="11"/>
  <c r="L219" i="5"/>
  <c r="L220" i="5"/>
  <c r="N237" i="11"/>
  <c r="L221" i="5"/>
  <c r="M206" i="5"/>
  <c r="M207" i="5"/>
  <c r="O224" i="11"/>
  <c r="M208" i="5"/>
  <c r="O225" i="11"/>
  <c r="M209" i="5"/>
  <c r="O226" i="11"/>
  <c r="M210" i="5"/>
  <c r="O227" i="11"/>
  <c r="M211" i="5"/>
  <c r="M212" i="5"/>
  <c r="M213" i="5"/>
  <c r="O230" i="11"/>
  <c r="M214" i="5"/>
  <c r="M215" i="5"/>
  <c r="O232" i="11"/>
  <c r="M216" i="5"/>
  <c r="O216" i="5"/>
  <c r="M217" i="5"/>
  <c r="O234" i="11"/>
  <c r="M218" i="5"/>
  <c r="O235" i="11"/>
  <c r="M219" i="5"/>
  <c r="M220" i="5"/>
  <c r="M221" i="5"/>
  <c r="N243" i="5"/>
  <c r="P255" i="11"/>
  <c r="C243" i="5"/>
  <c r="E255" i="11"/>
  <c r="D243" i="5"/>
  <c r="F255" i="11"/>
  <c r="E243" i="5"/>
  <c r="G255" i="11"/>
  <c r="F243" i="5"/>
  <c r="H255" i="11"/>
  <c r="G243" i="5"/>
  <c r="H243" i="5"/>
  <c r="I243" i="5"/>
  <c r="J243" i="5"/>
  <c r="K243" i="5"/>
  <c r="M255" i="11"/>
  <c r="L243" i="5"/>
  <c r="N255" i="11"/>
  <c r="M243" i="5"/>
  <c r="O255" i="11"/>
  <c r="N244" i="5"/>
  <c r="P256" i="11"/>
  <c r="C244" i="5"/>
  <c r="D244" i="5"/>
  <c r="E244" i="5"/>
  <c r="F244" i="5"/>
  <c r="G244" i="5"/>
  <c r="I256" i="11"/>
  <c r="H244" i="5"/>
  <c r="J256" i="11"/>
  <c r="I244" i="5"/>
  <c r="K256" i="11"/>
  <c r="J244" i="5"/>
  <c r="L256" i="11"/>
  <c r="K244" i="5"/>
  <c r="L244" i="5"/>
  <c r="N256" i="11"/>
  <c r="M244" i="5"/>
  <c r="N237" i="5"/>
  <c r="C237" i="5"/>
  <c r="E249" i="11"/>
  <c r="D237" i="5"/>
  <c r="F249" i="11"/>
  <c r="E237" i="5"/>
  <c r="G249" i="11"/>
  <c r="F237" i="5"/>
  <c r="H249" i="11"/>
  <c r="G237" i="5"/>
  <c r="H237" i="5"/>
  <c r="J249" i="11"/>
  <c r="I237" i="5"/>
  <c r="J237" i="5"/>
  <c r="L249" i="11"/>
  <c r="K237" i="5"/>
  <c r="M249" i="11"/>
  <c r="L237" i="5"/>
  <c r="N249" i="11"/>
  <c r="M237" i="5"/>
  <c r="O249" i="11"/>
  <c r="N238" i="5"/>
  <c r="P250" i="11"/>
  <c r="C238" i="5"/>
  <c r="D238" i="5"/>
  <c r="F250" i="11"/>
  <c r="E238" i="5"/>
  <c r="F238" i="5"/>
  <c r="H250" i="11"/>
  <c r="G238" i="5"/>
  <c r="I250" i="11"/>
  <c r="H238" i="5"/>
  <c r="J250" i="11"/>
  <c r="I238" i="5"/>
  <c r="K250" i="11"/>
  <c r="J238" i="5"/>
  <c r="L250" i="11"/>
  <c r="K238" i="5"/>
  <c r="L238" i="5"/>
  <c r="M238" i="5"/>
  <c r="N239" i="5"/>
  <c r="C239" i="5"/>
  <c r="E251" i="11"/>
  <c r="D239" i="5"/>
  <c r="F251" i="11"/>
  <c r="E239" i="5"/>
  <c r="G251" i="11"/>
  <c r="F239" i="5"/>
  <c r="H251" i="11"/>
  <c r="G239" i="5"/>
  <c r="I251" i="11"/>
  <c r="H239" i="5"/>
  <c r="I239" i="5"/>
  <c r="J239" i="5"/>
  <c r="L251" i="11"/>
  <c r="K239" i="5"/>
  <c r="M251" i="11"/>
  <c r="L239" i="5"/>
  <c r="N251" i="11"/>
  <c r="M239" i="5"/>
  <c r="O251" i="11"/>
  <c r="N240" i="5"/>
  <c r="P252" i="11"/>
  <c r="C240" i="5"/>
  <c r="E252" i="11"/>
  <c r="D240" i="5"/>
  <c r="E240" i="5"/>
  <c r="F240" i="5"/>
  <c r="G240" i="5"/>
  <c r="I252" i="11"/>
  <c r="H240" i="5"/>
  <c r="J252" i="11"/>
  <c r="I240" i="5"/>
  <c r="K252" i="11"/>
  <c r="J240" i="5"/>
  <c r="L252" i="11"/>
  <c r="K240" i="5"/>
  <c r="L240" i="5"/>
  <c r="N252" i="11"/>
  <c r="M240" i="5"/>
  <c r="I78" i="6"/>
  <c r="I80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N139" i="5"/>
  <c r="C139" i="5"/>
  <c r="E179" i="11"/>
  <c r="D139" i="5"/>
  <c r="F179" i="11"/>
  <c r="E139" i="5"/>
  <c r="G179" i="11"/>
  <c r="F139" i="5"/>
  <c r="H179" i="11"/>
  <c r="G139" i="5"/>
  <c r="H139" i="5"/>
  <c r="J179" i="11"/>
  <c r="I139" i="5"/>
  <c r="J139" i="5"/>
  <c r="K139" i="5"/>
  <c r="M179" i="11"/>
  <c r="L139" i="5"/>
  <c r="N179" i="11"/>
  <c r="M139" i="5"/>
  <c r="O179" i="11"/>
  <c r="G140" i="12"/>
  <c r="G140" i="5"/>
  <c r="I180" i="11"/>
  <c r="N147" i="5"/>
  <c r="C147" i="5"/>
  <c r="D147" i="5"/>
  <c r="E147" i="5"/>
  <c r="F147" i="5"/>
  <c r="H187" i="11"/>
  <c r="G147" i="5"/>
  <c r="H147" i="5"/>
  <c r="J187" i="11"/>
  <c r="I147" i="5"/>
  <c r="K187" i="11"/>
  <c r="J147" i="5"/>
  <c r="K147" i="5"/>
  <c r="M187" i="11"/>
  <c r="L147" i="5"/>
  <c r="M147" i="5"/>
  <c r="G149" i="12"/>
  <c r="J149" i="5"/>
  <c r="N153" i="5"/>
  <c r="P189" i="11"/>
  <c r="N154" i="5"/>
  <c r="P190" i="11"/>
  <c r="H100" i="6"/>
  <c r="G155" i="12"/>
  <c r="D155" i="5"/>
  <c r="F191" i="11"/>
  <c r="N156" i="5"/>
  <c r="P192" i="11"/>
  <c r="F99" i="6"/>
  <c r="G157" i="12"/>
  <c r="I157" i="5"/>
  <c r="K193" i="11"/>
  <c r="N161" i="5"/>
  <c r="P197" i="11"/>
  <c r="N119" i="5"/>
  <c r="N120" i="5"/>
  <c r="N121" i="5"/>
  <c r="P170" i="11"/>
  <c r="N122" i="5"/>
  <c r="P171" i="11"/>
  <c r="N123" i="5"/>
  <c r="P172" i="11"/>
  <c r="N124" i="5"/>
  <c r="P173" i="11"/>
  <c r="C119" i="5"/>
  <c r="E168" i="11"/>
  <c r="C120" i="5"/>
  <c r="C121" i="5"/>
  <c r="C122" i="5"/>
  <c r="E171" i="11"/>
  <c r="C123" i="5"/>
  <c r="E172" i="11"/>
  <c r="C124" i="5"/>
  <c r="E173" i="11"/>
  <c r="D119" i="5"/>
  <c r="F168" i="11"/>
  <c r="D120" i="5"/>
  <c r="D121" i="5"/>
  <c r="F170" i="11"/>
  <c r="D122" i="5"/>
  <c r="F171" i="11"/>
  <c r="D123" i="5"/>
  <c r="D124" i="5"/>
  <c r="F173" i="11"/>
  <c r="E119" i="5"/>
  <c r="G168" i="11"/>
  <c r="E120" i="5"/>
  <c r="G169" i="11"/>
  <c r="E121" i="5"/>
  <c r="G170" i="11"/>
  <c r="E122" i="5"/>
  <c r="E123" i="5"/>
  <c r="E124" i="5"/>
  <c r="F119" i="5"/>
  <c r="F120" i="5"/>
  <c r="H169" i="11"/>
  <c r="F121" i="5"/>
  <c r="H170" i="11"/>
  <c r="F122" i="5"/>
  <c r="H171" i="11"/>
  <c r="F123" i="5"/>
  <c r="H172" i="11"/>
  <c r="F124" i="5"/>
  <c r="G119" i="5"/>
  <c r="G120" i="5"/>
  <c r="G121" i="5"/>
  <c r="G122" i="5"/>
  <c r="I171" i="11"/>
  <c r="G123" i="5"/>
  <c r="I172" i="11"/>
  <c r="G124" i="5"/>
  <c r="I173" i="11"/>
  <c r="H119" i="5"/>
  <c r="H120" i="5"/>
  <c r="H121" i="5"/>
  <c r="H122" i="5"/>
  <c r="H123" i="5"/>
  <c r="H124" i="5"/>
  <c r="J173" i="11"/>
  <c r="I119" i="5"/>
  <c r="I120" i="5"/>
  <c r="K169" i="11"/>
  <c r="I121" i="5"/>
  <c r="K170" i="11"/>
  <c r="I122" i="5"/>
  <c r="I123" i="5"/>
  <c r="I124" i="5"/>
  <c r="J119" i="5"/>
  <c r="J120" i="5"/>
  <c r="L169" i="11"/>
  <c r="J121" i="5"/>
  <c r="L170" i="11"/>
  <c r="J122" i="5"/>
  <c r="L171" i="11"/>
  <c r="J123" i="5"/>
  <c r="L172" i="11"/>
  <c r="J124" i="5"/>
  <c r="K119" i="5"/>
  <c r="K120" i="5"/>
  <c r="K121" i="5"/>
  <c r="K122" i="5"/>
  <c r="M171" i="11"/>
  <c r="K123" i="5"/>
  <c r="M172" i="11"/>
  <c r="K124" i="5"/>
  <c r="M173" i="11"/>
  <c r="L119" i="5"/>
  <c r="N168" i="11"/>
  <c r="L120" i="5"/>
  <c r="L121" i="5"/>
  <c r="N170" i="11"/>
  <c r="L122" i="5"/>
  <c r="N171" i="11"/>
  <c r="L123" i="5"/>
  <c r="N172" i="11"/>
  <c r="L124" i="5"/>
  <c r="N173" i="11"/>
  <c r="M119" i="5"/>
  <c r="O168" i="11"/>
  <c r="M120" i="5"/>
  <c r="O169" i="11"/>
  <c r="M121" i="5"/>
  <c r="O170" i="11"/>
  <c r="M122" i="5"/>
  <c r="M123" i="5"/>
  <c r="M124" i="5"/>
  <c r="N128" i="5"/>
  <c r="P174" i="11"/>
  <c r="N129" i="5"/>
  <c r="P175" i="11"/>
  <c r="C128" i="5"/>
  <c r="C129" i="5"/>
  <c r="E175" i="11"/>
  <c r="D128" i="5"/>
  <c r="D131" i="5"/>
  <c r="D30" i="17"/>
  <c r="D129" i="5"/>
  <c r="E128" i="5"/>
  <c r="E129" i="5"/>
  <c r="F128" i="5"/>
  <c r="F129" i="5"/>
  <c r="G128" i="5"/>
  <c r="G129" i="5"/>
  <c r="I175" i="11"/>
  <c r="H128" i="5"/>
  <c r="H129" i="5"/>
  <c r="J175" i="11"/>
  <c r="I128" i="5"/>
  <c r="K174" i="11"/>
  <c r="I129" i="5"/>
  <c r="J128" i="5"/>
  <c r="J129" i="5"/>
  <c r="L175" i="11"/>
  <c r="K128" i="5"/>
  <c r="K129" i="5"/>
  <c r="M175" i="11"/>
  <c r="L128" i="5"/>
  <c r="L129" i="5"/>
  <c r="N175" i="11"/>
  <c r="M128" i="5"/>
  <c r="O174" i="11"/>
  <c r="M129" i="5"/>
  <c r="D14" i="9"/>
  <c r="D15" i="9"/>
  <c r="F104" i="9"/>
  <c r="F103" i="9"/>
  <c r="F102" i="9"/>
  <c r="D104" i="9"/>
  <c r="D103" i="9"/>
  <c r="D102" i="9"/>
  <c r="I79" i="6"/>
  <c r="I77" i="6"/>
  <c r="I76" i="6"/>
  <c r="F98" i="9"/>
  <c r="D98" i="9"/>
  <c r="N436" i="5"/>
  <c r="C436" i="5"/>
  <c r="E93" i="11"/>
  <c r="D436" i="5"/>
  <c r="E436" i="5"/>
  <c r="F436" i="5"/>
  <c r="H93" i="11"/>
  <c r="G436" i="5"/>
  <c r="I93" i="11"/>
  <c r="H436" i="5"/>
  <c r="J93" i="11"/>
  <c r="I436" i="5"/>
  <c r="K93" i="11"/>
  <c r="J436" i="5"/>
  <c r="L93" i="11"/>
  <c r="K436" i="5"/>
  <c r="M93" i="11"/>
  <c r="L436" i="5"/>
  <c r="N93" i="11"/>
  <c r="M436" i="5"/>
  <c r="N435" i="5"/>
  <c r="C435" i="5"/>
  <c r="D435" i="5"/>
  <c r="F92" i="11"/>
  <c r="E435" i="5"/>
  <c r="F435" i="5"/>
  <c r="G435" i="5"/>
  <c r="I92" i="11"/>
  <c r="H435" i="5"/>
  <c r="J92" i="11"/>
  <c r="I435" i="5"/>
  <c r="J435" i="5"/>
  <c r="L92" i="11"/>
  <c r="K435" i="5"/>
  <c r="M92" i="11"/>
  <c r="L435" i="5"/>
  <c r="N92" i="11"/>
  <c r="M435" i="5"/>
  <c r="O92" i="11"/>
  <c r="N434" i="5"/>
  <c r="P91" i="11"/>
  <c r="C434" i="5"/>
  <c r="E91" i="11"/>
  <c r="D434" i="5"/>
  <c r="F91" i="11"/>
  <c r="E434" i="5"/>
  <c r="F434" i="5"/>
  <c r="H91" i="11"/>
  <c r="G434" i="5"/>
  <c r="I91" i="11"/>
  <c r="H434" i="5"/>
  <c r="J91" i="11"/>
  <c r="I434" i="5"/>
  <c r="K91" i="11"/>
  <c r="J434" i="5"/>
  <c r="K434" i="5"/>
  <c r="L434" i="5"/>
  <c r="N91" i="11"/>
  <c r="M434" i="5"/>
  <c r="N433" i="5"/>
  <c r="M433" i="5"/>
  <c r="L433" i="5"/>
  <c r="N90" i="11"/>
  <c r="K433" i="5"/>
  <c r="M90" i="11"/>
  <c r="J433" i="5"/>
  <c r="C433" i="5"/>
  <c r="E90" i="11"/>
  <c r="D433" i="5"/>
  <c r="F90" i="11"/>
  <c r="E433" i="5"/>
  <c r="F433" i="5"/>
  <c r="G433" i="5"/>
  <c r="I90" i="11"/>
  <c r="H433" i="5"/>
  <c r="J90" i="11"/>
  <c r="I433" i="5"/>
  <c r="K90" i="11"/>
  <c r="N432" i="5"/>
  <c r="P89" i="11"/>
  <c r="C432" i="5"/>
  <c r="E89" i="11"/>
  <c r="D432" i="5"/>
  <c r="F89" i="11"/>
  <c r="E432" i="5"/>
  <c r="F432" i="5"/>
  <c r="G432" i="5"/>
  <c r="I89" i="11"/>
  <c r="H432" i="5"/>
  <c r="J89" i="11"/>
  <c r="I432" i="5"/>
  <c r="K89" i="11"/>
  <c r="J432" i="5"/>
  <c r="K432" i="5"/>
  <c r="L432" i="5"/>
  <c r="N89" i="11"/>
  <c r="M432" i="5"/>
  <c r="N431" i="5"/>
  <c r="C431" i="5"/>
  <c r="E88" i="11"/>
  <c r="D431" i="5"/>
  <c r="F88" i="11"/>
  <c r="E431" i="5"/>
  <c r="G88" i="11"/>
  <c r="F431" i="5"/>
  <c r="H88" i="11"/>
  <c r="G431" i="5"/>
  <c r="I88" i="11"/>
  <c r="H431" i="5"/>
  <c r="J88" i="11"/>
  <c r="I431" i="5"/>
  <c r="J431" i="5"/>
  <c r="K431" i="5"/>
  <c r="L431" i="5"/>
  <c r="M431" i="5"/>
  <c r="O88" i="11"/>
  <c r="N430" i="5"/>
  <c r="C430" i="5"/>
  <c r="E87" i="11"/>
  <c r="D430" i="5"/>
  <c r="F87" i="11"/>
  <c r="E430" i="5"/>
  <c r="F430" i="5"/>
  <c r="H87" i="11"/>
  <c r="G430" i="5"/>
  <c r="I87" i="11"/>
  <c r="H430" i="5"/>
  <c r="J87" i="11"/>
  <c r="I430" i="5"/>
  <c r="K87" i="11"/>
  <c r="J430" i="5"/>
  <c r="L87" i="11"/>
  <c r="K430" i="5"/>
  <c r="M87" i="11"/>
  <c r="L430" i="5"/>
  <c r="N87" i="11"/>
  <c r="M430" i="5"/>
  <c r="N429" i="5"/>
  <c r="P86" i="11"/>
  <c r="C429" i="5"/>
  <c r="E86" i="11"/>
  <c r="D429" i="5"/>
  <c r="F86" i="11"/>
  <c r="E429" i="5"/>
  <c r="G86" i="11"/>
  <c r="F429" i="5"/>
  <c r="G429" i="5"/>
  <c r="H429" i="5"/>
  <c r="J86" i="11"/>
  <c r="I429" i="5"/>
  <c r="J429" i="5"/>
  <c r="L86" i="11"/>
  <c r="K429" i="5"/>
  <c r="M86" i="11"/>
  <c r="L429" i="5"/>
  <c r="N86" i="11"/>
  <c r="M429" i="5"/>
  <c r="O86" i="11"/>
  <c r="N428" i="5"/>
  <c r="P85" i="11"/>
  <c r="C428" i="5"/>
  <c r="E85" i="11"/>
  <c r="D428" i="5"/>
  <c r="F85" i="11"/>
  <c r="E428" i="5"/>
  <c r="F428" i="5"/>
  <c r="G428" i="5"/>
  <c r="H428" i="5"/>
  <c r="J85" i="11"/>
  <c r="I428" i="5"/>
  <c r="K85" i="11"/>
  <c r="J428" i="5"/>
  <c r="K428" i="5"/>
  <c r="M85" i="11"/>
  <c r="L428" i="5"/>
  <c r="N85" i="11"/>
  <c r="M428" i="5"/>
  <c r="N427" i="5"/>
  <c r="M427" i="5"/>
  <c r="L427" i="5"/>
  <c r="N84" i="11"/>
  <c r="K427" i="5"/>
  <c r="M84" i="11"/>
  <c r="J427" i="5"/>
  <c r="L84" i="11"/>
  <c r="I427" i="5"/>
  <c r="K84" i="11"/>
  <c r="H427" i="5"/>
  <c r="J84" i="11"/>
  <c r="G427" i="5"/>
  <c r="F427" i="5"/>
  <c r="H84" i="11"/>
  <c r="E427" i="5"/>
  <c r="D427" i="5"/>
  <c r="F84" i="11"/>
  <c r="C427" i="5"/>
  <c r="E84" i="11"/>
  <c r="N426" i="5"/>
  <c r="P83" i="11"/>
  <c r="C426" i="5"/>
  <c r="E83" i="11"/>
  <c r="D426" i="5"/>
  <c r="F83" i="11"/>
  <c r="E426" i="5"/>
  <c r="F426" i="5"/>
  <c r="H83" i="11"/>
  <c r="G426" i="5"/>
  <c r="H426" i="5"/>
  <c r="J83" i="11"/>
  <c r="I426" i="5"/>
  <c r="K83" i="11"/>
  <c r="J426" i="5"/>
  <c r="K426" i="5"/>
  <c r="M83" i="11"/>
  <c r="L426" i="5"/>
  <c r="N83" i="11"/>
  <c r="M426" i="5"/>
  <c r="N425" i="5"/>
  <c r="M425" i="5"/>
  <c r="L425" i="5"/>
  <c r="N82" i="11"/>
  <c r="K425" i="5"/>
  <c r="J425" i="5"/>
  <c r="L82" i="11"/>
  <c r="C425" i="5"/>
  <c r="D425" i="5"/>
  <c r="F82" i="11"/>
  <c r="E425" i="5"/>
  <c r="G82" i="11"/>
  <c r="F425" i="5"/>
  <c r="G425" i="5"/>
  <c r="I82" i="11"/>
  <c r="H425" i="5"/>
  <c r="J82" i="11"/>
  <c r="I425" i="5"/>
  <c r="K82" i="11"/>
  <c r="N424" i="5"/>
  <c r="P81" i="11"/>
  <c r="C424" i="5"/>
  <c r="E81" i="11"/>
  <c r="D424" i="5"/>
  <c r="F81" i="11"/>
  <c r="E424" i="5"/>
  <c r="G81" i="11"/>
  <c r="F424" i="5"/>
  <c r="G424" i="5"/>
  <c r="I81" i="11"/>
  <c r="H424" i="5"/>
  <c r="J81" i="11"/>
  <c r="I424" i="5"/>
  <c r="K81" i="11"/>
  <c r="J424" i="5"/>
  <c r="L81" i="11"/>
  <c r="K424" i="5"/>
  <c r="L424" i="5"/>
  <c r="N81" i="11"/>
  <c r="M424" i="5"/>
  <c r="O81" i="11"/>
  <c r="N423" i="5"/>
  <c r="C423" i="5"/>
  <c r="C438" i="5"/>
  <c r="C63" i="17"/>
  <c r="D423" i="5"/>
  <c r="F80" i="11"/>
  <c r="E423" i="5"/>
  <c r="G80" i="11"/>
  <c r="F423" i="5"/>
  <c r="G423" i="5"/>
  <c r="I80" i="11"/>
  <c r="H423" i="5"/>
  <c r="J80" i="11"/>
  <c r="I423" i="5"/>
  <c r="K80" i="11"/>
  <c r="J423" i="5"/>
  <c r="K423" i="5"/>
  <c r="K438" i="5"/>
  <c r="K63" i="17"/>
  <c r="L423" i="5"/>
  <c r="N80" i="11"/>
  <c r="M423" i="5"/>
  <c r="O80" i="11"/>
  <c r="N418" i="5"/>
  <c r="P12" i="11"/>
  <c r="M418" i="5"/>
  <c r="O12" i="11"/>
  <c r="L418" i="5"/>
  <c r="N12" i="11"/>
  <c r="K418" i="5"/>
  <c r="M12" i="11"/>
  <c r="J418" i="5"/>
  <c r="I418" i="5"/>
  <c r="H418" i="5"/>
  <c r="J12" i="11"/>
  <c r="G418" i="5"/>
  <c r="I12" i="11"/>
  <c r="F418" i="5"/>
  <c r="H12" i="11"/>
  <c r="E418" i="5"/>
  <c r="D418" i="5"/>
  <c r="F12" i="11"/>
  <c r="C418" i="5"/>
  <c r="E12" i="11"/>
  <c r="N417" i="5"/>
  <c r="C417" i="5"/>
  <c r="E11" i="11"/>
  <c r="D417" i="5"/>
  <c r="F11" i="11"/>
  <c r="E417" i="5"/>
  <c r="G11" i="11"/>
  <c r="F417" i="5"/>
  <c r="H11" i="11"/>
  <c r="G417" i="5"/>
  <c r="I11" i="11"/>
  <c r="H417" i="5"/>
  <c r="J11" i="11"/>
  <c r="I417" i="5"/>
  <c r="K11" i="11"/>
  <c r="J417" i="5"/>
  <c r="K417" i="5"/>
  <c r="M11" i="11"/>
  <c r="L417" i="5"/>
  <c r="N11" i="11"/>
  <c r="M417" i="5"/>
  <c r="O11" i="11"/>
  <c r="N416" i="5"/>
  <c r="P10" i="11"/>
  <c r="M416" i="5"/>
  <c r="O10" i="11"/>
  <c r="L416" i="5"/>
  <c r="K416" i="5"/>
  <c r="M10" i="11"/>
  <c r="J416" i="5"/>
  <c r="I416" i="5"/>
  <c r="K10" i="11"/>
  <c r="H416" i="5"/>
  <c r="J10" i="11"/>
  <c r="G416" i="5"/>
  <c r="I10" i="11"/>
  <c r="F416" i="5"/>
  <c r="H10" i="11"/>
  <c r="E416" i="5"/>
  <c r="G10" i="11"/>
  <c r="D416" i="5"/>
  <c r="F10" i="11"/>
  <c r="C416" i="5"/>
  <c r="E10" i="11"/>
  <c r="N415" i="5"/>
  <c r="C415" i="5"/>
  <c r="E9" i="11"/>
  <c r="D415" i="5"/>
  <c r="F9" i="11"/>
  <c r="E415" i="5"/>
  <c r="G9" i="11"/>
  <c r="F415" i="5"/>
  <c r="H9" i="11"/>
  <c r="G415" i="5"/>
  <c r="I9" i="11"/>
  <c r="H415" i="5"/>
  <c r="J9" i="11"/>
  <c r="I415" i="5"/>
  <c r="J415" i="5"/>
  <c r="K415" i="5"/>
  <c r="M9" i="11"/>
  <c r="L415" i="5"/>
  <c r="N9" i="11"/>
  <c r="M415" i="5"/>
  <c r="O9" i="11"/>
  <c r="N414" i="5"/>
  <c r="P8" i="11"/>
  <c r="C414" i="5"/>
  <c r="E8" i="11"/>
  <c r="D414" i="5"/>
  <c r="F8" i="11"/>
  <c r="E414" i="5"/>
  <c r="F414" i="5"/>
  <c r="G414" i="5"/>
  <c r="I8" i="11"/>
  <c r="H414" i="5"/>
  <c r="J8" i="11"/>
  <c r="I414" i="5"/>
  <c r="K8" i="11"/>
  <c r="J414" i="5"/>
  <c r="L8" i="11"/>
  <c r="K414" i="5"/>
  <c r="M8" i="11"/>
  <c r="L414" i="5"/>
  <c r="N8" i="11"/>
  <c r="M414" i="5"/>
  <c r="N413" i="5"/>
  <c r="C413" i="5"/>
  <c r="E7" i="11"/>
  <c r="D413" i="5"/>
  <c r="F7" i="11"/>
  <c r="E413" i="5"/>
  <c r="G7" i="11"/>
  <c r="F413" i="5"/>
  <c r="H7" i="11"/>
  <c r="G413" i="5"/>
  <c r="I7" i="11"/>
  <c r="H413" i="5"/>
  <c r="I413" i="5"/>
  <c r="J413" i="5"/>
  <c r="K413" i="5"/>
  <c r="M7" i="11"/>
  <c r="L413" i="5"/>
  <c r="N7" i="11"/>
  <c r="M413" i="5"/>
  <c r="O7" i="11"/>
  <c r="N412" i="5"/>
  <c r="N420" i="5"/>
  <c r="C412" i="5"/>
  <c r="E6" i="11"/>
  <c r="D412" i="5"/>
  <c r="E412" i="5"/>
  <c r="F412" i="5"/>
  <c r="G412" i="5"/>
  <c r="I6" i="11"/>
  <c r="H412" i="5"/>
  <c r="J6" i="11"/>
  <c r="I412" i="5"/>
  <c r="K6" i="11"/>
  <c r="J412" i="5"/>
  <c r="J420" i="5"/>
  <c r="K412" i="5"/>
  <c r="M6" i="11"/>
  <c r="L412" i="5"/>
  <c r="N6" i="11"/>
  <c r="M412" i="5"/>
  <c r="N411" i="5"/>
  <c r="C411" i="5"/>
  <c r="E5" i="11"/>
  <c r="D411" i="5"/>
  <c r="F5" i="11"/>
  <c r="E411" i="5"/>
  <c r="F411" i="5"/>
  <c r="H5" i="11"/>
  <c r="G411" i="5"/>
  <c r="I5" i="11"/>
  <c r="H411" i="5"/>
  <c r="I411" i="5"/>
  <c r="K5" i="11"/>
  <c r="J411" i="5"/>
  <c r="K411" i="5"/>
  <c r="M5" i="11"/>
  <c r="L411" i="5"/>
  <c r="N5" i="11"/>
  <c r="M411" i="5"/>
  <c r="N406" i="5"/>
  <c r="P79" i="11"/>
  <c r="M406" i="5"/>
  <c r="L406" i="5"/>
  <c r="N79" i="11"/>
  <c r="K406" i="5"/>
  <c r="J406" i="5"/>
  <c r="L79" i="11"/>
  <c r="I406" i="5"/>
  <c r="K79" i="11"/>
  <c r="H406" i="5"/>
  <c r="J79" i="11"/>
  <c r="G406" i="5"/>
  <c r="I79" i="11"/>
  <c r="F406" i="5"/>
  <c r="H79" i="11"/>
  <c r="E406" i="5"/>
  <c r="G79" i="11"/>
  <c r="D406" i="5"/>
  <c r="C406" i="5"/>
  <c r="N405" i="5"/>
  <c r="C405" i="5"/>
  <c r="E78" i="11"/>
  <c r="D405" i="5"/>
  <c r="F78" i="11"/>
  <c r="E405" i="5"/>
  <c r="G78" i="11"/>
  <c r="F405" i="5"/>
  <c r="H78" i="11"/>
  <c r="G405" i="5"/>
  <c r="H405" i="5"/>
  <c r="J78" i="11"/>
  <c r="I405" i="5"/>
  <c r="K78" i="11"/>
  <c r="J405" i="5"/>
  <c r="K405" i="5"/>
  <c r="M78" i="11"/>
  <c r="L405" i="5"/>
  <c r="N78" i="11"/>
  <c r="M405" i="5"/>
  <c r="O78" i="11"/>
  <c r="N404" i="5"/>
  <c r="P77" i="11"/>
  <c r="M404" i="5"/>
  <c r="L404" i="5"/>
  <c r="N77" i="11"/>
  <c r="K404" i="5"/>
  <c r="J404" i="5"/>
  <c r="I404" i="5"/>
  <c r="K77" i="11"/>
  <c r="H404" i="5"/>
  <c r="J77" i="11"/>
  <c r="G404" i="5"/>
  <c r="I77" i="11"/>
  <c r="F404" i="5"/>
  <c r="H77" i="11"/>
  <c r="E404" i="5"/>
  <c r="D404" i="5"/>
  <c r="F77" i="11"/>
  <c r="C404" i="5"/>
  <c r="N403" i="5"/>
  <c r="C403" i="5"/>
  <c r="E76" i="11"/>
  <c r="D403" i="5"/>
  <c r="F76" i="11"/>
  <c r="E403" i="5"/>
  <c r="G76" i="11"/>
  <c r="F403" i="5"/>
  <c r="H76" i="11"/>
  <c r="G403" i="5"/>
  <c r="I76" i="11"/>
  <c r="H403" i="5"/>
  <c r="I403" i="5"/>
  <c r="J403" i="5"/>
  <c r="K403" i="5"/>
  <c r="M76" i="11"/>
  <c r="L403" i="5"/>
  <c r="N76" i="11"/>
  <c r="M403" i="5"/>
  <c r="O76" i="11"/>
  <c r="N402" i="5"/>
  <c r="P75" i="11"/>
  <c r="C402" i="5"/>
  <c r="D402" i="5"/>
  <c r="F75" i="11"/>
  <c r="E402" i="5"/>
  <c r="G75" i="11"/>
  <c r="F402" i="5"/>
  <c r="H75" i="11"/>
  <c r="G402" i="5"/>
  <c r="I75" i="11"/>
  <c r="H402" i="5"/>
  <c r="J75" i="11"/>
  <c r="I402" i="5"/>
  <c r="K75" i="11"/>
  <c r="J402" i="5"/>
  <c r="L75" i="11"/>
  <c r="K402" i="5"/>
  <c r="M75" i="11"/>
  <c r="L402" i="5"/>
  <c r="N75" i="11"/>
  <c r="M402" i="5"/>
  <c r="N401" i="5"/>
  <c r="P74" i="11"/>
  <c r="C401" i="5"/>
  <c r="E74" i="11"/>
  <c r="D401" i="5"/>
  <c r="E401" i="5"/>
  <c r="G74" i="11"/>
  <c r="F401" i="5"/>
  <c r="H74" i="11"/>
  <c r="G401" i="5"/>
  <c r="H401" i="5"/>
  <c r="J74" i="11"/>
  <c r="I401" i="5"/>
  <c r="K74" i="11"/>
  <c r="J401" i="5"/>
  <c r="L74" i="11"/>
  <c r="K401" i="5"/>
  <c r="M74" i="11"/>
  <c r="L401" i="5"/>
  <c r="N74" i="11"/>
  <c r="M401" i="5"/>
  <c r="O74" i="11"/>
  <c r="N400" i="5"/>
  <c r="P73" i="11"/>
  <c r="M400" i="5"/>
  <c r="L400" i="5"/>
  <c r="K400" i="5"/>
  <c r="J400" i="5"/>
  <c r="I400" i="5"/>
  <c r="K73" i="11"/>
  <c r="H400" i="5"/>
  <c r="J73" i="11"/>
  <c r="G400" i="5"/>
  <c r="F400" i="5"/>
  <c r="H73" i="11"/>
  <c r="E400" i="5"/>
  <c r="D400" i="5"/>
  <c r="F73" i="11"/>
  <c r="C400" i="5"/>
  <c r="N399" i="5"/>
  <c r="C399" i="5"/>
  <c r="E72" i="11"/>
  <c r="D399" i="5"/>
  <c r="F72" i="11"/>
  <c r="E399" i="5"/>
  <c r="G72" i="11"/>
  <c r="F399" i="5"/>
  <c r="H72" i="11"/>
  <c r="G399" i="5"/>
  <c r="H399" i="5"/>
  <c r="J72" i="11"/>
  <c r="I399" i="5"/>
  <c r="J399" i="5"/>
  <c r="K399" i="5"/>
  <c r="M72" i="11"/>
  <c r="L399" i="5"/>
  <c r="N72" i="11"/>
  <c r="M399" i="5"/>
  <c r="O72" i="11"/>
  <c r="N398" i="5"/>
  <c r="M398" i="5"/>
  <c r="L398" i="5"/>
  <c r="N71" i="11"/>
  <c r="K398" i="5"/>
  <c r="J398" i="5"/>
  <c r="L71" i="11"/>
  <c r="I398" i="5"/>
  <c r="K71" i="11"/>
  <c r="H398" i="5"/>
  <c r="J71" i="11"/>
  <c r="G398" i="5"/>
  <c r="I71" i="11"/>
  <c r="F398" i="5"/>
  <c r="H71" i="11"/>
  <c r="E398" i="5"/>
  <c r="D398" i="5"/>
  <c r="F71" i="11"/>
  <c r="C398" i="5"/>
  <c r="N397" i="5"/>
  <c r="P70" i="11"/>
  <c r="M397" i="5"/>
  <c r="O70" i="11"/>
  <c r="L397" i="5"/>
  <c r="N70" i="11"/>
  <c r="K397" i="5"/>
  <c r="M70" i="11"/>
  <c r="J397" i="5"/>
  <c r="L70" i="11"/>
  <c r="I397" i="5"/>
  <c r="H397" i="5"/>
  <c r="J70" i="11"/>
  <c r="G397" i="5"/>
  <c r="F397" i="5"/>
  <c r="H70" i="11"/>
  <c r="E397" i="5"/>
  <c r="G70" i="11"/>
  <c r="D397" i="5"/>
  <c r="F70" i="11"/>
  <c r="C397" i="5"/>
  <c r="E70" i="11"/>
  <c r="N396" i="5"/>
  <c r="P69" i="11"/>
  <c r="C396" i="5"/>
  <c r="D396" i="5"/>
  <c r="F69" i="11"/>
  <c r="E396" i="5"/>
  <c r="F396" i="5"/>
  <c r="H69" i="11"/>
  <c r="G396" i="5"/>
  <c r="I69" i="11"/>
  <c r="H396" i="5"/>
  <c r="J69" i="11"/>
  <c r="I396" i="5"/>
  <c r="K69" i="11"/>
  <c r="J396" i="5"/>
  <c r="L69" i="11"/>
  <c r="K396" i="5"/>
  <c r="L396" i="5"/>
  <c r="M396" i="5"/>
  <c r="N395" i="5"/>
  <c r="M395" i="5"/>
  <c r="O68" i="11"/>
  <c r="L395" i="5"/>
  <c r="N68" i="11"/>
  <c r="K395" i="5"/>
  <c r="M68" i="11"/>
  <c r="J395" i="5"/>
  <c r="L68" i="11"/>
  <c r="I395" i="5"/>
  <c r="H395" i="5"/>
  <c r="J68" i="11"/>
  <c r="G395" i="5"/>
  <c r="C395" i="5"/>
  <c r="E68" i="11"/>
  <c r="D395" i="5"/>
  <c r="F68" i="11"/>
  <c r="E395" i="5"/>
  <c r="G68" i="11"/>
  <c r="F395" i="5"/>
  <c r="H68" i="11"/>
  <c r="N394" i="5"/>
  <c r="P67" i="11"/>
  <c r="M394" i="5"/>
  <c r="L394" i="5"/>
  <c r="N67" i="11"/>
  <c r="K394" i="5"/>
  <c r="J394" i="5"/>
  <c r="L67" i="11"/>
  <c r="I394" i="5"/>
  <c r="K67" i="11"/>
  <c r="H394" i="5"/>
  <c r="J67" i="11"/>
  <c r="G394" i="5"/>
  <c r="I67" i="11"/>
  <c r="F394" i="5"/>
  <c r="H67" i="11"/>
  <c r="E394" i="5"/>
  <c r="D394" i="5"/>
  <c r="F67" i="11"/>
  <c r="C394" i="5"/>
  <c r="N393" i="5"/>
  <c r="M393" i="5"/>
  <c r="O66" i="11"/>
  <c r="L393" i="5"/>
  <c r="N66" i="11"/>
  <c r="K393" i="5"/>
  <c r="M66" i="11"/>
  <c r="J393" i="5"/>
  <c r="L66" i="11"/>
  <c r="I393" i="5"/>
  <c r="H393" i="5"/>
  <c r="J66" i="11"/>
  <c r="G393" i="5"/>
  <c r="F393" i="5"/>
  <c r="H66" i="11"/>
  <c r="E393" i="5"/>
  <c r="D393" i="5"/>
  <c r="F66" i="11"/>
  <c r="C393" i="5"/>
  <c r="E66" i="11"/>
  <c r="N392" i="5"/>
  <c r="P65" i="11"/>
  <c r="C392" i="5"/>
  <c r="D392" i="5"/>
  <c r="F65" i="11"/>
  <c r="E392" i="5"/>
  <c r="F392" i="5"/>
  <c r="G392" i="5"/>
  <c r="I65" i="11"/>
  <c r="H392" i="5"/>
  <c r="J65" i="11"/>
  <c r="I392" i="5"/>
  <c r="K65" i="11"/>
  <c r="J392" i="5"/>
  <c r="L65" i="11"/>
  <c r="K392" i="5"/>
  <c r="L392" i="5"/>
  <c r="N65" i="11"/>
  <c r="M392" i="5"/>
  <c r="N391" i="5"/>
  <c r="M391" i="5"/>
  <c r="O64" i="11"/>
  <c r="L391" i="5"/>
  <c r="N64" i="11"/>
  <c r="K391" i="5"/>
  <c r="M64" i="11"/>
  <c r="J391" i="5"/>
  <c r="L64" i="11"/>
  <c r="I391" i="5"/>
  <c r="H391" i="5"/>
  <c r="J64" i="11"/>
  <c r="G391" i="5"/>
  <c r="F391" i="5"/>
  <c r="E391" i="5"/>
  <c r="G64" i="11"/>
  <c r="D391" i="5"/>
  <c r="F64" i="11"/>
  <c r="C391" i="5"/>
  <c r="E64" i="11"/>
  <c r="N390" i="5"/>
  <c r="P63" i="11"/>
  <c r="C390" i="5"/>
  <c r="D390" i="5"/>
  <c r="F63" i="11"/>
  <c r="E390" i="5"/>
  <c r="F390" i="5"/>
  <c r="H63" i="11"/>
  <c r="G390" i="5"/>
  <c r="I63" i="11"/>
  <c r="H390" i="5"/>
  <c r="J63" i="11"/>
  <c r="I390" i="5"/>
  <c r="K63" i="11"/>
  <c r="J390" i="5"/>
  <c r="L63" i="11"/>
  <c r="K390" i="5"/>
  <c r="L390" i="5"/>
  <c r="N63" i="11"/>
  <c r="M390" i="5"/>
  <c r="N389" i="5"/>
  <c r="C389" i="5"/>
  <c r="E62" i="11"/>
  <c r="D389" i="5"/>
  <c r="F62" i="11"/>
  <c r="E389" i="5"/>
  <c r="G62" i="11"/>
  <c r="F389" i="5"/>
  <c r="H62" i="11"/>
  <c r="G389" i="5"/>
  <c r="I62" i="11"/>
  <c r="H389" i="5"/>
  <c r="J62" i="11"/>
  <c r="I389" i="5"/>
  <c r="J389" i="5"/>
  <c r="L62" i="11"/>
  <c r="K389" i="5"/>
  <c r="L389" i="5"/>
  <c r="N62" i="11"/>
  <c r="M389" i="5"/>
  <c r="O62" i="11"/>
  <c r="N388" i="5"/>
  <c r="P61" i="11"/>
  <c r="M388" i="5"/>
  <c r="O61" i="11"/>
  <c r="L388" i="5"/>
  <c r="N61" i="11"/>
  <c r="K388" i="5"/>
  <c r="J388" i="5"/>
  <c r="L61" i="11"/>
  <c r="I388" i="5"/>
  <c r="K61" i="11"/>
  <c r="H388" i="5"/>
  <c r="J61" i="11"/>
  <c r="G388" i="5"/>
  <c r="I61" i="11"/>
  <c r="F388" i="5"/>
  <c r="H61" i="11"/>
  <c r="E388" i="5"/>
  <c r="G61" i="11"/>
  <c r="D388" i="5"/>
  <c r="F61" i="11"/>
  <c r="C388" i="5"/>
  <c r="N387" i="5"/>
  <c r="M387" i="5"/>
  <c r="O60" i="11"/>
  <c r="L387" i="5"/>
  <c r="N60" i="11"/>
  <c r="K387" i="5"/>
  <c r="M60" i="11"/>
  <c r="J387" i="5"/>
  <c r="L60" i="11"/>
  <c r="I387" i="5"/>
  <c r="K60" i="11"/>
  <c r="H387" i="5"/>
  <c r="J60" i="11"/>
  <c r="G387" i="5"/>
  <c r="C387" i="5"/>
  <c r="D387" i="5"/>
  <c r="F60" i="11"/>
  <c r="E387" i="5"/>
  <c r="G60" i="11"/>
  <c r="F387" i="5"/>
  <c r="H60" i="11"/>
  <c r="N386" i="5"/>
  <c r="P59" i="11"/>
  <c r="M386" i="5"/>
  <c r="O59" i="11"/>
  <c r="L386" i="5"/>
  <c r="K386" i="5"/>
  <c r="J386" i="5"/>
  <c r="I386" i="5"/>
  <c r="K59" i="11"/>
  <c r="H386" i="5"/>
  <c r="J59" i="11"/>
  <c r="G386" i="5"/>
  <c r="I59" i="11"/>
  <c r="F386" i="5"/>
  <c r="H59" i="11"/>
  <c r="E386" i="5"/>
  <c r="G59" i="11"/>
  <c r="D386" i="5"/>
  <c r="F59" i="11"/>
  <c r="C386" i="5"/>
  <c r="N385" i="5"/>
  <c r="M385" i="5"/>
  <c r="O58" i="11"/>
  <c r="L385" i="5"/>
  <c r="N58" i="11"/>
  <c r="K385" i="5"/>
  <c r="M58" i="11"/>
  <c r="J385" i="5"/>
  <c r="L58" i="11"/>
  <c r="I385" i="5"/>
  <c r="K58" i="11"/>
  <c r="H385" i="5"/>
  <c r="G385" i="5"/>
  <c r="F385" i="5"/>
  <c r="H58" i="11"/>
  <c r="E385" i="5"/>
  <c r="D385" i="5"/>
  <c r="F58" i="11"/>
  <c r="C385" i="5"/>
  <c r="E58" i="11"/>
  <c r="N384" i="5"/>
  <c r="P57" i="11"/>
  <c r="M384" i="5"/>
  <c r="L384" i="5"/>
  <c r="N57" i="11"/>
  <c r="K384" i="5"/>
  <c r="J384" i="5"/>
  <c r="L57" i="11"/>
  <c r="I384" i="5"/>
  <c r="H384" i="5"/>
  <c r="J57" i="11"/>
  <c r="G384" i="5"/>
  <c r="I57" i="11"/>
  <c r="F384" i="5"/>
  <c r="H57" i="11"/>
  <c r="E384" i="5"/>
  <c r="G57" i="11"/>
  <c r="D384" i="5"/>
  <c r="F57" i="11"/>
  <c r="C384" i="5"/>
  <c r="N383" i="5"/>
  <c r="P56" i="11"/>
  <c r="C383" i="5"/>
  <c r="E56" i="11"/>
  <c r="D383" i="5"/>
  <c r="F56" i="11"/>
  <c r="E383" i="5"/>
  <c r="G56" i="11"/>
  <c r="F383" i="5"/>
  <c r="H56" i="11"/>
  <c r="G383" i="5"/>
  <c r="I56" i="11"/>
  <c r="H383" i="5"/>
  <c r="I383" i="5"/>
  <c r="J383" i="5"/>
  <c r="L56" i="11"/>
  <c r="K383" i="5"/>
  <c r="M56" i="11"/>
  <c r="L383" i="5"/>
  <c r="N56" i="11"/>
  <c r="M383" i="5"/>
  <c r="O56" i="11"/>
  <c r="N382" i="5"/>
  <c r="M382" i="5"/>
  <c r="L382" i="5"/>
  <c r="N55" i="11"/>
  <c r="K382" i="5"/>
  <c r="M55" i="11"/>
  <c r="J382" i="5"/>
  <c r="L55" i="11"/>
  <c r="I382" i="5"/>
  <c r="K55" i="11"/>
  <c r="H382" i="5"/>
  <c r="J55" i="11"/>
  <c r="G382" i="5"/>
  <c r="I55" i="11"/>
  <c r="F382" i="5"/>
  <c r="H55" i="11"/>
  <c r="E382" i="5"/>
  <c r="G55" i="11"/>
  <c r="D382" i="5"/>
  <c r="C382" i="5"/>
  <c r="N381" i="5"/>
  <c r="C381" i="5"/>
  <c r="D381" i="5"/>
  <c r="F54" i="11"/>
  <c r="E381" i="5"/>
  <c r="G54" i="11"/>
  <c r="F381" i="5"/>
  <c r="H54" i="11"/>
  <c r="G381" i="5"/>
  <c r="I54" i="11"/>
  <c r="H381" i="5"/>
  <c r="J54" i="11"/>
  <c r="I381" i="5"/>
  <c r="J381" i="5"/>
  <c r="L54" i="11"/>
  <c r="K381" i="5"/>
  <c r="M54" i="11"/>
  <c r="L381" i="5"/>
  <c r="N54" i="11"/>
  <c r="M381" i="5"/>
  <c r="O54" i="11"/>
  <c r="N380" i="5"/>
  <c r="P53" i="11"/>
  <c r="C380" i="5"/>
  <c r="E53" i="11"/>
  <c r="D380" i="5"/>
  <c r="F53" i="11"/>
  <c r="E380" i="5"/>
  <c r="F380" i="5"/>
  <c r="H53" i="11"/>
  <c r="G380" i="5"/>
  <c r="I53" i="11"/>
  <c r="H380" i="5"/>
  <c r="J53" i="11"/>
  <c r="I380" i="5"/>
  <c r="K53" i="11"/>
  <c r="J380" i="5"/>
  <c r="L53" i="11"/>
  <c r="K380" i="5"/>
  <c r="M53" i="11"/>
  <c r="L380" i="5"/>
  <c r="N53" i="11"/>
  <c r="M380" i="5"/>
  <c r="N379" i="5"/>
  <c r="P52" i="11"/>
  <c r="C379" i="5"/>
  <c r="E52" i="11"/>
  <c r="D379" i="5"/>
  <c r="F52" i="11"/>
  <c r="E379" i="5"/>
  <c r="G52" i="11"/>
  <c r="F379" i="5"/>
  <c r="H52" i="11"/>
  <c r="G379" i="5"/>
  <c r="I52" i="11"/>
  <c r="H379" i="5"/>
  <c r="J52" i="11"/>
  <c r="I379" i="5"/>
  <c r="J379" i="5"/>
  <c r="K379" i="5"/>
  <c r="M52" i="11"/>
  <c r="L379" i="5"/>
  <c r="N52" i="11"/>
  <c r="M379" i="5"/>
  <c r="O52" i="11"/>
  <c r="N378" i="5"/>
  <c r="P51" i="11"/>
  <c r="C378" i="5"/>
  <c r="E51" i="11"/>
  <c r="D378" i="5"/>
  <c r="F51" i="11"/>
  <c r="E378" i="5"/>
  <c r="F378" i="5"/>
  <c r="G378" i="5"/>
  <c r="I51" i="11"/>
  <c r="H378" i="5"/>
  <c r="J51" i="11"/>
  <c r="I378" i="5"/>
  <c r="K51" i="11"/>
  <c r="J378" i="5"/>
  <c r="L51" i="11"/>
  <c r="K378" i="5"/>
  <c r="M51" i="11"/>
  <c r="L378" i="5"/>
  <c r="M378" i="5"/>
  <c r="N377" i="5"/>
  <c r="P50" i="11"/>
  <c r="C377" i="5"/>
  <c r="D377" i="5"/>
  <c r="F50" i="11"/>
  <c r="E377" i="5"/>
  <c r="G50" i="11"/>
  <c r="F377" i="5"/>
  <c r="H50" i="11"/>
  <c r="G377" i="5"/>
  <c r="I50" i="11"/>
  <c r="H377" i="5"/>
  <c r="J50" i="11"/>
  <c r="I377" i="5"/>
  <c r="J377" i="5"/>
  <c r="L50" i="11"/>
  <c r="K377" i="5"/>
  <c r="M50" i="11"/>
  <c r="L377" i="5"/>
  <c r="N50" i="11"/>
  <c r="M377" i="5"/>
  <c r="O50" i="11"/>
  <c r="N376" i="5"/>
  <c r="P49" i="11"/>
  <c r="M376" i="5"/>
  <c r="L376" i="5"/>
  <c r="N49" i="11"/>
  <c r="K376" i="5"/>
  <c r="J376" i="5"/>
  <c r="I376" i="5"/>
  <c r="K49" i="11"/>
  <c r="H376" i="5"/>
  <c r="J49" i="11"/>
  <c r="G376" i="5"/>
  <c r="I49" i="11"/>
  <c r="F376" i="5"/>
  <c r="H49" i="11"/>
  <c r="E376" i="5"/>
  <c r="G49" i="11"/>
  <c r="D376" i="5"/>
  <c r="F49" i="11"/>
  <c r="C376" i="5"/>
  <c r="N375" i="5"/>
  <c r="P48" i="11"/>
  <c r="M375" i="5"/>
  <c r="O48" i="11"/>
  <c r="L375" i="5"/>
  <c r="N48" i="11"/>
  <c r="K375" i="5"/>
  <c r="J375" i="5"/>
  <c r="L48" i="11"/>
  <c r="I375" i="5"/>
  <c r="K48" i="11"/>
  <c r="H375" i="5"/>
  <c r="J48" i="11"/>
  <c r="G375" i="5"/>
  <c r="F375" i="5"/>
  <c r="H48" i="11"/>
  <c r="E375" i="5"/>
  <c r="G48" i="11"/>
  <c r="D375" i="5"/>
  <c r="F48" i="11"/>
  <c r="C375" i="5"/>
  <c r="E48" i="11"/>
  <c r="N374" i="5"/>
  <c r="P47" i="11"/>
  <c r="C374" i="5"/>
  <c r="E47" i="11"/>
  <c r="D374" i="5"/>
  <c r="F47" i="11"/>
  <c r="E374" i="5"/>
  <c r="F374" i="5"/>
  <c r="H47" i="11"/>
  <c r="G374" i="5"/>
  <c r="I47" i="11"/>
  <c r="H374" i="5"/>
  <c r="J47" i="11"/>
  <c r="I374" i="5"/>
  <c r="K47" i="11"/>
  <c r="J374" i="5"/>
  <c r="L47" i="11"/>
  <c r="K374" i="5"/>
  <c r="M47" i="11"/>
  <c r="L374" i="5"/>
  <c r="N47" i="11"/>
  <c r="M374" i="5"/>
  <c r="N373" i="5"/>
  <c r="P46" i="11"/>
  <c r="M373" i="5"/>
  <c r="O46" i="11"/>
  <c r="L373" i="5"/>
  <c r="N46" i="11"/>
  <c r="K373" i="5"/>
  <c r="M46" i="11"/>
  <c r="J373" i="5"/>
  <c r="L46" i="11"/>
  <c r="I373" i="5"/>
  <c r="K46" i="11"/>
  <c r="H373" i="5"/>
  <c r="J46" i="11"/>
  <c r="G373" i="5"/>
  <c r="F373" i="5"/>
  <c r="E373" i="5"/>
  <c r="G46" i="11"/>
  <c r="D373" i="5"/>
  <c r="F46" i="11"/>
  <c r="C373" i="5"/>
  <c r="E46" i="11"/>
  <c r="N372" i="5"/>
  <c r="P45" i="11"/>
  <c r="C372" i="5"/>
  <c r="D372" i="5"/>
  <c r="F45" i="11"/>
  <c r="E372" i="5"/>
  <c r="F372" i="5"/>
  <c r="G372" i="5"/>
  <c r="I45" i="11"/>
  <c r="H372" i="5"/>
  <c r="J45" i="11"/>
  <c r="I372" i="5"/>
  <c r="K45" i="11"/>
  <c r="J372" i="5"/>
  <c r="L45" i="11"/>
  <c r="K372" i="5"/>
  <c r="M45" i="11"/>
  <c r="L372" i="5"/>
  <c r="N45" i="11"/>
  <c r="M372" i="5"/>
  <c r="N371" i="5"/>
  <c r="P44" i="11"/>
  <c r="M371" i="5"/>
  <c r="L371" i="5"/>
  <c r="N44" i="11"/>
  <c r="K371" i="5"/>
  <c r="M44" i="11"/>
  <c r="J371" i="5"/>
  <c r="L44" i="11"/>
  <c r="I371" i="5"/>
  <c r="K44" i="11"/>
  <c r="H371" i="5"/>
  <c r="G371" i="5"/>
  <c r="C371" i="5"/>
  <c r="E44" i="11"/>
  <c r="D371" i="5"/>
  <c r="F44" i="11"/>
  <c r="E371" i="5"/>
  <c r="G44" i="11"/>
  <c r="F371" i="5"/>
  <c r="H44" i="11"/>
  <c r="N370" i="5"/>
  <c r="P43" i="11"/>
  <c r="C370" i="5"/>
  <c r="E43" i="11"/>
  <c r="D370" i="5"/>
  <c r="E370" i="5"/>
  <c r="F370" i="5"/>
  <c r="H43" i="11"/>
  <c r="G370" i="5"/>
  <c r="H370" i="5"/>
  <c r="J43" i="11"/>
  <c r="I370" i="5"/>
  <c r="K43" i="11"/>
  <c r="J370" i="5"/>
  <c r="L43" i="11"/>
  <c r="K370" i="5"/>
  <c r="M43" i="11"/>
  <c r="L370" i="5"/>
  <c r="N43" i="11"/>
  <c r="M370" i="5"/>
  <c r="N369" i="5"/>
  <c r="M369" i="5"/>
  <c r="O42" i="11"/>
  <c r="L369" i="5"/>
  <c r="N42" i="11"/>
  <c r="K369" i="5"/>
  <c r="M42" i="11"/>
  <c r="J369" i="5"/>
  <c r="L42" i="11"/>
  <c r="I369" i="5"/>
  <c r="K42" i="11"/>
  <c r="H369" i="5"/>
  <c r="J42" i="11"/>
  <c r="G369" i="5"/>
  <c r="F369" i="5"/>
  <c r="H42" i="11"/>
  <c r="E369" i="5"/>
  <c r="G42" i="11"/>
  <c r="D369" i="5"/>
  <c r="F42" i="11"/>
  <c r="C369" i="5"/>
  <c r="E42" i="11"/>
  <c r="N368" i="5"/>
  <c r="P41" i="11"/>
  <c r="C368" i="5"/>
  <c r="D368" i="5"/>
  <c r="F41" i="11"/>
  <c r="E368" i="5"/>
  <c r="F368" i="5"/>
  <c r="H41" i="11"/>
  <c r="G368" i="5"/>
  <c r="I41" i="11"/>
  <c r="H368" i="5"/>
  <c r="J41" i="11"/>
  <c r="I368" i="5"/>
  <c r="K41" i="11"/>
  <c r="J368" i="5"/>
  <c r="L41" i="11"/>
  <c r="K368" i="5"/>
  <c r="M41" i="11"/>
  <c r="L368" i="5"/>
  <c r="N41" i="11"/>
  <c r="M368" i="5"/>
  <c r="N367" i="5"/>
  <c r="M367" i="5"/>
  <c r="L367" i="5"/>
  <c r="N40" i="11"/>
  <c r="K367" i="5"/>
  <c r="J367" i="5"/>
  <c r="L40" i="11"/>
  <c r="I367" i="5"/>
  <c r="H367" i="5"/>
  <c r="J40" i="11"/>
  <c r="G367" i="5"/>
  <c r="F367" i="5"/>
  <c r="E367" i="5"/>
  <c r="G40" i="11"/>
  <c r="D367" i="5"/>
  <c r="F40" i="11"/>
  <c r="C367" i="5"/>
  <c r="E40" i="11"/>
  <c r="N366" i="5"/>
  <c r="P39" i="11"/>
  <c r="C366" i="5"/>
  <c r="D366" i="5"/>
  <c r="F39" i="11"/>
  <c r="E366" i="5"/>
  <c r="G39" i="11"/>
  <c r="F366" i="5"/>
  <c r="G366" i="5"/>
  <c r="I39" i="11"/>
  <c r="H366" i="5"/>
  <c r="J39" i="11"/>
  <c r="I366" i="5"/>
  <c r="K39" i="11"/>
  <c r="J366" i="5"/>
  <c r="L39" i="11"/>
  <c r="K366" i="5"/>
  <c r="L366" i="5"/>
  <c r="N39" i="11"/>
  <c r="M366" i="5"/>
  <c r="O39" i="11"/>
  <c r="N365" i="5"/>
  <c r="P38" i="11"/>
  <c r="C365" i="5"/>
  <c r="E38" i="11"/>
  <c r="D365" i="5"/>
  <c r="F38" i="11"/>
  <c r="E365" i="5"/>
  <c r="G38" i="11"/>
  <c r="F365" i="5"/>
  <c r="H38" i="11"/>
  <c r="G365" i="5"/>
  <c r="H365" i="5"/>
  <c r="J38" i="11"/>
  <c r="I365" i="5"/>
  <c r="J365" i="5"/>
  <c r="L38" i="11"/>
  <c r="K365" i="5"/>
  <c r="M38" i="11"/>
  <c r="L365" i="5"/>
  <c r="N38" i="11"/>
  <c r="M365" i="5"/>
  <c r="O38" i="11"/>
  <c r="N364" i="5"/>
  <c r="M364" i="5"/>
  <c r="L364" i="5"/>
  <c r="N37" i="11"/>
  <c r="K364" i="5"/>
  <c r="M37" i="11"/>
  <c r="J364" i="5"/>
  <c r="L37" i="11"/>
  <c r="I364" i="5"/>
  <c r="K37" i="11"/>
  <c r="H364" i="5"/>
  <c r="J37" i="11"/>
  <c r="G364" i="5"/>
  <c r="I37" i="11"/>
  <c r="F364" i="5"/>
  <c r="H37" i="11"/>
  <c r="E364" i="5"/>
  <c r="D364" i="5"/>
  <c r="F37" i="11"/>
  <c r="C364" i="5"/>
  <c r="E37" i="11"/>
  <c r="N363" i="5"/>
  <c r="P36" i="11"/>
  <c r="M363" i="5"/>
  <c r="O36" i="11"/>
  <c r="L363" i="5"/>
  <c r="N36" i="11"/>
  <c r="K363" i="5"/>
  <c r="M36" i="11"/>
  <c r="J363" i="5"/>
  <c r="L36" i="11"/>
  <c r="I363" i="5"/>
  <c r="H363" i="5"/>
  <c r="J36" i="11"/>
  <c r="G363" i="5"/>
  <c r="I36" i="11"/>
  <c r="C363" i="5"/>
  <c r="D363" i="5"/>
  <c r="F36" i="11"/>
  <c r="E363" i="5"/>
  <c r="G36" i="11"/>
  <c r="F363" i="5"/>
  <c r="H36" i="11"/>
  <c r="N362" i="5"/>
  <c r="P35" i="11"/>
  <c r="C362" i="5"/>
  <c r="D362" i="5"/>
  <c r="E362" i="5"/>
  <c r="G35" i="11"/>
  <c r="F362" i="5"/>
  <c r="H35" i="11"/>
  <c r="G362" i="5"/>
  <c r="I35" i="11"/>
  <c r="H362" i="5"/>
  <c r="J35" i="11"/>
  <c r="I362" i="5"/>
  <c r="K35" i="11"/>
  <c r="J362" i="5"/>
  <c r="L35" i="11"/>
  <c r="K362" i="5"/>
  <c r="L362" i="5"/>
  <c r="N35" i="11"/>
  <c r="M362" i="5"/>
  <c r="N361" i="5"/>
  <c r="P34" i="11"/>
  <c r="M361" i="5"/>
  <c r="O34" i="11"/>
  <c r="L361" i="5"/>
  <c r="N34" i="11"/>
  <c r="K361" i="5"/>
  <c r="M34" i="11"/>
  <c r="J361" i="5"/>
  <c r="L34" i="11"/>
  <c r="I361" i="5"/>
  <c r="H361" i="5"/>
  <c r="J34" i="11"/>
  <c r="G361" i="5"/>
  <c r="I34" i="11"/>
  <c r="F361" i="5"/>
  <c r="H34" i="11"/>
  <c r="E361" i="5"/>
  <c r="G34" i="11"/>
  <c r="D361" i="5"/>
  <c r="C361" i="5"/>
  <c r="E34" i="11"/>
  <c r="N360" i="5"/>
  <c r="P33" i="11"/>
  <c r="M360" i="5"/>
  <c r="L360" i="5"/>
  <c r="N33" i="11"/>
  <c r="K360" i="5"/>
  <c r="M33" i="11"/>
  <c r="J360" i="5"/>
  <c r="I360" i="5"/>
  <c r="K33" i="11"/>
  <c r="H360" i="5"/>
  <c r="J33" i="11"/>
  <c r="G360" i="5"/>
  <c r="I33" i="11"/>
  <c r="F360" i="5"/>
  <c r="H33" i="11"/>
  <c r="E360" i="5"/>
  <c r="D360" i="5"/>
  <c r="F33" i="11"/>
  <c r="C360" i="5"/>
  <c r="N359" i="5"/>
  <c r="M359" i="5"/>
  <c r="O32" i="11"/>
  <c r="L359" i="5"/>
  <c r="N32" i="11"/>
  <c r="K359" i="5"/>
  <c r="M32" i="11"/>
  <c r="J359" i="5"/>
  <c r="L32" i="11"/>
  <c r="I359" i="5"/>
  <c r="H359" i="5"/>
  <c r="G359" i="5"/>
  <c r="I32" i="11"/>
  <c r="F359" i="5"/>
  <c r="E359" i="5"/>
  <c r="G32" i="11"/>
  <c r="D359" i="5"/>
  <c r="F32" i="11"/>
  <c r="C359" i="5"/>
  <c r="E32" i="11"/>
  <c r="N358" i="5"/>
  <c r="C358" i="5"/>
  <c r="D358" i="5"/>
  <c r="F31" i="11"/>
  <c r="E358" i="5"/>
  <c r="F358" i="5"/>
  <c r="G358" i="5"/>
  <c r="I31" i="11"/>
  <c r="H358" i="5"/>
  <c r="J31" i="11"/>
  <c r="I358" i="5"/>
  <c r="K31" i="11"/>
  <c r="J358" i="5"/>
  <c r="L31" i="11"/>
  <c r="K358" i="5"/>
  <c r="L358" i="5"/>
  <c r="N31" i="11"/>
  <c r="M358" i="5"/>
  <c r="N357" i="5"/>
  <c r="P30" i="11"/>
  <c r="M357" i="5"/>
  <c r="O30" i="11"/>
  <c r="L357" i="5"/>
  <c r="N30" i="11"/>
  <c r="K357" i="5"/>
  <c r="M30" i="11"/>
  <c r="J357" i="5"/>
  <c r="L30" i="11"/>
  <c r="I357" i="5"/>
  <c r="H357" i="5"/>
  <c r="G357" i="5"/>
  <c r="F357" i="5"/>
  <c r="H30" i="11"/>
  <c r="E357" i="5"/>
  <c r="G30" i="11"/>
  <c r="D357" i="5"/>
  <c r="F30" i="11"/>
  <c r="C357" i="5"/>
  <c r="E30" i="11"/>
  <c r="N356" i="5"/>
  <c r="M356" i="5"/>
  <c r="L356" i="5"/>
  <c r="N29" i="11"/>
  <c r="K356" i="5"/>
  <c r="J356" i="5"/>
  <c r="L29" i="11"/>
  <c r="I356" i="5"/>
  <c r="K29" i="11"/>
  <c r="H356" i="5"/>
  <c r="J29" i="11"/>
  <c r="G356" i="5"/>
  <c r="I29" i="11"/>
  <c r="F356" i="5"/>
  <c r="H29" i="11"/>
  <c r="E356" i="5"/>
  <c r="D356" i="5"/>
  <c r="F29" i="11"/>
  <c r="C356" i="5"/>
  <c r="E29" i="11"/>
  <c r="N355" i="5"/>
  <c r="M355" i="5"/>
  <c r="O28" i="11"/>
  <c r="L355" i="5"/>
  <c r="N28" i="11"/>
  <c r="K355" i="5"/>
  <c r="M28" i="11"/>
  <c r="J355" i="5"/>
  <c r="L28" i="11"/>
  <c r="I355" i="5"/>
  <c r="H355" i="5"/>
  <c r="G355" i="5"/>
  <c r="C355" i="5"/>
  <c r="D355" i="5"/>
  <c r="F28" i="11"/>
  <c r="E355" i="5"/>
  <c r="F355" i="5"/>
  <c r="H28" i="11"/>
  <c r="N354" i="5"/>
  <c r="C354" i="5"/>
  <c r="D354" i="5"/>
  <c r="F27" i="11"/>
  <c r="E354" i="5"/>
  <c r="G27" i="11"/>
  <c r="F354" i="5"/>
  <c r="H27" i="11"/>
  <c r="G354" i="5"/>
  <c r="I27" i="11"/>
  <c r="H354" i="5"/>
  <c r="J27" i="11"/>
  <c r="I354" i="5"/>
  <c r="K27" i="11"/>
  <c r="J354" i="5"/>
  <c r="K354" i="5"/>
  <c r="M27" i="11"/>
  <c r="L354" i="5"/>
  <c r="M354" i="5"/>
  <c r="N353" i="5"/>
  <c r="P26" i="11"/>
  <c r="C353" i="5"/>
  <c r="E26" i="11"/>
  <c r="D353" i="5"/>
  <c r="E353" i="5"/>
  <c r="G26" i="11"/>
  <c r="F353" i="5"/>
  <c r="H26" i="11"/>
  <c r="G353" i="5"/>
  <c r="I26" i="11"/>
  <c r="H353" i="5"/>
  <c r="I353" i="5"/>
  <c r="K26" i="11"/>
  <c r="J353" i="5"/>
  <c r="L26" i="11"/>
  <c r="K353" i="5"/>
  <c r="M26" i="11"/>
  <c r="L353" i="5"/>
  <c r="N26" i="11"/>
  <c r="M353" i="5"/>
  <c r="O26" i="11"/>
  <c r="N352" i="5"/>
  <c r="M352" i="5"/>
  <c r="L352" i="5"/>
  <c r="K352" i="5"/>
  <c r="M25" i="11"/>
  <c r="J352" i="5"/>
  <c r="L25" i="11"/>
  <c r="I352" i="5"/>
  <c r="K25" i="11"/>
  <c r="H352" i="5"/>
  <c r="J25" i="11"/>
  <c r="G352" i="5"/>
  <c r="I25" i="11"/>
  <c r="F352" i="5"/>
  <c r="H25" i="11"/>
  <c r="E352" i="5"/>
  <c r="G25" i="11"/>
  <c r="D352" i="5"/>
  <c r="F25" i="11"/>
  <c r="C352" i="5"/>
  <c r="N351" i="5"/>
  <c r="P24" i="11"/>
  <c r="C351" i="5"/>
  <c r="E24" i="11"/>
  <c r="D351" i="5"/>
  <c r="F24" i="11"/>
  <c r="E351" i="5"/>
  <c r="G24" i="11"/>
  <c r="F351" i="5"/>
  <c r="H24" i="11"/>
  <c r="G351" i="5"/>
  <c r="H351" i="5"/>
  <c r="J24" i="11"/>
  <c r="I351" i="5"/>
  <c r="J351" i="5"/>
  <c r="L24" i="11"/>
  <c r="K351" i="5"/>
  <c r="M24" i="11"/>
  <c r="L351" i="5"/>
  <c r="N24" i="11"/>
  <c r="M351" i="5"/>
  <c r="O24" i="11"/>
  <c r="N350" i="5"/>
  <c r="M350" i="5"/>
  <c r="L350" i="5"/>
  <c r="K350" i="5"/>
  <c r="M23" i="11"/>
  <c r="J350" i="5"/>
  <c r="L23" i="11"/>
  <c r="I350" i="5"/>
  <c r="K23" i="11"/>
  <c r="H350" i="5"/>
  <c r="J23" i="11"/>
  <c r="G350" i="5"/>
  <c r="I23" i="11"/>
  <c r="F350" i="5"/>
  <c r="H23" i="11"/>
  <c r="E350" i="5"/>
  <c r="D350" i="5"/>
  <c r="F23" i="11"/>
  <c r="C350" i="5"/>
  <c r="E23" i="11"/>
  <c r="N349" i="5"/>
  <c r="P22" i="11"/>
  <c r="M349" i="5"/>
  <c r="O22" i="11"/>
  <c r="L349" i="5"/>
  <c r="N22" i="11"/>
  <c r="K349" i="5"/>
  <c r="J349" i="5"/>
  <c r="I349" i="5"/>
  <c r="H349" i="5"/>
  <c r="J22" i="11"/>
  <c r="G349" i="5"/>
  <c r="F349" i="5"/>
  <c r="H22" i="11"/>
  <c r="E349" i="5"/>
  <c r="G22" i="11"/>
  <c r="D349" i="5"/>
  <c r="C349" i="5"/>
  <c r="E22" i="11"/>
  <c r="N348" i="5"/>
  <c r="C348" i="5"/>
  <c r="E21" i="11"/>
  <c r="D348" i="5"/>
  <c r="E348" i="5"/>
  <c r="F348" i="5"/>
  <c r="H21" i="11"/>
  <c r="G348" i="5"/>
  <c r="I21" i="11"/>
  <c r="H348" i="5"/>
  <c r="J21" i="11"/>
  <c r="I348" i="5"/>
  <c r="K21" i="11"/>
  <c r="J348" i="5"/>
  <c r="K348" i="5"/>
  <c r="M21" i="11"/>
  <c r="L348" i="5"/>
  <c r="N21" i="11"/>
  <c r="M348" i="5"/>
  <c r="O21" i="11"/>
  <c r="N347" i="5"/>
  <c r="P20" i="11"/>
  <c r="M347" i="5"/>
  <c r="O20" i="11"/>
  <c r="L347" i="5"/>
  <c r="N20" i="11"/>
  <c r="K347" i="5"/>
  <c r="M20" i="11"/>
  <c r="J347" i="5"/>
  <c r="I347" i="5"/>
  <c r="K20" i="11"/>
  <c r="H347" i="5"/>
  <c r="G347" i="5"/>
  <c r="C347" i="5"/>
  <c r="E20" i="11"/>
  <c r="D347" i="5"/>
  <c r="F20" i="11"/>
  <c r="E347" i="5"/>
  <c r="G20" i="11"/>
  <c r="F347" i="5"/>
  <c r="H20" i="11"/>
  <c r="N346" i="5"/>
  <c r="P19" i="11"/>
  <c r="M346" i="5"/>
  <c r="L346" i="5"/>
  <c r="N19" i="11"/>
  <c r="K346" i="5"/>
  <c r="M19" i="11"/>
  <c r="J346" i="5"/>
  <c r="L19" i="11"/>
  <c r="I346" i="5"/>
  <c r="K19" i="11"/>
  <c r="H346" i="5"/>
  <c r="J19" i="11"/>
  <c r="G346" i="5"/>
  <c r="I19" i="11"/>
  <c r="C346" i="5"/>
  <c r="E19" i="11"/>
  <c r="D346" i="5"/>
  <c r="E346" i="5"/>
  <c r="F346" i="5"/>
  <c r="N345" i="5"/>
  <c r="P18" i="11"/>
  <c r="M345" i="5"/>
  <c r="O18" i="11"/>
  <c r="L345" i="5"/>
  <c r="N18" i="11"/>
  <c r="K345" i="5"/>
  <c r="M18" i="11"/>
  <c r="J345" i="5"/>
  <c r="L18" i="11"/>
  <c r="I345" i="5"/>
  <c r="H345" i="5"/>
  <c r="J18" i="11"/>
  <c r="G345" i="5"/>
  <c r="I18" i="11"/>
  <c r="F345" i="5"/>
  <c r="H18" i="11"/>
  <c r="E345" i="5"/>
  <c r="G18" i="11"/>
  <c r="D345" i="5"/>
  <c r="F18" i="11"/>
  <c r="C345" i="5"/>
  <c r="E18" i="11"/>
  <c r="N344" i="5"/>
  <c r="P17" i="11"/>
  <c r="M344" i="5"/>
  <c r="O17" i="11"/>
  <c r="L344" i="5"/>
  <c r="K344" i="5"/>
  <c r="J344" i="5"/>
  <c r="L17" i="11"/>
  <c r="I344" i="5"/>
  <c r="K17" i="11"/>
  <c r="H344" i="5"/>
  <c r="J17" i="11"/>
  <c r="G344" i="5"/>
  <c r="I17" i="11"/>
  <c r="F344" i="5"/>
  <c r="H17" i="11"/>
  <c r="E344" i="5"/>
  <c r="G17" i="11"/>
  <c r="D344" i="5"/>
  <c r="F17" i="11"/>
  <c r="C344" i="5"/>
  <c r="E17" i="11"/>
  <c r="N343" i="5"/>
  <c r="P16" i="11"/>
  <c r="M343" i="5"/>
  <c r="O16" i="11"/>
  <c r="L343" i="5"/>
  <c r="N16" i="11"/>
  <c r="K343" i="5"/>
  <c r="M16" i="11"/>
  <c r="J343" i="5"/>
  <c r="L16" i="11"/>
  <c r="I343" i="5"/>
  <c r="H343" i="5"/>
  <c r="J16" i="11"/>
  <c r="G343" i="5"/>
  <c r="I16" i="11"/>
  <c r="F343" i="5"/>
  <c r="H16" i="11"/>
  <c r="E343" i="5"/>
  <c r="G16" i="11"/>
  <c r="D343" i="5"/>
  <c r="F16" i="11"/>
  <c r="C343" i="5"/>
  <c r="E16" i="11"/>
  <c r="N342" i="5"/>
  <c r="P15" i="11"/>
  <c r="M342" i="5"/>
  <c r="O15" i="11"/>
  <c r="L342" i="5"/>
  <c r="K342" i="5"/>
  <c r="J342" i="5"/>
  <c r="L15" i="11"/>
  <c r="I342" i="5"/>
  <c r="K15" i="11"/>
  <c r="H342" i="5"/>
  <c r="J15" i="11"/>
  <c r="G342" i="5"/>
  <c r="I15" i="11"/>
  <c r="F342" i="5"/>
  <c r="E342" i="5"/>
  <c r="D342" i="5"/>
  <c r="C342" i="5"/>
  <c r="E15" i="11"/>
  <c r="N341" i="5"/>
  <c r="P14" i="11"/>
  <c r="C341" i="5"/>
  <c r="E14" i="11"/>
  <c r="D341" i="5"/>
  <c r="F14" i="11"/>
  <c r="E341" i="5"/>
  <c r="G14" i="11"/>
  <c r="F341" i="5"/>
  <c r="G341" i="5"/>
  <c r="I14" i="11"/>
  <c r="H341" i="5"/>
  <c r="I341" i="5"/>
  <c r="K14" i="11"/>
  <c r="J341" i="5"/>
  <c r="L14" i="11"/>
  <c r="K341" i="5"/>
  <c r="M14" i="11"/>
  <c r="L341" i="5"/>
  <c r="N14" i="11"/>
  <c r="M341" i="5"/>
  <c r="O14" i="11"/>
  <c r="N340" i="5"/>
  <c r="P13" i="11"/>
  <c r="C340" i="5"/>
  <c r="E13" i="11"/>
  <c r="D340" i="5"/>
  <c r="E340" i="5"/>
  <c r="F340" i="5"/>
  <c r="G340" i="5"/>
  <c r="I13" i="11"/>
  <c r="H340" i="5"/>
  <c r="J13" i="11"/>
  <c r="I340" i="5"/>
  <c r="K13" i="11"/>
  <c r="J340" i="5"/>
  <c r="K340" i="5"/>
  <c r="L340" i="5"/>
  <c r="N13" i="11"/>
  <c r="M340" i="5"/>
  <c r="N331" i="5"/>
  <c r="P298" i="11"/>
  <c r="M331" i="5"/>
  <c r="O298" i="11"/>
  <c r="L331" i="5"/>
  <c r="N298" i="11"/>
  <c r="K331" i="5"/>
  <c r="M298" i="11"/>
  <c r="J331" i="5"/>
  <c r="L298" i="11"/>
  <c r="I331" i="5"/>
  <c r="K298" i="11"/>
  <c r="H331" i="5"/>
  <c r="G331" i="5"/>
  <c r="F331" i="5"/>
  <c r="H298" i="11"/>
  <c r="E331" i="5"/>
  <c r="G298" i="11"/>
  <c r="D331" i="5"/>
  <c r="F298" i="11"/>
  <c r="C331" i="5"/>
  <c r="N330" i="5"/>
  <c r="C330" i="5"/>
  <c r="D330" i="5"/>
  <c r="E330" i="5"/>
  <c r="F330" i="5"/>
  <c r="H297" i="11"/>
  <c r="G330" i="5"/>
  <c r="I297" i="11"/>
  <c r="H330" i="5"/>
  <c r="I330" i="5"/>
  <c r="K297" i="11"/>
  <c r="J330" i="5"/>
  <c r="L297" i="11"/>
  <c r="K330" i="5"/>
  <c r="L330" i="5"/>
  <c r="M330" i="5"/>
  <c r="N329" i="5"/>
  <c r="P296" i="11"/>
  <c r="C329" i="5"/>
  <c r="E296" i="11"/>
  <c r="D329" i="5"/>
  <c r="F296" i="11"/>
  <c r="E329" i="5"/>
  <c r="G296" i="11"/>
  <c r="F329" i="5"/>
  <c r="H296" i="11"/>
  <c r="G329" i="5"/>
  <c r="I296" i="11"/>
  <c r="H329" i="5"/>
  <c r="I329" i="5"/>
  <c r="J329" i="5"/>
  <c r="K329" i="5"/>
  <c r="M296" i="11"/>
  <c r="L329" i="5"/>
  <c r="M329" i="5"/>
  <c r="O296" i="11"/>
  <c r="N328" i="5"/>
  <c r="M328" i="5"/>
  <c r="L328" i="5"/>
  <c r="K328" i="5"/>
  <c r="J328" i="5"/>
  <c r="L295" i="11"/>
  <c r="I328" i="5"/>
  <c r="K295" i="11"/>
  <c r="H328" i="5"/>
  <c r="J295" i="11"/>
  <c r="G328" i="5"/>
  <c r="I295" i="11"/>
  <c r="C328" i="5"/>
  <c r="D328" i="5"/>
  <c r="E328" i="5"/>
  <c r="F328" i="5"/>
  <c r="N327" i="5"/>
  <c r="C327" i="5"/>
  <c r="E294" i="11"/>
  <c r="D327" i="5"/>
  <c r="F294" i="11"/>
  <c r="E327" i="5"/>
  <c r="G294" i="11"/>
  <c r="F327" i="5"/>
  <c r="G327" i="5"/>
  <c r="H327" i="5"/>
  <c r="I327" i="5"/>
  <c r="J327" i="5"/>
  <c r="L294" i="11"/>
  <c r="K327" i="5"/>
  <c r="L327" i="5"/>
  <c r="M327" i="5"/>
  <c r="O294" i="11"/>
  <c r="N326" i="5"/>
  <c r="C326" i="5"/>
  <c r="E293" i="11"/>
  <c r="D326" i="5"/>
  <c r="E326" i="5"/>
  <c r="G293" i="11"/>
  <c r="F326" i="5"/>
  <c r="G326" i="5"/>
  <c r="I293" i="11"/>
  <c r="H326" i="5"/>
  <c r="J293" i="11"/>
  <c r="I326" i="5"/>
  <c r="J326" i="5"/>
  <c r="L293" i="11"/>
  <c r="K326" i="5"/>
  <c r="M293" i="11"/>
  <c r="L326" i="5"/>
  <c r="M326" i="5"/>
  <c r="O293" i="11"/>
  <c r="N325" i="5"/>
  <c r="C325" i="5"/>
  <c r="E292" i="11"/>
  <c r="D325" i="5"/>
  <c r="E325" i="5"/>
  <c r="F325" i="5"/>
  <c r="G325" i="5"/>
  <c r="I292" i="11"/>
  <c r="H325" i="5"/>
  <c r="I325" i="5"/>
  <c r="K292" i="11"/>
  <c r="J325" i="5"/>
  <c r="L292" i="11"/>
  <c r="K325" i="5"/>
  <c r="M292" i="11"/>
  <c r="L325" i="5"/>
  <c r="N292" i="11"/>
  <c r="M325" i="5"/>
  <c r="O292" i="11"/>
  <c r="N324" i="5"/>
  <c r="C324" i="5"/>
  <c r="E291" i="11"/>
  <c r="D324" i="5"/>
  <c r="E324" i="5"/>
  <c r="G291" i="11"/>
  <c r="F324" i="5"/>
  <c r="G324" i="5"/>
  <c r="H324" i="5"/>
  <c r="J291" i="11"/>
  <c r="I324" i="5"/>
  <c r="J324" i="5"/>
  <c r="L291" i="11"/>
  <c r="K324" i="5"/>
  <c r="M291" i="11"/>
  <c r="L324" i="5"/>
  <c r="M324" i="5"/>
  <c r="O291" i="11"/>
  <c r="N323" i="5"/>
  <c r="M323" i="5"/>
  <c r="O290" i="11"/>
  <c r="L323" i="5"/>
  <c r="K323" i="5"/>
  <c r="M290" i="11"/>
  <c r="J323" i="5"/>
  <c r="I323" i="5"/>
  <c r="K290" i="11"/>
  <c r="H323" i="5"/>
  <c r="G323" i="5"/>
  <c r="F323" i="5"/>
  <c r="E323" i="5"/>
  <c r="G290" i="11"/>
  <c r="D323" i="5"/>
  <c r="F290" i="11"/>
  <c r="C323" i="5"/>
  <c r="E290" i="11"/>
  <c r="N314" i="5"/>
  <c r="C314" i="5"/>
  <c r="E289" i="11"/>
  <c r="D314" i="5"/>
  <c r="E314" i="5"/>
  <c r="F314" i="5"/>
  <c r="G314" i="5"/>
  <c r="I289" i="11"/>
  <c r="H314" i="5"/>
  <c r="I314" i="5"/>
  <c r="K289" i="11"/>
  <c r="J314" i="5"/>
  <c r="K314" i="5"/>
  <c r="M289" i="11"/>
  <c r="L314" i="5"/>
  <c r="M314" i="5"/>
  <c r="N313" i="5"/>
  <c r="P288" i="11"/>
  <c r="C313" i="5"/>
  <c r="E288" i="11"/>
  <c r="D313" i="5"/>
  <c r="D316" i="5"/>
  <c r="D56" i="17"/>
  <c r="E313" i="5"/>
  <c r="G288" i="11"/>
  <c r="F313" i="5"/>
  <c r="G313" i="5"/>
  <c r="I288" i="11"/>
  <c r="H313" i="5"/>
  <c r="I313" i="5"/>
  <c r="K288" i="11"/>
  <c r="J313" i="5"/>
  <c r="K313" i="5"/>
  <c r="L313" i="5"/>
  <c r="N288" i="11"/>
  <c r="M313" i="5"/>
  <c r="O288" i="11"/>
  <c r="N308" i="5"/>
  <c r="M308" i="5"/>
  <c r="O281" i="11"/>
  <c r="L308" i="5"/>
  <c r="K308" i="5"/>
  <c r="M281" i="11"/>
  <c r="J308" i="5"/>
  <c r="I308" i="5"/>
  <c r="H308" i="5"/>
  <c r="J281" i="11"/>
  <c r="G308" i="5"/>
  <c r="I281" i="11"/>
  <c r="F308" i="5"/>
  <c r="E308" i="5"/>
  <c r="G281" i="11"/>
  <c r="D308" i="5"/>
  <c r="C308" i="5"/>
  <c r="E281" i="11"/>
  <c r="N307" i="5"/>
  <c r="P280" i="11"/>
  <c r="C307" i="5"/>
  <c r="E280" i="11"/>
  <c r="D307" i="5"/>
  <c r="F280" i="11"/>
  <c r="E307" i="5"/>
  <c r="F307" i="5"/>
  <c r="G307" i="5"/>
  <c r="I280" i="11"/>
  <c r="H307" i="5"/>
  <c r="I307" i="5"/>
  <c r="K280" i="11"/>
  <c r="J307" i="5"/>
  <c r="L280" i="11"/>
  <c r="K307" i="5"/>
  <c r="M280" i="11"/>
  <c r="L307" i="5"/>
  <c r="N280" i="11"/>
  <c r="M307" i="5"/>
  <c r="O280" i="11"/>
  <c r="N306" i="5"/>
  <c r="C306" i="5"/>
  <c r="D306" i="5"/>
  <c r="E306" i="5"/>
  <c r="F306" i="5"/>
  <c r="H279" i="11"/>
  <c r="G306" i="5"/>
  <c r="I279" i="11"/>
  <c r="H306" i="5"/>
  <c r="J279" i="11"/>
  <c r="I306" i="5"/>
  <c r="K279" i="11"/>
  <c r="J306" i="5"/>
  <c r="K306" i="5"/>
  <c r="M279" i="11"/>
  <c r="L306" i="5"/>
  <c r="M306" i="5"/>
  <c r="N305" i="5"/>
  <c r="C305" i="5"/>
  <c r="E278" i="11"/>
  <c r="D305" i="5"/>
  <c r="F278" i="11"/>
  <c r="E305" i="5"/>
  <c r="G278" i="11"/>
  <c r="F305" i="5"/>
  <c r="H278" i="11"/>
  <c r="G305" i="5"/>
  <c r="H305" i="5"/>
  <c r="J278" i="11"/>
  <c r="I305" i="5"/>
  <c r="J305" i="5"/>
  <c r="L278" i="11"/>
  <c r="K305" i="5"/>
  <c r="M278" i="11"/>
  <c r="L305" i="5"/>
  <c r="N278" i="11"/>
  <c r="M305" i="5"/>
  <c r="O278" i="11"/>
  <c r="N297" i="5"/>
  <c r="P287" i="11"/>
  <c r="C297" i="5"/>
  <c r="E287" i="11"/>
  <c r="D297" i="5"/>
  <c r="F287" i="11"/>
  <c r="E297" i="5"/>
  <c r="G287" i="11"/>
  <c r="F297" i="5"/>
  <c r="G297" i="5"/>
  <c r="I287" i="11"/>
  <c r="H297" i="5"/>
  <c r="J287" i="11"/>
  <c r="I297" i="5"/>
  <c r="K287" i="11"/>
  <c r="J297" i="5"/>
  <c r="L287" i="11"/>
  <c r="K297" i="5"/>
  <c r="M287" i="11"/>
  <c r="L297" i="5"/>
  <c r="N287" i="11"/>
  <c r="M297" i="5"/>
  <c r="O287" i="11"/>
  <c r="N296" i="5"/>
  <c r="P286" i="11"/>
  <c r="C296" i="5"/>
  <c r="E286" i="11"/>
  <c r="D296" i="5"/>
  <c r="F286" i="11"/>
  <c r="E296" i="5"/>
  <c r="G286" i="11"/>
  <c r="F296" i="5"/>
  <c r="H286" i="11"/>
  <c r="G296" i="5"/>
  <c r="I286" i="11"/>
  <c r="H296" i="5"/>
  <c r="J286" i="11"/>
  <c r="I296" i="5"/>
  <c r="K286" i="11"/>
  <c r="J296" i="5"/>
  <c r="L286" i="11"/>
  <c r="K296" i="5"/>
  <c r="M286" i="11"/>
  <c r="L296" i="5"/>
  <c r="N286" i="11"/>
  <c r="M296" i="5"/>
  <c r="O286" i="11"/>
  <c r="N295" i="5"/>
  <c r="M295" i="5"/>
  <c r="O285" i="11"/>
  <c r="L295" i="5"/>
  <c r="K295" i="5"/>
  <c r="M285" i="11"/>
  <c r="J295" i="5"/>
  <c r="L285" i="11"/>
  <c r="I295" i="5"/>
  <c r="H295" i="5"/>
  <c r="J285" i="11"/>
  <c r="G295" i="5"/>
  <c r="I285" i="11"/>
  <c r="F295" i="5"/>
  <c r="E295" i="5"/>
  <c r="G285" i="11"/>
  <c r="D295" i="5"/>
  <c r="C295" i="5"/>
  <c r="N294" i="5"/>
  <c r="P284" i="11"/>
  <c r="C294" i="5"/>
  <c r="E284" i="11"/>
  <c r="D294" i="5"/>
  <c r="F284" i="11"/>
  <c r="E294" i="5"/>
  <c r="F294" i="5"/>
  <c r="G294" i="5"/>
  <c r="I284" i="11"/>
  <c r="H294" i="5"/>
  <c r="J284" i="11"/>
  <c r="I294" i="5"/>
  <c r="K284" i="11"/>
  <c r="J294" i="5"/>
  <c r="L284" i="11"/>
  <c r="K294" i="5"/>
  <c r="L294" i="5"/>
  <c r="N284" i="11"/>
  <c r="M294" i="5"/>
  <c r="O284" i="11"/>
  <c r="N293" i="5"/>
  <c r="C293" i="5"/>
  <c r="D293" i="5"/>
  <c r="F283" i="11"/>
  <c r="E293" i="5"/>
  <c r="G283" i="11"/>
  <c r="F293" i="5"/>
  <c r="H283" i="11"/>
  <c r="G293" i="5"/>
  <c r="I283" i="11"/>
  <c r="H293" i="5"/>
  <c r="J283" i="11"/>
  <c r="I293" i="5"/>
  <c r="K283" i="11"/>
  <c r="J293" i="5"/>
  <c r="K293" i="5"/>
  <c r="L293" i="5"/>
  <c r="M293" i="5"/>
  <c r="N292" i="5"/>
  <c r="C292" i="5"/>
  <c r="E282" i="11"/>
  <c r="D292" i="5"/>
  <c r="F282" i="11"/>
  <c r="E292" i="5"/>
  <c r="F292" i="5"/>
  <c r="G292" i="5"/>
  <c r="I282" i="11"/>
  <c r="H292" i="5"/>
  <c r="I292" i="5"/>
  <c r="J292" i="5"/>
  <c r="K292" i="5"/>
  <c r="M282" i="11"/>
  <c r="L292" i="5"/>
  <c r="N282" i="11"/>
  <c r="M292" i="5"/>
  <c r="O282" i="11"/>
  <c r="N287" i="5"/>
  <c r="C287" i="5"/>
  <c r="D287" i="5"/>
  <c r="E287" i="5"/>
  <c r="F287" i="5"/>
  <c r="G287" i="5"/>
  <c r="H287" i="5"/>
  <c r="I287" i="5"/>
  <c r="J287" i="5"/>
  <c r="K287" i="5"/>
  <c r="L287" i="5"/>
  <c r="M287" i="5"/>
  <c r="N286" i="5"/>
  <c r="M286" i="5"/>
  <c r="L286" i="5"/>
  <c r="K286" i="5"/>
  <c r="J286" i="5"/>
  <c r="I286" i="5"/>
  <c r="H286" i="5"/>
  <c r="G286" i="5"/>
  <c r="F286" i="5"/>
  <c r="E286" i="5"/>
  <c r="D286" i="5"/>
  <c r="C286" i="5"/>
  <c r="N285" i="5"/>
  <c r="C285" i="5"/>
  <c r="E277" i="11"/>
  <c r="D285" i="5"/>
  <c r="E285" i="5"/>
  <c r="G277" i="11"/>
  <c r="F285" i="5"/>
  <c r="H277" i="11"/>
  <c r="G285" i="5"/>
  <c r="I277" i="11"/>
  <c r="H285" i="5"/>
  <c r="I285" i="5"/>
  <c r="K277" i="11"/>
  <c r="J285" i="5"/>
  <c r="K285" i="5"/>
  <c r="M277" i="11"/>
  <c r="L285" i="5"/>
  <c r="M285" i="5"/>
  <c r="O277" i="11"/>
  <c r="N284" i="5"/>
  <c r="P276" i="11"/>
  <c r="C284" i="5"/>
  <c r="E276" i="11"/>
  <c r="D284" i="5"/>
  <c r="E284" i="5"/>
  <c r="G276" i="11"/>
  <c r="F284" i="5"/>
  <c r="H276" i="11"/>
  <c r="G284" i="5"/>
  <c r="I276" i="11"/>
  <c r="H284" i="5"/>
  <c r="J276" i="11"/>
  <c r="I284" i="5"/>
  <c r="J284" i="5"/>
  <c r="K284" i="5"/>
  <c r="M276" i="11"/>
  <c r="L284" i="5"/>
  <c r="N276" i="11"/>
  <c r="M284" i="5"/>
  <c r="O276" i="11"/>
  <c r="N283" i="5"/>
  <c r="P275" i="11"/>
  <c r="C283" i="5"/>
  <c r="D283" i="5"/>
  <c r="F275" i="11"/>
  <c r="E283" i="5"/>
  <c r="F283" i="5"/>
  <c r="H275" i="11"/>
  <c r="G283" i="5"/>
  <c r="I275" i="11"/>
  <c r="H283" i="5"/>
  <c r="J275" i="11"/>
  <c r="I283" i="5"/>
  <c r="K275" i="11"/>
  <c r="J283" i="5"/>
  <c r="L275" i="11"/>
  <c r="K283" i="5"/>
  <c r="M275" i="11"/>
  <c r="L283" i="5"/>
  <c r="M283" i="5"/>
  <c r="O275" i="11"/>
  <c r="N282" i="5"/>
  <c r="C282" i="5"/>
  <c r="E274" i="11"/>
  <c r="D282" i="5"/>
  <c r="F274" i="11"/>
  <c r="E282" i="5"/>
  <c r="G274" i="11"/>
  <c r="F282" i="5"/>
  <c r="H274" i="11"/>
  <c r="G282" i="5"/>
  <c r="I274" i="11"/>
  <c r="H282" i="5"/>
  <c r="J274" i="11"/>
  <c r="I282" i="5"/>
  <c r="K274" i="11"/>
  <c r="J282" i="5"/>
  <c r="K282" i="5"/>
  <c r="M274" i="11"/>
  <c r="L282" i="5"/>
  <c r="N274" i="11"/>
  <c r="M282" i="5"/>
  <c r="O274" i="11"/>
  <c r="N281" i="5"/>
  <c r="P273" i="11"/>
  <c r="C281" i="5"/>
  <c r="E273" i="11"/>
  <c r="D281" i="5"/>
  <c r="F273" i="11"/>
  <c r="E281" i="5"/>
  <c r="G273" i="11"/>
  <c r="F281" i="5"/>
  <c r="H273" i="11"/>
  <c r="G281" i="5"/>
  <c r="I273" i="11"/>
  <c r="H281" i="5"/>
  <c r="J273" i="11"/>
  <c r="I281" i="5"/>
  <c r="K273" i="11"/>
  <c r="J281" i="5"/>
  <c r="L273" i="11"/>
  <c r="K281" i="5"/>
  <c r="L281" i="5"/>
  <c r="N273" i="11"/>
  <c r="M281" i="5"/>
  <c r="N280" i="5"/>
  <c r="C280" i="5"/>
  <c r="E272" i="11"/>
  <c r="D280" i="5"/>
  <c r="F272" i="11"/>
  <c r="E280" i="5"/>
  <c r="G272" i="11"/>
  <c r="F280" i="5"/>
  <c r="H272" i="11"/>
  <c r="G280" i="5"/>
  <c r="H280" i="5"/>
  <c r="J272" i="11"/>
  <c r="I280" i="5"/>
  <c r="J280" i="5"/>
  <c r="L272" i="11"/>
  <c r="K280" i="5"/>
  <c r="M272" i="11"/>
  <c r="L280" i="5"/>
  <c r="N272" i="11"/>
  <c r="M280" i="5"/>
  <c r="O272" i="11"/>
  <c r="N279" i="5"/>
  <c r="P271" i="11"/>
  <c r="C279" i="5"/>
  <c r="E271" i="11"/>
  <c r="D279" i="5"/>
  <c r="F271" i="11"/>
  <c r="E279" i="5"/>
  <c r="G271" i="11"/>
  <c r="F279" i="5"/>
  <c r="G279" i="5"/>
  <c r="I271" i="11"/>
  <c r="H279" i="5"/>
  <c r="J271" i="11"/>
  <c r="I279" i="5"/>
  <c r="K271" i="11"/>
  <c r="J279" i="5"/>
  <c r="L271" i="11"/>
  <c r="K279" i="5"/>
  <c r="L279" i="5"/>
  <c r="N271" i="11"/>
  <c r="M279" i="5"/>
  <c r="O271" i="11"/>
  <c r="N278" i="5"/>
  <c r="P270" i="11"/>
  <c r="M278" i="5"/>
  <c r="L278" i="5"/>
  <c r="N270" i="11"/>
  <c r="K278" i="5"/>
  <c r="M270" i="11"/>
  <c r="J278" i="5"/>
  <c r="L270" i="11"/>
  <c r="I278" i="5"/>
  <c r="H278" i="5"/>
  <c r="J270" i="11"/>
  <c r="G278" i="5"/>
  <c r="I270" i="11"/>
  <c r="F278" i="5"/>
  <c r="H270" i="11"/>
  <c r="E278" i="5"/>
  <c r="D278" i="5"/>
  <c r="F270" i="11"/>
  <c r="C278" i="5"/>
  <c r="N277" i="5"/>
  <c r="P269" i="11"/>
  <c r="C277" i="5"/>
  <c r="D277" i="5"/>
  <c r="F269" i="11"/>
  <c r="E277" i="5"/>
  <c r="G269" i="11"/>
  <c r="F277" i="5"/>
  <c r="G277" i="5"/>
  <c r="I269" i="11"/>
  <c r="H277" i="5"/>
  <c r="J269" i="11"/>
  <c r="I277" i="5"/>
  <c r="K269" i="11"/>
  <c r="J277" i="5"/>
  <c r="L269" i="11"/>
  <c r="K277" i="5"/>
  <c r="L277" i="5"/>
  <c r="N269" i="11"/>
  <c r="M277" i="5"/>
  <c r="O269" i="11"/>
  <c r="N276" i="5"/>
  <c r="P268" i="11"/>
  <c r="M276" i="5"/>
  <c r="O268" i="11"/>
  <c r="L276" i="5"/>
  <c r="N268" i="11"/>
  <c r="K276" i="5"/>
  <c r="M268" i="11"/>
  <c r="J276" i="5"/>
  <c r="L268" i="11"/>
  <c r="I276" i="5"/>
  <c r="K268" i="11"/>
  <c r="H276" i="5"/>
  <c r="J268" i="11"/>
  <c r="G276" i="5"/>
  <c r="C276" i="5"/>
  <c r="E268" i="11"/>
  <c r="D276" i="5"/>
  <c r="F268" i="11"/>
  <c r="E276" i="5"/>
  <c r="G268" i="11"/>
  <c r="F276" i="5"/>
  <c r="H268" i="11"/>
  <c r="N275" i="5"/>
  <c r="P267" i="11"/>
  <c r="C275" i="5"/>
  <c r="D275" i="5"/>
  <c r="F267" i="11"/>
  <c r="E275" i="5"/>
  <c r="G267" i="11"/>
  <c r="F275" i="5"/>
  <c r="H267" i="11"/>
  <c r="G275" i="5"/>
  <c r="H275" i="5"/>
  <c r="J267" i="11"/>
  <c r="I275" i="5"/>
  <c r="K267" i="11"/>
  <c r="J275" i="5"/>
  <c r="L267" i="11"/>
  <c r="K275" i="5"/>
  <c r="L275" i="5"/>
  <c r="N267" i="11"/>
  <c r="M275" i="5"/>
  <c r="O267" i="11"/>
  <c r="N274" i="5"/>
  <c r="P266" i="11"/>
  <c r="C274" i="5"/>
  <c r="E266" i="11"/>
  <c r="D274" i="5"/>
  <c r="F266" i="11"/>
  <c r="E274" i="5"/>
  <c r="G266" i="11"/>
  <c r="F274" i="5"/>
  <c r="H266" i="11"/>
  <c r="G274" i="5"/>
  <c r="H274" i="5"/>
  <c r="I274" i="5"/>
  <c r="K266" i="11"/>
  <c r="J274" i="5"/>
  <c r="K274" i="5"/>
  <c r="M266" i="11"/>
  <c r="L274" i="5"/>
  <c r="N266" i="11"/>
  <c r="M274" i="5"/>
  <c r="O266" i="11"/>
  <c r="N273" i="5"/>
  <c r="P265" i="11"/>
  <c r="C273" i="5"/>
  <c r="E265" i="11"/>
  <c r="D273" i="5"/>
  <c r="F265" i="11"/>
  <c r="E273" i="5"/>
  <c r="G265" i="11"/>
  <c r="F273" i="5"/>
  <c r="G273" i="5"/>
  <c r="I265" i="11"/>
  <c r="H273" i="5"/>
  <c r="J265" i="11"/>
  <c r="I273" i="5"/>
  <c r="K265" i="11"/>
  <c r="J273" i="5"/>
  <c r="L265" i="11"/>
  <c r="K273" i="5"/>
  <c r="L273" i="5"/>
  <c r="M273" i="5"/>
  <c r="O265" i="11"/>
  <c r="N272" i="5"/>
  <c r="C272" i="5"/>
  <c r="E264" i="11"/>
  <c r="D272" i="5"/>
  <c r="E272" i="5"/>
  <c r="G264" i="11"/>
  <c r="F272" i="5"/>
  <c r="H264" i="11"/>
  <c r="G272" i="5"/>
  <c r="H272" i="5"/>
  <c r="J264" i="11"/>
  <c r="I272" i="5"/>
  <c r="J272" i="5"/>
  <c r="L264" i="11"/>
  <c r="K272" i="5"/>
  <c r="M264" i="11"/>
  <c r="L272" i="5"/>
  <c r="N264" i="11"/>
  <c r="M272" i="5"/>
  <c r="O264" i="11"/>
  <c r="N241" i="5"/>
  <c r="C241" i="5"/>
  <c r="E253" i="11"/>
  <c r="D241" i="5"/>
  <c r="E241" i="5"/>
  <c r="F241" i="5"/>
  <c r="G241" i="5"/>
  <c r="I253" i="11"/>
  <c r="H241" i="5"/>
  <c r="J253" i="11"/>
  <c r="I241" i="5"/>
  <c r="K253" i="11"/>
  <c r="J241" i="5"/>
  <c r="L253" i="11"/>
  <c r="K241" i="5"/>
  <c r="L241" i="5"/>
  <c r="M241" i="5"/>
  <c r="O253" i="11"/>
  <c r="C161" i="5"/>
  <c r="D161" i="5"/>
  <c r="F197" i="11"/>
  <c r="E161" i="5"/>
  <c r="G197" i="11"/>
  <c r="F161" i="5"/>
  <c r="H197" i="11"/>
  <c r="G161" i="5"/>
  <c r="I197" i="11"/>
  <c r="H161" i="5"/>
  <c r="J197" i="11"/>
  <c r="I161" i="5"/>
  <c r="J161" i="5"/>
  <c r="L197" i="11"/>
  <c r="K161" i="5"/>
  <c r="M197" i="11"/>
  <c r="L161" i="5"/>
  <c r="M161" i="5"/>
  <c r="O197" i="11"/>
  <c r="C156" i="5"/>
  <c r="E192" i="11"/>
  <c r="D156" i="5"/>
  <c r="F192" i="11"/>
  <c r="E156" i="5"/>
  <c r="G192" i="11"/>
  <c r="F156" i="5"/>
  <c r="G156" i="5"/>
  <c r="I192" i="11"/>
  <c r="H156" i="5"/>
  <c r="I156" i="5"/>
  <c r="K192" i="11"/>
  <c r="J156" i="5"/>
  <c r="L192" i="11"/>
  <c r="K156" i="5"/>
  <c r="M192" i="11"/>
  <c r="L156" i="5"/>
  <c r="N192" i="11"/>
  <c r="M156" i="5"/>
  <c r="O192" i="11"/>
  <c r="C154" i="5"/>
  <c r="D154" i="5"/>
  <c r="F190" i="11"/>
  <c r="E154" i="5"/>
  <c r="F154" i="5"/>
  <c r="H190" i="11"/>
  <c r="G154" i="5"/>
  <c r="I190" i="11"/>
  <c r="H154" i="5"/>
  <c r="J190" i="11"/>
  <c r="I154" i="5"/>
  <c r="K190" i="11"/>
  <c r="J154" i="5"/>
  <c r="L190" i="11"/>
  <c r="K154" i="5"/>
  <c r="L154" i="5"/>
  <c r="N190" i="11"/>
  <c r="M154" i="5"/>
  <c r="O190" i="11"/>
  <c r="M153" i="5"/>
  <c r="O189" i="11"/>
  <c r="L153" i="5"/>
  <c r="N189" i="11"/>
  <c r="K153" i="5"/>
  <c r="M189" i="11"/>
  <c r="J153" i="5"/>
  <c r="L189" i="11"/>
  <c r="I153" i="5"/>
  <c r="K189" i="11"/>
  <c r="H153" i="5"/>
  <c r="G153" i="5"/>
  <c r="I189" i="11"/>
  <c r="F153" i="5"/>
  <c r="H189" i="11"/>
  <c r="E153" i="5"/>
  <c r="D153" i="5"/>
  <c r="C153" i="5"/>
  <c r="E189" i="11"/>
  <c r="O108" i="5"/>
  <c r="E108" i="12"/>
  <c r="F108" i="12"/>
  <c r="O98" i="5"/>
  <c r="P98" i="5"/>
  <c r="D286" i="12"/>
  <c r="D287" i="12"/>
  <c r="D260" i="12"/>
  <c r="D230" i="12"/>
  <c r="A98" i="12"/>
  <c r="D98" i="12"/>
  <c r="D84" i="12"/>
  <c r="F109" i="9"/>
  <c r="F110" i="9"/>
  <c r="F106" i="9"/>
  <c r="F107" i="9"/>
  <c r="F100" i="9"/>
  <c r="F101" i="9"/>
  <c r="D109" i="9"/>
  <c r="D110" i="9"/>
  <c r="D106" i="9"/>
  <c r="D107" i="9"/>
  <c r="D100" i="9"/>
  <c r="D101" i="9"/>
  <c r="D97" i="9"/>
  <c r="D99" i="9"/>
  <c r="K58" i="6"/>
  <c r="L52" i="6"/>
  <c r="Q12" i="17"/>
  <c r="H27" i="6"/>
  <c r="A210" i="6"/>
  <c r="D103" i="12"/>
  <c r="A204" i="6"/>
  <c r="C76" i="11"/>
  <c r="J58" i="6"/>
  <c r="J52" i="6"/>
  <c r="K76" i="11"/>
  <c r="L76" i="11"/>
  <c r="P76" i="11"/>
  <c r="D403" i="12"/>
  <c r="D149" i="12"/>
  <c r="A182" i="12"/>
  <c r="N68" i="6"/>
  <c r="O68" i="6"/>
  <c r="P68" i="6"/>
  <c r="Q68" i="6"/>
  <c r="R68" i="6"/>
  <c r="S68" i="6"/>
  <c r="T68" i="6"/>
  <c r="U68" i="6"/>
  <c r="V68" i="6"/>
  <c r="W68" i="6"/>
  <c r="X68" i="6"/>
  <c r="M68" i="6"/>
  <c r="C96" i="9"/>
  <c r="D96" i="9"/>
  <c r="F96" i="9"/>
  <c r="D42" i="6"/>
  <c r="E42" i="6"/>
  <c r="D141" i="12"/>
  <c r="D435" i="12"/>
  <c r="D436" i="12"/>
  <c r="F97" i="9"/>
  <c r="F99" i="9"/>
  <c r="Q70" i="5"/>
  <c r="Q77" i="5"/>
  <c r="Q152" i="5"/>
  <c r="Q321" i="5"/>
  <c r="D8" i="12"/>
  <c r="D11" i="12"/>
  <c r="D14" i="12"/>
  <c r="D15" i="12"/>
  <c r="D16" i="12"/>
  <c r="D17" i="12"/>
  <c r="D18" i="12"/>
  <c r="D19" i="12"/>
  <c r="D20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40" i="12"/>
  <c r="D41" i="12"/>
  <c r="D42" i="12"/>
  <c r="D43" i="12"/>
  <c r="D44" i="12"/>
  <c r="D45" i="12"/>
  <c r="D46" i="12"/>
  <c r="D47" i="12"/>
  <c r="D48" i="12"/>
  <c r="D49" i="12"/>
  <c r="D53" i="12"/>
  <c r="D54" i="12"/>
  <c r="D55" i="12"/>
  <c r="D56" i="12"/>
  <c r="D66" i="12"/>
  <c r="D68" i="12"/>
  <c r="D71" i="12"/>
  <c r="D72" i="12"/>
  <c r="D73" i="12"/>
  <c r="D74" i="12"/>
  <c r="D75" i="12"/>
  <c r="D76" i="12"/>
  <c r="D80" i="12"/>
  <c r="D81" i="12"/>
  <c r="D82" i="12"/>
  <c r="D83" i="12"/>
  <c r="D85" i="12"/>
  <c r="D89" i="12"/>
  <c r="D90" i="12"/>
  <c r="D91" i="12"/>
  <c r="D92" i="12"/>
  <c r="D93" i="12"/>
  <c r="D94" i="12"/>
  <c r="D96" i="12"/>
  <c r="D97" i="12"/>
  <c r="D99" i="12"/>
  <c r="D100" i="12"/>
  <c r="D101" i="12"/>
  <c r="D102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9" i="12"/>
  <c r="D120" i="12"/>
  <c r="D121" i="12"/>
  <c r="D122" i="12"/>
  <c r="D123" i="12"/>
  <c r="D124" i="12"/>
  <c r="D128" i="12"/>
  <c r="D129" i="12"/>
  <c r="D136" i="12"/>
  <c r="D137" i="12"/>
  <c r="D138" i="12"/>
  <c r="D139" i="12"/>
  <c r="D140" i="12"/>
  <c r="D142" i="12"/>
  <c r="D143" i="12"/>
  <c r="D144" i="12"/>
  <c r="D145" i="12"/>
  <c r="D146" i="12"/>
  <c r="D147" i="12"/>
  <c r="D148" i="12"/>
  <c r="D153" i="12"/>
  <c r="D154" i="12"/>
  <c r="D155" i="12"/>
  <c r="D156" i="12"/>
  <c r="D157" i="12"/>
  <c r="D158" i="12"/>
  <c r="D159" i="12"/>
  <c r="D160" i="12"/>
  <c r="D161" i="12"/>
  <c r="D162" i="12"/>
  <c r="D169" i="12"/>
  <c r="D170" i="12"/>
  <c r="D171" i="12"/>
  <c r="D172" i="12"/>
  <c r="D173" i="12"/>
  <c r="D174" i="12"/>
  <c r="D175" i="12"/>
  <c r="D176" i="12"/>
  <c r="D177" i="12"/>
  <c r="D178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9" i="12"/>
  <c r="D200" i="12"/>
  <c r="D201" i="12"/>
  <c r="D202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5" i="12"/>
  <c r="D226" i="12"/>
  <c r="D227" i="12"/>
  <c r="D228" i="12"/>
  <c r="D229" i="12"/>
  <c r="D231" i="12"/>
  <c r="D237" i="12"/>
  <c r="D238" i="12"/>
  <c r="D239" i="12"/>
  <c r="D240" i="12"/>
  <c r="D241" i="12"/>
  <c r="D242" i="12"/>
  <c r="D243" i="12"/>
  <c r="D244" i="12"/>
  <c r="D251" i="12"/>
  <c r="D252" i="12"/>
  <c r="D253" i="12"/>
  <c r="D254" i="12"/>
  <c r="D255" i="12"/>
  <c r="D259" i="12"/>
  <c r="D26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92" i="12"/>
  <c r="D293" i="12"/>
  <c r="D294" i="12"/>
  <c r="D295" i="12"/>
  <c r="D296" i="12"/>
  <c r="D297" i="12"/>
  <c r="D305" i="12"/>
  <c r="D306" i="12"/>
  <c r="D307" i="12"/>
  <c r="D308" i="12"/>
  <c r="D313" i="12"/>
  <c r="D314" i="12"/>
  <c r="D323" i="12"/>
  <c r="D324" i="12"/>
  <c r="D325" i="12"/>
  <c r="D326" i="12"/>
  <c r="D327" i="12"/>
  <c r="D328" i="12"/>
  <c r="D329" i="12"/>
  <c r="D330" i="12"/>
  <c r="D331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4" i="12"/>
  <c r="D405" i="12"/>
  <c r="D406" i="12"/>
  <c r="D411" i="12"/>
  <c r="D412" i="12"/>
  <c r="D413" i="12"/>
  <c r="D414" i="12"/>
  <c r="D415" i="12"/>
  <c r="D416" i="12"/>
  <c r="D417" i="12"/>
  <c r="D418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7" i="12"/>
  <c r="A208" i="6"/>
  <c r="A1" i="20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O2" i="18"/>
  <c r="A206" i="6"/>
  <c r="A205" i="6"/>
  <c r="B3" i="16"/>
  <c r="C4" i="16"/>
  <c r="D4" i="16"/>
  <c r="E4" i="16"/>
  <c r="F4" i="16"/>
  <c r="G4" i="16"/>
  <c r="H4" i="16"/>
  <c r="I4" i="16"/>
  <c r="J4" i="16"/>
  <c r="K4" i="16"/>
  <c r="L4" i="16"/>
  <c r="M4" i="16"/>
  <c r="N4" i="16"/>
  <c r="O4" i="16"/>
  <c r="P4" i="16"/>
  <c r="B3" i="18"/>
  <c r="C4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J2" i="18"/>
  <c r="B2" i="18"/>
  <c r="P93" i="11"/>
  <c r="G93" i="11"/>
  <c r="O93" i="11"/>
  <c r="P92" i="11"/>
  <c r="E92" i="11"/>
  <c r="G92" i="11"/>
  <c r="H92" i="11"/>
  <c r="K92" i="11"/>
  <c r="G91" i="11"/>
  <c r="L91" i="11"/>
  <c r="M91" i="11"/>
  <c r="O91" i="11"/>
  <c r="P90" i="11"/>
  <c r="G90" i="11"/>
  <c r="H90" i="11"/>
  <c r="L90" i="11"/>
  <c r="O90" i="11"/>
  <c r="G89" i="11"/>
  <c r="H89" i="11"/>
  <c r="L89" i="11"/>
  <c r="M89" i="11"/>
  <c r="O89" i="11"/>
  <c r="P88" i="11"/>
  <c r="K88" i="11"/>
  <c r="L88" i="11"/>
  <c r="M88" i="11"/>
  <c r="N88" i="11"/>
  <c r="P87" i="11"/>
  <c r="G87" i="11"/>
  <c r="O87" i="11"/>
  <c r="H86" i="11"/>
  <c r="I86" i="11"/>
  <c r="K86" i="11"/>
  <c r="G85" i="11"/>
  <c r="H85" i="11"/>
  <c r="L85" i="11"/>
  <c r="O85" i="11"/>
  <c r="P84" i="11"/>
  <c r="I84" i="11"/>
  <c r="G83" i="11"/>
  <c r="I83" i="11"/>
  <c r="L83" i="11"/>
  <c r="O83" i="11"/>
  <c r="P82" i="11"/>
  <c r="E82" i="11"/>
  <c r="H82" i="11"/>
  <c r="M82" i="11"/>
  <c r="O82" i="11"/>
  <c r="H81" i="11"/>
  <c r="M81" i="11"/>
  <c r="P80" i="11"/>
  <c r="P5" i="11"/>
  <c r="J5" i="11"/>
  <c r="L5" i="11"/>
  <c r="P6" i="11"/>
  <c r="F6" i="11"/>
  <c r="G6" i="11"/>
  <c r="H6" i="11"/>
  <c r="O6" i="11"/>
  <c r="P7" i="11"/>
  <c r="J7" i="11"/>
  <c r="K7" i="11"/>
  <c r="L7" i="11"/>
  <c r="G8" i="11"/>
  <c r="H8" i="11"/>
  <c r="O8" i="11"/>
  <c r="P9" i="11"/>
  <c r="K9" i="11"/>
  <c r="L9" i="11"/>
  <c r="L10" i="11"/>
  <c r="N10" i="11"/>
  <c r="P11" i="11"/>
  <c r="L11" i="11"/>
  <c r="G12" i="11"/>
  <c r="K12" i="11"/>
  <c r="L12" i="11"/>
  <c r="P21" i="11"/>
  <c r="P23" i="11"/>
  <c r="P25" i="11"/>
  <c r="P27" i="11"/>
  <c r="P28" i="11"/>
  <c r="P32" i="11"/>
  <c r="P40" i="11"/>
  <c r="P54" i="11"/>
  <c r="P55" i="11"/>
  <c r="P60" i="11"/>
  <c r="P66" i="11"/>
  <c r="P72" i="11"/>
  <c r="P78" i="11"/>
  <c r="E25" i="11"/>
  <c r="E28" i="11"/>
  <c r="E31" i="11"/>
  <c r="E33" i="11"/>
  <c r="E35" i="11"/>
  <c r="E36" i="11"/>
  <c r="E39" i="11"/>
  <c r="E45" i="11"/>
  <c r="E49" i="11"/>
  <c r="E54" i="11"/>
  <c r="E55" i="11"/>
  <c r="E57" i="11"/>
  <c r="E59" i="11"/>
  <c r="E60" i="11"/>
  <c r="E61" i="11"/>
  <c r="E63" i="11"/>
  <c r="E65" i="11"/>
  <c r="E67" i="11"/>
  <c r="E69" i="11"/>
  <c r="E71" i="11"/>
  <c r="E73" i="11"/>
  <c r="E77" i="11"/>
  <c r="E79" i="11"/>
  <c r="F13" i="11"/>
  <c r="F15" i="11"/>
  <c r="F19" i="11"/>
  <c r="F21" i="11"/>
  <c r="F43" i="11"/>
  <c r="F55" i="11"/>
  <c r="G13" i="11"/>
  <c r="G15" i="11"/>
  <c r="G19" i="11"/>
  <c r="G21" i="11"/>
  <c r="G23" i="11"/>
  <c r="G29" i="11"/>
  <c r="G31" i="11"/>
  <c r="G33" i="11"/>
  <c r="G37" i="11"/>
  <c r="G41" i="11"/>
  <c r="G43" i="11"/>
  <c r="G45" i="11"/>
  <c r="G47" i="11"/>
  <c r="G51" i="11"/>
  <c r="G53" i="11"/>
  <c r="G58" i="11"/>
  <c r="G63" i="11"/>
  <c r="G65" i="11"/>
  <c r="G67" i="11"/>
  <c r="G69" i="11"/>
  <c r="G71" i="11"/>
  <c r="G73" i="11"/>
  <c r="G77" i="11"/>
  <c r="H14" i="11"/>
  <c r="H15" i="11"/>
  <c r="H19" i="11"/>
  <c r="H31" i="11"/>
  <c r="H32" i="11"/>
  <c r="H39" i="11"/>
  <c r="H40" i="11"/>
  <c r="H45" i="11"/>
  <c r="H46" i="11"/>
  <c r="H51" i="11"/>
  <c r="H64" i="11"/>
  <c r="H65" i="11"/>
  <c r="I20" i="11"/>
  <c r="I22" i="11"/>
  <c r="I24" i="11"/>
  <c r="I28" i="11"/>
  <c r="I30" i="11"/>
  <c r="I42" i="11"/>
  <c r="I44" i="11"/>
  <c r="I46" i="11"/>
  <c r="I48" i="11"/>
  <c r="I58" i="11"/>
  <c r="I60" i="11"/>
  <c r="I64" i="11"/>
  <c r="I66" i="11"/>
  <c r="I68" i="11"/>
  <c r="I70" i="11"/>
  <c r="I72" i="11"/>
  <c r="I74" i="11"/>
  <c r="I78" i="11"/>
  <c r="J14" i="11"/>
  <c r="J20" i="11"/>
  <c r="J26" i="11"/>
  <c r="J28" i="11"/>
  <c r="J32" i="11"/>
  <c r="J44" i="11"/>
  <c r="J56" i="11"/>
  <c r="J58" i="11"/>
  <c r="K16" i="11"/>
  <c r="K18" i="11"/>
  <c r="K22" i="11"/>
  <c r="K24" i="11"/>
  <c r="K28" i="11"/>
  <c r="K30" i="11"/>
  <c r="K32" i="11"/>
  <c r="K34" i="11"/>
  <c r="K36" i="11"/>
  <c r="K38" i="11"/>
  <c r="K40" i="11"/>
  <c r="K50" i="11"/>
  <c r="K52" i="11"/>
  <c r="K54" i="11"/>
  <c r="K56" i="11"/>
  <c r="K57" i="11"/>
  <c r="K62" i="11"/>
  <c r="K64" i="11"/>
  <c r="K66" i="11"/>
  <c r="K68" i="11"/>
  <c r="K70" i="11"/>
  <c r="K72" i="11"/>
  <c r="L13" i="11"/>
  <c r="L20" i="11"/>
  <c r="L21" i="11"/>
  <c r="L22" i="11"/>
  <c r="L27" i="11"/>
  <c r="L33" i="11"/>
  <c r="L49" i="11"/>
  <c r="L52" i="11"/>
  <c r="L72" i="11"/>
  <c r="L73" i="11"/>
  <c r="L77" i="11"/>
  <c r="L78" i="11"/>
  <c r="M13" i="11"/>
  <c r="M15" i="11"/>
  <c r="M17" i="11"/>
  <c r="M22" i="11"/>
  <c r="M29" i="11"/>
  <c r="M31" i="11"/>
  <c r="M35" i="11"/>
  <c r="M39" i="11"/>
  <c r="M40" i="11"/>
  <c r="M48" i="11"/>
  <c r="M49" i="11"/>
  <c r="M57" i="11"/>
  <c r="M59" i="11"/>
  <c r="M61" i="11"/>
  <c r="M62" i="11"/>
  <c r="M63" i="11"/>
  <c r="M65" i="11"/>
  <c r="M67" i="11"/>
  <c r="M69" i="11"/>
  <c r="M71" i="11"/>
  <c r="M73" i="11"/>
  <c r="M77" i="11"/>
  <c r="M79" i="11"/>
  <c r="N15" i="11"/>
  <c r="N17" i="11"/>
  <c r="N23" i="11"/>
  <c r="N25" i="11"/>
  <c r="N27" i="11"/>
  <c r="N51" i="11"/>
  <c r="N59" i="11"/>
  <c r="N69" i="11"/>
  <c r="N73" i="11"/>
  <c r="O13" i="11"/>
  <c r="O19" i="11"/>
  <c r="O23" i="11"/>
  <c r="O25" i="11"/>
  <c r="O27" i="11"/>
  <c r="O29" i="11"/>
  <c r="O31" i="11"/>
  <c r="O33" i="11"/>
  <c r="O35" i="11"/>
  <c r="O37" i="11"/>
  <c r="O40" i="11"/>
  <c r="O41" i="11"/>
  <c r="O43" i="11"/>
  <c r="O45" i="11"/>
  <c r="O47" i="11"/>
  <c r="O49" i="11"/>
  <c r="O51" i="11"/>
  <c r="O53" i="11"/>
  <c r="O55" i="11"/>
  <c r="O57" i="11"/>
  <c r="O63" i="11"/>
  <c r="O65" i="11"/>
  <c r="O67" i="11"/>
  <c r="O69" i="11"/>
  <c r="O71" i="11"/>
  <c r="O73" i="11"/>
  <c r="O75" i="11"/>
  <c r="O77" i="11"/>
  <c r="O79" i="11"/>
  <c r="P127" i="11"/>
  <c r="P129" i="11"/>
  <c r="P121" i="11"/>
  <c r="P123" i="11"/>
  <c r="P113" i="11"/>
  <c r="P251" i="11"/>
  <c r="P223" i="11"/>
  <c r="P224" i="11"/>
  <c r="P227" i="11"/>
  <c r="P228" i="11"/>
  <c r="P236" i="11"/>
  <c r="P239" i="11"/>
  <c r="P210" i="11"/>
  <c r="P212" i="11"/>
  <c r="P219" i="11"/>
  <c r="P221" i="11"/>
  <c r="P203" i="11"/>
  <c r="P179" i="11"/>
  <c r="P187" i="11"/>
  <c r="P168" i="11"/>
  <c r="P169" i="11"/>
  <c r="P262" i="11"/>
  <c r="P263" i="11"/>
  <c r="P260" i="11"/>
  <c r="P264" i="11"/>
  <c r="P272" i="11"/>
  <c r="P274" i="11"/>
  <c r="P277" i="11"/>
  <c r="P279" i="11"/>
  <c r="P281" i="11"/>
  <c r="P289" i="11"/>
  <c r="E129" i="11"/>
  <c r="E115" i="11"/>
  <c r="E263" i="11"/>
  <c r="E260" i="11"/>
  <c r="E250" i="11"/>
  <c r="E256" i="11"/>
  <c r="E224" i="11"/>
  <c r="E228" i="11"/>
  <c r="E236" i="11"/>
  <c r="E238" i="11"/>
  <c r="E240" i="11"/>
  <c r="E213" i="11"/>
  <c r="E214" i="11"/>
  <c r="E217" i="11"/>
  <c r="E222" i="11"/>
  <c r="E205" i="11"/>
  <c r="E206" i="11"/>
  <c r="E207" i="11"/>
  <c r="E208" i="11"/>
  <c r="E190" i="11"/>
  <c r="E187" i="11"/>
  <c r="E197" i="11"/>
  <c r="E170" i="11"/>
  <c r="E167" i="11"/>
  <c r="E133" i="11"/>
  <c r="E267" i="11"/>
  <c r="E269" i="11"/>
  <c r="E279" i="11"/>
  <c r="E295" i="11"/>
  <c r="E297" i="11"/>
  <c r="E298" i="11"/>
  <c r="I298" i="11"/>
  <c r="J298" i="11"/>
  <c r="P297" i="11"/>
  <c r="F297" i="11"/>
  <c r="G297" i="11"/>
  <c r="J297" i="11"/>
  <c r="M297" i="11"/>
  <c r="N297" i="11"/>
  <c r="O297" i="11"/>
  <c r="J296" i="11"/>
  <c r="K296" i="11"/>
  <c r="L296" i="11"/>
  <c r="N296" i="11"/>
  <c r="P295" i="11"/>
  <c r="F295" i="11"/>
  <c r="G295" i="11"/>
  <c r="H295" i="11"/>
  <c r="M295" i="11"/>
  <c r="N295" i="11"/>
  <c r="O295" i="11"/>
  <c r="H294" i="11"/>
  <c r="I294" i="11"/>
  <c r="J294" i="11"/>
  <c r="K294" i="11"/>
  <c r="M294" i="11"/>
  <c r="N294" i="11"/>
  <c r="P293" i="11"/>
  <c r="F293" i="11"/>
  <c r="H293" i="11"/>
  <c r="N293" i="11"/>
  <c r="P292" i="11"/>
  <c r="F292" i="11"/>
  <c r="G292" i="11"/>
  <c r="H292" i="11"/>
  <c r="J292" i="11"/>
  <c r="P291" i="11"/>
  <c r="F291" i="11"/>
  <c r="H291" i="11"/>
  <c r="I291" i="11"/>
  <c r="K291" i="11"/>
  <c r="N291" i="11"/>
  <c r="P290" i="11"/>
  <c r="H290" i="11"/>
  <c r="J290" i="11"/>
  <c r="N290" i="11"/>
  <c r="E321" i="12"/>
  <c r="F321" i="12"/>
  <c r="F288" i="11"/>
  <c r="F289" i="11"/>
  <c r="H288" i="11"/>
  <c r="H289" i="11"/>
  <c r="J288" i="11"/>
  <c r="L288" i="11"/>
  <c r="L289" i="11"/>
  <c r="M288" i="11"/>
  <c r="N289" i="11"/>
  <c r="F279" i="11"/>
  <c r="F281" i="11"/>
  <c r="G280" i="11"/>
  <c r="H280" i="11"/>
  <c r="H281" i="11"/>
  <c r="J280" i="11"/>
  <c r="K281" i="11"/>
  <c r="L279" i="11"/>
  <c r="L281" i="11"/>
  <c r="N279" i="11"/>
  <c r="N281" i="11"/>
  <c r="H287" i="11"/>
  <c r="P285" i="11"/>
  <c r="F285" i="11"/>
  <c r="H285" i="11"/>
  <c r="K285" i="11"/>
  <c r="N285" i="11"/>
  <c r="H284" i="11"/>
  <c r="P283" i="11"/>
  <c r="E283" i="11"/>
  <c r="L283" i="11"/>
  <c r="M283" i="11"/>
  <c r="N283" i="11"/>
  <c r="P282" i="11"/>
  <c r="G282" i="11"/>
  <c r="H282" i="11"/>
  <c r="J282" i="11"/>
  <c r="L282" i="11"/>
  <c r="F276" i="11"/>
  <c r="F277" i="11"/>
  <c r="G270" i="11"/>
  <c r="H265" i="11"/>
  <c r="H269" i="11"/>
  <c r="H271" i="11"/>
  <c r="I264" i="11"/>
  <c r="I266" i="11"/>
  <c r="I267" i="11"/>
  <c r="I268" i="11"/>
  <c r="I272" i="11"/>
  <c r="J277" i="11"/>
  <c r="K264" i="11"/>
  <c r="K270" i="11"/>
  <c r="K272" i="11"/>
  <c r="L266" i="11"/>
  <c r="L274" i="11"/>
  <c r="L276" i="11"/>
  <c r="L277" i="11"/>
  <c r="M265" i="11"/>
  <c r="M267" i="11"/>
  <c r="M269" i="11"/>
  <c r="M271" i="11"/>
  <c r="M273" i="11"/>
  <c r="N275" i="11"/>
  <c r="N277" i="11"/>
  <c r="O270" i="11"/>
  <c r="O273" i="11"/>
  <c r="G97" i="11"/>
  <c r="G118" i="11"/>
  <c r="G121" i="11"/>
  <c r="G106" i="11"/>
  <c r="G115" i="11"/>
  <c r="G250" i="11"/>
  <c r="G252" i="11"/>
  <c r="G253" i="11"/>
  <c r="G256" i="11"/>
  <c r="G224" i="11"/>
  <c r="G237" i="11"/>
  <c r="G238" i="11"/>
  <c r="G239" i="11"/>
  <c r="G240" i="11"/>
  <c r="G241" i="11"/>
  <c r="G242" i="11"/>
  <c r="G211" i="11"/>
  <c r="G214" i="11"/>
  <c r="G220" i="11"/>
  <c r="G202" i="11"/>
  <c r="G203" i="11"/>
  <c r="G189" i="11"/>
  <c r="G190" i="11"/>
  <c r="G187" i="11"/>
  <c r="G174" i="11"/>
  <c r="G171" i="11"/>
  <c r="G172" i="11"/>
  <c r="G173" i="11"/>
  <c r="G133" i="11"/>
  <c r="G260" i="11"/>
  <c r="H103" i="11"/>
  <c r="H127" i="11"/>
  <c r="H117" i="11"/>
  <c r="H123" i="11"/>
  <c r="H111" i="11"/>
  <c r="H112" i="11"/>
  <c r="H252" i="11"/>
  <c r="H253" i="11"/>
  <c r="H256" i="11"/>
  <c r="H223" i="11"/>
  <c r="H227" i="11"/>
  <c r="H232" i="11"/>
  <c r="H233" i="11"/>
  <c r="H237" i="11"/>
  <c r="H239" i="11"/>
  <c r="H214" i="11"/>
  <c r="H216" i="11"/>
  <c r="H199" i="11"/>
  <c r="H200" i="11"/>
  <c r="H201" i="11"/>
  <c r="H203" i="11"/>
  <c r="H208" i="11"/>
  <c r="H192" i="11"/>
  <c r="H174" i="11"/>
  <c r="H175" i="11"/>
  <c r="H168" i="11"/>
  <c r="H173" i="11"/>
  <c r="H263" i="11"/>
  <c r="H259" i="11"/>
  <c r="I98" i="11"/>
  <c r="I103" i="11"/>
  <c r="I126" i="11"/>
  <c r="I123" i="11"/>
  <c r="I108" i="11"/>
  <c r="I110" i="11"/>
  <c r="I249" i="11"/>
  <c r="I255" i="11"/>
  <c r="I224" i="11"/>
  <c r="I232" i="11"/>
  <c r="I238" i="11"/>
  <c r="I240" i="11"/>
  <c r="I209" i="11"/>
  <c r="I210" i="11"/>
  <c r="I218" i="11"/>
  <c r="I199" i="11"/>
  <c r="I200" i="11"/>
  <c r="I203" i="11"/>
  <c r="I206" i="11"/>
  <c r="I207" i="11"/>
  <c r="I179" i="11"/>
  <c r="I187" i="11"/>
  <c r="I174" i="11"/>
  <c r="I168" i="11"/>
  <c r="I169" i="11"/>
  <c r="I170" i="11"/>
  <c r="I262" i="11"/>
  <c r="I259" i="11"/>
  <c r="I260" i="11"/>
  <c r="J128" i="11"/>
  <c r="J119" i="11"/>
  <c r="J104" i="11"/>
  <c r="J107" i="11"/>
  <c r="J115" i="11"/>
  <c r="J251" i="11"/>
  <c r="J255" i="11"/>
  <c r="J231" i="11"/>
  <c r="J232" i="11"/>
  <c r="J235" i="11"/>
  <c r="J239" i="11"/>
  <c r="J213" i="11"/>
  <c r="J216" i="11"/>
  <c r="J221" i="11"/>
  <c r="J204" i="11"/>
  <c r="J205" i="11"/>
  <c r="J206" i="11"/>
  <c r="J208" i="11"/>
  <c r="J189" i="11"/>
  <c r="J192" i="11"/>
  <c r="J169" i="11"/>
  <c r="J170" i="11"/>
  <c r="J171" i="11"/>
  <c r="J172" i="11"/>
  <c r="J263" i="11"/>
  <c r="K98" i="11"/>
  <c r="K103" i="11"/>
  <c r="K127" i="11"/>
  <c r="K123" i="11"/>
  <c r="K104" i="11"/>
  <c r="K110" i="11"/>
  <c r="K112" i="11"/>
  <c r="K249" i="11"/>
  <c r="K251" i="11"/>
  <c r="K255" i="11"/>
  <c r="K223" i="11"/>
  <c r="K228" i="11"/>
  <c r="K229" i="11"/>
  <c r="K230" i="11"/>
  <c r="K231" i="11"/>
  <c r="K236" i="11"/>
  <c r="K237" i="11"/>
  <c r="K238" i="11"/>
  <c r="K240" i="11"/>
  <c r="K209" i="11"/>
  <c r="K210" i="11"/>
  <c r="K216" i="11"/>
  <c r="K218" i="11"/>
  <c r="K202" i="11"/>
  <c r="K203" i="11"/>
  <c r="K204" i="11"/>
  <c r="K179" i="11"/>
  <c r="K197" i="11"/>
  <c r="K175" i="11"/>
  <c r="K171" i="11"/>
  <c r="K172" i="11"/>
  <c r="K173" i="11"/>
  <c r="K133" i="11"/>
  <c r="K262" i="11"/>
  <c r="K263" i="11"/>
  <c r="K260" i="11"/>
  <c r="K261" i="11"/>
  <c r="L97" i="11"/>
  <c r="L118" i="11"/>
  <c r="L119" i="11"/>
  <c r="L123" i="11"/>
  <c r="L107" i="11"/>
  <c r="L109" i="11"/>
  <c r="L110" i="11"/>
  <c r="L115" i="11"/>
  <c r="L255" i="11"/>
  <c r="L228" i="11"/>
  <c r="L236" i="11"/>
  <c r="L237" i="11"/>
  <c r="L238" i="11"/>
  <c r="L210" i="11"/>
  <c r="L211" i="11"/>
  <c r="L213" i="11"/>
  <c r="L219" i="11"/>
  <c r="L220" i="11"/>
  <c r="L222" i="11"/>
  <c r="L200" i="11"/>
  <c r="L201" i="11"/>
  <c r="L203" i="11"/>
  <c r="L208" i="11"/>
  <c r="L179" i="11"/>
  <c r="L187" i="11"/>
  <c r="L174" i="11"/>
  <c r="L168" i="11"/>
  <c r="L173" i="11"/>
  <c r="L262" i="11"/>
  <c r="L260" i="11"/>
  <c r="M97" i="11"/>
  <c r="M103" i="11"/>
  <c r="M128" i="11"/>
  <c r="M129" i="11"/>
  <c r="M118" i="11"/>
  <c r="M104" i="11"/>
  <c r="M107" i="11"/>
  <c r="M108" i="11"/>
  <c r="M112" i="11"/>
  <c r="M115" i="11"/>
  <c r="M250" i="11"/>
  <c r="M252" i="11"/>
  <c r="M253" i="11"/>
  <c r="M256" i="11"/>
  <c r="M229" i="11"/>
  <c r="M232" i="11"/>
  <c r="M238" i="11"/>
  <c r="M240" i="11"/>
  <c r="M241" i="11"/>
  <c r="M212" i="11"/>
  <c r="M213" i="11"/>
  <c r="M214" i="11"/>
  <c r="M222" i="11"/>
  <c r="M199" i="11"/>
  <c r="M200" i="11"/>
  <c r="M206" i="11"/>
  <c r="M208" i="11"/>
  <c r="M190" i="11"/>
  <c r="M168" i="11"/>
  <c r="M169" i="11"/>
  <c r="M170" i="11"/>
  <c r="M133" i="11"/>
  <c r="M263" i="11"/>
  <c r="M259" i="11"/>
  <c r="M260" i="11"/>
  <c r="M261" i="11"/>
  <c r="N96" i="11"/>
  <c r="N103" i="11"/>
  <c r="N126" i="11"/>
  <c r="N128" i="11"/>
  <c r="N121" i="11"/>
  <c r="N111" i="11"/>
  <c r="N113" i="11"/>
  <c r="N250" i="11"/>
  <c r="N253" i="11"/>
  <c r="N223" i="11"/>
  <c r="N224" i="11"/>
  <c r="N228" i="11"/>
  <c r="N229" i="11"/>
  <c r="N231" i="11"/>
  <c r="N236" i="11"/>
  <c r="N238" i="11"/>
  <c r="N209" i="11"/>
  <c r="N210" i="11"/>
  <c r="N211" i="11"/>
  <c r="N216" i="11"/>
  <c r="N217" i="11"/>
  <c r="N218" i="11"/>
  <c r="N219" i="11"/>
  <c r="N199" i="11"/>
  <c r="N203" i="11"/>
  <c r="N204" i="11"/>
  <c r="N205" i="11"/>
  <c r="N207" i="11"/>
  <c r="N187" i="11"/>
  <c r="N197" i="11"/>
  <c r="N174" i="11"/>
  <c r="N169" i="11"/>
  <c r="N263" i="11"/>
  <c r="O97" i="11"/>
  <c r="O126" i="11"/>
  <c r="O117" i="11"/>
  <c r="O119" i="11"/>
  <c r="O105" i="11"/>
  <c r="O107" i="11"/>
  <c r="O108" i="11"/>
  <c r="O114" i="11"/>
  <c r="O250" i="11"/>
  <c r="O252" i="11"/>
  <c r="O256" i="11"/>
  <c r="O223" i="11"/>
  <c r="O228" i="11"/>
  <c r="O229" i="11"/>
  <c r="O231" i="11"/>
  <c r="O236" i="11"/>
  <c r="O237" i="11"/>
  <c r="O238" i="11"/>
  <c r="O240" i="11"/>
  <c r="O241" i="11"/>
  <c r="O211" i="11"/>
  <c r="O220" i="11"/>
  <c r="O221" i="11"/>
  <c r="O222" i="11"/>
  <c r="O201" i="11"/>
  <c r="O202" i="11"/>
  <c r="O203" i="11"/>
  <c r="O205" i="11"/>
  <c r="O187" i="11"/>
  <c r="O175" i="11"/>
  <c r="O171" i="11"/>
  <c r="O172" i="11"/>
  <c r="O173" i="11"/>
  <c r="O133" i="11"/>
  <c r="O260" i="11"/>
  <c r="O261" i="11"/>
  <c r="F126" i="11"/>
  <c r="F128" i="11"/>
  <c r="F104" i="11"/>
  <c r="F112" i="11"/>
  <c r="F103" i="11"/>
  <c r="F263" i="11"/>
  <c r="F259" i="11"/>
  <c r="F252" i="11"/>
  <c r="F253" i="11"/>
  <c r="F256" i="11"/>
  <c r="F224" i="11"/>
  <c r="F228" i="11"/>
  <c r="F236" i="11"/>
  <c r="F237" i="11"/>
  <c r="F238" i="11"/>
  <c r="F209" i="11"/>
  <c r="F210" i="11"/>
  <c r="F217" i="11"/>
  <c r="F219" i="11"/>
  <c r="F199" i="11"/>
  <c r="F203" i="11"/>
  <c r="F204" i="11"/>
  <c r="F205" i="11"/>
  <c r="F189" i="11"/>
  <c r="F187" i="11"/>
  <c r="F175" i="11"/>
  <c r="F169" i="11"/>
  <c r="F172" i="11"/>
  <c r="E152" i="12"/>
  <c r="F152" i="12"/>
  <c r="E77" i="12"/>
  <c r="F77" i="12"/>
  <c r="E70" i="12"/>
  <c r="F70" i="12"/>
  <c r="C72" i="6"/>
  <c r="C105" i="9"/>
  <c r="G109" i="9"/>
  <c r="O79" i="5"/>
  <c r="Q79" i="5"/>
  <c r="O236" i="5"/>
  <c r="Q236" i="5"/>
  <c r="O234" i="5"/>
  <c r="E234" i="12"/>
  <c r="F234" i="12"/>
  <c r="Q234" i="5"/>
  <c r="O232" i="5"/>
  <c r="Q232" i="5"/>
  <c r="O9" i="5"/>
  <c r="E9" i="12"/>
  <c r="F9" i="12"/>
  <c r="Q9" i="5"/>
  <c r="O12" i="5"/>
  <c r="E12" i="12"/>
  <c r="F12" i="12"/>
  <c r="O21" i="5"/>
  <c r="O23" i="5"/>
  <c r="Q23" i="5"/>
  <c r="O24" i="5"/>
  <c r="P24" i="5"/>
  <c r="Q24" i="5"/>
  <c r="O37" i="5"/>
  <c r="O39" i="5"/>
  <c r="O50" i="5"/>
  <c r="Q50" i="5"/>
  <c r="O52" i="5"/>
  <c r="Q52" i="5"/>
  <c r="O57" i="5"/>
  <c r="Q57" i="5"/>
  <c r="O59" i="5"/>
  <c r="E59" i="12"/>
  <c r="F59" i="12"/>
  <c r="O61" i="5"/>
  <c r="E61" i="12"/>
  <c r="F61" i="12"/>
  <c r="O63" i="5"/>
  <c r="Q63" i="5"/>
  <c r="O64" i="5"/>
  <c r="E64" i="12"/>
  <c r="Q64" i="5"/>
  <c r="O65" i="5"/>
  <c r="Q65" i="5"/>
  <c r="O67" i="5"/>
  <c r="O69" i="5"/>
  <c r="Q69" i="5"/>
  <c r="O135" i="5"/>
  <c r="Q135" i="5"/>
  <c r="O167" i="5"/>
  <c r="Q167" i="5"/>
  <c r="O203" i="5"/>
  <c r="Q203" i="5"/>
  <c r="O256" i="5"/>
  <c r="E256" i="12"/>
  <c r="F256" i="12"/>
  <c r="Q256" i="5"/>
  <c r="O258" i="5"/>
  <c r="E258" i="12"/>
  <c r="F258" i="12"/>
  <c r="O270" i="5"/>
  <c r="O315" i="5"/>
  <c r="Q315" i="5"/>
  <c r="O320" i="5"/>
  <c r="Q320" i="5"/>
  <c r="O322" i="5"/>
  <c r="Q322" i="5"/>
  <c r="O409" i="5"/>
  <c r="E409" i="12"/>
  <c r="F409" i="12"/>
  <c r="O437" i="5"/>
  <c r="P437" i="5"/>
  <c r="Q437" i="5"/>
  <c r="B6" i="17"/>
  <c r="Q6" i="17"/>
  <c r="B5" i="17"/>
  <c r="X1" i="6"/>
  <c r="X25" i="6"/>
  <c r="W1" i="6"/>
  <c r="R4" i="12"/>
  <c r="V1" i="6"/>
  <c r="V25" i="6"/>
  <c r="U1" i="6"/>
  <c r="U25" i="6"/>
  <c r="T1" i="6"/>
  <c r="T25" i="6"/>
  <c r="S1" i="6"/>
  <c r="S25" i="6"/>
  <c r="R1" i="6"/>
  <c r="Q1" i="6"/>
  <c r="Q25" i="6"/>
  <c r="P1" i="6"/>
  <c r="P25" i="6"/>
  <c r="O1" i="6"/>
  <c r="O25" i="6"/>
  <c r="N1" i="6"/>
  <c r="I4" i="12"/>
  <c r="M1" i="6"/>
  <c r="M25" i="6"/>
  <c r="L1" i="6"/>
  <c r="L25" i="6"/>
  <c r="K1" i="6"/>
  <c r="K25" i="6"/>
  <c r="J1" i="6"/>
  <c r="A115" i="21"/>
  <c r="O422" i="5"/>
  <c r="P422" i="5"/>
  <c r="O421" i="5"/>
  <c r="O419" i="5"/>
  <c r="P419" i="5"/>
  <c r="O410" i="5"/>
  <c r="O339" i="5"/>
  <c r="P339" i="5"/>
  <c r="O338" i="5"/>
  <c r="E338" i="12"/>
  <c r="F338" i="12"/>
  <c r="Q338" i="5"/>
  <c r="O337" i="5"/>
  <c r="Q337" i="5"/>
  <c r="O335" i="5"/>
  <c r="E335" i="12"/>
  <c r="F335" i="12"/>
  <c r="O334" i="5"/>
  <c r="O332" i="5"/>
  <c r="Q332" i="5"/>
  <c r="O318" i="5"/>
  <c r="Q318" i="5"/>
  <c r="O317" i="5"/>
  <c r="Q317" i="5"/>
  <c r="O309" i="5"/>
  <c r="O304" i="5"/>
  <c r="O303" i="5"/>
  <c r="E303" i="12"/>
  <c r="F303" i="12"/>
  <c r="O301" i="5"/>
  <c r="O300" i="5"/>
  <c r="O298" i="5"/>
  <c r="P298" i="5"/>
  <c r="Q298" i="5"/>
  <c r="O291" i="5"/>
  <c r="Q291" i="5"/>
  <c r="O290" i="5"/>
  <c r="Q290" i="5"/>
  <c r="O288" i="5"/>
  <c r="Q288" i="5"/>
  <c r="O268" i="5"/>
  <c r="P268" i="5"/>
  <c r="Q268" i="5"/>
  <c r="O266" i="5"/>
  <c r="O264" i="5"/>
  <c r="E264" i="12"/>
  <c r="F264" i="12"/>
  <c r="O262" i="5"/>
  <c r="Q262" i="5"/>
  <c r="O250" i="5"/>
  <c r="E250" i="12"/>
  <c r="F250" i="12"/>
  <c r="Q250" i="5"/>
  <c r="O249" i="5"/>
  <c r="Q249" i="5"/>
  <c r="O247" i="5"/>
  <c r="E247" i="12"/>
  <c r="F247" i="12"/>
  <c r="O245" i="5"/>
  <c r="Q245" i="5"/>
  <c r="O224" i="5"/>
  <c r="E224" i="12"/>
  <c r="F224" i="12"/>
  <c r="Q224" i="5"/>
  <c r="O222" i="5"/>
  <c r="E222" i="12"/>
  <c r="F222" i="12"/>
  <c r="Q222" i="5"/>
  <c r="O205" i="5"/>
  <c r="Q205" i="5"/>
  <c r="O198" i="5"/>
  <c r="O196" i="5"/>
  <c r="Q196" i="5"/>
  <c r="O181" i="5"/>
  <c r="E181" i="12"/>
  <c r="F181" i="12"/>
  <c r="Q181" i="5"/>
  <c r="O179" i="5"/>
  <c r="Q179" i="5"/>
  <c r="O165" i="5"/>
  <c r="E165" i="12"/>
  <c r="F165" i="12"/>
  <c r="O150" i="5"/>
  <c r="O132" i="5"/>
  <c r="Q132" i="5"/>
  <c r="O127" i="5"/>
  <c r="P127" i="5"/>
  <c r="O125" i="5"/>
  <c r="Q125" i="5"/>
  <c r="O118" i="5"/>
  <c r="P118" i="5"/>
  <c r="Q118" i="5"/>
  <c r="O116" i="5"/>
  <c r="O88" i="5"/>
  <c r="E88" i="12"/>
  <c r="F88" i="12"/>
  <c r="O86" i="5"/>
  <c r="Q86" i="5"/>
  <c r="B2" i="16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B2" i="5"/>
  <c r="B3" i="5"/>
  <c r="O3" i="5"/>
  <c r="C1" i="12"/>
  <c r="C2" i="12"/>
  <c r="D3" i="12"/>
  <c r="A7" i="12"/>
  <c r="A8" i="12"/>
  <c r="A9" i="12"/>
  <c r="A10" i="12"/>
  <c r="A11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5" i="12"/>
  <c r="A86" i="12"/>
  <c r="A87" i="12"/>
  <c r="A88" i="12"/>
  <c r="A89" i="12"/>
  <c r="A90" i="12"/>
  <c r="A91" i="12"/>
  <c r="A92" i="12"/>
  <c r="A93" i="12"/>
  <c r="A94" i="12"/>
  <c r="A96" i="12"/>
  <c r="A97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1" i="12"/>
  <c r="A142" i="12"/>
  <c r="A143" i="12"/>
  <c r="A144" i="12"/>
  <c r="A145" i="12"/>
  <c r="A146" i="12"/>
  <c r="A147" i="12"/>
  <c r="A148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3" i="12"/>
  <c r="A184" i="12"/>
  <c r="A185" i="12"/>
  <c r="A186" i="12"/>
  <c r="A187" i="12"/>
  <c r="A188" i="12"/>
  <c r="A189" i="12"/>
  <c r="A190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1" i="6"/>
  <c r="B94" i="9"/>
  <c r="A2" i="6"/>
  <c r="A50" i="6"/>
  <c r="O134" i="5"/>
  <c r="Q134" i="5"/>
  <c r="P152" i="5"/>
  <c r="O407" i="5"/>
  <c r="E407" i="12"/>
  <c r="F407" i="12"/>
  <c r="O312" i="5"/>
  <c r="Q312" i="5"/>
  <c r="O311" i="5"/>
  <c r="Q311" i="5"/>
  <c r="O130" i="5"/>
  <c r="Q130" i="5"/>
  <c r="O271" i="5"/>
  <c r="Q271" i="5"/>
  <c r="P321" i="5"/>
  <c r="O163" i="5"/>
  <c r="Q163" i="5"/>
  <c r="O168" i="5"/>
  <c r="Q168" i="5"/>
  <c r="Q150" i="5"/>
  <c r="E149" i="12"/>
  <c r="F149" i="12"/>
  <c r="L333" i="5"/>
  <c r="Q333" i="12"/>
  <c r="D333" i="5"/>
  <c r="D60" i="17"/>
  <c r="N333" i="5"/>
  <c r="S333" i="12"/>
  <c r="E311" i="12"/>
  <c r="F311" i="12"/>
  <c r="E196" i="12"/>
  <c r="F196" i="12"/>
  <c r="E271" i="12"/>
  <c r="F271" i="12"/>
  <c r="E301" i="12"/>
  <c r="F301" i="12"/>
  <c r="P270" i="5"/>
  <c r="Q270" i="5"/>
  <c r="P65" i="5"/>
  <c r="E339" i="12"/>
  <c r="F339" i="12"/>
  <c r="P181" i="5"/>
  <c r="P39" i="5"/>
  <c r="P303" i="5"/>
  <c r="E422" i="12"/>
  <c r="F422" i="12"/>
  <c r="E322" i="12"/>
  <c r="F322" i="12"/>
  <c r="P79" i="5"/>
  <c r="P337" i="5"/>
  <c r="P165" i="5"/>
  <c r="E315" i="12"/>
  <c r="F315" i="12"/>
  <c r="Q300" i="5"/>
  <c r="L420" i="5"/>
  <c r="Q420" i="12"/>
  <c r="P288" i="5"/>
  <c r="P245" i="5"/>
  <c r="P64" i="5"/>
  <c r="P125" i="5"/>
  <c r="P196" i="5"/>
  <c r="P198" i="5"/>
  <c r="P271" i="5"/>
  <c r="P264" i="5"/>
  <c r="Q264" i="5"/>
  <c r="N316" i="5"/>
  <c r="N56" i="17"/>
  <c r="D420" i="5"/>
  <c r="I420" i="12"/>
  <c r="Q301" i="5"/>
  <c r="E334" i="12"/>
  <c r="F334" i="12"/>
  <c r="P421" i="5"/>
  <c r="P222" i="5"/>
  <c r="Q334" i="5"/>
  <c r="E79" i="12"/>
  <c r="P63" i="5"/>
  <c r="P132" i="5"/>
  <c r="P266" i="5"/>
  <c r="Q266" i="5"/>
  <c r="P205" i="5"/>
  <c r="P203" i="5"/>
  <c r="P335" i="5"/>
  <c r="Q335" i="5"/>
  <c r="H310" i="5"/>
  <c r="M310" i="12"/>
  <c r="E421" i="12"/>
  <c r="F421" i="12"/>
  <c r="E203" i="12"/>
  <c r="F203" i="12"/>
  <c r="P332" i="5"/>
  <c r="P224" i="5"/>
  <c r="D310" i="5"/>
  <c r="D55" i="17"/>
  <c r="P150" i="5"/>
  <c r="P163" i="5"/>
  <c r="E270" i="12"/>
  <c r="F270" i="12"/>
  <c r="E65" i="12"/>
  <c r="F65" i="12"/>
  <c r="E410" i="12"/>
  <c r="F410" i="12"/>
  <c r="P9" i="5"/>
  <c r="P52" i="5"/>
  <c r="P318" i="5"/>
  <c r="P410" i="5"/>
  <c r="E320" i="12"/>
  <c r="F320" i="12"/>
  <c r="E163" i="12"/>
  <c r="F163" i="12"/>
  <c r="E318" i="12"/>
  <c r="F318" i="12"/>
  <c r="E245" i="12"/>
  <c r="E23" i="12"/>
  <c r="F23" i="12"/>
  <c r="P311" i="5"/>
  <c r="E150" i="12"/>
  <c r="F150" i="12"/>
  <c r="E268" i="12"/>
  <c r="F268" i="12"/>
  <c r="J316" i="5"/>
  <c r="F316" i="5"/>
  <c r="K316" i="12"/>
  <c r="F56" i="17"/>
  <c r="E132" i="12"/>
  <c r="F132" i="12"/>
  <c r="E205" i="12"/>
  <c r="F205" i="12"/>
  <c r="E266" i="12"/>
  <c r="F266" i="12"/>
  <c r="E300" i="12"/>
  <c r="F300" i="12"/>
  <c r="G299" i="5"/>
  <c r="L299" i="12"/>
  <c r="N310" i="5"/>
  <c r="N55" i="17"/>
  <c r="P278" i="11"/>
  <c r="F64" i="12"/>
  <c r="E216" i="12"/>
  <c r="F216" i="12"/>
  <c r="F79" i="12"/>
  <c r="F245" i="12"/>
  <c r="F257" i="11"/>
  <c r="H257" i="11"/>
  <c r="J257" i="11"/>
  <c r="L257" i="11"/>
  <c r="N257" i="11"/>
  <c r="P257" i="11"/>
  <c r="H438" i="5"/>
  <c r="M438" i="12"/>
  <c r="N438" i="5"/>
  <c r="M80" i="11"/>
  <c r="E80" i="11"/>
  <c r="I438" i="5"/>
  <c r="L6" i="11"/>
  <c r="K420" i="5"/>
  <c r="F420" i="5"/>
  <c r="E408" i="5"/>
  <c r="J408" i="12"/>
  <c r="J310" i="5"/>
  <c r="J55" i="17"/>
  <c r="F299" i="5"/>
  <c r="K299" i="12"/>
  <c r="L299" i="5"/>
  <c r="L50" i="17"/>
  <c r="G289" i="5"/>
  <c r="P108" i="5"/>
  <c r="Q108" i="5"/>
  <c r="I170" i="6"/>
  <c r="I147" i="6"/>
  <c r="I167" i="6"/>
  <c r="I139" i="6"/>
  <c r="I140" i="6"/>
  <c r="I137" i="6"/>
  <c r="I153" i="6"/>
  <c r="I155" i="6"/>
  <c r="I133" i="6"/>
  <c r="I146" i="6"/>
  <c r="I168" i="6"/>
  <c r="I176" i="6"/>
  <c r="I138" i="6"/>
  <c r="I157" i="6"/>
  <c r="I145" i="6"/>
  <c r="I134" i="6"/>
  <c r="L290" i="11"/>
  <c r="J333" i="5"/>
  <c r="H80" i="11"/>
  <c r="F438" i="5"/>
  <c r="F63" i="17"/>
  <c r="Q309" i="5"/>
  <c r="E309" i="12"/>
  <c r="F309" i="12"/>
  <c r="H289" i="5"/>
  <c r="H49" i="17"/>
  <c r="E125" i="12"/>
  <c r="F125" i="12"/>
  <c r="L408" i="5"/>
  <c r="L61" i="17"/>
  <c r="E298" i="12"/>
  <c r="F298" i="12"/>
  <c r="Q304" i="5"/>
  <c r="P304" i="5"/>
  <c r="P167" i="11"/>
  <c r="O115" i="5"/>
  <c r="Q115" i="5"/>
  <c r="P155" i="11"/>
  <c r="O103" i="5"/>
  <c r="P103" i="5"/>
  <c r="P234" i="5"/>
  <c r="O207" i="5"/>
  <c r="E207" i="12"/>
  <c r="F207" i="12"/>
  <c r="E69" i="12"/>
  <c r="F69" i="12"/>
  <c r="E438" i="5"/>
  <c r="J438" i="12"/>
  <c r="O233" i="11"/>
  <c r="L310" i="5"/>
  <c r="Q310" i="12"/>
  <c r="L316" i="5"/>
  <c r="I420" i="5"/>
  <c r="N420" i="12"/>
  <c r="P258" i="5"/>
  <c r="P135" i="5"/>
  <c r="H4" i="12"/>
  <c r="E118" i="12"/>
  <c r="F118" i="12"/>
  <c r="G420" i="5"/>
  <c r="P61" i="5"/>
  <c r="P134" i="5"/>
  <c r="P23" i="5"/>
  <c r="H420" i="5"/>
  <c r="E135" i="12"/>
  <c r="F135" i="12"/>
  <c r="P322" i="5"/>
  <c r="P290" i="5"/>
  <c r="P236" i="5"/>
  <c r="P256" i="5"/>
  <c r="E337" i="12"/>
  <c r="F337" i="12"/>
  <c r="E61" i="17"/>
  <c r="E86" i="12"/>
  <c r="F86" i="12"/>
  <c r="G316" i="5"/>
  <c r="L316" i="12"/>
  <c r="N62" i="17"/>
  <c r="S420" i="12"/>
  <c r="P86" i="5"/>
  <c r="E24" i="12"/>
  <c r="F24" i="12"/>
  <c r="P291" i="5"/>
  <c r="Q198" i="5"/>
  <c r="E198" i="12"/>
  <c r="F198" i="12"/>
  <c r="Q303" i="5"/>
  <c r="P167" i="5"/>
  <c r="E167" i="12"/>
  <c r="F167" i="12"/>
  <c r="O73" i="5"/>
  <c r="E73" i="12"/>
  <c r="F73" i="12"/>
  <c r="P312" i="5"/>
  <c r="P179" i="5"/>
  <c r="E179" i="12"/>
  <c r="F179" i="12"/>
  <c r="L62" i="17"/>
  <c r="E312" i="12"/>
  <c r="F312" i="12"/>
  <c r="E291" i="12"/>
  <c r="F291" i="12"/>
  <c r="P162" i="11"/>
  <c r="O110" i="5"/>
  <c r="E290" i="12"/>
  <c r="F290" i="12"/>
  <c r="C420" i="5"/>
  <c r="D438" i="5"/>
  <c r="I438" i="12"/>
  <c r="O420" i="12"/>
  <c r="J62" i="17"/>
  <c r="P250" i="5"/>
  <c r="P409" i="5"/>
  <c r="H333" i="5"/>
  <c r="Q258" i="5"/>
  <c r="J438" i="5"/>
  <c r="O438" i="12"/>
  <c r="F131" i="5"/>
  <c r="K131" i="12"/>
  <c r="I178" i="6"/>
  <c r="I169" i="6"/>
  <c r="I166" i="6"/>
  <c r="I171" i="6"/>
  <c r="G310" i="5"/>
  <c r="L310" i="12"/>
  <c r="I316" i="12"/>
  <c r="E262" i="12"/>
  <c r="F262" i="12"/>
  <c r="E232" i="12"/>
  <c r="F232" i="12"/>
  <c r="P309" i="5"/>
  <c r="P168" i="5"/>
  <c r="E249" i="12"/>
  <c r="F249" i="12"/>
  <c r="O355" i="5"/>
  <c r="G28" i="11"/>
  <c r="G221" i="11"/>
  <c r="O194" i="5"/>
  <c r="E194" i="12"/>
  <c r="F194" i="12"/>
  <c r="O106" i="5"/>
  <c r="E106" i="12"/>
  <c r="F106" i="12"/>
  <c r="O96" i="5"/>
  <c r="E96" i="12"/>
  <c r="F96" i="12"/>
  <c r="L263" i="5"/>
  <c r="L43" i="17"/>
  <c r="N262" i="11"/>
  <c r="E288" i="12"/>
  <c r="F288" i="12"/>
  <c r="P247" i="5"/>
  <c r="Q247" i="5"/>
  <c r="P320" i="5"/>
  <c r="E437" i="12"/>
  <c r="F437" i="12"/>
  <c r="E419" i="12"/>
  <c r="F419" i="12"/>
  <c r="E52" i="12"/>
  <c r="F52" i="12"/>
  <c r="E317" i="12"/>
  <c r="F317" i="12"/>
  <c r="P338" i="5"/>
  <c r="E50" i="12"/>
  <c r="F50" i="12"/>
  <c r="P249" i="5"/>
  <c r="E332" i="12"/>
  <c r="F332" i="12"/>
  <c r="G50" i="17"/>
  <c r="D62" i="17"/>
  <c r="N60" i="17"/>
  <c r="E168" i="12"/>
  <c r="F168" i="12"/>
  <c r="E236" i="12"/>
  <c r="F236" i="12"/>
  <c r="P407" i="5"/>
  <c r="P69" i="5"/>
  <c r="E304" i="12"/>
  <c r="F304" i="12"/>
  <c r="P12" i="5"/>
  <c r="P50" i="5"/>
  <c r="P317" i="5"/>
  <c r="P262" i="5"/>
  <c r="P315" i="5"/>
  <c r="P232" i="5"/>
  <c r="E134" i="12"/>
  <c r="F134" i="12"/>
  <c r="P37" i="5"/>
  <c r="Q37" i="5"/>
  <c r="E98" i="12"/>
  <c r="F98" i="12"/>
  <c r="Q98" i="5"/>
  <c r="H408" i="5"/>
  <c r="M408" i="12"/>
  <c r="M131" i="5"/>
  <c r="R131" i="12"/>
  <c r="O209" i="5"/>
  <c r="E209" i="12"/>
  <c r="F209" i="12"/>
  <c r="H263" i="5"/>
  <c r="M263" i="12"/>
  <c r="F408" i="5"/>
  <c r="K408" i="12"/>
  <c r="O352" i="5"/>
  <c r="Q352" i="5"/>
  <c r="K180" i="5"/>
  <c r="I263" i="5"/>
  <c r="C289" i="5"/>
  <c r="C49" i="17"/>
  <c r="E299" i="5"/>
  <c r="J299" i="12"/>
  <c r="I310" i="5"/>
  <c r="O398" i="5"/>
  <c r="E398" i="12"/>
  <c r="F398" i="12"/>
  <c r="H126" i="5"/>
  <c r="H29" i="17"/>
  <c r="F263" i="5"/>
  <c r="D263" i="5"/>
  <c r="I81" i="6"/>
  <c r="K52" i="6"/>
  <c r="J54" i="6"/>
  <c r="J57" i="6"/>
  <c r="H438" i="12"/>
  <c r="L80" i="11"/>
  <c r="L438" i="5"/>
  <c r="L63" i="17"/>
  <c r="K438" i="12"/>
  <c r="H55" i="17"/>
  <c r="F310" i="5"/>
  <c r="S310" i="12"/>
  <c r="D289" i="5"/>
  <c r="I289" i="12"/>
  <c r="N289" i="5"/>
  <c r="N49" i="17"/>
  <c r="P4" i="12"/>
  <c r="M3" i="5"/>
  <c r="M6" i="17"/>
  <c r="F3" i="5"/>
  <c r="F6" i="17"/>
  <c r="N25" i="6"/>
  <c r="J25" i="6"/>
  <c r="Q4" i="12"/>
  <c r="L57" i="6"/>
  <c r="I173" i="6"/>
  <c r="I162" i="6"/>
  <c r="I156" i="6"/>
  <c r="I129" i="6"/>
  <c r="I174" i="6"/>
  <c r="I163" i="6"/>
  <c r="I142" i="6"/>
  <c r="I159" i="6"/>
  <c r="I179" i="6"/>
  <c r="I160" i="6"/>
  <c r="I175" i="6"/>
  <c r="I172" i="6"/>
  <c r="I143" i="6"/>
  <c r="I128" i="6"/>
  <c r="I158" i="6"/>
  <c r="I141" i="6"/>
  <c r="I144" i="6"/>
  <c r="I177" i="6"/>
  <c r="I135" i="6"/>
  <c r="I148" i="6"/>
  <c r="I136" i="6"/>
  <c r="I180" i="6"/>
  <c r="I164" i="6"/>
  <c r="I161" i="6"/>
  <c r="H198" i="6"/>
  <c r="D299" i="5"/>
  <c r="D50" i="17"/>
  <c r="H61" i="17"/>
  <c r="I408" i="5"/>
  <c r="I61" i="17"/>
  <c r="O344" i="5"/>
  <c r="E344" i="12"/>
  <c r="F344" i="12"/>
  <c r="P71" i="11"/>
  <c r="O394" i="5"/>
  <c r="E394" i="12"/>
  <c r="F394" i="12"/>
  <c r="H13" i="11"/>
  <c r="J408" i="5"/>
  <c r="O408" i="12"/>
  <c r="Q299" i="12"/>
  <c r="H299" i="5"/>
  <c r="H50" i="17"/>
  <c r="C299" i="5"/>
  <c r="C50" i="17"/>
  <c r="F50" i="17"/>
  <c r="N299" i="5"/>
  <c r="G284" i="11"/>
  <c r="J299" i="5"/>
  <c r="O299" i="12"/>
  <c r="E270" i="11"/>
  <c r="K289" i="5"/>
  <c r="L289" i="5"/>
  <c r="Q289" i="12"/>
  <c r="O274" i="5"/>
  <c r="E274" i="12"/>
  <c r="F274" i="12"/>
  <c r="J289" i="5"/>
  <c r="J49" i="17"/>
  <c r="P209" i="5"/>
  <c r="Q209" i="5"/>
  <c r="C223" i="5"/>
  <c r="K204" i="5"/>
  <c r="P204" i="12"/>
  <c r="J204" i="5"/>
  <c r="K33" i="17"/>
  <c r="P180" i="12"/>
  <c r="M202" i="11"/>
  <c r="O170" i="5"/>
  <c r="E170" i="12"/>
  <c r="F170" i="12"/>
  <c r="K131" i="5"/>
  <c r="I131" i="12"/>
  <c r="M174" i="11"/>
  <c r="F174" i="11"/>
  <c r="J168" i="11"/>
  <c r="G126" i="5"/>
  <c r="O122" i="5"/>
  <c r="P115" i="5"/>
  <c r="E115" i="12"/>
  <c r="F115" i="12"/>
  <c r="O104" i="5"/>
  <c r="E104" i="12"/>
  <c r="F104" i="12"/>
  <c r="F58" i="5"/>
  <c r="K58" i="12"/>
  <c r="I58" i="5"/>
  <c r="N58" i="12"/>
  <c r="O45" i="5"/>
  <c r="E45" i="12"/>
  <c r="F45" i="12"/>
  <c r="H299" i="12"/>
  <c r="P116" i="5"/>
  <c r="E116" i="12"/>
  <c r="F116" i="12"/>
  <c r="G275" i="11"/>
  <c r="E289" i="5"/>
  <c r="K276" i="11"/>
  <c r="I289" i="5"/>
  <c r="E285" i="11"/>
  <c r="I126" i="5"/>
  <c r="K168" i="11"/>
  <c r="O102" i="5"/>
  <c r="O75" i="5"/>
  <c r="M333" i="5"/>
  <c r="Q67" i="5"/>
  <c r="P67" i="5"/>
  <c r="E67" i="12"/>
  <c r="F67" i="12"/>
  <c r="O283" i="5"/>
  <c r="S263" i="12"/>
  <c r="P59" i="5"/>
  <c r="O241" i="5"/>
  <c r="E241" i="12"/>
  <c r="F241" i="12"/>
  <c r="P253" i="11"/>
  <c r="C310" i="5"/>
  <c r="C55" i="17"/>
  <c r="S289" i="12"/>
  <c r="Q127" i="5"/>
  <c r="E127" i="12"/>
  <c r="F127" i="12"/>
  <c r="L56" i="17"/>
  <c r="Q316" i="12"/>
  <c r="P130" i="5"/>
  <c r="E130" i="12"/>
  <c r="F130" i="12"/>
  <c r="C131" i="5"/>
  <c r="E174" i="11"/>
  <c r="O111" i="5"/>
  <c r="L60" i="17"/>
  <c r="J56" i="17"/>
  <c r="O316" i="12"/>
  <c r="E37" i="12"/>
  <c r="F37" i="12"/>
  <c r="M420" i="12"/>
  <c r="H62" i="17"/>
  <c r="Q88" i="5"/>
  <c r="P88" i="5"/>
  <c r="Q12" i="5"/>
  <c r="N265" i="11"/>
  <c r="D49" i="17"/>
  <c r="K282" i="11"/>
  <c r="I299" i="5"/>
  <c r="O283" i="11"/>
  <c r="M299" i="5"/>
  <c r="O279" i="11"/>
  <c r="M310" i="5"/>
  <c r="M55" i="17"/>
  <c r="G279" i="11"/>
  <c r="E310" i="5"/>
  <c r="O289" i="11"/>
  <c r="M316" i="5"/>
  <c r="E316" i="5"/>
  <c r="G289" i="11"/>
  <c r="I290" i="11"/>
  <c r="G333" i="5"/>
  <c r="G60" i="17"/>
  <c r="E333" i="5"/>
  <c r="J333" i="12"/>
  <c r="O261" i="5"/>
  <c r="E261" i="12"/>
  <c r="F261" i="12"/>
  <c r="L263" i="11"/>
  <c r="K278" i="11"/>
  <c r="E57" i="12"/>
  <c r="F57" i="12"/>
  <c r="P57" i="5"/>
  <c r="G49" i="17"/>
  <c r="L289" i="12"/>
  <c r="I316" i="5"/>
  <c r="N316" i="12"/>
  <c r="Q21" i="5"/>
  <c r="P21" i="5"/>
  <c r="E21" i="12"/>
  <c r="F21" i="12"/>
  <c r="M289" i="5"/>
  <c r="M49" i="17"/>
  <c r="Q116" i="5"/>
  <c r="Q39" i="5"/>
  <c r="E39" i="12"/>
  <c r="F39" i="12"/>
  <c r="J266" i="11"/>
  <c r="O184" i="5"/>
  <c r="E184" i="12"/>
  <c r="F184" i="12"/>
  <c r="I211" i="11"/>
  <c r="P259" i="11"/>
  <c r="O253" i="5"/>
  <c r="K408" i="5"/>
  <c r="K61" i="17"/>
  <c r="L239" i="11"/>
  <c r="E275" i="11"/>
  <c r="O358" i="5"/>
  <c r="E358" i="12"/>
  <c r="F358" i="12"/>
  <c r="P31" i="11"/>
  <c r="E131" i="5"/>
  <c r="G175" i="11"/>
  <c r="O129" i="5"/>
  <c r="C126" i="5"/>
  <c r="E169" i="11"/>
  <c r="C180" i="5"/>
  <c r="O172" i="5"/>
  <c r="E172" i="12"/>
  <c r="F172" i="12"/>
  <c r="P202" i="11"/>
  <c r="O97" i="5"/>
  <c r="O85" i="5"/>
  <c r="O14" i="5"/>
  <c r="J58" i="5"/>
  <c r="O58" i="12"/>
  <c r="H58" i="5"/>
  <c r="M58" i="12"/>
  <c r="J126" i="11"/>
  <c r="C58" i="5"/>
  <c r="H58" i="12"/>
  <c r="E126" i="11"/>
  <c r="Q73" i="5"/>
  <c r="E41" i="11"/>
  <c r="O368" i="5"/>
  <c r="O189" i="5"/>
  <c r="E189" i="12"/>
  <c r="F189" i="12"/>
  <c r="H180" i="5"/>
  <c r="J199" i="11"/>
  <c r="S316" i="12"/>
  <c r="K333" i="5"/>
  <c r="K60" i="17"/>
  <c r="F289" i="5"/>
  <c r="F49" i="17"/>
  <c r="I333" i="12"/>
  <c r="E216" i="11"/>
  <c r="E95" i="12"/>
  <c r="F95" i="12"/>
  <c r="Q96" i="5"/>
  <c r="P96" i="5"/>
  <c r="O375" i="5"/>
  <c r="E375" i="12"/>
  <c r="F375" i="12"/>
  <c r="M204" i="5"/>
  <c r="O239" i="11"/>
  <c r="E352" i="12"/>
  <c r="F352" i="12"/>
  <c r="I278" i="11"/>
  <c r="E229" i="11"/>
  <c r="F74" i="11"/>
  <c r="O401" i="5"/>
  <c r="E401" i="12"/>
  <c r="F401" i="12"/>
  <c r="O147" i="5"/>
  <c r="E147" i="12"/>
  <c r="F147" i="12"/>
  <c r="F121" i="11"/>
  <c r="K35" i="17"/>
  <c r="O327" i="5"/>
  <c r="E327" i="12"/>
  <c r="F327" i="12"/>
  <c r="P294" i="11"/>
  <c r="O343" i="5"/>
  <c r="O345" i="5"/>
  <c r="O393" i="5"/>
  <c r="E393" i="12"/>
  <c r="F393" i="12"/>
  <c r="G66" i="11"/>
  <c r="O202" i="5"/>
  <c r="L242" i="11"/>
  <c r="F180" i="5"/>
  <c r="O342" i="5"/>
  <c r="E342" i="12"/>
  <c r="F342" i="12"/>
  <c r="O384" i="5"/>
  <c r="O386" i="5"/>
  <c r="L59" i="11"/>
  <c r="O387" i="5"/>
  <c r="E387" i="12"/>
  <c r="F387" i="12"/>
  <c r="O238" i="5"/>
  <c r="O218" i="5"/>
  <c r="J263" i="5"/>
  <c r="E263" i="5"/>
  <c r="O426" i="5"/>
  <c r="O123" i="5"/>
  <c r="E123" i="12"/>
  <c r="F123" i="12"/>
  <c r="O156" i="5"/>
  <c r="P156" i="5"/>
  <c r="P216" i="5"/>
  <c r="Q216" i="5"/>
  <c r="M223" i="5"/>
  <c r="C204" i="5"/>
  <c r="G38" i="5"/>
  <c r="L38" i="12"/>
  <c r="E58" i="5"/>
  <c r="J58" i="12"/>
  <c r="O390" i="5"/>
  <c r="E390" i="12"/>
  <c r="F390" i="12"/>
  <c r="J131" i="5"/>
  <c r="O186" i="5"/>
  <c r="E186" i="12"/>
  <c r="F186" i="12"/>
  <c r="O90" i="5"/>
  <c r="O80" i="5"/>
  <c r="O254" i="5"/>
  <c r="O361" i="5"/>
  <c r="F34" i="11"/>
  <c r="O400" i="5"/>
  <c r="I73" i="11"/>
  <c r="J126" i="5"/>
  <c r="O221" i="5"/>
  <c r="O213" i="5"/>
  <c r="D204" i="5"/>
  <c r="O365" i="5"/>
  <c r="O381" i="5"/>
  <c r="E381" i="12"/>
  <c r="F381" i="12"/>
  <c r="O397" i="5"/>
  <c r="O124" i="5"/>
  <c r="G263" i="5"/>
  <c r="O287" i="5"/>
  <c r="O348" i="5"/>
  <c r="E348" i="12"/>
  <c r="F348" i="12"/>
  <c r="L131" i="5"/>
  <c r="L126" i="5"/>
  <c r="D58" i="5"/>
  <c r="I58" i="12"/>
  <c r="O286" i="5"/>
  <c r="F333" i="5"/>
  <c r="O328" i="5"/>
  <c r="E328" i="12"/>
  <c r="F328" i="12"/>
  <c r="O360" i="5"/>
  <c r="O388" i="5"/>
  <c r="O239" i="5"/>
  <c r="E239" i="12"/>
  <c r="F239" i="12"/>
  <c r="M263" i="5"/>
  <c r="K310" i="5"/>
  <c r="O308" i="5"/>
  <c r="E308" i="12"/>
  <c r="F308" i="12"/>
  <c r="K316" i="5"/>
  <c r="O350" i="5"/>
  <c r="O376" i="5"/>
  <c r="O404" i="5"/>
  <c r="H310" i="12"/>
  <c r="G56" i="17"/>
  <c r="I310" i="12"/>
  <c r="P289" i="12"/>
  <c r="K49" i="17"/>
  <c r="F127" i="11"/>
  <c r="Q207" i="5"/>
  <c r="P207" i="5"/>
  <c r="O370" i="5"/>
  <c r="I43" i="11"/>
  <c r="O371" i="5"/>
  <c r="D408" i="5"/>
  <c r="O44" i="11"/>
  <c r="M408" i="5"/>
  <c r="E50" i="11"/>
  <c r="C408" i="5"/>
  <c r="O5" i="11"/>
  <c r="M420" i="5"/>
  <c r="E420" i="5"/>
  <c r="G5" i="11"/>
  <c r="I62" i="17"/>
  <c r="P438" i="12"/>
  <c r="F62" i="17"/>
  <c r="K420" i="12"/>
  <c r="J60" i="17"/>
  <c r="O333" i="12"/>
  <c r="K310" i="12"/>
  <c r="F55" i="17"/>
  <c r="S438" i="12"/>
  <c r="N63" i="17"/>
  <c r="K263" i="5"/>
  <c r="M262" i="11"/>
  <c r="O161" i="5"/>
  <c r="O272" i="5"/>
  <c r="F264" i="11"/>
  <c r="O323" i="5"/>
  <c r="C333" i="5"/>
  <c r="I333" i="5"/>
  <c r="K293" i="11"/>
  <c r="Q327" i="5"/>
  <c r="Q328" i="5"/>
  <c r="O330" i="5"/>
  <c r="I38" i="11"/>
  <c r="G408" i="5"/>
  <c r="O427" i="5"/>
  <c r="G84" i="11"/>
  <c r="O84" i="11"/>
  <c r="M438" i="5"/>
  <c r="I85" i="11"/>
  <c r="G438" i="5"/>
  <c r="H131" i="5"/>
  <c r="J174" i="11"/>
  <c r="I204" i="5"/>
  <c r="K239" i="11"/>
  <c r="G204" i="5"/>
  <c r="I239" i="11"/>
  <c r="O176" i="5"/>
  <c r="F206" i="11"/>
  <c r="O171" i="5"/>
  <c r="E201" i="11"/>
  <c r="L38" i="5"/>
  <c r="Q38" i="12"/>
  <c r="O25" i="5"/>
  <c r="N104" i="11"/>
  <c r="O47" i="5"/>
  <c r="F123" i="11"/>
  <c r="G55" i="17"/>
  <c r="N438" i="12"/>
  <c r="I63" i="17"/>
  <c r="N310" i="12"/>
  <c r="I55" i="17"/>
  <c r="P45" i="5"/>
  <c r="Q45" i="5"/>
  <c r="O314" i="5"/>
  <c r="J289" i="11"/>
  <c r="H316" i="5"/>
  <c r="P355" i="5"/>
  <c r="Q355" i="5"/>
  <c r="E355" i="12"/>
  <c r="F355" i="12"/>
  <c r="P29" i="11"/>
  <c r="O356" i="5"/>
  <c r="N408" i="5"/>
  <c r="O259" i="5"/>
  <c r="C263" i="5"/>
  <c r="E262" i="11"/>
  <c r="O251" i="5"/>
  <c r="L55" i="17"/>
  <c r="O310" i="12"/>
  <c r="M299" i="12"/>
  <c r="P333" i="12"/>
  <c r="Q261" i="5"/>
  <c r="P261" i="5"/>
  <c r="F38" i="5"/>
  <c r="K38" i="12"/>
  <c r="H105" i="11"/>
  <c r="O16" i="5"/>
  <c r="O34" i="5"/>
  <c r="D38" i="5"/>
  <c r="I38" i="12"/>
  <c r="O26" i="5"/>
  <c r="O15" i="5"/>
  <c r="E97" i="11"/>
  <c r="O32" i="5"/>
  <c r="P111" i="11"/>
  <c r="O49" i="5"/>
  <c r="N58" i="5"/>
  <c r="O54" i="5"/>
  <c r="P261" i="11"/>
  <c r="O255" i="5"/>
  <c r="G98" i="11"/>
  <c r="O391" i="5"/>
  <c r="P64" i="11"/>
  <c r="O395" i="5"/>
  <c r="P68" i="11"/>
  <c r="P186" i="5"/>
  <c r="O284" i="5"/>
  <c r="K299" i="5"/>
  <c r="M284" i="11"/>
  <c r="O313" i="5"/>
  <c r="C316" i="5"/>
  <c r="O214" i="5"/>
  <c r="E231" i="11"/>
  <c r="O206" i="5"/>
  <c r="E223" i="11"/>
  <c r="O275" i="5"/>
  <c r="O402" i="5"/>
  <c r="E75" i="11"/>
  <c r="F93" i="11"/>
  <c r="O436" i="5"/>
  <c r="P194" i="5"/>
  <c r="Q194" i="5"/>
  <c r="O211" i="5"/>
  <c r="P352" i="5"/>
  <c r="P104" i="5"/>
  <c r="O349" i="5"/>
  <c r="F22" i="11"/>
  <c r="F26" i="11"/>
  <c r="O353" i="5"/>
  <c r="O363" i="5"/>
  <c r="P37" i="11"/>
  <c r="O364" i="5"/>
  <c r="O119" i="5"/>
  <c r="N126" i="5"/>
  <c r="O237" i="5"/>
  <c r="P249" i="11"/>
  <c r="O243" i="5"/>
  <c r="J223" i="5"/>
  <c r="G223" i="5"/>
  <c r="Q184" i="5"/>
  <c r="P184" i="5"/>
  <c r="O195" i="5"/>
  <c r="O192" i="5"/>
  <c r="O183" i="5"/>
  <c r="O185" i="5"/>
  <c r="O20" i="5"/>
  <c r="P106" i="5"/>
  <c r="Q106" i="5"/>
  <c r="O273" i="5"/>
  <c r="O285" i="5"/>
  <c r="J76" i="11"/>
  <c r="O403" i="5"/>
  <c r="O406" i="5"/>
  <c r="F79" i="11"/>
  <c r="O425" i="5"/>
  <c r="P401" i="5"/>
  <c r="O412" i="5"/>
  <c r="O414" i="5"/>
  <c r="O139" i="5"/>
  <c r="O240" i="5"/>
  <c r="O212" i="5"/>
  <c r="E223" i="5"/>
  <c r="L204" i="5"/>
  <c r="E180" i="5"/>
  <c r="O173" i="5"/>
  <c r="O107" i="5"/>
  <c r="O76" i="5"/>
  <c r="Q344" i="5"/>
  <c r="P344" i="5"/>
  <c r="O324" i="5"/>
  <c r="O354" i="5"/>
  <c r="E27" i="11"/>
  <c r="O357" i="5"/>
  <c r="J30" i="11"/>
  <c r="O362" i="5"/>
  <c r="F35" i="11"/>
  <c r="O367" i="5"/>
  <c r="I40" i="11"/>
  <c r="O369" i="5"/>
  <c r="P42" i="11"/>
  <c r="O383" i="5"/>
  <c r="O385" i="5"/>
  <c r="P58" i="11"/>
  <c r="P387" i="5"/>
  <c r="Q387" i="5"/>
  <c r="O389" i="5"/>
  <c r="P62" i="11"/>
  <c r="O292" i="5"/>
  <c r="O294" i="5"/>
  <c r="O296" i="5"/>
  <c r="O305" i="5"/>
  <c r="O307" i="5"/>
  <c r="K126" i="5"/>
  <c r="O215" i="5"/>
  <c r="N223" i="5"/>
  <c r="O201" i="5"/>
  <c r="J38" i="5"/>
  <c r="O38" i="12"/>
  <c r="O36" i="5"/>
  <c r="O28" i="5"/>
  <c r="O282" i="5"/>
  <c r="O329" i="5"/>
  <c r="O331" i="5"/>
  <c r="O341" i="5"/>
  <c r="O347" i="5"/>
  <c r="O359" i="5"/>
  <c r="O411" i="5"/>
  <c r="O428" i="5"/>
  <c r="O430" i="5"/>
  <c r="O432" i="5"/>
  <c r="O434" i="5"/>
  <c r="O178" i="5"/>
  <c r="O174" i="5"/>
  <c r="O177" i="5"/>
  <c r="O169" i="5"/>
  <c r="O154" i="5"/>
  <c r="O293" i="5"/>
  <c r="O372" i="5"/>
  <c r="O374" i="5"/>
  <c r="O378" i="5"/>
  <c r="O380" i="5"/>
  <c r="H223" i="5"/>
  <c r="O219" i="5"/>
  <c r="M180" i="5"/>
  <c r="O276" i="5"/>
  <c r="O278" i="5"/>
  <c r="O280" i="5"/>
  <c r="O326" i="5"/>
  <c r="O373" i="5"/>
  <c r="O396" i="5"/>
  <c r="O413" i="5"/>
  <c r="O415" i="5"/>
  <c r="O417" i="5"/>
  <c r="O423" i="5"/>
  <c r="O128" i="5"/>
  <c r="N131" i="5"/>
  <c r="D126" i="5"/>
  <c r="K223" i="5"/>
  <c r="O200" i="5"/>
  <c r="N204" i="5"/>
  <c r="O187" i="5"/>
  <c r="I180" i="5"/>
  <c r="G180" i="5"/>
  <c r="O55" i="5"/>
  <c r="O351" i="5"/>
  <c r="O382" i="5"/>
  <c r="O399" i="5"/>
  <c r="G131" i="5"/>
  <c r="E126" i="5"/>
  <c r="O153" i="5"/>
  <c r="L223" i="5"/>
  <c r="I223" i="5"/>
  <c r="O220" i="5"/>
  <c r="O199" i="5"/>
  <c r="L180" i="5"/>
  <c r="N180" i="5"/>
  <c r="O105" i="5"/>
  <c r="O91" i="5"/>
  <c r="O83" i="5"/>
  <c r="O74" i="5"/>
  <c r="L58" i="5"/>
  <c r="Q58" i="12"/>
  <c r="O31" i="5"/>
  <c r="O260" i="5"/>
  <c r="O277" i="5"/>
  <c r="O279" i="5"/>
  <c r="O281" i="5"/>
  <c r="O295" i="5"/>
  <c r="O297" i="5"/>
  <c r="O340" i="5"/>
  <c r="O366" i="5"/>
  <c r="O377" i="5"/>
  <c r="O379" i="5"/>
  <c r="O416" i="5"/>
  <c r="O418" i="5"/>
  <c r="O424" i="5"/>
  <c r="O429" i="5"/>
  <c r="O210" i="5"/>
  <c r="O191" i="5"/>
  <c r="O182" i="5"/>
  <c r="M38" i="5"/>
  <c r="R38" i="12"/>
  <c r="K38" i="5"/>
  <c r="P38" i="12"/>
  <c r="O30" i="5"/>
  <c r="O53" i="5"/>
  <c r="O56" i="5"/>
  <c r="N38" i="5"/>
  <c r="S38" i="12"/>
  <c r="O43" i="5"/>
  <c r="O306" i="5"/>
  <c r="O325" i="5"/>
  <c r="O346" i="5"/>
  <c r="O392" i="5"/>
  <c r="O405" i="5"/>
  <c r="O431" i="5"/>
  <c r="O433" i="5"/>
  <c r="O435" i="5"/>
  <c r="F126" i="5"/>
  <c r="O244" i="5"/>
  <c r="F223" i="5"/>
  <c r="O217" i="5"/>
  <c r="H204" i="5"/>
  <c r="F204" i="5"/>
  <c r="O193" i="5"/>
  <c r="O190" i="5"/>
  <c r="O175" i="5"/>
  <c r="O84" i="5"/>
  <c r="G58" i="5"/>
  <c r="L58" i="12"/>
  <c r="O33" i="5"/>
  <c r="C38" i="5"/>
  <c r="H38" i="12"/>
  <c r="I131" i="5"/>
  <c r="M126" i="5"/>
  <c r="O121" i="5"/>
  <c r="O120" i="5"/>
  <c r="D223" i="5"/>
  <c r="O208" i="5"/>
  <c r="E204" i="5"/>
  <c r="J180" i="5"/>
  <c r="D180" i="5"/>
  <c r="O100" i="5"/>
  <c r="M58" i="5"/>
  <c r="R58" i="12"/>
  <c r="K58" i="5"/>
  <c r="P58" i="12"/>
  <c r="I38" i="5"/>
  <c r="N38" i="12"/>
  <c r="H38" i="5"/>
  <c r="M38" i="12"/>
  <c r="O35" i="5"/>
  <c r="O27" i="5"/>
  <c r="O41" i="5"/>
  <c r="E41" i="12"/>
  <c r="F41" i="12"/>
  <c r="O42" i="5"/>
  <c r="Q42" i="5"/>
  <c r="E38" i="5"/>
  <c r="J38" i="12"/>
  <c r="D140" i="5"/>
  <c r="F180" i="11"/>
  <c r="N3" i="5"/>
  <c r="N6" i="17"/>
  <c r="G98" i="9"/>
  <c r="C3" i="5"/>
  <c r="C6" i="17"/>
  <c r="I151" i="6"/>
  <c r="S4" i="12"/>
  <c r="N4" i="12"/>
  <c r="W25" i="6"/>
  <c r="D16" i="9"/>
  <c r="H42" i="6"/>
  <c r="S46" i="6"/>
  <c r="N7" i="12"/>
  <c r="I7" i="5"/>
  <c r="K94" i="11"/>
  <c r="J140" i="5"/>
  <c r="L180" i="11"/>
  <c r="O4" i="12"/>
  <c r="M55" i="6"/>
  <c r="N55" i="6"/>
  <c r="I149" i="5"/>
  <c r="D316" i="12"/>
  <c r="M155" i="5"/>
  <c r="O191" i="11"/>
  <c r="G155" i="5"/>
  <c r="I191" i="11"/>
  <c r="C155" i="5"/>
  <c r="E191" i="11"/>
  <c r="D117" i="12"/>
  <c r="H3" i="5"/>
  <c r="H6" i="17"/>
  <c r="K3" i="5"/>
  <c r="K6" i="17"/>
  <c r="N17" i="5"/>
  <c r="P99" i="11"/>
  <c r="K17" i="5"/>
  <c r="M99" i="11"/>
  <c r="H17" i="5"/>
  <c r="J99" i="11"/>
  <c r="G17" i="5"/>
  <c r="I99" i="11"/>
  <c r="J17" i="5"/>
  <c r="L99" i="11"/>
  <c r="M17" i="5"/>
  <c r="O99" i="11"/>
  <c r="G99" i="9"/>
  <c r="I155" i="5"/>
  <c r="K191" i="11"/>
  <c r="D204" i="12"/>
  <c r="G97" i="9"/>
  <c r="L4" i="12"/>
  <c r="J4" i="12"/>
  <c r="L155" i="5"/>
  <c r="N191" i="11"/>
  <c r="M140" i="5"/>
  <c r="O180" i="11"/>
  <c r="I149" i="6"/>
  <c r="B93" i="9"/>
  <c r="J3" i="5"/>
  <c r="J6" i="17"/>
  <c r="J157" i="5"/>
  <c r="L193" i="11"/>
  <c r="C157" i="5"/>
  <c r="E193" i="11"/>
  <c r="D10" i="12"/>
  <c r="D13" i="12"/>
  <c r="D22" i="12"/>
  <c r="E149" i="5"/>
  <c r="L140" i="5"/>
  <c r="N180" i="11"/>
  <c r="C140" i="5"/>
  <c r="E180" i="11"/>
  <c r="F157" i="5"/>
  <c r="H193" i="11"/>
  <c r="K157" i="5"/>
  <c r="M193" i="11"/>
  <c r="N149" i="5"/>
  <c r="K140" i="5"/>
  <c r="M180" i="11"/>
  <c r="N140" i="5"/>
  <c r="P180" i="11"/>
  <c r="H157" i="5"/>
  <c r="J193" i="11"/>
  <c r="D157" i="5"/>
  <c r="F193" i="11"/>
  <c r="J155" i="5"/>
  <c r="L191" i="11"/>
  <c r="D420" i="12"/>
  <c r="D310" i="12"/>
  <c r="D263" i="12"/>
  <c r="I140" i="5"/>
  <c r="K180" i="11"/>
  <c r="L157" i="5"/>
  <c r="N193" i="11"/>
  <c r="H140" i="5"/>
  <c r="J180" i="11"/>
  <c r="F155" i="5"/>
  <c r="H191" i="11"/>
  <c r="M149" i="5"/>
  <c r="F140" i="5"/>
  <c r="H180" i="11"/>
  <c r="O6" i="17"/>
  <c r="E157" i="5"/>
  <c r="G193" i="11"/>
  <c r="M157" i="5"/>
  <c r="O193" i="11"/>
  <c r="K155" i="5"/>
  <c r="M191" i="11"/>
  <c r="E155" i="5"/>
  <c r="G191" i="11"/>
  <c r="E140" i="5"/>
  <c r="G180" i="11"/>
  <c r="R25" i="6"/>
  <c r="M4" i="12"/>
  <c r="K4" i="12"/>
  <c r="O18" i="5"/>
  <c r="M98" i="6"/>
  <c r="G19" i="12"/>
  <c r="E3" i="5"/>
  <c r="E6" i="17"/>
  <c r="L3" i="5"/>
  <c r="L6" i="17"/>
  <c r="D3" i="5"/>
  <c r="D6" i="17"/>
  <c r="Q3" i="5"/>
  <c r="G3" i="5"/>
  <c r="G6" i="17"/>
  <c r="I3" i="5"/>
  <c r="I6" i="17"/>
  <c r="Q46" i="6"/>
  <c r="L7" i="12"/>
  <c r="G10" i="17"/>
  <c r="N46" i="6"/>
  <c r="I7" i="12"/>
  <c r="D10" i="17"/>
  <c r="T46" i="6"/>
  <c r="O7" i="12"/>
  <c r="W46" i="6"/>
  <c r="R7" i="12"/>
  <c r="M10" i="17"/>
  <c r="X46" i="6"/>
  <c r="S7" i="12"/>
  <c r="R46" i="6"/>
  <c r="U46" i="6"/>
  <c r="P7" i="12"/>
  <c r="K10" i="17"/>
  <c r="P46" i="6"/>
  <c r="K7" i="12"/>
  <c r="F7" i="5"/>
  <c r="H94" i="11"/>
  <c r="M46" i="6"/>
  <c r="M49" i="6"/>
  <c r="L46" i="6"/>
  <c r="L49" i="6"/>
  <c r="O46" i="6"/>
  <c r="J7" i="12"/>
  <c r="E10" i="17"/>
  <c r="V46" i="6"/>
  <c r="Q7" i="12"/>
  <c r="L7" i="5"/>
  <c r="N94" i="11"/>
  <c r="K46" i="6"/>
  <c r="N157" i="5"/>
  <c r="G157" i="5"/>
  <c r="I193" i="11"/>
  <c r="D333" i="12"/>
  <c r="D197" i="12"/>
  <c r="N155" i="5"/>
  <c r="H155" i="5"/>
  <c r="J191" i="11"/>
  <c r="D289" i="12"/>
  <c r="D246" i="12"/>
  <c r="D151" i="12"/>
  <c r="D126" i="12"/>
  <c r="D51" i="12"/>
  <c r="D38" i="12"/>
  <c r="C149" i="5"/>
  <c r="K149" i="5"/>
  <c r="D149" i="5"/>
  <c r="L149" i="5"/>
  <c r="F149" i="5"/>
  <c r="H149" i="5"/>
  <c r="D438" i="12"/>
  <c r="D408" i="12"/>
  <c r="D257" i="12"/>
  <c r="D233" i="12"/>
  <c r="D223" i="12"/>
  <c r="D58" i="12"/>
  <c r="G102" i="9"/>
  <c r="E17" i="5"/>
  <c r="D17" i="5"/>
  <c r="K54" i="6"/>
  <c r="D299" i="12"/>
  <c r="D180" i="12"/>
  <c r="D164" i="12"/>
  <c r="D131" i="12"/>
  <c r="D87" i="12"/>
  <c r="D78" i="12"/>
  <c r="G149" i="5"/>
  <c r="C17" i="5"/>
  <c r="F17" i="5"/>
  <c r="I17" i="5"/>
  <c r="L17" i="5"/>
  <c r="D108" i="9"/>
  <c r="F108" i="9"/>
  <c r="F42" i="6"/>
  <c r="I75" i="6"/>
  <c r="I101" i="6"/>
  <c r="G162" i="12"/>
  <c r="E162" i="5"/>
  <c r="G98" i="6"/>
  <c r="G145" i="12"/>
  <c r="G106" i="9"/>
  <c r="G101" i="9"/>
  <c r="G103" i="9"/>
  <c r="G100" i="9"/>
  <c r="O29" i="5"/>
  <c r="E29" i="12"/>
  <c r="F29" i="12"/>
  <c r="J49" i="6"/>
  <c r="J63" i="17"/>
  <c r="H63" i="17"/>
  <c r="Q438" i="12"/>
  <c r="K62" i="17"/>
  <c r="P420" i="12"/>
  <c r="P393" i="5"/>
  <c r="Q401" i="5"/>
  <c r="P398" i="5"/>
  <c r="J61" i="17"/>
  <c r="Q381" i="5"/>
  <c r="Q408" i="12"/>
  <c r="N408" i="12"/>
  <c r="Q274" i="5"/>
  <c r="H289" i="12"/>
  <c r="P172" i="5"/>
  <c r="Q393" i="5"/>
  <c r="H420" i="12"/>
  <c r="C62" i="17"/>
  <c r="E60" i="17"/>
  <c r="M126" i="12"/>
  <c r="P348" i="5"/>
  <c r="P170" i="5"/>
  <c r="G62" i="17"/>
  <c r="L420" i="12"/>
  <c r="P73" i="5"/>
  <c r="Q103" i="5"/>
  <c r="F61" i="17"/>
  <c r="Q398" i="5"/>
  <c r="Q156" i="5"/>
  <c r="M289" i="12"/>
  <c r="Q263" i="12"/>
  <c r="E63" i="17"/>
  <c r="D63" i="17"/>
  <c r="E103" i="12"/>
  <c r="F103" i="12"/>
  <c r="P110" i="5"/>
  <c r="E110" i="12"/>
  <c r="F110" i="12"/>
  <c r="Q110" i="5"/>
  <c r="P274" i="5"/>
  <c r="P308" i="5"/>
  <c r="K57" i="6"/>
  <c r="Q308" i="5"/>
  <c r="E50" i="17"/>
  <c r="P327" i="5"/>
  <c r="L333" i="12"/>
  <c r="F30" i="17"/>
  <c r="M30" i="17"/>
  <c r="I299" i="12"/>
  <c r="H60" i="17"/>
  <c r="M333" i="12"/>
  <c r="P390" i="5"/>
  <c r="O333" i="5"/>
  <c r="H43" i="17"/>
  <c r="O299" i="5"/>
  <c r="N263" i="12"/>
  <c r="I43" i="17"/>
  <c r="D43" i="17"/>
  <c r="I263" i="12"/>
  <c r="F43" i="17"/>
  <c r="K263" i="12"/>
  <c r="G148" i="12"/>
  <c r="R310" i="12"/>
  <c r="G229" i="12"/>
  <c r="J229" i="5"/>
  <c r="L247" i="11"/>
  <c r="G113" i="12"/>
  <c r="N113" i="5"/>
  <c r="I10" i="17"/>
  <c r="S49" i="6"/>
  <c r="N11" i="12"/>
  <c r="U49" i="6"/>
  <c r="P11" i="12"/>
  <c r="P2" i="12"/>
  <c r="G95" i="12"/>
  <c r="G92" i="12"/>
  <c r="M92" i="5"/>
  <c r="O144" i="11"/>
  <c r="G242" i="12"/>
  <c r="C242" i="5"/>
  <c r="V49" i="6"/>
  <c r="Q11" i="12"/>
  <c r="P358" i="5"/>
  <c r="Q390" i="5"/>
  <c r="P408" i="12"/>
  <c r="P394" i="5"/>
  <c r="Q394" i="5"/>
  <c r="Q348" i="5"/>
  <c r="Q342" i="5"/>
  <c r="S299" i="12"/>
  <c r="N50" i="17"/>
  <c r="J50" i="17"/>
  <c r="K289" i="12"/>
  <c r="L49" i="17"/>
  <c r="O289" i="12"/>
  <c r="Q239" i="5"/>
  <c r="P239" i="5"/>
  <c r="C36" i="17"/>
  <c r="H223" i="12"/>
  <c r="O204" i="12"/>
  <c r="J35" i="17"/>
  <c r="Q170" i="5"/>
  <c r="E156" i="12"/>
  <c r="F156" i="12"/>
  <c r="P147" i="5"/>
  <c r="K30" i="17"/>
  <c r="P131" i="12"/>
  <c r="Q123" i="5"/>
  <c r="P123" i="5"/>
  <c r="P122" i="5"/>
  <c r="Q122" i="5"/>
  <c r="E122" i="12"/>
  <c r="F122" i="12"/>
  <c r="L126" i="12"/>
  <c r="G29" i="17"/>
  <c r="Q104" i="5"/>
  <c r="Q426" i="5"/>
  <c r="P426" i="5"/>
  <c r="E426" i="12"/>
  <c r="F426" i="12"/>
  <c r="P384" i="5"/>
  <c r="Q384" i="5"/>
  <c r="E384" i="12"/>
  <c r="F384" i="12"/>
  <c r="Q343" i="5"/>
  <c r="P343" i="5"/>
  <c r="E343" i="12"/>
  <c r="F343" i="12"/>
  <c r="M35" i="17"/>
  <c r="R204" i="12"/>
  <c r="Q85" i="5"/>
  <c r="P85" i="5"/>
  <c r="E85" i="12"/>
  <c r="F85" i="12"/>
  <c r="Q253" i="5"/>
  <c r="P253" i="5"/>
  <c r="E253" i="12"/>
  <c r="F253" i="12"/>
  <c r="P75" i="5"/>
  <c r="Q75" i="5"/>
  <c r="E75" i="12"/>
  <c r="F75" i="12"/>
  <c r="M43" i="17"/>
  <c r="R263" i="12"/>
  <c r="P365" i="5"/>
  <c r="Q365" i="5"/>
  <c r="E365" i="12"/>
  <c r="F365" i="12"/>
  <c r="P361" i="5"/>
  <c r="Q361" i="5"/>
  <c r="E361" i="12"/>
  <c r="F361" i="12"/>
  <c r="J263" i="12"/>
  <c r="E43" i="17"/>
  <c r="M50" i="17"/>
  <c r="R299" i="12"/>
  <c r="P189" i="5"/>
  <c r="Q186" i="5"/>
  <c r="Q241" i="5"/>
  <c r="I56" i="17"/>
  <c r="L30" i="17"/>
  <c r="Q131" i="12"/>
  <c r="I204" i="12"/>
  <c r="D35" i="17"/>
  <c r="Q254" i="5"/>
  <c r="P254" i="5"/>
  <c r="E254" i="12"/>
  <c r="F254" i="12"/>
  <c r="C35" i="17"/>
  <c r="H204" i="12"/>
  <c r="O263" i="12"/>
  <c r="J43" i="17"/>
  <c r="F33" i="17"/>
  <c r="K180" i="12"/>
  <c r="Q97" i="5"/>
  <c r="P97" i="5"/>
  <c r="E97" i="12"/>
  <c r="F97" i="12"/>
  <c r="J131" i="12"/>
  <c r="E30" i="17"/>
  <c r="J316" i="12"/>
  <c r="E56" i="17"/>
  <c r="P102" i="5"/>
  <c r="Q102" i="5"/>
  <c r="E102" i="12"/>
  <c r="F102" i="12"/>
  <c r="J289" i="12"/>
  <c r="E49" i="17"/>
  <c r="P310" i="12"/>
  <c r="K55" i="17"/>
  <c r="Q129" i="5"/>
  <c r="P129" i="5"/>
  <c r="E129" i="12"/>
  <c r="F129" i="12"/>
  <c r="I49" i="17"/>
  <c r="N289" i="12"/>
  <c r="Q172" i="5"/>
  <c r="P241" i="5"/>
  <c r="L29" i="17"/>
  <c r="Q126" i="12"/>
  <c r="Q189" i="5"/>
  <c r="Q147" i="5"/>
  <c r="P328" i="5"/>
  <c r="O289" i="5"/>
  <c r="E289" i="12"/>
  <c r="F289" i="12"/>
  <c r="Q404" i="5"/>
  <c r="P404" i="5"/>
  <c r="E403" i="12"/>
  <c r="F403" i="12"/>
  <c r="E404" i="12"/>
  <c r="F404" i="12"/>
  <c r="P388" i="5"/>
  <c r="Q388" i="5"/>
  <c r="E388" i="12"/>
  <c r="F388" i="12"/>
  <c r="Q213" i="5"/>
  <c r="P213" i="5"/>
  <c r="E213" i="12"/>
  <c r="F213" i="12"/>
  <c r="P80" i="5"/>
  <c r="E80" i="12"/>
  <c r="F80" i="12"/>
  <c r="Q80" i="5"/>
  <c r="R223" i="12"/>
  <c r="M36" i="17"/>
  <c r="Q218" i="5"/>
  <c r="P218" i="5"/>
  <c r="E218" i="12"/>
  <c r="F218" i="12"/>
  <c r="M56" i="17"/>
  <c r="R316" i="12"/>
  <c r="N299" i="12"/>
  <c r="I50" i="17"/>
  <c r="P111" i="5"/>
  <c r="Q111" i="5"/>
  <c r="E111" i="12"/>
  <c r="F111" i="12"/>
  <c r="P283" i="5"/>
  <c r="E283" i="12"/>
  <c r="F283" i="12"/>
  <c r="Q283" i="5"/>
  <c r="Q376" i="5"/>
  <c r="P376" i="5"/>
  <c r="E376" i="12"/>
  <c r="F376" i="12"/>
  <c r="P360" i="5"/>
  <c r="E360" i="12"/>
  <c r="F360" i="12"/>
  <c r="Q360" i="5"/>
  <c r="P287" i="5"/>
  <c r="E287" i="12"/>
  <c r="F287" i="12"/>
  <c r="Q287" i="5"/>
  <c r="Q221" i="5"/>
  <c r="P221" i="5"/>
  <c r="E221" i="12"/>
  <c r="F221" i="12"/>
  <c r="P90" i="5"/>
  <c r="Q90" i="5"/>
  <c r="E90" i="12"/>
  <c r="F90" i="12"/>
  <c r="H33" i="17"/>
  <c r="M180" i="12"/>
  <c r="I29" i="17"/>
  <c r="N126" i="12"/>
  <c r="P42" i="5"/>
  <c r="Q358" i="5"/>
  <c r="R289" i="12"/>
  <c r="P381" i="5"/>
  <c r="L263" i="12"/>
  <c r="G43" i="17"/>
  <c r="O126" i="12"/>
  <c r="J29" i="17"/>
  <c r="C33" i="17"/>
  <c r="H180" i="12"/>
  <c r="J310" i="12"/>
  <c r="E55" i="17"/>
  <c r="C30" i="17"/>
  <c r="H131" i="12"/>
  <c r="E42" i="12"/>
  <c r="F42" i="12"/>
  <c r="O263" i="5"/>
  <c r="E263" i="12"/>
  <c r="F263" i="12"/>
  <c r="Q375" i="5"/>
  <c r="P316" i="12"/>
  <c r="K56" i="17"/>
  <c r="F60" i="17"/>
  <c r="K333" i="12"/>
  <c r="Q124" i="5"/>
  <c r="P124" i="5"/>
  <c r="E124" i="12"/>
  <c r="F124" i="12"/>
  <c r="O131" i="12"/>
  <c r="J30" i="17"/>
  <c r="Q368" i="5"/>
  <c r="P368" i="5"/>
  <c r="E368" i="12"/>
  <c r="F368" i="12"/>
  <c r="P238" i="5"/>
  <c r="Q238" i="5"/>
  <c r="E238" i="12"/>
  <c r="F238" i="12"/>
  <c r="Q202" i="5"/>
  <c r="P202" i="5"/>
  <c r="E202" i="12"/>
  <c r="F202" i="12"/>
  <c r="P350" i="5"/>
  <c r="Q350" i="5"/>
  <c r="E350" i="12"/>
  <c r="F350" i="12"/>
  <c r="P342" i="5"/>
  <c r="P375" i="5"/>
  <c r="O310" i="5"/>
  <c r="O55" i="17"/>
  <c r="Q286" i="5"/>
  <c r="P286" i="5"/>
  <c r="E286" i="12"/>
  <c r="F286" i="12"/>
  <c r="Q397" i="5"/>
  <c r="P397" i="5"/>
  <c r="E397" i="12"/>
  <c r="F397" i="12"/>
  <c r="P400" i="5"/>
  <c r="Q400" i="5"/>
  <c r="E400" i="12"/>
  <c r="F400" i="12"/>
  <c r="Q386" i="5"/>
  <c r="P386" i="5"/>
  <c r="E386" i="12"/>
  <c r="F386" i="12"/>
  <c r="Q345" i="5"/>
  <c r="P345" i="5"/>
  <c r="E345" i="12"/>
  <c r="F345" i="12"/>
  <c r="P14" i="5"/>
  <c r="E14" i="12"/>
  <c r="F14" i="12"/>
  <c r="Q14" i="5"/>
  <c r="H126" i="12"/>
  <c r="C29" i="17"/>
  <c r="M60" i="17"/>
  <c r="R333" i="12"/>
  <c r="E333" i="12"/>
  <c r="F333" i="12"/>
  <c r="P333" i="5"/>
  <c r="P60" i="17"/>
  <c r="O60" i="17"/>
  <c r="I223" i="12"/>
  <c r="D36" i="17"/>
  <c r="P84" i="5"/>
  <c r="Q84" i="5"/>
  <c r="E84" i="12"/>
  <c r="F84" i="12"/>
  <c r="P244" i="5"/>
  <c r="Q244" i="5"/>
  <c r="E244" i="12"/>
  <c r="F244" i="12"/>
  <c r="P325" i="5"/>
  <c r="Q325" i="5"/>
  <c r="E325" i="12"/>
  <c r="F325" i="12"/>
  <c r="P379" i="5"/>
  <c r="Q379" i="5"/>
  <c r="E379" i="12"/>
  <c r="F379" i="12"/>
  <c r="P277" i="5"/>
  <c r="Q277" i="5"/>
  <c r="E277" i="12"/>
  <c r="F277" i="12"/>
  <c r="O180" i="5"/>
  <c r="N33" i="17"/>
  <c r="S180" i="12"/>
  <c r="G30" i="17"/>
  <c r="L131" i="12"/>
  <c r="O204" i="5"/>
  <c r="S204" i="12"/>
  <c r="N35" i="17"/>
  <c r="Q415" i="5"/>
  <c r="P415" i="5"/>
  <c r="E415" i="12"/>
  <c r="F415" i="12"/>
  <c r="R180" i="12"/>
  <c r="M33" i="17"/>
  <c r="Q154" i="5"/>
  <c r="P154" i="5"/>
  <c r="E154" i="12"/>
  <c r="F154" i="12"/>
  <c r="P430" i="5"/>
  <c r="Q430" i="5"/>
  <c r="E430" i="12"/>
  <c r="F430" i="12"/>
  <c r="P282" i="5"/>
  <c r="Q282" i="5"/>
  <c r="E282" i="12"/>
  <c r="F282" i="12"/>
  <c r="P307" i="5"/>
  <c r="Q307" i="5"/>
  <c r="E307" i="12"/>
  <c r="F307" i="12"/>
  <c r="M316" i="12"/>
  <c r="H56" i="17"/>
  <c r="P47" i="5"/>
  <c r="E47" i="12"/>
  <c r="F47" i="12"/>
  <c r="Q47" i="5"/>
  <c r="Q120" i="5"/>
  <c r="P120" i="5"/>
  <c r="E120" i="12"/>
  <c r="F120" i="12"/>
  <c r="K126" i="12"/>
  <c r="F29" i="17"/>
  <c r="Q306" i="5"/>
  <c r="E306" i="12"/>
  <c r="F306" i="12"/>
  <c r="P306" i="5"/>
  <c r="P182" i="5"/>
  <c r="Q182" i="5"/>
  <c r="E182" i="12"/>
  <c r="F182" i="12"/>
  <c r="Q260" i="5"/>
  <c r="P260" i="5"/>
  <c r="E260" i="12"/>
  <c r="F260" i="12"/>
  <c r="L33" i="17"/>
  <c r="Q180" i="12"/>
  <c r="Q399" i="5"/>
  <c r="P399" i="5"/>
  <c r="E399" i="12"/>
  <c r="F399" i="12"/>
  <c r="P200" i="5"/>
  <c r="Q200" i="5"/>
  <c r="E200" i="12"/>
  <c r="F200" i="12"/>
  <c r="P413" i="5"/>
  <c r="Q413" i="5"/>
  <c r="E413" i="12"/>
  <c r="F413" i="12"/>
  <c r="P219" i="5"/>
  <c r="E219" i="12"/>
  <c r="F219" i="12"/>
  <c r="Q219" i="5"/>
  <c r="Q169" i="5"/>
  <c r="E169" i="12"/>
  <c r="F169" i="12"/>
  <c r="P169" i="5"/>
  <c r="Q428" i="5"/>
  <c r="P428" i="5"/>
  <c r="E428" i="12"/>
  <c r="F428" i="12"/>
  <c r="Q28" i="5"/>
  <c r="P28" i="5"/>
  <c r="E28" i="12"/>
  <c r="F28" i="12"/>
  <c r="P305" i="5"/>
  <c r="Q305" i="5"/>
  <c r="E305" i="12"/>
  <c r="F305" i="12"/>
  <c r="Q369" i="5"/>
  <c r="P369" i="5"/>
  <c r="E369" i="12"/>
  <c r="F369" i="12"/>
  <c r="D33" i="17"/>
  <c r="I180" i="12"/>
  <c r="I30" i="17"/>
  <c r="N131" i="12"/>
  <c r="F35" i="17"/>
  <c r="K204" i="12"/>
  <c r="Q431" i="5"/>
  <c r="P431" i="5"/>
  <c r="E431" i="12"/>
  <c r="F431" i="12"/>
  <c r="Q56" i="5"/>
  <c r="P56" i="5"/>
  <c r="E56" i="12"/>
  <c r="F56" i="12"/>
  <c r="Q429" i="5"/>
  <c r="P429" i="5"/>
  <c r="E429" i="12"/>
  <c r="F429" i="12"/>
  <c r="P297" i="5"/>
  <c r="E297" i="12"/>
  <c r="F297" i="12"/>
  <c r="Q297" i="5"/>
  <c r="P74" i="5"/>
  <c r="E74" i="12"/>
  <c r="F74" i="12"/>
  <c r="Q74" i="5"/>
  <c r="I36" i="17"/>
  <c r="N223" i="12"/>
  <c r="P55" i="5"/>
  <c r="Q55" i="5"/>
  <c r="E55" i="12"/>
  <c r="F55" i="12"/>
  <c r="O131" i="5"/>
  <c r="S131" i="12"/>
  <c r="N30" i="17"/>
  <c r="Q326" i="5"/>
  <c r="P326" i="5"/>
  <c r="E326" i="12"/>
  <c r="F326" i="12"/>
  <c r="P378" i="5"/>
  <c r="Q378" i="5"/>
  <c r="E378" i="12"/>
  <c r="F378" i="12"/>
  <c r="P178" i="5"/>
  <c r="Q178" i="5"/>
  <c r="E178" i="12"/>
  <c r="F178" i="12"/>
  <c r="Q347" i="5"/>
  <c r="P347" i="5"/>
  <c r="E347" i="12"/>
  <c r="F347" i="12"/>
  <c r="P201" i="5"/>
  <c r="Q201" i="5"/>
  <c r="E201" i="12"/>
  <c r="F201" i="12"/>
  <c r="P292" i="5"/>
  <c r="Q292" i="5"/>
  <c r="E292" i="12"/>
  <c r="F292" i="12"/>
  <c r="P324" i="5"/>
  <c r="Q324" i="5"/>
  <c r="E324" i="12"/>
  <c r="F324" i="12"/>
  <c r="Q406" i="5"/>
  <c r="P406" i="5"/>
  <c r="E406" i="12"/>
  <c r="F406" i="12"/>
  <c r="P362" i="5"/>
  <c r="Q362" i="5"/>
  <c r="E362" i="12"/>
  <c r="F362" i="12"/>
  <c r="Q173" i="5"/>
  <c r="P173" i="5"/>
  <c r="E173" i="12"/>
  <c r="F173" i="12"/>
  <c r="P412" i="5"/>
  <c r="Q412" i="5"/>
  <c r="E412" i="12"/>
  <c r="F412" i="12"/>
  <c r="Q183" i="5"/>
  <c r="E183" i="12"/>
  <c r="F183" i="12"/>
  <c r="P183" i="5"/>
  <c r="P41" i="5"/>
  <c r="J204" i="12"/>
  <c r="E35" i="17"/>
  <c r="Q33" i="5"/>
  <c r="P33" i="5"/>
  <c r="E33" i="12"/>
  <c r="F33" i="12"/>
  <c r="P217" i="5"/>
  <c r="Q217" i="5"/>
  <c r="E217" i="12"/>
  <c r="F217" i="12"/>
  <c r="Q30" i="5"/>
  <c r="P30" i="5"/>
  <c r="E30" i="12"/>
  <c r="F30" i="12"/>
  <c r="P418" i="5"/>
  <c r="Q418" i="5"/>
  <c r="E418" i="12"/>
  <c r="F418" i="12"/>
  <c r="Q91" i="5"/>
  <c r="P91" i="5"/>
  <c r="E91" i="12"/>
  <c r="F91" i="12"/>
  <c r="P153" i="5"/>
  <c r="Q153" i="5"/>
  <c r="E153" i="12"/>
  <c r="F153" i="12"/>
  <c r="P423" i="5"/>
  <c r="Q423" i="5"/>
  <c r="E423" i="12"/>
  <c r="F423" i="12"/>
  <c r="Q278" i="5"/>
  <c r="P278" i="5"/>
  <c r="E278" i="12"/>
  <c r="F278" i="12"/>
  <c r="Q372" i="5"/>
  <c r="P372" i="5"/>
  <c r="E372" i="12"/>
  <c r="F372" i="12"/>
  <c r="P331" i="5"/>
  <c r="Q331" i="5"/>
  <c r="E331" i="12"/>
  <c r="F331" i="12"/>
  <c r="Q215" i="5"/>
  <c r="P215" i="5"/>
  <c r="E215" i="12"/>
  <c r="F215" i="12"/>
  <c r="P385" i="5"/>
  <c r="Q385" i="5"/>
  <c r="E385" i="12"/>
  <c r="F385" i="12"/>
  <c r="E33" i="17"/>
  <c r="J180" i="12"/>
  <c r="Q208" i="5"/>
  <c r="P208" i="5"/>
  <c r="E208" i="12"/>
  <c r="F208" i="12"/>
  <c r="K223" i="12"/>
  <c r="F36" i="17"/>
  <c r="Q346" i="5"/>
  <c r="E346" i="12"/>
  <c r="F346" i="12"/>
  <c r="P346" i="5"/>
  <c r="Q416" i="5"/>
  <c r="P416" i="5"/>
  <c r="E416" i="12"/>
  <c r="F416" i="12"/>
  <c r="Q279" i="5"/>
  <c r="P279" i="5"/>
  <c r="E279" i="12"/>
  <c r="F279" i="12"/>
  <c r="P105" i="5"/>
  <c r="E105" i="12"/>
  <c r="F105" i="12"/>
  <c r="Q105" i="5"/>
  <c r="J126" i="12"/>
  <c r="E29" i="17"/>
  <c r="P187" i="5"/>
  <c r="Q187" i="5"/>
  <c r="E187" i="12"/>
  <c r="F187" i="12"/>
  <c r="P417" i="5"/>
  <c r="E417" i="12"/>
  <c r="F417" i="12"/>
  <c r="Q417" i="5"/>
  <c r="P276" i="5"/>
  <c r="Q276" i="5"/>
  <c r="E276" i="12"/>
  <c r="F276" i="12"/>
  <c r="P293" i="5"/>
  <c r="Q293" i="5"/>
  <c r="E293" i="12"/>
  <c r="F293" i="12"/>
  <c r="P432" i="5"/>
  <c r="E432" i="12"/>
  <c r="F432" i="12"/>
  <c r="Q432" i="5"/>
  <c r="P329" i="5"/>
  <c r="E329" i="12"/>
  <c r="F329" i="12"/>
  <c r="Q329" i="5"/>
  <c r="P126" i="12"/>
  <c r="K29" i="17"/>
  <c r="Q383" i="5"/>
  <c r="P383" i="5"/>
  <c r="E383" i="12"/>
  <c r="F383" i="12"/>
  <c r="Q357" i="5"/>
  <c r="P357" i="5"/>
  <c r="E357" i="12"/>
  <c r="F357" i="12"/>
  <c r="Q204" i="12"/>
  <c r="L35" i="17"/>
  <c r="P285" i="5"/>
  <c r="Q285" i="5"/>
  <c r="E285" i="12"/>
  <c r="F285" i="12"/>
  <c r="P195" i="5"/>
  <c r="Q195" i="5"/>
  <c r="E195" i="12"/>
  <c r="F195" i="12"/>
  <c r="O126" i="5"/>
  <c r="S126" i="12"/>
  <c r="N29" i="17"/>
  <c r="Q349" i="5"/>
  <c r="P349" i="5"/>
  <c r="E349" i="12"/>
  <c r="F349" i="12"/>
  <c r="P402" i="5"/>
  <c r="Q402" i="5"/>
  <c r="E402" i="12"/>
  <c r="F402" i="12"/>
  <c r="Q395" i="5"/>
  <c r="P395" i="5"/>
  <c r="E395" i="12"/>
  <c r="F395" i="12"/>
  <c r="Q255" i="5"/>
  <c r="P255" i="5"/>
  <c r="E255" i="12"/>
  <c r="F255" i="12"/>
  <c r="Q259" i="5"/>
  <c r="P259" i="5"/>
  <c r="E259" i="12"/>
  <c r="F259" i="12"/>
  <c r="Q176" i="5"/>
  <c r="E176" i="12"/>
  <c r="F176" i="12"/>
  <c r="P176" i="5"/>
  <c r="P289" i="5"/>
  <c r="P49" i="17"/>
  <c r="Q371" i="5"/>
  <c r="E371" i="12"/>
  <c r="F371" i="12"/>
  <c r="P371" i="5"/>
  <c r="E36" i="17"/>
  <c r="J223" i="12"/>
  <c r="Q377" i="5"/>
  <c r="P377" i="5"/>
  <c r="E377" i="12"/>
  <c r="F377" i="12"/>
  <c r="P161" i="5"/>
  <c r="Q161" i="5"/>
  <c r="E161" i="12"/>
  <c r="F161" i="12"/>
  <c r="P370" i="5"/>
  <c r="Q370" i="5"/>
  <c r="E370" i="12"/>
  <c r="F370" i="12"/>
  <c r="P121" i="5"/>
  <c r="Q121" i="5"/>
  <c r="E121" i="12"/>
  <c r="F121" i="12"/>
  <c r="P190" i="5"/>
  <c r="Q190" i="5"/>
  <c r="E190" i="12"/>
  <c r="F190" i="12"/>
  <c r="Q435" i="5"/>
  <c r="P435" i="5"/>
  <c r="E435" i="12"/>
  <c r="F435" i="12"/>
  <c r="P43" i="5"/>
  <c r="Q43" i="5"/>
  <c r="E43" i="12"/>
  <c r="F43" i="12"/>
  <c r="P191" i="5"/>
  <c r="Q191" i="5"/>
  <c r="E191" i="12"/>
  <c r="F191" i="12"/>
  <c r="Q366" i="5"/>
  <c r="P366" i="5"/>
  <c r="E366" i="12"/>
  <c r="F366" i="12"/>
  <c r="Q31" i="5"/>
  <c r="P31" i="5"/>
  <c r="E31" i="12"/>
  <c r="F31" i="12"/>
  <c r="Q199" i="5"/>
  <c r="P199" i="5"/>
  <c r="E199" i="12"/>
  <c r="F199" i="12"/>
  <c r="Q382" i="5"/>
  <c r="P382" i="5"/>
  <c r="E382" i="12"/>
  <c r="F382" i="12"/>
  <c r="K36" i="17"/>
  <c r="P223" i="12"/>
  <c r="Q396" i="5"/>
  <c r="P396" i="5"/>
  <c r="E396" i="12"/>
  <c r="F396" i="12"/>
  <c r="M223" i="12"/>
  <c r="H36" i="17"/>
  <c r="Q177" i="5"/>
  <c r="P177" i="5"/>
  <c r="E177" i="12"/>
  <c r="F177" i="12"/>
  <c r="Q411" i="5"/>
  <c r="P411" i="5"/>
  <c r="E411" i="12"/>
  <c r="F411" i="12"/>
  <c r="O420" i="5"/>
  <c r="Q36" i="5"/>
  <c r="P36" i="5"/>
  <c r="E36" i="12"/>
  <c r="F36" i="12"/>
  <c r="P296" i="5"/>
  <c r="Q296" i="5"/>
  <c r="E296" i="12"/>
  <c r="F296" i="12"/>
  <c r="Q389" i="5"/>
  <c r="P389" i="5"/>
  <c r="E389" i="12"/>
  <c r="F389" i="12"/>
  <c r="Q107" i="5"/>
  <c r="P107" i="5"/>
  <c r="E107" i="12"/>
  <c r="F107" i="12"/>
  <c r="P240" i="5"/>
  <c r="Q240" i="5"/>
  <c r="E240" i="12"/>
  <c r="F240" i="12"/>
  <c r="Q425" i="5"/>
  <c r="P425" i="5"/>
  <c r="E425" i="12"/>
  <c r="F425" i="12"/>
  <c r="G36" i="17"/>
  <c r="L223" i="12"/>
  <c r="Q206" i="5"/>
  <c r="E206" i="12"/>
  <c r="F206" i="12"/>
  <c r="P206" i="5"/>
  <c r="K50" i="17"/>
  <c r="P299" i="12"/>
  <c r="P54" i="5"/>
  <c r="E54" i="12"/>
  <c r="F54" i="12"/>
  <c r="Q54" i="5"/>
  <c r="O408" i="5"/>
  <c r="N61" i="17"/>
  <c r="S408" i="12"/>
  <c r="P314" i="5"/>
  <c r="Q314" i="5"/>
  <c r="E314" i="12"/>
  <c r="F314" i="12"/>
  <c r="Q25" i="5"/>
  <c r="E25" i="12"/>
  <c r="F25" i="12"/>
  <c r="P25" i="5"/>
  <c r="H408" i="12"/>
  <c r="C61" i="17"/>
  <c r="Q273" i="5"/>
  <c r="E273" i="12"/>
  <c r="F273" i="12"/>
  <c r="P273" i="5"/>
  <c r="Q119" i="5"/>
  <c r="P119" i="5"/>
  <c r="E119" i="12"/>
  <c r="F119" i="12"/>
  <c r="P15" i="5"/>
  <c r="E15" i="12"/>
  <c r="F15" i="12"/>
  <c r="Q15" i="5"/>
  <c r="O50" i="17"/>
  <c r="E299" i="12"/>
  <c r="F299" i="12"/>
  <c r="P299" i="5"/>
  <c r="Q175" i="5"/>
  <c r="P175" i="5"/>
  <c r="E175" i="12"/>
  <c r="F175" i="12"/>
  <c r="Q391" i="5"/>
  <c r="P391" i="5"/>
  <c r="E391" i="12"/>
  <c r="F391" i="12"/>
  <c r="P263" i="5"/>
  <c r="Q26" i="5"/>
  <c r="P26" i="5"/>
  <c r="E26" i="12"/>
  <c r="F26" i="12"/>
  <c r="L204" i="12"/>
  <c r="G35" i="17"/>
  <c r="O38" i="5"/>
  <c r="E38" i="12"/>
  <c r="F38" i="12"/>
  <c r="P29" i="5"/>
  <c r="Q100" i="5"/>
  <c r="P100" i="5"/>
  <c r="E100" i="12"/>
  <c r="F100" i="12"/>
  <c r="R126" i="12"/>
  <c r="M29" i="17"/>
  <c r="Q193" i="5"/>
  <c r="P193" i="5"/>
  <c r="E193" i="12"/>
  <c r="F193" i="12"/>
  <c r="Q433" i="5"/>
  <c r="P433" i="5"/>
  <c r="E433" i="12"/>
  <c r="F433" i="12"/>
  <c r="Q210" i="5"/>
  <c r="P210" i="5"/>
  <c r="E210" i="12"/>
  <c r="F210" i="12"/>
  <c r="Q340" i="5"/>
  <c r="P340" i="5"/>
  <c r="E340" i="12"/>
  <c r="F340" i="12"/>
  <c r="P220" i="5"/>
  <c r="Q220" i="5"/>
  <c r="E220" i="12"/>
  <c r="F220" i="12"/>
  <c r="P351" i="5"/>
  <c r="Q351" i="5"/>
  <c r="E351" i="12"/>
  <c r="F351" i="12"/>
  <c r="D29" i="17"/>
  <c r="I126" i="12"/>
  <c r="Q373" i="5"/>
  <c r="P373" i="5"/>
  <c r="E373" i="12"/>
  <c r="F373" i="12"/>
  <c r="Q380" i="5"/>
  <c r="P380" i="5"/>
  <c r="E380" i="12"/>
  <c r="F380" i="12"/>
  <c r="Q174" i="5"/>
  <c r="P174" i="5"/>
  <c r="E174" i="12"/>
  <c r="F174" i="12"/>
  <c r="P359" i="5"/>
  <c r="Q359" i="5"/>
  <c r="E359" i="12"/>
  <c r="F359" i="12"/>
  <c r="Q294" i="5"/>
  <c r="P294" i="5"/>
  <c r="E294" i="12"/>
  <c r="F294" i="12"/>
  <c r="Q367" i="5"/>
  <c r="P367" i="5"/>
  <c r="E367" i="12"/>
  <c r="F367" i="12"/>
  <c r="P139" i="5"/>
  <c r="Q139" i="5"/>
  <c r="E139" i="12"/>
  <c r="F139" i="12"/>
  <c r="P20" i="5"/>
  <c r="Q20" i="5"/>
  <c r="E20" i="12"/>
  <c r="F20" i="12"/>
  <c r="O223" i="12"/>
  <c r="J36" i="17"/>
  <c r="P363" i="5"/>
  <c r="E363" i="12"/>
  <c r="F363" i="12"/>
  <c r="Q363" i="5"/>
  <c r="P284" i="5"/>
  <c r="Q284" i="5"/>
  <c r="E284" i="12"/>
  <c r="F284" i="12"/>
  <c r="O58" i="5"/>
  <c r="S58" i="12"/>
  <c r="P34" i="5"/>
  <c r="E34" i="12"/>
  <c r="F34" i="12"/>
  <c r="Q34" i="5"/>
  <c r="P356" i="5"/>
  <c r="Q356" i="5"/>
  <c r="E356" i="12"/>
  <c r="F356" i="12"/>
  <c r="N204" i="12"/>
  <c r="I35" i="17"/>
  <c r="P427" i="5"/>
  <c r="Q427" i="5"/>
  <c r="E427" i="12"/>
  <c r="F427" i="12"/>
  <c r="P263" i="12"/>
  <c r="K43" i="17"/>
  <c r="Q275" i="5"/>
  <c r="P275" i="5"/>
  <c r="E275" i="12"/>
  <c r="F275" i="12"/>
  <c r="Q272" i="5"/>
  <c r="P272" i="5"/>
  <c r="E272" i="12"/>
  <c r="F272" i="12"/>
  <c r="P414" i="5"/>
  <c r="Q414" i="5"/>
  <c r="E414" i="12"/>
  <c r="F414" i="12"/>
  <c r="Q185" i="5"/>
  <c r="P185" i="5"/>
  <c r="E185" i="12"/>
  <c r="F185" i="12"/>
  <c r="Q353" i="5"/>
  <c r="P353" i="5"/>
  <c r="E353" i="12"/>
  <c r="F353" i="12"/>
  <c r="P436" i="5"/>
  <c r="Q436" i="5"/>
  <c r="E436" i="12"/>
  <c r="F436" i="12"/>
  <c r="Q214" i="5"/>
  <c r="P214" i="5"/>
  <c r="E214" i="12"/>
  <c r="F214" i="12"/>
  <c r="Q49" i="5"/>
  <c r="P49" i="5"/>
  <c r="E49" i="12"/>
  <c r="F49" i="12"/>
  <c r="P16" i="5"/>
  <c r="Q16" i="5"/>
  <c r="E16" i="12"/>
  <c r="F16" i="12"/>
  <c r="Q251" i="5"/>
  <c r="P251" i="5"/>
  <c r="E251" i="12"/>
  <c r="F251" i="12"/>
  <c r="G61" i="17"/>
  <c r="L408" i="12"/>
  <c r="I60" i="17"/>
  <c r="N333" i="12"/>
  <c r="R408" i="12"/>
  <c r="M61" i="17"/>
  <c r="Q41" i="5"/>
  <c r="P53" i="5"/>
  <c r="Q53" i="5"/>
  <c r="Q20" i="17"/>
  <c r="E53" i="12"/>
  <c r="F53" i="12"/>
  <c r="Q295" i="5"/>
  <c r="P295" i="5"/>
  <c r="E295" i="12"/>
  <c r="F295" i="12"/>
  <c r="L36" i="17"/>
  <c r="Q223" i="12"/>
  <c r="P128" i="5"/>
  <c r="Q128" i="5"/>
  <c r="E128" i="12"/>
  <c r="F128" i="12"/>
  <c r="Q374" i="5"/>
  <c r="P374" i="5"/>
  <c r="E374" i="12"/>
  <c r="F374" i="12"/>
  <c r="O223" i="5"/>
  <c r="S223" i="12"/>
  <c r="N36" i="17"/>
  <c r="Q211" i="5"/>
  <c r="P211" i="5"/>
  <c r="E211" i="12"/>
  <c r="F211" i="12"/>
  <c r="O316" i="5"/>
  <c r="C56" i="17"/>
  <c r="H316" i="12"/>
  <c r="P171" i="5"/>
  <c r="Q171" i="5"/>
  <c r="E171" i="12"/>
  <c r="F171" i="12"/>
  <c r="M131" i="12"/>
  <c r="H30" i="17"/>
  <c r="C60" i="17"/>
  <c r="H333" i="12"/>
  <c r="J420" i="12"/>
  <c r="E62" i="17"/>
  <c r="R438" i="12"/>
  <c r="M63" i="17"/>
  <c r="Q354" i="5"/>
  <c r="P354" i="5"/>
  <c r="E354" i="12"/>
  <c r="F354" i="12"/>
  <c r="Q76" i="5"/>
  <c r="E76" i="12"/>
  <c r="F76" i="12"/>
  <c r="P76" i="5"/>
  <c r="P212" i="5"/>
  <c r="Q212" i="5"/>
  <c r="E212" i="12"/>
  <c r="F212" i="12"/>
  <c r="Q364" i="5"/>
  <c r="P364" i="5"/>
  <c r="E364" i="12"/>
  <c r="F364" i="12"/>
  <c r="C123" i="9"/>
  <c r="P243" i="5"/>
  <c r="E243" i="12"/>
  <c r="F243" i="12"/>
  <c r="Q243" i="5"/>
  <c r="Q27" i="5"/>
  <c r="E27" i="12"/>
  <c r="F27" i="12"/>
  <c r="P27" i="5"/>
  <c r="O180" i="12"/>
  <c r="J33" i="17"/>
  <c r="M204" i="12"/>
  <c r="H35" i="17"/>
  <c r="P405" i="5"/>
  <c r="E405" i="12"/>
  <c r="F405" i="12"/>
  <c r="Q405" i="5"/>
  <c r="P424" i="5"/>
  <c r="Q424" i="5"/>
  <c r="E424" i="12"/>
  <c r="F424" i="12"/>
  <c r="P83" i="5"/>
  <c r="Q83" i="5"/>
  <c r="E83" i="12"/>
  <c r="F83" i="12"/>
  <c r="L180" i="12"/>
  <c r="G33" i="17"/>
  <c r="Q280" i="5"/>
  <c r="P280" i="5"/>
  <c r="E280" i="12"/>
  <c r="F280" i="12"/>
  <c r="P341" i="5"/>
  <c r="Q341" i="5"/>
  <c r="E341" i="12"/>
  <c r="F341" i="12"/>
  <c r="Q403" i="5"/>
  <c r="P403" i="5"/>
  <c r="Q35" i="5"/>
  <c r="E35" i="12"/>
  <c r="F35" i="12"/>
  <c r="P35" i="5"/>
  <c r="P392" i="5"/>
  <c r="Q392" i="5"/>
  <c r="E392" i="12"/>
  <c r="F392" i="12"/>
  <c r="Q281" i="5"/>
  <c r="P281" i="5"/>
  <c r="E281" i="12"/>
  <c r="F281" i="12"/>
  <c r="I33" i="17"/>
  <c r="N180" i="12"/>
  <c r="P434" i="5"/>
  <c r="Q434" i="5"/>
  <c r="E434" i="12"/>
  <c r="F434" i="12"/>
  <c r="Q192" i="5"/>
  <c r="P192" i="5"/>
  <c r="E192" i="12"/>
  <c r="F192" i="12"/>
  <c r="P237" i="5"/>
  <c r="Q237" i="5"/>
  <c r="E237" i="12"/>
  <c r="F237" i="12"/>
  <c r="Q313" i="5"/>
  <c r="P313" i="5"/>
  <c r="E313" i="12"/>
  <c r="F313" i="12"/>
  <c r="P32" i="5"/>
  <c r="Q32" i="5"/>
  <c r="E32" i="12"/>
  <c r="F32" i="12"/>
  <c r="C43" i="17"/>
  <c r="H263" i="12"/>
  <c r="G63" i="17"/>
  <c r="L438" i="12"/>
  <c r="O438" i="5"/>
  <c r="Q330" i="5"/>
  <c r="E330" i="12"/>
  <c r="F330" i="12"/>
  <c r="P330" i="5"/>
  <c r="P323" i="5"/>
  <c r="Q323" i="5"/>
  <c r="E323" i="12"/>
  <c r="F323" i="12"/>
  <c r="R420" i="12"/>
  <c r="M62" i="17"/>
  <c r="I408" i="12"/>
  <c r="D61" i="17"/>
  <c r="L10" i="17"/>
  <c r="G46" i="12"/>
  <c r="F46" i="5"/>
  <c r="H122" i="11"/>
  <c r="M54" i="6"/>
  <c r="M57" i="6"/>
  <c r="G48" i="12"/>
  <c r="F48" i="5"/>
  <c r="G227" i="12"/>
  <c r="J227" i="5"/>
  <c r="L245" i="11"/>
  <c r="G99" i="12"/>
  <c r="E99" i="5"/>
  <c r="G151" i="11"/>
  <c r="W49" i="6"/>
  <c r="R11" i="12"/>
  <c r="R2" i="12"/>
  <c r="O49" i="6"/>
  <c r="J11" i="12"/>
  <c r="J2" i="12"/>
  <c r="M7" i="5"/>
  <c r="O94" i="11"/>
  <c r="D166" i="12"/>
  <c r="T49" i="6"/>
  <c r="O11" i="12"/>
  <c r="O2" i="12"/>
  <c r="E7" i="5"/>
  <c r="G94" i="11"/>
  <c r="O140" i="5"/>
  <c r="Q140" i="5"/>
  <c r="H7" i="12"/>
  <c r="C10" i="17"/>
  <c r="D7" i="5"/>
  <c r="F94" i="11"/>
  <c r="G188" i="12"/>
  <c r="E188" i="5"/>
  <c r="N49" i="6"/>
  <c r="I11" i="12"/>
  <c r="G40" i="12"/>
  <c r="E40" i="5"/>
  <c r="G231" i="12"/>
  <c r="N231" i="5"/>
  <c r="G93" i="12"/>
  <c r="J93" i="5"/>
  <c r="L145" i="11"/>
  <c r="P49" i="6"/>
  <c r="K11" i="12"/>
  <c r="K2" i="12"/>
  <c r="G225" i="12"/>
  <c r="G225" i="5"/>
  <c r="G72" i="12"/>
  <c r="J72" i="5"/>
  <c r="L132" i="11"/>
  <c r="D265" i="12"/>
  <c r="O149" i="5"/>
  <c r="Q149" i="5"/>
  <c r="D60" i="12"/>
  <c r="D62" i="12"/>
  <c r="O55" i="6"/>
  <c r="N54" i="6"/>
  <c r="N57" i="6"/>
  <c r="D235" i="12"/>
  <c r="M7" i="12"/>
  <c r="R49" i="6"/>
  <c r="M11" i="12"/>
  <c r="E19" i="5"/>
  <c r="G101" i="11"/>
  <c r="H19" i="5"/>
  <c r="K19" i="5"/>
  <c r="J19" i="5"/>
  <c r="M19" i="5"/>
  <c r="F19" i="5"/>
  <c r="H101" i="11"/>
  <c r="I19" i="5"/>
  <c r="K101" i="11"/>
  <c r="L19" i="5"/>
  <c r="N101" i="11"/>
  <c r="G19" i="5"/>
  <c r="N19" i="5"/>
  <c r="C19" i="5"/>
  <c r="E101" i="11"/>
  <c r="D19" i="5"/>
  <c r="F101" i="11"/>
  <c r="N10" i="17"/>
  <c r="N7" i="5"/>
  <c r="P94" i="11"/>
  <c r="X49" i="6"/>
  <c r="S11" i="12"/>
  <c r="S2" i="12"/>
  <c r="K49" i="6"/>
  <c r="Q49" i="6"/>
  <c r="L11" i="12"/>
  <c r="K7" i="5"/>
  <c r="M94" i="11"/>
  <c r="D133" i="12"/>
  <c r="G252" i="12"/>
  <c r="G109" i="12"/>
  <c r="P193" i="11"/>
  <c r="O157" i="5"/>
  <c r="G230" i="12"/>
  <c r="K99" i="11"/>
  <c r="G226" i="12"/>
  <c r="G89" i="12"/>
  <c r="G101" i="12"/>
  <c r="N99" i="11"/>
  <c r="G7" i="5"/>
  <c r="I94" i="11"/>
  <c r="O17" i="5"/>
  <c r="E99" i="11"/>
  <c r="G228" i="12"/>
  <c r="F99" i="11"/>
  <c r="K47" i="6"/>
  <c r="L47" i="6"/>
  <c r="L48" i="6"/>
  <c r="L50" i="6"/>
  <c r="J48" i="6"/>
  <c r="J50" i="6"/>
  <c r="G94" i="12"/>
  <c r="H99" i="11"/>
  <c r="P191" i="11"/>
  <c r="O155" i="5"/>
  <c r="P18" i="5"/>
  <c r="Q18" i="5"/>
  <c r="E18" i="12"/>
  <c r="F18" i="12"/>
  <c r="F10" i="17"/>
  <c r="G71" i="12"/>
  <c r="G82" i="12"/>
  <c r="G99" i="11"/>
  <c r="G112" i="12"/>
  <c r="G81" i="12"/>
  <c r="G44" i="12"/>
  <c r="G114" i="12"/>
  <c r="J10" i="17"/>
  <c r="J7" i="5"/>
  <c r="L94" i="11"/>
  <c r="G146" i="12"/>
  <c r="H146" i="5"/>
  <c r="J186" i="11"/>
  <c r="G141" i="12"/>
  <c r="E141" i="5"/>
  <c r="G181" i="11"/>
  <c r="G142" i="12"/>
  <c r="M142" i="5"/>
  <c r="O182" i="11"/>
  <c r="G144" i="12"/>
  <c r="H144" i="5"/>
  <c r="J184" i="11"/>
  <c r="G145" i="5"/>
  <c r="I185" i="11"/>
  <c r="H145" i="5"/>
  <c r="J185" i="11"/>
  <c r="I145" i="5"/>
  <c r="K185" i="11"/>
  <c r="N145" i="5"/>
  <c r="J145" i="5"/>
  <c r="L185" i="11"/>
  <c r="D145" i="5"/>
  <c r="F185" i="11"/>
  <c r="L145" i="5"/>
  <c r="N185" i="11"/>
  <c r="E145" i="5"/>
  <c r="G185" i="11"/>
  <c r="M145" i="5"/>
  <c r="O185" i="11"/>
  <c r="C145" i="5"/>
  <c r="E185" i="11"/>
  <c r="F145" i="5"/>
  <c r="H185" i="11"/>
  <c r="K145" i="5"/>
  <c r="M185" i="11"/>
  <c r="J162" i="5"/>
  <c r="L198" i="11"/>
  <c r="H162" i="5"/>
  <c r="J198" i="11"/>
  <c r="D162" i="5"/>
  <c r="F198" i="11"/>
  <c r="C162" i="5"/>
  <c r="E198" i="11"/>
  <c r="I162" i="5"/>
  <c r="K198" i="11"/>
  <c r="F162" i="5"/>
  <c r="H198" i="11"/>
  <c r="N162" i="5"/>
  <c r="P198" i="11"/>
  <c r="L162" i="5"/>
  <c r="N198" i="11"/>
  <c r="G162" i="5"/>
  <c r="I198" i="11"/>
  <c r="G143" i="12"/>
  <c r="G136" i="12"/>
  <c r="M162" i="5"/>
  <c r="O198" i="11"/>
  <c r="G138" i="12"/>
  <c r="K162" i="5"/>
  <c r="M198" i="11"/>
  <c r="G137" i="12"/>
  <c r="Q29" i="5"/>
  <c r="G198" i="11"/>
  <c r="H11" i="12"/>
  <c r="H2" i="12"/>
  <c r="O43" i="17"/>
  <c r="L11" i="5"/>
  <c r="Q2" i="12"/>
  <c r="M2" i="12"/>
  <c r="G14" i="17"/>
  <c r="G8" i="17"/>
  <c r="L2" i="12"/>
  <c r="D14" i="17"/>
  <c r="D8" i="17"/>
  <c r="I2" i="12"/>
  <c r="I11" i="5"/>
  <c r="K102" i="11"/>
  <c r="N2" i="12"/>
  <c r="E310" i="12"/>
  <c r="F310" i="12"/>
  <c r="E229" i="5"/>
  <c r="G247" i="11"/>
  <c r="G229" i="5"/>
  <c r="I247" i="11"/>
  <c r="L229" i="5"/>
  <c r="N247" i="11"/>
  <c r="F229" i="5"/>
  <c r="H247" i="11"/>
  <c r="C229" i="5"/>
  <c r="E247" i="11"/>
  <c r="N229" i="5"/>
  <c r="P247" i="11"/>
  <c r="D113" i="5"/>
  <c r="F165" i="11"/>
  <c r="J113" i="5"/>
  <c r="L165" i="11"/>
  <c r="D148" i="5"/>
  <c r="F188" i="11"/>
  <c r="L148" i="5"/>
  <c r="N188" i="11"/>
  <c r="E148" i="5"/>
  <c r="G188" i="11"/>
  <c r="M148" i="5"/>
  <c r="O188" i="11"/>
  <c r="G148" i="5"/>
  <c r="I188" i="11"/>
  <c r="I148" i="5"/>
  <c r="K188" i="11"/>
  <c r="F148" i="5"/>
  <c r="H188" i="11"/>
  <c r="H148" i="5"/>
  <c r="J188" i="11"/>
  <c r="C148" i="5"/>
  <c r="E188" i="11"/>
  <c r="N148" i="5"/>
  <c r="J148" i="5"/>
  <c r="L188" i="11"/>
  <c r="K148" i="5"/>
  <c r="M188" i="11"/>
  <c r="L113" i="5"/>
  <c r="N165" i="11"/>
  <c r="C113" i="5"/>
  <c r="E165" i="11"/>
  <c r="I113" i="5"/>
  <c r="K165" i="11"/>
  <c r="M113" i="5"/>
  <c r="O165" i="11"/>
  <c r="E113" i="5"/>
  <c r="G165" i="11"/>
  <c r="F113" i="5"/>
  <c r="H165" i="11"/>
  <c r="H113" i="5"/>
  <c r="J165" i="11"/>
  <c r="H229" i="5"/>
  <c r="J247" i="11"/>
  <c r="I229" i="5"/>
  <c r="K247" i="11"/>
  <c r="K229" i="5"/>
  <c r="M247" i="11"/>
  <c r="D229" i="5"/>
  <c r="F247" i="11"/>
  <c r="M229" i="5"/>
  <c r="O247" i="11"/>
  <c r="K113" i="5"/>
  <c r="M165" i="11"/>
  <c r="G113" i="5"/>
  <c r="I165" i="11"/>
  <c r="P310" i="5"/>
  <c r="P55" i="17"/>
  <c r="O49" i="17"/>
  <c r="C109" i="9"/>
  <c r="C110" i="9"/>
  <c r="I5" i="5"/>
  <c r="E242" i="5"/>
  <c r="E246" i="5"/>
  <c r="K242" i="5"/>
  <c r="K246" i="5"/>
  <c r="L242" i="5"/>
  <c r="L246" i="5"/>
  <c r="F242" i="5"/>
  <c r="F246" i="5"/>
  <c r="N242" i="5"/>
  <c r="N246" i="5"/>
  <c r="I14" i="17"/>
  <c r="I8" i="17"/>
  <c r="J242" i="5"/>
  <c r="L254" i="11"/>
  <c r="M242" i="5"/>
  <c r="M246" i="5"/>
  <c r="H242" i="5"/>
  <c r="J254" i="11"/>
  <c r="K92" i="5"/>
  <c r="M144" i="11"/>
  <c r="F92" i="5"/>
  <c r="H144" i="11"/>
  <c r="L92" i="5"/>
  <c r="N144" i="11"/>
  <c r="E92" i="5"/>
  <c r="G144" i="11"/>
  <c r="J92" i="5"/>
  <c r="L144" i="11"/>
  <c r="G92" i="5"/>
  <c r="I144" i="11"/>
  <c r="C92" i="5"/>
  <c r="E144" i="11"/>
  <c r="I92" i="5"/>
  <c r="K144" i="11"/>
  <c r="D92" i="5"/>
  <c r="F144" i="11"/>
  <c r="N92" i="5"/>
  <c r="P144" i="11"/>
  <c r="H92" i="5"/>
  <c r="J144" i="11"/>
  <c r="L14" i="17"/>
  <c r="L8" i="17"/>
  <c r="G242" i="5"/>
  <c r="G246" i="5"/>
  <c r="D242" i="5"/>
  <c r="D246" i="5"/>
  <c r="C46" i="5"/>
  <c r="E122" i="11"/>
  <c r="I242" i="5"/>
  <c r="K254" i="11"/>
  <c r="Q316" i="5"/>
  <c r="Q56" i="17"/>
  <c r="Q126" i="5"/>
  <c r="Q29" i="17"/>
  <c r="Q131" i="5"/>
  <c r="Q30" i="17"/>
  <c r="C121" i="9"/>
  <c r="Q310" i="5"/>
  <c r="Q55" i="17"/>
  <c r="P38" i="5"/>
  <c r="Q38" i="5"/>
  <c r="P223" i="5"/>
  <c r="O36" i="17"/>
  <c r="E223" i="12"/>
  <c r="F223" i="12"/>
  <c r="O56" i="17"/>
  <c r="E316" i="12"/>
  <c r="F316" i="12"/>
  <c r="P316" i="5"/>
  <c r="P56" i="17"/>
  <c r="P126" i="5"/>
  <c r="P29" i="17"/>
  <c r="E126" i="12"/>
  <c r="F126" i="12"/>
  <c r="O29" i="17"/>
  <c r="P408" i="5"/>
  <c r="E408" i="12"/>
  <c r="F408" i="12"/>
  <c r="O61" i="17"/>
  <c r="Q223" i="5"/>
  <c r="Q36" i="17"/>
  <c r="Q420" i="5"/>
  <c r="Q62" i="17"/>
  <c r="Q204" i="5"/>
  <c r="Q35" i="17"/>
  <c r="P131" i="5"/>
  <c r="P30" i="17"/>
  <c r="E131" i="12"/>
  <c r="F131" i="12"/>
  <c r="O30" i="17"/>
  <c r="P50" i="17"/>
  <c r="Q299" i="5"/>
  <c r="Q50" i="17"/>
  <c r="P180" i="5"/>
  <c r="E180" i="12"/>
  <c r="F180" i="12"/>
  <c r="O33" i="17"/>
  <c r="Q263" i="5"/>
  <c r="Q43" i="17"/>
  <c r="E438" i="12"/>
  <c r="F438" i="12"/>
  <c r="P438" i="5"/>
  <c r="O63" i="17"/>
  <c r="Q333" i="5"/>
  <c r="Q60" i="17"/>
  <c r="E420" i="12"/>
  <c r="F420" i="12"/>
  <c r="O62" i="17"/>
  <c r="Q180" i="5"/>
  <c r="Q33" i="17"/>
  <c r="Q289" i="5"/>
  <c r="Q49" i="17"/>
  <c r="P204" i="5"/>
  <c r="P35" i="17"/>
  <c r="O35" i="17"/>
  <c r="E204" i="12"/>
  <c r="F204" i="12"/>
  <c r="P43" i="17"/>
  <c r="C136" i="9"/>
  <c r="Q58" i="5"/>
  <c r="P58" i="5"/>
  <c r="E58" i="12"/>
  <c r="F58" i="12"/>
  <c r="P420" i="5"/>
  <c r="P62" i="17"/>
  <c r="M46" i="5"/>
  <c r="O122" i="11"/>
  <c r="G99" i="5"/>
  <c r="I151" i="11"/>
  <c r="L99" i="5"/>
  <c r="N151" i="11"/>
  <c r="D99" i="5"/>
  <c r="F151" i="11"/>
  <c r="L188" i="5"/>
  <c r="N215" i="11"/>
  <c r="I46" i="5"/>
  <c r="K122" i="11"/>
  <c r="H227" i="5"/>
  <c r="J245" i="11"/>
  <c r="D227" i="5"/>
  <c r="F245" i="11"/>
  <c r="J48" i="5"/>
  <c r="L124" i="11"/>
  <c r="M227" i="5"/>
  <c r="O245" i="11"/>
  <c r="M48" i="5"/>
  <c r="O124" i="11"/>
  <c r="G46" i="5"/>
  <c r="I122" i="11"/>
  <c r="D46" i="5"/>
  <c r="F122" i="11"/>
  <c r="F227" i="5"/>
  <c r="H245" i="11"/>
  <c r="J46" i="5"/>
  <c r="L122" i="11"/>
  <c r="N46" i="5"/>
  <c r="H46" i="5"/>
  <c r="J122" i="11"/>
  <c r="K46" i="5"/>
  <c r="M122" i="11"/>
  <c r="E46" i="5"/>
  <c r="G122" i="11"/>
  <c r="L46" i="5"/>
  <c r="N122" i="11"/>
  <c r="E227" i="5"/>
  <c r="G245" i="11"/>
  <c r="C48" i="5"/>
  <c r="E124" i="11"/>
  <c r="E48" i="5"/>
  <c r="G124" i="11"/>
  <c r="J99" i="5"/>
  <c r="L151" i="11"/>
  <c r="H99" i="5"/>
  <c r="J151" i="11"/>
  <c r="D48" i="5"/>
  <c r="F124" i="11"/>
  <c r="F99" i="5"/>
  <c r="H151" i="11"/>
  <c r="C99" i="5"/>
  <c r="E151" i="11"/>
  <c r="L93" i="5"/>
  <c r="N145" i="11"/>
  <c r="N227" i="5"/>
  <c r="P245" i="11"/>
  <c r="C7" i="5"/>
  <c r="E94" i="11"/>
  <c r="N99" i="5"/>
  <c r="P151" i="11"/>
  <c r="L227" i="5"/>
  <c r="N245" i="11"/>
  <c r="I227" i="5"/>
  <c r="K245" i="11"/>
  <c r="K99" i="5"/>
  <c r="M151" i="11"/>
  <c r="M99" i="5"/>
  <c r="O151" i="11"/>
  <c r="C227" i="5"/>
  <c r="E245" i="11"/>
  <c r="G227" i="5"/>
  <c r="I245" i="11"/>
  <c r="I99" i="5"/>
  <c r="K151" i="11"/>
  <c r="K227" i="5"/>
  <c r="M245" i="11"/>
  <c r="K48" i="5"/>
  <c r="M124" i="11"/>
  <c r="N48" i="5"/>
  <c r="P124" i="11"/>
  <c r="I48" i="5"/>
  <c r="K124" i="11"/>
  <c r="H48" i="5"/>
  <c r="J124" i="11"/>
  <c r="L225" i="5"/>
  <c r="N243" i="11"/>
  <c r="G48" i="5"/>
  <c r="I124" i="11"/>
  <c r="L48" i="5"/>
  <c r="N124" i="11"/>
  <c r="H231" i="5"/>
  <c r="N225" i="5"/>
  <c r="P243" i="11"/>
  <c r="P140" i="5"/>
  <c r="I93" i="5"/>
  <c r="K145" i="11"/>
  <c r="D93" i="5"/>
  <c r="F145" i="11"/>
  <c r="J40" i="5"/>
  <c r="L116" i="11"/>
  <c r="F40" i="5"/>
  <c r="H116" i="11"/>
  <c r="G40" i="5"/>
  <c r="I116" i="11"/>
  <c r="C40" i="5"/>
  <c r="E116" i="11"/>
  <c r="N40" i="5"/>
  <c r="P116" i="11"/>
  <c r="I188" i="5"/>
  <c r="I197" i="5"/>
  <c r="E140" i="12"/>
  <c r="F140" i="12"/>
  <c r="D11" i="5"/>
  <c r="D5" i="5"/>
  <c r="F188" i="5"/>
  <c r="F197" i="5"/>
  <c r="K225" i="5"/>
  <c r="M243" i="11"/>
  <c r="I225" i="5"/>
  <c r="K243" i="11"/>
  <c r="C17" i="17"/>
  <c r="H225" i="5"/>
  <c r="J243" i="11"/>
  <c r="K72" i="5"/>
  <c r="M132" i="11"/>
  <c r="J225" i="5"/>
  <c r="L243" i="11"/>
  <c r="F231" i="5"/>
  <c r="H188" i="5"/>
  <c r="J215" i="11"/>
  <c r="L72" i="5"/>
  <c r="N132" i="11"/>
  <c r="J231" i="5"/>
  <c r="G188" i="5"/>
  <c r="I215" i="11"/>
  <c r="I40" i="5"/>
  <c r="K116" i="11"/>
  <c r="M225" i="5"/>
  <c r="O243" i="11"/>
  <c r="C225" i="5"/>
  <c r="F72" i="5"/>
  <c r="H132" i="11"/>
  <c r="C231" i="5"/>
  <c r="K188" i="5"/>
  <c r="K197" i="5"/>
  <c r="E231" i="5"/>
  <c r="N188" i="5"/>
  <c r="P215" i="11"/>
  <c r="C188" i="5"/>
  <c r="E215" i="11"/>
  <c r="L40" i="5"/>
  <c r="N116" i="11"/>
  <c r="D40" i="5"/>
  <c r="I17" i="17"/>
  <c r="E225" i="5"/>
  <c r="G243" i="11"/>
  <c r="G72" i="5"/>
  <c r="I132" i="11"/>
  <c r="K231" i="5"/>
  <c r="E72" i="5"/>
  <c r="G132" i="11"/>
  <c r="D188" i="5"/>
  <c r="F215" i="11"/>
  <c r="M188" i="5"/>
  <c r="O215" i="11"/>
  <c r="M40" i="5"/>
  <c r="O116" i="11"/>
  <c r="H40" i="5"/>
  <c r="J116" i="11"/>
  <c r="F225" i="5"/>
  <c r="H243" i="11"/>
  <c r="N72" i="5"/>
  <c r="P132" i="11"/>
  <c r="D72" i="5"/>
  <c r="F132" i="11"/>
  <c r="D248" i="12"/>
  <c r="D267" i="12"/>
  <c r="D269" i="12"/>
  <c r="D302" i="12"/>
  <c r="D319" i="12"/>
  <c r="D336" i="12"/>
  <c r="G231" i="5"/>
  <c r="I231" i="5"/>
  <c r="J188" i="5"/>
  <c r="L215" i="11"/>
  <c r="K40" i="5"/>
  <c r="M116" i="11"/>
  <c r="D225" i="5"/>
  <c r="F243" i="11"/>
  <c r="P149" i="5"/>
  <c r="L231" i="5"/>
  <c r="D231" i="5"/>
  <c r="H93" i="5"/>
  <c r="J145" i="11"/>
  <c r="K93" i="5"/>
  <c r="M145" i="11"/>
  <c r="M72" i="5"/>
  <c r="O132" i="11"/>
  <c r="F17" i="17"/>
  <c r="G93" i="5"/>
  <c r="I145" i="11"/>
  <c r="N93" i="5"/>
  <c r="P145" i="11"/>
  <c r="M231" i="5"/>
  <c r="E93" i="5"/>
  <c r="G145" i="11"/>
  <c r="H72" i="5"/>
  <c r="J132" i="11"/>
  <c r="I72" i="5"/>
  <c r="K132" i="11"/>
  <c r="F93" i="5"/>
  <c r="H145" i="11"/>
  <c r="M93" i="5"/>
  <c r="O145" i="11"/>
  <c r="C93" i="5"/>
  <c r="E145" i="11"/>
  <c r="D17" i="17"/>
  <c r="C72" i="5"/>
  <c r="E132" i="11"/>
  <c r="G11" i="5"/>
  <c r="I102" i="11"/>
  <c r="L17" i="17"/>
  <c r="J101" i="11"/>
  <c r="H17" i="17"/>
  <c r="G17" i="17"/>
  <c r="I101" i="11"/>
  <c r="G44" i="5"/>
  <c r="I120" i="11"/>
  <c r="J44" i="5"/>
  <c r="L120" i="11"/>
  <c r="M44" i="5"/>
  <c r="O120" i="11"/>
  <c r="C44" i="5"/>
  <c r="E120" i="11"/>
  <c r="F44" i="5"/>
  <c r="H120" i="11"/>
  <c r="I44" i="5"/>
  <c r="K120" i="11"/>
  <c r="L44" i="5"/>
  <c r="N120" i="11"/>
  <c r="E44" i="5"/>
  <c r="G120" i="11"/>
  <c r="H44" i="5"/>
  <c r="J120" i="11"/>
  <c r="D44" i="5"/>
  <c r="F120" i="11"/>
  <c r="N44" i="5"/>
  <c r="K44" i="5"/>
  <c r="M120" i="11"/>
  <c r="E17" i="17"/>
  <c r="Q155" i="5"/>
  <c r="E155" i="12"/>
  <c r="F155" i="12"/>
  <c r="P155" i="5"/>
  <c r="P17" i="5"/>
  <c r="Q17" i="5"/>
  <c r="E17" i="12"/>
  <c r="F17" i="12"/>
  <c r="N101" i="5"/>
  <c r="P153" i="11"/>
  <c r="F101" i="5"/>
  <c r="H153" i="11"/>
  <c r="I101" i="5"/>
  <c r="K153" i="11"/>
  <c r="G101" i="5"/>
  <c r="I153" i="11"/>
  <c r="E101" i="5"/>
  <c r="G153" i="11"/>
  <c r="M101" i="5"/>
  <c r="O153" i="11"/>
  <c r="D101" i="5"/>
  <c r="F153" i="11"/>
  <c r="H101" i="5"/>
  <c r="J153" i="11"/>
  <c r="J101" i="5"/>
  <c r="L153" i="11"/>
  <c r="K101" i="5"/>
  <c r="M153" i="11"/>
  <c r="C101" i="5"/>
  <c r="E153" i="11"/>
  <c r="L101" i="5"/>
  <c r="N153" i="11"/>
  <c r="H14" i="17"/>
  <c r="H11" i="5"/>
  <c r="O19" i="5"/>
  <c r="O17" i="17"/>
  <c r="P101" i="11"/>
  <c r="N17" i="17"/>
  <c r="E228" i="5"/>
  <c r="G246" i="11"/>
  <c r="L228" i="5"/>
  <c r="N246" i="11"/>
  <c r="J228" i="5"/>
  <c r="L246" i="11"/>
  <c r="N228" i="5"/>
  <c r="G228" i="5"/>
  <c r="I246" i="11"/>
  <c r="D228" i="5"/>
  <c r="F246" i="11"/>
  <c r="H228" i="5"/>
  <c r="J246" i="11"/>
  <c r="C228" i="5"/>
  <c r="E246" i="11"/>
  <c r="M228" i="5"/>
  <c r="O246" i="11"/>
  <c r="K228" i="5"/>
  <c r="M246" i="11"/>
  <c r="I228" i="5"/>
  <c r="K246" i="11"/>
  <c r="F228" i="5"/>
  <c r="H246" i="11"/>
  <c r="N89" i="5"/>
  <c r="P141" i="11"/>
  <c r="G89" i="5"/>
  <c r="I141" i="11"/>
  <c r="J89" i="5"/>
  <c r="L141" i="11"/>
  <c r="H89" i="5"/>
  <c r="J141" i="11"/>
  <c r="F89" i="5"/>
  <c r="H141" i="11"/>
  <c r="I89" i="5"/>
  <c r="K141" i="11"/>
  <c r="M89" i="5"/>
  <c r="O141" i="11"/>
  <c r="E89" i="5"/>
  <c r="G141" i="11"/>
  <c r="D89" i="5"/>
  <c r="F141" i="11"/>
  <c r="K89" i="5"/>
  <c r="M141" i="11"/>
  <c r="C89" i="5"/>
  <c r="E141" i="11"/>
  <c r="L89" i="5"/>
  <c r="N141" i="11"/>
  <c r="J230" i="5"/>
  <c r="L248" i="11"/>
  <c r="I230" i="5"/>
  <c r="K248" i="11"/>
  <c r="D230" i="5"/>
  <c r="F248" i="11"/>
  <c r="G230" i="5"/>
  <c r="I248" i="11"/>
  <c r="L230" i="5"/>
  <c r="N248" i="11"/>
  <c r="N230" i="5"/>
  <c r="E230" i="5"/>
  <c r="G248" i="11"/>
  <c r="F230" i="5"/>
  <c r="H248" i="11"/>
  <c r="C230" i="5"/>
  <c r="E248" i="11"/>
  <c r="M230" i="5"/>
  <c r="O248" i="11"/>
  <c r="H230" i="5"/>
  <c r="J248" i="11"/>
  <c r="K230" i="5"/>
  <c r="M248" i="11"/>
  <c r="H10" i="17"/>
  <c r="O10" i="17"/>
  <c r="P10" i="17"/>
  <c r="H7" i="5"/>
  <c r="J94" i="11"/>
  <c r="H124" i="11"/>
  <c r="P55" i="6"/>
  <c r="O54" i="6"/>
  <c r="O57" i="6"/>
  <c r="K48" i="6"/>
  <c r="K50" i="6"/>
  <c r="I71" i="5"/>
  <c r="H71" i="5"/>
  <c r="F71" i="5"/>
  <c r="D71" i="5"/>
  <c r="L71" i="5"/>
  <c r="G71" i="5"/>
  <c r="J71" i="5"/>
  <c r="N71" i="5"/>
  <c r="E71" i="5"/>
  <c r="K71" i="5"/>
  <c r="M71" i="5"/>
  <c r="C71" i="5"/>
  <c r="M17" i="17"/>
  <c r="O101" i="11"/>
  <c r="K146" i="5"/>
  <c r="M186" i="11"/>
  <c r="N81" i="5"/>
  <c r="P137" i="11"/>
  <c r="C81" i="5"/>
  <c r="E137" i="11"/>
  <c r="K81" i="5"/>
  <c r="M137" i="11"/>
  <c r="J81" i="5"/>
  <c r="L137" i="11"/>
  <c r="H81" i="5"/>
  <c r="J137" i="11"/>
  <c r="F81" i="5"/>
  <c r="H137" i="11"/>
  <c r="I81" i="5"/>
  <c r="K137" i="11"/>
  <c r="L81" i="5"/>
  <c r="N137" i="11"/>
  <c r="D81" i="5"/>
  <c r="F137" i="11"/>
  <c r="M81" i="5"/>
  <c r="O137" i="11"/>
  <c r="E81" i="5"/>
  <c r="G137" i="11"/>
  <c r="G81" i="5"/>
  <c r="I137" i="11"/>
  <c r="G114" i="5"/>
  <c r="I166" i="11"/>
  <c r="N114" i="5"/>
  <c r="J114" i="5"/>
  <c r="L166" i="11"/>
  <c r="H114" i="5"/>
  <c r="J166" i="11"/>
  <c r="F114" i="5"/>
  <c r="H166" i="11"/>
  <c r="K114" i="5"/>
  <c r="M166" i="11"/>
  <c r="D114" i="5"/>
  <c r="F166" i="11"/>
  <c r="E114" i="5"/>
  <c r="G166" i="11"/>
  <c r="C114" i="5"/>
  <c r="E166" i="11"/>
  <c r="L114" i="5"/>
  <c r="N166" i="11"/>
  <c r="I114" i="5"/>
  <c r="K166" i="11"/>
  <c r="M114" i="5"/>
  <c r="O166" i="11"/>
  <c r="G226" i="5"/>
  <c r="I244" i="11"/>
  <c r="H226" i="5"/>
  <c r="J244" i="11"/>
  <c r="N226" i="5"/>
  <c r="J226" i="5"/>
  <c r="L244" i="11"/>
  <c r="D226" i="5"/>
  <c r="F244" i="11"/>
  <c r="L226" i="5"/>
  <c r="N244" i="11"/>
  <c r="K226" i="5"/>
  <c r="M244" i="11"/>
  <c r="M226" i="5"/>
  <c r="O244" i="11"/>
  <c r="C226" i="5"/>
  <c r="E244" i="11"/>
  <c r="E226" i="5"/>
  <c r="G244" i="11"/>
  <c r="F226" i="5"/>
  <c r="H244" i="11"/>
  <c r="I226" i="5"/>
  <c r="K244" i="11"/>
  <c r="D146" i="5"/>
  <c r="F186" i="11"/>
  <c r="M47" i="6"/>
  <c r="H8" i="12"/>
  <c r="G146" i="5"/>
  <c r="I186" i="11"/>
  <c r="N94" i="5"/>
  <c r="P146" i="11"/>
  <c r="H94" i="5"/>
  <c r="J146" i="11"/>
  <c r="C94" i="5"/>
  <c r="E146" i="11"/>
  <c r="K94" i="5"/>
  <c r="M146" i="11"/>
  <c r="I94" i="5"/>
  <c r="K146" i="11"/>
  <c r="G94" i="5"/>
  <c r="I146" i="11"/>
  <c r="J94" i="5"/>
  <c r="L146" i="11"/>
  <c r="E94" i="5"/>
  <c r="G146" i="11"/>
  <c r="F94" i="5"/>
  <c r="H146" i="11"/>
  <c r="M94" i="5"/>
  <c r="O146" i="11"/>
  <c r="L94" i="5"/>
  <c r="N146" i="11"/>
  <c r="D94" i="5"/>
  <c r="F146" i="11"/>
  <c r="E197" i="5"/>
  <c r="G215" i="11"/>
  <c r="F109" i="5"/>
  <c r="H161" i="11"/>
  <c r="N109" i="5"/>
  <c r="P161" i="11"/>
  <c r="I109" i="5"/>
  <c r="K161" i="11"/>
  <c r="G109" i="5"/>
  <c r="I161" i="11"/>
  <c r="E109" i="5"/>
  <c r="G161" i="11"/>
  <c r="M109" i="5"/>
  <c r="O161" i="11"/>
  <c r="D109" i="5"/>
  <c r="F161" i="11"/>
  <c r="H109" i="5"/>
  <c r="J161" i="11"/>
  <c r="J109" i="5"/>
  <c r="L161" i="11"/>
  <c r="K109" i="5"/>
  <c r="M161" i="11"/>
  <c r="C109" i="5"/>
  <c r="E161" i="11"/>
  <c r="L109" i="5"/>
  <c r="N161" i="11"/>
  <c r="J17" i="17"/>
  <c r="L101" i="11"/>
  <c r="N146" i="5"/>
  <c r="P186" i="11"/>
  <c r="E112" i="5"/>
  <c r="G164" i="11"/>
  <c r="M112" i="5"/>
  <c r="O164" i="11"/>
  <c r="H112" i="5"/>
  <c r="J164" i="11"/>
  <c r="F112" i="5"/>
  <c r="H164" i="11"/>
  <c r="N112" i="5"/>
  <c r="D112" i="5"/>
  <c r="F164" i="11"/>
  <c r="L112" i="5"/>
  <c r="N164" i="11"/>
  <c r="J112" i="5"/>
  <c r="L164" i="11"/>
  <c r="C112" i="5"/>
  <c r="E164" i="11"/>
  <c r="G112" i="5"/>
  <c r="I164" i="11"/>
  <c r="K112" i="5"/>
  <c r="M164" i="11"/>
  <c r="I112" i="5"/>
  <c r="K164" i="11"/>
  <c r="D82" i="5"/>
  <c r="F138" i="11"/>
  <c r="L82" i="5"/>
  <c r="N138" i="11"/>
  <c r="C82" i="5"/>
  <c r="E138" i="11"/>
  <c r="K82" i="5"/>
  <c r="M138" i="11"/>
  <c r="I82" i="5"/>
  <c r="K138" i="11"/>
  <c r="G82" i="5"/>
  <c r="I138" i="11"/>
  <c r="M82" i="5"/>
  <c r="O138" i="11"/>
  <c r="F82" i="5"/>
  <c r="H138" i="11"/>
  <c r="E82" i="5"/>
  <c r="G138" i="11"/>
  <c r="H82" i="5"/>
  <c r="J138" i="11"/>
  <c r="J82" i="5"/>
  <c r="L138" i="11"/>
  <c r="N82" i="5"/>
  <c r="P138" i="11"/>
  <c r="C246" i="5"/>
  <c r="E254" i="11"/>
  <c r="P157" i="5"/>
  <c r="E157" i="12"/>
  <c r="F157" i="12"/>
  <c r="Q157" i="5"/>
  <c r="F146" i="5"/>
  <c r="H186" i="11"/>
  <c r="P165" i="11"/>
  <c r="G116" i="11"/>
  <c r="I243" i="11"/>
  <c r="E252" i="5"/>
  <c r="I252" i="5"/>
  <c r="M252" i="5"/>
  <c r="H252" i="5"/>
  <c r="K252" i="5"/>
  <c r="C252" i="5"/>
  <c r="F252" i="5"/>
  <c r="J252" i="5"/>
  <c r="D252" i="5"/>
  <c r="L252" i="5"/>
  <c r="G252" i="5"/>
  <c r="N252" i="5"/>
  <c r="M101" i="11"/>
  <c r="K17" i="17"/>
  <c r="D141" i="5"/>
  <c r="F181" i="11"/>
  <c r="M146" i="5"/>
  <c r="O186" i="11"/>
  <c r="J146" i="5"/>
  <c r="L186" i="11"/>
  <c r="K141" i="5"/>
  <c r="M181" i="11"/>
  <c r="E146" i="5"/>
  <c r="G186" i="11"/>
  <c r="L146" i="5"/>
  <c r="N186" i="11"/>
  <c r="I146" i="5"/>
  <c r="K186" i="11"/>
  <c r="C146" i="5"/>
  <c r="E186" i="11"/>
  <c r="I141" i="5"/>
  <c r="K181" i="11"/>
  <c r="E142" i="5"/>
  <c r="G182" i="11"/>
  <c r="J141" i="5"/>
  <c r="L181" i="11"/>
  <c r="C141" i="5"/>
  <c r="E181" i="11"/>
  <c r="F142" i="5"/>
  <c r="H182" i="11"/>
  <c r="N142" i="5"/>
  <c r="P182" i="11"/>
  <c r="G142" i="5"/>
  <c r="I182" i="11"/>
  <c r="L142" i="5"/>
  <c r="N182" i="11"/>
  <c r="L141" i="5"/>
  <c r="N181" i="11"/>
  <c r="C142" i="5"/>
  <c r="E182" i="11"/>
  <c r="G141" i="5"/>
  <c r="I181" i="11"/>
  <c r="L144" i="5"/>
  <c r="N184" i="11"/>
  <c r="M141" i="5"/>
  <c r="O181" i="11"/>
  <c r="H142" i="5"/>
  <c r="J182" i="11"/>
  <c r="D142" i="5"/>
  <c r="F182" i="11"/>
  <c r="N141" i="5"/>
  <c r="P181" i="11"/>
  <c r="J142" i="5"/>
  <c r="L182" i="11"/>
  <c r="F141" i="5"/>
  <c r="H181" i="11"/>
  <c r="C144" i="5"/>
  <c r="E184" i="11"/>
  <c r="J144" i="5"/>
  <c r="L184" i="11"/>
  <c r="G144" i="5"/>
  <c r="I184" i="11"/>
  <c r="E144" i="5"/>
  <c r="G184" i="11"/>
  <c r="F144" i="5"/>
  <c r="H184" i="11"/>
  <c r="I142" i="5"/>
  <c r="K182" i="11"/>
  <c r="H141" i="5"/>
  <c r="J181" i="11"/>
  <c r="D144" i="5"/>
  <c r="F184" i="11"/>
  <c r="K144" i="5"/>
  <c r="M184" i="11"/>
  <c r="K142" i="5"/>
  <c r="M182" i="11"/>
  <c r="N144" i="5"/>
  <c r="P184" i="11"/>
  <c r="I144" i="5"/>
  <c r="K184" i="11"/>
  <c r="O162" i="5"/>
  <c r="E162" i="12"/>
  <c r="F162" i="12"/>
  <c r="M144" i="5"/>
  <c r="O184" i="11"/>
  <c r="G138" i="5"/>
  <c r="I178" i="11"/>
  <c r="H138" i="5"/>
  <c r="J178" i="11"/>
  <c r="I138" i="5"/>
  <c r="K178" i="11"/>
  <c r="N138" i="5"/>
  <c r="J138" i="5"/>
  <c r="L178" i="11"/>
  <c r="D138" i="5"/>
  <c r="F178" i="11"/>
  <c r="L138" i="5"/>
  <c r="N178" i="11"/>
  <c r="E138" i="5"/>
  <c r="G178" i="11"/>
  <c r="M138" i="5"/>
  <c r="O178" i="11"/>
  <c r="C138" i="5"/>
  <c r="E178" i="11"/>
  <c r="F138" i="5"/>
  <c r="H178" i="11"/>
  <c r="K138" i="5"/>
  <c r="M178" i="11"/>
  <c r="P185" i="11"/>
  <c r="O145" i="5"/>
  <c r="E136" i="5"/>
  <c r="M136" i="5"/>
  <c r="F136" i="5"/>
  <c r="G136" i="5"/>
  <c r="H136" i="5"/>
  <c r="N136" i="5"/>
  <c r="J136" i="5"/>
  <c r="C136" i="5"/>
  <c r="K136" i="5"/>
  <c r="D136" i="5"/>
  <c r="I136" i="5"/>
  <c r="L136" i="5"/>
  <c r="F137" i="5"/>
  <c r="H177" i="11"/>
  <c r="G137" i="5"/>
  <c r="I177" i="11"/>
  <c r="H137" i="5"/>
  <c r="J177" i="11"/>
  <c r="I137" i="5"/>
  <c r="K177" i="11"/>
  <c r="C137" i="5"/>
  <c r="E177" i="11"/>
  <c r="K137" i="5"/>
  <c r="M177" i="11"/>
  <c r="D137" i="5"/>
  <c r="F177" i="11"/>
  <c r="L137" i="5"/>
  <c r="N177" i="11"/>
  <c r="E137" i="5"/>
  <c r="G177" i="11"/>
  <c r="J137" i="5"/>
  <c r="L177" i="11"/>
  <c r="M137" i="5"/>
  <c r="O177" i="11"/>
  <c r="N137" i="5"/>
  <c r="E143" i="5"/>
  <c r="G183" i="11"/>
  <c r="M143" i="5"/>
  <c r="O183" i="11"/>
  <c r="F143" i="5"/>
  <c r="H183" i="11"/>
  <c r="G143" i="5"/>
  <c r="I183" i="11"/>
  <c r="H143" i="5"/>
  <c r="J183" i="11"/>
  <c r="N143" i="5"/>
  <c r="J143" i="5"/>
  <c r="L183" i="11"/>
  <c r="C143" i="5"/>
  <c r="E183" i="11"/>
  <c r="K143" i="5"/>
  <c r="M183" i="11"/>
  <c r="D143" i="5"/>
  <c r="F183" i="11"/>
  <c r="I143" i="5"/>
  <c r="K183" i="11"/>
  <c r="L143" i="5"/>
  <c r="N183" i="11"/>
  <c r="N11" i="5"/>
  <c r="N14" i="17"/>
  <c r="E14" i="17"/>
  <c r="E11" i="5"/>
  <c r="N102" i="11"/>
  <c r="L5" i="5"/>
  <c r="J11" i="5"/>
  <c r="J14" i="17"/>
  <c r="F11" i="5"/>
  <c r="F14" i="17"/>
  <c r="C11" i="5"/>
  <c r="C14" i="17"/>
  <c r="M14" i="17"/>
  <c r="M11" i="5"/>
  <c r="K11" i="5"/>
  <c r="K14" i="17"/>
  <c r="G254" i="11"/>
  <c r="E109" i="9"/>
  <c r="P188" i="11"/>
  <c r="O148" i="5"/>
  <c r="M254" i="11"/>
  <c r="N254" i="11"/>
  <c r="O113" i="5"/>
  <c r="Q113" i="5"/>
  <c r="O229" i="5"/>
  <c r="Q229" i="5"/>
  <c r="P254" i="11"/>
  <c r="H254" i="11"/>
  <c r="J246" i="5"/>
  <c r="J38" i="17"/>
  <c r="F254" i="11"/>
  <c r="O254" i="11"/>
  <c r="H246" i="5"/>
  <c r="M246" i="12"/>
  <c r="I254" i="11"/>
  <c r="O92" i="5"/>
  <c r="Q92" i="5"/>
  <c r="O242" i="5"/>
  <c r="P242" i="5"/>
  <c r="I246" i="5"/>
  <c r="K215" i="11"/>
  <c r="P61" i="17"/>
  <c r="Q408" i="5"/>
  <c r="Q61" i="17"/>
  <c r="O46" i="5"/>
  <c r="P46" i="5"/>
  <c r="Q438" i="5"/>
  <c r="Q63" i="17"/>
  <c r="P63" i="17"/>
  <c r="C132" i="9"/>
  <c r="P33" i="17"/>
  <c r="C131" i="9"/>
  <c r="P36" i="17"/>
  <c r="O227" i="5"/>
  <c r="E227" i="12"/>
  <c r="F227" i="12"/>
  <c r="L197" i="5"/>
  <c r="Q197" i="12"/>
  <c r="P122" i="11"/>
  <c r="J197" i="5"/>
  <c r="O197" i="12"/>
  <c r="O99" i="5"/>
  <c r="Q99" i="5"/>
  <c r="M197" i="5"/>
  <c r="R197" i="12"/>
  <c r="O48" i="5"/>
  <c r="P48" i="5"/>
  <c r="F102" i="11"/>
  <c r="F51" i="5"/>
  <c r="F60" i="5"/>
  <c r="M215" i="11"/>
  <c r="N51" i="5"/>
  <c r="N60" i="5"/>
  <c r="H197" i="5"/>
  <c r="H34" i="17"/>
  <c r="D197" i="5"/>
  <c r="I197" i="12"/>
  <c r="H215" i="11"/>
  <c r="C197" i="5"/>
  <c r="C34" i="17"/>
  <c r="G197" i="5"/>
  <c r="L197" i="12"/>
  <c r="O40" i="5"/>
  <c r="E40" i="12"/>
  <c r="F40" i="12"/>
  <c r="O225" i="5"/>
  <c r="Q225" i="5"/>
  <c r="O231" i="5"/>
  <c r="Q231" i="5"/>
  <c r="O188" i="5"/>
  <c r="P188" i="5"/>
  <c r="F116" i="11"/>
  <c r="L51" i="5"/>
  <c r="L60" i="5"/>
  <c r="K51" i="5"/>
  <c r="K60" i="5"/>
  <c r="E243" i="11"/>
  <c r="G5" i="5"/>
  <c r="N197" i="5"/>
  <c r="S197" i="12"/>
  <c r="C51" i="5"/>
  <c r="C60" i="5"/>
  <c r="O93" i="5"/>
  <c r="Q93" i="5"/>
  <c r="I51" i="5"/>
  <c r="N51" i="12"/>
  <c r="O72" i="5"/>
  <c r="Q72" i="5"/>
  <c r="H51" i="5"/>
  <c r="H60" i="5"/>
  <c r="G233" i="5"/>
  <c r="G37" i="17"/>
  <c r="E51" i="5"/>
  <c r="E60" i="5"/>
  <c r="F258" i="11"/>
  <c r="D257" i="5"/>
  <c r="F34" i="17"/>
  <c r="K197" i="12"/>
  <c r="G87" i="5"/>
  <c r="J87" i="5"/>
  <c r="D38" i="17"/>
  <c r="I246" i="12"/>
  <c r="I34" i="17"/>
  <c r="N197" i="12"/>
  <c r="H233" i="5"/>
  <c r="M87" i="5"/>
  <c r="C87" i="5"/>
  <c r="D51" i="5"/>
  <c r="J78" i="5"/>
  <c r="L131" i="11"/>
  <c r="C257" i="5"/>
  <c r="E258" i="11"/>
  <c r="L233" i="5"/>
  <c r="M51" i="5"/>
  <c r="O94" i="5"/>
  <c r="I233" i="5"/>
  <c r="D87" i="5"/>
  <c r="O81" i="5"/>
  <c r="N87" i="5"/>
  <c r="G78" i="5"/>
  <c r="I131" i="11"/>
  <c r="Q246" i="12"/>
  <c r="L38" i="17"/>
  <c r="O230" i="5"/>
  <c r="P248" i="11"/>
  <c r="M117" i="5"/>
  <c r="K34" i="17"/>
  <c r="P197" i="12"/>
  <c r="H5" i="5"/>
  <c r="J102" i="11"/>
  <c r="E78" i="5"/>
  <c r="G131" i="11"/>
  <c r="I78" i="5"/>
  <c r="K131" i="11"/>
  <c r="L258" i="11"/>
  <c r="J257" i="5"/>
  <c r="K87" i="5"/>
  <c r="E117" i="5"/>
  <c r="M48" i="6"/>
  <c r="M50" i="6"/>
  <c r="K257" i="5"/>
  <c r="M258" i="11"/>
  <c r="D233" i="5"/>
  <c r="H246" i="12"/>
  <c r="C38" i="17"/>
  <c r="O109" i="5"/>
  <c r="L87" i="5"/>
  <c r="R246" i="12"/>
  <c r="M38" i="17"/>
  <c r="L78" i="5"/>
  <c r="N131" i="11"/>
  <c r="I117" i="5"/>
  <c r="O228" i="5"/>
  <c r="P246" i="11"/>
  <c r="P19" i="5"/>
  <c r="P17" i="17"/>
  <c r="Q19" i="5"/>
  <c r="E19" i="12"/>
  <c r="F19" i="12"/>
  <c r="H8" i="17"/>
  <c r="G51" i="5"/>
  <c r="P244" i="11"/>
  <c r="O226" i="5"/>
  <c r="O44" i="5"/>
  <c r="P120" i="11"/>
  <c r="E87" i="5"/>
  <c r="O71" i="5"/>
  <c r="N78" i="5"/>
  <c r="P131" i="11"/>
  <c r="O112" i="5"/>
  <c r="P164" i="11"/>
  <c r="N47" i="6"/>
  <c r="I8" i="12"/>
  <c r="P258" i="11"/>
  <c r="O252" i="5"/>
  <c r="N257" i="5"/>
  <c r="H257" i="5"/>
  <c r="J258" i="11"/>
  <c r="J197" i="12"/>
  <c r="E34" i="17"/>
  <c r="F38" i="17"/>
  <c r="K246" i="12"/>
  <c r="I87" i="5"/>
  <c r="C78" i="5"/>
  <c r="E131" i="11"/>
  <c r="D78" i="5"/>
  <c r="F131" i="11"/>
  <c r="J51" i="5"/>
  <c r="F117" i="5"/>
  <c r="J233" i="5"/>
  <c r="C233" i="5"/>
  <c r="G257" i="5"/>
  <c r="I258" i="11"/>
  <c r="O258" i="11"/>
  <c r="M257" i="5"/>
  <c r="K38" i="17"/>
  <c r="P246" i="12"/>
  <c r="F233" i="5"/>
  <c r="P166" i="11"/>
  <c r="O114" i="5"/>
  <c r="F87" i="5"/>
  <c r="M78" i="5"/>
  <c r="O131" i="11"/>
  <c r="F78" i="5"/>
  <c r="H131" i="11"/>
  <c r="L117" i="5"/>
  <c r="H117" i="5"/>
  <c r="K233" i="5"/>
  <c r="O101" i="5"/>
  <c r="G38" i="17"/>
  <c r="L246" i="12"/>
  <c r="E257" i="5"/>
  <c r="G258" i="11"/>
  <c r="K117" i="5"/>
  <c r="G117" i="5"/>
  <c r="N233" i="5"/>
  <c r="D117" i="5"/>
  <c r="N117" i="5"/>
  <c r="O89" i="5"/>
  <c r="F257" i="5"/>
  <c r="H258" i="11"/>
  <c r="O7" i="5"/>
  <c r="Q7" i="5"/>
  <c r="N258" i="11"/>
  <c r="L257" i="5"/>
  <c r="I257" i="5"/>
  <c r="K258" i="11"/>
  <c r="N38" i="17"/>
  <c r="S246" i="12"/>
  <c r="O82" i="5"/>
  <c r="H87" i="5"/>
  <c r="E233" i="5"/>
  <c r="K78" i="5"/>
  <c r="M131" i="11"/>
  <c r="J131" i="11"/>
  <c r="H78" i="5"/>
  <c r="P54" i="6"/>
  <c r="P57" i="6"/>
  <c r="Q55" i="6"/>
  <c r="C117" i="5"/>
  <c r="J117" i="5"/>
  <c r="M233" i="5"/>
  <c r="E38" i="17"/>
  <c r="J246" i="12"/>
  <c r="C8" i="5"/>
  <c r="C11" i="17"/>
  <c r="H10" i="12"/>
  <c r="O146" i="5"/>
  <c r="P146" i="5"/>
  <c r="P162" i="5"/>
  <c r="Q162" i="5"/>
  <c r="O141" i="5"/>
  <c r="Q141" i="5"/>
  <c r="O144" i="5"/>
  <c r="Q144" i="5"/>
  <c r="O142" i="5"/>
  <c r="E142" i="12"/>
  <c r="F142" i="12"/>
  <c r="P178" i="11"/>
  <c r="O138" i="5"/>
  <c r="K151" i="5"/>
  <c r="M176" i="11"/>
  <c r="G176" i="11"/>
  <c r="E151" i="5"/>
  <c r="D151" i="5"/>
  <c r="F176" i="11"/>
  <c r="O176" i="11"/>
  <c r="M151" i="5"/>
  <c r="O143" i="5"/>
  <c r="P183" i="11"/>
  <c r="O137" i="5"/>
  <c r="P177" i="11"/>
  <c r="E176" i="11"/>
  <c r="C151" i="5"/>
  <c r="P145" i="5"/>
  <c r="E145" i="12"/>
  <c r="F145" i="12"/>
  <c r="Q145" i="5"/>
  <c r="L176" i="11"/>
  <c r="J151" i="5"/>
  <c r="L151" i="5"/>
  <c r="N176" i="11"/>
  <c r="I176" i="11"/>
  <c r="G151" i="5"/>
  <c r="O136" i="5"/>
  <c r="P176" i="11"/>
  <c r="N151" i="5"/>
  <c r="I151" i="5"/>
  <c r="K176" i="11"/>
  <c r="H176" i="11"/>
  <c r="F151" i="5"/>
  <c r="J176" i="11"/>
  <c r="H151" i="5"/>
  <c r="C8" i="17"/>
  <c r="O14" i="17"/>
  <c r="C5" i="5"/>
  <c r="E102" i="11"/>
  <c r="E5" i="5"/>
  <c r="G102" i="11"/>
  <c r="M8" i="17"/>
  <c r="J8" i="17"/>
  <c r="K8" i="17"/>
  <c r="H102" i="11"/>
  <c r="F5" i="5"/>
  <c r="K5" i="5"/>
  <c r="M102" i="11"/>
  <c r="L102" i="11"/>
  <c r="J5" i="5"/>
  <c r="O102" i="11"/>
  <c r="M5" i="5"/>
  <c r="F8" i="17"/>
  <c r="E8" i="17"/>
  <c r="N8" i="17"/>
  <c r="O11" i="5"/>
  <c r="P102" i="11"/>
  <c r="N5" i="5"/>
  <c r="P229" i="5"/>
  <c r="E148" i="12"/>
  <c r="F148" i="12"/>
  <c r="P148" i="5"/>
  <c r="Q148" i="5"/>
  <c r="O246" i="12"/>
  <c r="E229" i="12"/>
  <c r="F229" i="12"/>
  <c r="P113" i="5"/>
  <c r="E113" i="12"/>
  <c r="F113" i="12"/>
  <c r="H38" i="17"/>
  <c r="O246" i="5"/>
  <c r="O38" i="17"/>
  <c r="P92" i="5"/>
  <c r="E92" i="12"/>
  <c r="F92" i="12"/>
  <c r="E46" i="12"/>
  <c r="F46" i="12"/>
  <c r="Q227" i="5"/>
  <c r="I38" i="17"/>
  <c r="Q46" i="5"/>
  <c r="N246" i="12"/>
  <c r="O47" i="6"/>
  <c r="J8" i="12"/>
  <c r="E242" i="12"/>
  <c r="F242" i="12"/>
  <c r="Q242" i="5"/>
  <c r="Q246" i="5"/>
  <c r="Q38" i="17"/>
  <c r="P227" i="5"/>
  <c r="L34" i="17"/>
  <c r="E99" i="12"/>
  <c r="F99" i="12"/>
  <c r="J34" i="17"/>
  <c r="P99" i="5"/>
  <c r="M34" i="17"/>
  <c r="Q48" i="5"/>
  <c r="E48" i="12"/>
  <c r="F48" i="12"/>
  <c r="K51" i="12"/>
  <c r="P72" i="5"/>
  <c r="D34" i="17"/>
  <c r="I60" i="5"/>
  <c r="N60" i="12"/>
  <c r="S51" i="12"/>
  <c r="H197" i="12"/>
  <c r="Q188" i="5"/>
  <c r="Q197" i="5"/>
  <c r="Q34" i="17"/>
  <c r="M51" i="12"/>
  <c r="E93" i="12"/>
  <c r="F93" i="12"/>
  <c r="E188" i="12"/>
  <c r="F188" i="12"/>
  <c r="P51" i="12"/>
  <c r="M197" i="12"/>
  <c r="E72" i="12"/>
  <c r="F72" i="12"/>
  <c r="N48" i="6"/>
  <c r="N50" i="6"/>
  <c r="Q51" i="12"/>
  <c r="O197" i="5"/>
  <c r="P197" i="5"/>
  <c r="P34" i="17"/>
  <c r="C133" i="9"/>
  <c r="G235" i="5"/>
  <c r="L235" i="12"/>
  <c r="Q40" i="5"/>
  <c r="P231" i="5"/>
  <c r="E231" i="12"/>
  <c r="F231" i="12"/>
  <c r="P40" i="5"/>
  <c r="G34" i="17"/>
  <c r="P225" i="5"/>
  <c r="H51" i="12"/>
  <c r="E225" i="12"/>
  <c r="F225" i="12"/>
  <c r="N34" i="17"/>
  <c r="P93" i="5"/>
  <c r="J51" i="12"/>
  <c r="L233" i="12"/>
  <c r="E141" i="12"/>
  <c r="F141" i="12"/>
  <c r="Q10" i="17"/>
  <c r="E7" i="12"/>
  <c r="F7" i="12"/>
  <c r="P7" i="5"/>
  <c r="E146" i="12"/>
  <c r="F146" i="12"/>
  <c r="H42" i="17"/>
  <c r="M257" i="12"/>
  <c r="H265" i="5"/>
  <c r="M265" i="12"/>
  <c r="J265" i="5"/>
  <c r="O265" i="12"/>
  <c r="J42" i="17"/>
  <c r="O257" i="12"/>
  <c r="N233" i="12"/>
  <c r="I235" i="5"/>
  <c r="N235" i="12"/>
  <c r="I37" i="17"/>
  <c r="P82" i="5"/>
  <c r="Q82" i="5"/>
  <c r="E82" i="12"/>
  <c r="F82" i="12"/>
  <c r="I42" i="17"/>
  <c r="N257" i="12"/>
  <c r="I265" i="5"/>
  <c r="N265" i="12"/>
  <c r="Q94" i="5"/>
  <c r="P94" i="5"/>
  <c r="E94" i="12"/>
  <c r="F94" i="12"/>
  <c r="L20" i="17"/>
  <c r="Q60" i="12"/>
  <c r="M233" i="12"/>
  <c r="H37" i="17"/>
  <c r="H235" i="5"/>
  <c r="M235" i="12"/>
  <c r="Q146" i="5"/>
  <c r="J28" i="17"/>
  <c r="J133" i="5"/>
  <c r="O133" i="12"/>
  <c r="O117" i="12"/>
  <c r="K26" i="17"/>
  <c r="P78" i="12"/>
  <c r="O117" i="5"/>
  <c r="S117" i="12"/>
  <c r="N133" i="5"/>
  <c r="N28" i="17"/>
  <c r="Q101" i="5"/>
  <c r="P101" i="5"/>
  <c r="E101" i="12"/>
  <c r="F101" i="12"/>
  <c r="O51" i="12"/>
  <c r="J60" i="5"/>
  <c r="I27" i="17"/>
  <c r="N87" i="12"/>
  <c r="J87" i="12"/>
  <c r="E27" i="17"/>
  <c r="Q78" i="12"/>
  <c r="L26" i="17"/>
  <c r="Q109" i="5"/>
  <c r="P109" i="5"/>
  <c r="E109" i="12"/>
  <c r="F109" i="12"/>
  <c r="P257" i="12"/>
  <c r="K265" i="5"/>
  <c r="P265" i="12"/>
  <c r="K42" i="17"/>
  <c r="I26" i="17"/>
  <c r="N78" i="12"/>
  <c r="P230" i="5"/>
  <c r="Q230" i="5"/>
  <c r="E230" i="12"/>
  <c r="F230" i="12"/>
  <c r="R51" i="12"/>
  <c r="M60" i="5"/>
  <c r="D42" i="17"/>
  <c r="I257" i="12"/>
  <c r="D265" i="5"/>
  <c r="I265" i="12"/>
  <c r="M78" i="12"/>
  <c r="H26" i="17"/>
  <c r="K257" i="12"/>
  <c r="F42" i="17"/>
  <c r="F265" i="5"/>
  <c r="K265" i="12"/>
  <c r="E20" i="17"/>
  <c r="J60" i="12"/>
  <c r="O257" i="5"/>
  <c r="N42" i="17"/>
  <c r="S257" i="12"/>
  <c r="N265" i="5"/>
  <c r="L27" i="17"/>
  <c r="Q87" i="12"/>
  <c r="R87" i="12"/>
  <c r="M27" i="17"/>
  <c r="Q89" i="5"/>
  <c r="P89" i="5"/>
  <c r="E89" i="12"/>
  <c r="F89" i="12"/>
  <c r="F26" i="17"/>
  <c r="K78" i="12"/>
  <c r="M265" i="5"/>
  <c r="R265" i="12"/>
  <c r="R257" i="12"/>
  <c r="M42" i="17"/>
  <c r="F28" i="17"/>
  <c r="K117" i="12"/>
  <c r="F133" i="5"/>
  <c r="K133" i="12"/>
  <c r="P252" i="5"/>
  <c r="E252" i="12"/>
  <c r="F252" i="12"/>
  <c r="Q252" i="5"/>
  <c r="Q257" i="5"/>
  <c r="Q81" i="5"/>
  <c r="P81" i="5"/>
  <c r="E81" i="12"/>
  <c r="F81" i="12"/>
  <c r="L87" i="12"/>
  <c r="G27" i="17"/>
  <c r="E37" i="17"/>
  <c r="E235" i="5"/>
  <c r="J235" i="12"/>
  <c r="J233" i="12"/>
  <c r="J257" i="12"/>
  <c r="E42" i="17"/>
  <c r="E265" i="5"/>
  <c r="J265" i="12"/>
  <c r="K235" i="5"/>
  <c r="P235" i="12"/>
  <c r="K37" i="17"/>
  <c r="P233" i="12"/>
  <c r="M26" i="17"/>
  <c r="R78" i="12"/>
  <c r="H233" i="12"/>
  <c r="C37" i="17"/>
  <c r="C235" i="5"/>
  <c r="H235" i="12"/>
  <c r="I87" i="12"/>
  <c r="D27" i="17"/>
  <c r="L37" i="17"/>
  <c r="L235" i="5"/>
  <c r="Q235" i="12"/>
  <c r="Q233" i="12"/>
  <c r="J26" i="17"/>
  <c r="O78" i="12"/>
  <c r="K60" i="12"/>
  <c r="F20" i="17"/>
  <c r="K20" i="17"/>
  <c r="P60" i="12"/>
  <c r="L265" i="5"/>
  <c r="Q265" i="12"/>
  <c r="L42" i="17"/>
  <c r="Q257" i="12"/>
  <c r="K28" i="17"/>
  <c r="K133" i="5"/>
  <c r="P133" i="12"/>
  <c r="P117" i="12"/>
  <c r="C28" i="17"/>
  <c r="C133" i="5"/>
  <c r="H133" i="12"/>
  <c r="H117" i="12"/>
  <c r="I117" i="12"/>
  <c r="D133" i="5"/>
  <c r="I133" i="12"/>
  <c r="D28" i="17"/>
  <c r="K233" i="12"/>
  <c r="F235" i="5"/>
  <c r="K235" i="12"/>
  <c r="F37" i="17"/>
  <c r="L257" i="12"/>
  <c r="G42" i="17"/>
  <c r="G265" i="5"/>
  <c r="L265" i="12"/>
  <c r="I78" i="12"/>
  <c r="D26" i="17"/>
  <c r="H60" i="12"/>
  <c r="C20" i="17"/>
  <c r="Q44" i="5"/>
  <c r="P44" i="5"/>
  <c r="E44" i="12"/>
  <c r="F44" i="12"/>
  <c r="P87" i="12"/>
  <c r="K27" i="17"/>
  <c r="E26" i="17"/>
  <c r="J78" i="12"/>
  <c r="D60" i="5"/>
  <c r="I51" i="12"/>
  <c r="O51" i="5"/>
  <c r="O233" i="12"/>
  <c r="J235" i="5"/>
  <c r="O235" i="12"/>
  <c r="J37" i="17"/>
  <c r="L51" i="12"/>
  <c r="G60" i="5"/>
  <c r="O87" i="5"/>
  <c r="N27" i="17"/>
  <c r="S87" i="12"/>
  <c r="Q54" i="6"/>
  <c r="Q57" i="6"/>
  <c r="R55" i="6"/>
  <c r="H27" i="17"/>
  <c r="M87" i="12"/>
  <c r="S233" i="12"/>
  <c r="O233" i="5"/>
  <c r="N235" i="5"/>
  <c r="N37" i="17"/>
  <c r="H133" i="5"/>
  <c r="M133" i="12"/>
  <c r="M117" i="12"/>
  <c r="H28" i="17"/>
  <c r="K87" i="12"/>
  <c r="F27" i="17"/>
  <c r="Q112" i="5"/>
  <c r="P112" i="5"/>
  <c r="E112" i="12"/>
  <c r="F112" i="12"/>
  <c r="O78" i="5"/>
  <c r="N26" i="17"/>
  <c r="S78" i="12"/>
  <c r="P226" i="5"/>
  <c r="C130" i="9"/>
  <c r="Q226" i="5"/>
  <c r="E226" i="12"/>
  <c r="F226" i="12"/>
  <c r="E133" i="5"/>
  <c r="J133" i="12"/>
  <c r="J117" i="12"/>
  <c r="E28" i="17"/>
  <c r="M133" i="5"/>
  <c r="R133" i="12"/>
  <c r="R117" i="12"/>
  <c r="M28" i="17"/>
  <c r="C265" i="5"/>
  <c r="H265" i="12"/>
  <c r="H257" i="12"/>
  <c r="C42" i="17"/>
  <c r="G28" i="17"/>
  <c r="L117" i="12"/>
  <c r="G133" i="5"/>
  <c r="L133" i="12"/>
  <c r="Q117" i="12"/>
  <c r="L28" i="17"/>
  <c r="L133" i="5"/>
  <c r="Q133" i="12"/>
  <c r="N117" i="12"/>
  <c r="I28" i="17"/>
  <c r="I133" i="5"/>
  <c r="N133" i="12"/>
  <c r="D37" i="17"/>
  <c r="I233" i="12"/>
  <c r="D235" i="5"/>
  <c r="I235" i="12"/>
  <c r="R233" i="12"/>
  <c r="M235" i="5"/>
  <c r="R235" i="12"/>
  <c r="M37" i="17"/>
  <c r="P114" i="5"/>
  <c r="E114" i="12"/>
  <c r="F114" i="12"/>
  <c r="Q114" i="5"/>
  <c r="C26" i="17"/>
  <c r="H78" i="12"/>
  <c r="P71" i="5"/>
  <c r="Q71" i="5"/>
  <c r="Q78" i="5"/>
  <c r="Q26" i="17"/>
  <c r="E71" i="12"/>
  <c r="F71" i="12"/>
  <c r="P228" i="5"/>
  <c r="Q228" i="5"/>
  <c r="E228" i="12"/>
  <c r="F228" i="12"/>
  <c r="H20" i="17"/>
  <c r="M60" i="12"/>
  <c r="L78" i="12"/>
  <c r="G26" i="17"/>
  <c r="C27" i="17"/>
  <c r="H87" i="12"/>
  <c r="O87" i="12"/>
  <c r="J27" i="17"/>
  <c r="S60" i="12"/>
  <c r="N20" i="17"/>
  <c r="E95" i="11"/>
  <c r="C10" i="5"/>
  <c r="C13" i="5"/>
  <c r="C22" i="5"/>
  <c r="H22" i="12"/>
  <c r="C13" i="17"/>
  <c r="H13" i="12"/>
  <c r="C16" i="17"/>
  <c r="C19" i="17"/>
  <c r="D11" i="17"/>
  <c r="D8" i="5"/>
  <c r="I10" i="12"/>
  <c r="P144" i="5"/>
  <c r="Q142" i="5"/>
  <c r="P141" i="5"/>
  <c r="P142" i="5"/>
  <c r="E144" i="12"/>
  <c r="F144" i="12"/>
  <c r="P143" i="5"/>
  <c r="Q143" i="5"/>
  <c r="E143" i="12"/>
  <c r="F143" i="12"/>
  <c r="K31" i="17"/>
  <c r="P151" i="12"/>
  <c r="G31" i="17"/>
  <c r="L151" i="12"/>
  <c r="R151" i="12"/>
  <c r="M31" i="17"/>
  <c r="N151" i="12"/>
  <c r="I31" i="17"/>
  <c r="P138" i="5"/>
  <c r="Q138" i="5"/>
  <c r="E138" i="12"/>
  <c r="F138" i="12"/>
  <c r="K151" i="12"/>
  <c r="F31" i="17"/>
  <c r="C31" i="17"/>
  <c r="H151" i="12"/>
  <c r="Q151" i="12"/>
  <c r="L31" i="17"/>
  <c r="D31" i="17"/>
  <c r="I151" i="12"/>
  <c r="M151" i="12"/>
  <c r="H31" i="17"/>
  <c r="P136" i="5"/>
  <c r="O151" i="5"/>
  <c r="Q136" i="5"/>
  <c r="E136" i="12"/>
  <c r="F136" i="12"/>
  <c r="J31" i="17"/>
  <c r="O151" i="12"/>
  <c r="E31" i="17"/>
  <c r="J151" i="12"/>
  <c r="N31" i="17"/>
  <c r="S151" i="12"/>
  <c r="P137" i="5"/>
  <c r="E137" i="12"/>
  <c r="F137" i="12"/>
  <c r="Q137" i="5"/>
  <c r="P14" i="17"/>
  <c r="O8" i="17"/>
  <c r="Q11" i="5"/>
  <c r="E11" i="12"/>
  <c r="F11" i="12"/>
  <c r="O5" i="5"/>
  <c r="C97" i="9"/>
  <c r="E97" i="9"/>
  <c r="P11" i="5"/>
  <c r="E246" i="12"/>
  <c r="F246" i="12"/>
  <c r="P246" i="5"/>
  <c r="P38" i="17"/>
  <c r="M160" i="12"/>
  <c r="J159" i="12"/>
  <c r="E159" i="5"/>
  <c r="G195" i="11"/>
  <c r="R159" i="12"/>
  <c r="M159" i="5"/>
  <c r="O195" i="11"/>
  <c r="O160" i="12"/>
  <c r="J160" i="5"/>
  <c r="L196" i="11"/>
  <c r="L159" i="12"/>
  <c r="G159" i="5"/>
  <c r="I195" i="11"/>
  <c r="I159" i="12"/>
  <c r="D159" i="5"/>
  <c r="F195" i="11"/>
  <c r="P160" i="12"/>
  <c r="K160" i="5"/>
  <c r="M196" i="11"/>
  <c r="M159" i="12"/>
  <c r="H159" i="5"/>
  <c r="J195" i="11"/>
  <c r="J160" i="12"/>
  <c r="E160" i="5"/>
  <c r="G196" i="11"/>
  <c r="R160" i="12"/>
  <c r="M160" i="5"/>
  <c r="O196" i="11"/>
  <c r="O159" i="12"/>
  <c r="J159" i="5"/>
  <c r="L195" i="11"/>
  <c r="K160" i="12"/>
  <c r="F160" i="5"/>
  <c r="H196" i="11"/>
  <c r="S160" i="12"/>
  <c r="N160" i="5"/>
  <c r="P159" i="12"/>
  <c r="K159" i="5"/>
  <c r="M195" i="11"/>
  <c r="L160" i="12"/>
  <c r="G160" i="5"/>
  <c r="I196" i="11"/>
  <c r="I160" i="12"/>
  <c r="D160" i="5"/>
  <c r="F196" i="11"/>
  <c r="Q159" i="12"/>
  <c r="L159" i="5"/>
  <c r="N195" i="11"/>
  <c r="N160" i="12"/>
  <c r="I160" i="5"/>
  <c r="K196" i="11"/>
  <c r="K159" i="12"/>
  <c r="F159" i="5"/>
  <c r="H195" i="11"/>
  <c r="S159" i="12"/>
  <c r="N159" i="5"/>
  <c r="Q160" i="12"/>
  <c r="L160" i="5"/>
  <c r="N196" i="11"/>
  <c r="N159" i="12"/>
  <c r="I159" i="5"/>
  <c r="K195" i="11"/>
  <c r="P47" i="6"/>
  <c r="Q47" i="6"/>
  <c r="O48" i="6"/>
  <c r="O50" i="6"/>
  <c r="I20" i="17"/>
  <c r="Q51" i="5"/>
  <c r="Q60" i="5"/>
  <c r="E197" i="12"/>
  <c r="F197" i="12"/>
  <c r="O34" i="17"/>
  <c r="Q233" i="5"/>
  <c r="Q37" i="17"/>
  <c r="Q87" i="5"/>
  <c r="Q27" i="17"/>
  <c r="O60" i="5"/>
  <c r="O20" i="17"/>
  <c r="J20" i="17"/>
  <c r="O60" i="12"/>
  <c r="P117" i="5"/>
  <c r="P28" i="17"/>
  <c r="E117" i="12"/>
  <c r="F117" i="12"/>
  <c r="O28" i="17"/>
  <c r="P78" i="5"/>
  <c r="P26" i="17"/>
  <c r="O26" i="17"/>
  <c r="E78" i="12"/>
  <c r="F78" i="12"/>
  <c r="S133" i="12"/>
  <c r="O133" i="5"/>
  <c r="R54" i="6"/>
  <c r="R57" i="6"/>
  <c r="S55" i="6"/>
  <c r="I60" i="12"/>
  <c r="D20" i="17"/>
  <c r="Q117" i="5"/>
  <c r="P257" i="5"/>
  <c r="P42" i="17"/>
  <c r="C134" i="9"/>
  <c r="C137" i="9"/>
  <c r="O42" i="17"/>
  <c r="C106" i="9"/>
  <c r="E257" i="12"/>
  <c r="F257" i="12"/>
  <c r="S265" i="12"/>
  <c r="O265" i="5"/>
  <c r="C62" i="5"/>
  <c r="H62" i="12"/>
  <c r="H66" i="12"/>
  <c r="C66" i="5"/>
  <c r="C25" i="17"/>
  <c r="S235" i="12"/>
  <c r="O235" i="5"/>
  <c r="E51" i="12"/>
  <c r="F51" i="12"/>
  <c r="P51" i="5"/>
  <c r="L60" i="12"/>
  <c r="G20" i="17"/>
  <c r="O37" i="17"/>
  <c r="E233" i="12"/>
  <c r="F233" i="12"/>
  <c r="P233" i="5"/>
  <c r="P37" i="17"/>
  <c r="P87" i="5"/>
  <c r="P27" i="17"/>
  <c r="O27" i="17"/>
  <c r="E87" i="12"/>
  <c r="F87" i="12"/>
  <c r="C22" i="17"/>
  <c r="Q42" i="17"/>
  <c r="Q265" i="5"/>
  <c r="R60" i="12"/>
  <c r="M20" i="17"/>
  <c r="D13" i="17"/>
  <c r="D16" i="17"/>
  <c r="D19" i="17"/>
  <c r="I13" i="12"/>
  <c r="D10" i="5"/>
  <c r="D13" i="5"/>
  <c r="D22" i="5"/>
  <c r="F95" i="11"/>
  <c r="E8" i="5"/>
  <c r="E11" i="17"/>
  <c r="J10" i="12"/>
  <c r="P151" i="5"/>
  <c r="P31" i="17"/>
  <c r="I158" i="12"/>
  <c r="D158" i="5"/>
  <c r="P158" i="12"/>
  <c r="K158" i="5"/>
  <c r="H160" i="5"/>
  <c r="J196" i="11"/>
  <c r="M158" i="12"/>
  <c r="H158" i="5"/>
  <c r="R158" i="12"/>
  <c r="M158" i="5"/>
  <c r="O158" i="12"/>
  <c r="J158" i="5"/>
  <c r="K158" i="12"/>
  <c r="F158" i="5"/>
  <c r="L158" i="12"/>
  <c r="G158" i="5"/>
  <c r="Q151" i="5"/>
  <c r="Q31" i="17"/>
  <c r="S158" i="12"/>
  <c r="N158" i="5"/>
  <c r="O31" i="17"/>
  <c r="E151" i="12"/>
  <c r="F151" i="12"/>
  <c r="Q158" i="12"/>
  <c r="L158" i="5"/>
  <c r="H159" i="12"/>
  <c r="C159" i="5"/>
  <c r="E195" i="11"/>
  <c r="H160" i="12"/>
  <c r="C160" i="5"/>
  <c r="E196" i="11"/>
  <c r="H158" i="12"/>
  <c r="C158" i="5"/>
  <c r="N158" i="12"/>
  <c r="I158" i="5"/>
  <c r="J158" i="12"/>
  <c r="E158" i="5"/>
  <c r="Q5" i="5"/>
  <c r="P48" i="6"/>
  <c r="P50" i="6"/>
  <c r="K8" i="12"/>
  <c r="F11" i="17"/>
  <c r="D22" i="17"/>
  <c r="E60" i="12"/>
  <c r="F60" i="12"/>
  <c r="P60" i="5"/>
  <c r="P20" i="17"/>
  <c r="E130" i="11"/>
  <c r="C68" i="5"/>
  <c r="H68" i="12"/>
  <c r="Q235" i="5"/>
  <c r="C107" i="9"/>
  <c r="E106" i="9"/>
  <c r="P133" i="5"/>
  <c r="E133" i="12"/>
  <c r="F133" i="12"/>
  <c r="T55" i="6"/>
  <c r="S54" i="6"/>
  <c r="S57" i="6"/>
  <c r="P235" i="5"/>
  <c r="E235" i="12"/>
  <c r="F235" i="12"/>
  <c r="P265" i="5"/>
  <c r="E265" i="12"/>
  <c r="F265" i="12"/>
  <c r="Q28" i="17"/>
  <c r="Q133" i="5"/>
  <c r="C116" i="9"/>
  <c r="E13" i="17"/>
  <c r="E16" i="17"/>
  <c r="E19" i="17"/>
  <c r="E22" i="17"/>
  <c r="J13" i="12"/>
  <c r="G95" i="11"/>
  <c r="E10" i="5"/>
  <c r="E13" i="5"/>
  <c r="E22" i="5"/>
  <c r="I22" i="12"/>
  <c r="D62" i="5"/>
  <c r="I62" i="12"/>
  <c r="I66" i="12"/>
  <c r="D66" i="5"/>
  <c r="Q48" i="6"/>
  <c r="Q50" i="6"/>
  <c r="L8" i="12"/>
  <c r="R47" i="6"/>
  <c r="L194" i="11"/>
  <c r="J164" i="5"/>
  <c r="M194" i="11"/>
  <c r="K164" i="5"/>
  <c r="K194" i="11"/>
  <c r="I164" i="5"/>
  <c r="N194" i="11"/>
  <c r="L164" i="5"/>
  <c r="I194" i="11"/>
  <c r="G164" i="5"/>
  <c r="P195" i="11"/>
  <c r="O159" i="5"/>
  <c r="E194" i="11"/>
  <c r="C164" i="5"/>
  <c r="O194" i="11"/>
  <c r="M164" i="5"/>
  <c r="G194" i="11"/>
  <c r="E164" i="5"/>
  <c r="F194" i="11"/>
  <c r="D164" i="5"/>
  <c r="P194" i="11"/>
  <c r="O158" i="5"/>
  <c r="N164" i="5"/>
  <c r="H194" i="11"/>
  <c r="F164" i="5"/>
  <c r="J194" i="11"/>
  <c r="H164" i="5"/>
  <c r="P196" i="11"/>
  <c r="O160" i="5"/>
  <c r="F8" i="5"/>
  <c r="F10" i="5"/>
  <c r="F13" i="5"/>
  <c r="F22" i="5"/>
  <c r="K10" i="12"/>
  <c r="K13" i="12"/>
  <c r="T54" i="6"/>
  <c r="T57" i="6"/>
  <c r="U55" i="6"/>
  <c r="J22" i="12"/>
  <c r="E62" i="5"/>
  <c r="J62" i="12"/>
  <c r="J66" i="12"/>
  <c r="E66" i="5"/>
  <c r="R48" i="6"/>
  <c r="R50" i="6"/>
  <c r="M8" i="12"/>
  <c r="S47" i="6"/>
  <c r="G11" i="17"/>
  <c r="L10" i="12"/>
  <c r="G8" i="5"/>
  <c r="D25" i="17"/>
  <c r="D68" i="5"/>
  <c r="I68" i="12"/>
  <c r="F130" i="11"/>
  <c r="M164" i="12"/>
  <c r="H166" i="5"/>
  <c r="H32" i="17"/>
  <c r="F32" i="17"/>
  <c r="K164" i="12"/>
  <c r="F166" i="5"/>
  <c r="E159" i="12"/>
  <c r="F159" i="12"/>
  <c r="Q159" i="5"/>
  <c r="P159" i="5"/>
  <c r="N164" i="12"/>
  <c r="I166" i="5"/>
  <c r="I32" i="17"/>
  <c r="E32" i="17"/>
  <c r="J164" i="12"/>
  <c r="E166" i="5"/>
  <c r="P164" i="12"/>
  <c r="K166" i="5"/>
  <c r="K32" i="17"/>
  <c r="N166" i="5"/>
  <c r="S164" i="12"/>
  <c r="N32" i="17"/>
  <c r="O164" i="5"/>
  <c r="L164" i="12"/>
  <c r="G166" i="5"/>
  <c r="G32" i="17"/>
  <c r="I164" i="12"/>
  <c r="D166" i="5"/>
  <c r="D32" i="17"/>
  <c r="H164" i="12"/>
  <c r="C32" i="17"/>
  <c r="C40" i="17"/>
  <c r="C45" i="17"/>
  <c r="C47" i="17"/>
  <c r="C52" i="17"/>
  <c r="C58" i="17"/>
  <c r="C65" i="17"/>
  <c r="C166" i="5"/>
  <c r="Q158" i="5"/>
  <c r="P158" i="5"/>
  <c r="E158" i="12"/>
  <c r="F158" i="12"/>
  <c r="R164" i="12"/>
  <c r="M32" i="17"/>
  <c r="M166" i="5"/>
  <c r="R166" i="12"/>
  <c r="J32" i="17"/>
  <c r="O164" i="12"/>
  <c r="J166" i="5"/>
  <c r="O166" i="12"/>
  <c r="Q160" i="5"/>
  <c r="P160" i="5"/>
  <c r="E160" i="12"/>
  <c r="F160" i="12"/>
  <c r="L32" i="17"/>
  <c r="Q164" i="12"/>
  <c r="L166" i="5"/>
  <c r="H95" i="11"/>
  <c r="F13" i="17"/>
  <c r="F16" i="17"/>
  <c r="F19" i="17"/>
  <c r="F22" i="17"/>
  <c r="U54" i="6"/>
  <c r="U57" i="6"/>
  <c r="V55" i="6"/>
  <c r="N8" i="12"/>
  <c r="S48" i="6"/>
  <c r="S50" i="6"/>
  <c r="T47" i="6"/>
  <c r="D40" i="17"/>
  <c r="D45" i="17"/>
  <c r="D47" i="17"/>
  <c r="D52" i="17"/>
  <c r="D58" i="17"/>
  <c r="D65" i="17"/>
  <c r="G10" i="5"/>
  <c r="G13" i="5"/>
  <c r="G22" i="5"/>
  <c r="I95" i="11"/>
  <c r="E25" i="17"/>
  <c r="E40" i="17"/>
  <c r="E45" i="17"/>
  <c r="E47" i="17"/>
  <c r="E52" i="17"/>
  <c r="E58" i="17"/>
  <c r="E65" i="17"/>
  <c r="E68" i="5"/>
  <c r="J68" i="12"/>
  <c r="G130" i="11"/>
  <c r="F62" i="5"/>
  <c r="K62" i="12"/>
  <c r="K66" i="12"/>
  <c r="F66" i="5"/>
  <c r="K22" i="12"/>
  <c r="H8" i="5"/>
  <c r="H11" i="17"/>
  <c r="M10" i="12"/>
  <c r="G13" i="17"/>
  <c r="G16" i="17"/>
  <c r="G19" i="17"/>
  <c r="G22" i="17"/>
  <c r="L13" i="12"/>
  <c r="P164" i="5"/>
  <c r="P32" i="17"/>
  <c r="C143" i="9"/>
  <c r="O32" i="17"/>
  <c r="E164" i="12"/>
  <c r="F164" i="12"/>
  <c r="J166" i="12"/>
  <c r="K166" i="12"/>
  <c r="I166" i="12"/>
  <c r="D248" i="5"/>
  <c r="O166" i="5"/>
  <c r="S166" i="12"/>
  <c r="Q166" i="12"/>
  <c r="Q164" i="5"/>
  <c r="L166" i="12"/>
  <c r="P166" i="12"/>
  <c r="M166" i="12"/>
  <c r="N166" i="12"/>
  <c r="H166" i="12"/>
  <c r="C248" i="5"/>
  <c r="E248" i="5"/>
  <c r="J248" i="12"/>
  <c r="V54" i="6"/>
  <c r="V57" i="6"/>
  <c r="W55" i="6"/>
  <c r="H13" i="17"/>
  <c r="H16" i="17"/>
  <c r="H19" i="17"/>
  <c r="H22" i="17"/>
  <c r="M13" i="12"/>
  <c r="L22" i="12"/>
  <c r="G62" i="5"/>
  <c r="L62" i="12"/>
  <c r="L66" i="12"/>
  <c r="G66" i="5"/>
  <c r="H10" i="5"/>
  <c r="H13" i="5"/>
  <c r="H22" i="5"/>
  <c r="J95" i="11"/>
  <c r="I11" i="17"/>
  <c r="N10" i="12"/>
  <c r="I8" i="5"/>
  <c r="U47" i="6"/>
  <c r="T48" i="6"/>
  <c r="T50" i="6"/>
  <c r="O8" i="12"/>
  <c r="H130" i="11"/>
  <c r="F25" i="17"/>
  <c r="F40" i="17"/>
  <c r="F45" i="17"/>
  <c r="F47" i="17"/>
  <c r="F52" i="17"/>
  <c r="F58" i="17"/>
  <c r="F65" i="17"/>
  <c r="F68" i="5"/>
  <c r="E166" i="12"/>
  <c r="F166" i="12"/>
  <c r="P166" i="5"/>
  <c r="Q32" i="17"/>
  <c r="Q166" i="5"/>
  <c r="C267" i="5"/>
  <c r="H248" i="12"/>
  <c r="D267" i="5"/>
  <c r="I248" i="12"/>
  <c r="E267" i="5"/>
  <c r="J267" i="12"/>
  <c r="X55" i="6"/>
  <c r="X54" i="6"/>
  <c r="X57" i="6"/>
  <c r="W54" i="6"/>
  <c r="W57" i="6"/>
  <c r="I13" i="17"/>
  <c r="I16" i="17"/>
  <c r="I19" i="17"/>
  <c r="I22" i="17"/>
  <c r="N13" i="12"/>
  <c r="K68" i="12"/>
  <c r="F248" i="5"/>
  <c r="M22" i="12"/>
  <c r="H62" i="5"/>
  <c r="M62" i="12"/>
  <c r="M66" i="12"/>
  <c r="H66" i="5"/>
  <c r="G25" i="17"/>
  <c r="G40" i="17"/>
  <c r="G45" i="17"/>
  <c r="G47" i="17"/>
  <c r="G52" i="17"/>
  <c r="G58" i="17"/>
  <c r="G65" i="17"/>
  <c r="I130" i="11"/>
  <c r="G68" i="5"/>
  <c r="V47" i="6"/>
  <c r="P8" i="12"/>
  <c r="U48" i="6"/>
  <c r="U50" i="6"/>
  <c r="J11" i="17"/>
  <c r="O10" i="12"/>
  <c r="J8" i="5"/>
  <c r="K95" i="11"/>
  <c r="I10" i="5"/>
  <c r="I13" i="5"/>
  <c r="I22" i="5"/>
  <c r="I267" i="12"/>
  <c r="D269" i="5"/>
  <c r="H267" i="12"/>
  <c r="C269" i="5"/>
  <c r="E269" i="5"/>
  <c r="J269" i="12"/>
  <c r="J10" i="5"/>
  <c r="J13" i="5"/>
  <c r="J22" i="5"/>
  <c r="L95" i="11"/>
  <c r="J13" i="17"/>
  <c r="J16" i="17"/>
  <c r="J19" i="17"/>
  <c r="J22" i="17"/>
  <c r="O13" i="12"/>
  <c r="H68" i="5"/>
  <c r="J130" i="11"/>
  <c r="H25" i="17"/>
  <c r="H40" i="17"/>
  <c r="H45" i="17"/>
  <c r="H47" i="17"/>
  <c r="H52" i="17"/>
  <c r="H58" i="17"/>
  <c r="H65" i="17"/>
  <c r="K248" i="12"/>
  <c r="F267" i="5"/>
  <c r="Q8" i="12"/>
  <c r="W47" i="6"/>
  <c r="V48" i="6"/>
  <c r="V50" i="6"/>
  <c r="P10" i="12"/>
  <c r="K11" i="17"/>
  <c r="K8" i="5"/>
  <c r="I62" i="5"/>
  <c r="N22" i="12"/>
  <c r="L68" i="12"/>
  <c r="G248" i="5"/>
  <c r="H269" i="12"/>
  <c r="C302" i="5"/>
  <c r="D302" i="5"/>
  <c r="I269" i="12"/>
  <c r="E302" i="5"/>
  <c r="E319" i="5"/>
  <c r="M68" i="12"/>
  <c r="H248" i="5"/>
  <c r="L248" i="12"/>
  <c r="G267" i="5"/>
  <c r="R8" i="12"/>
  <c r="W48" i="6"/>
  <c r="W50" i="6"/>
  <c r="X47" i="6"/>
  <c r="M95" i="11"/>
  <c r="K10" i="5"/>
  <c r="K13" i="5"/>
  <c r="K22" i="5"/>
  <c r="K13" i="17"/>
  <c r="K16" i="17"/>
  <c r="K19" i="17"/>
  <c r="K22" i="17"/>
  <c r="P13" i="12"/>
  <c r="L8" i="5"/>
  <c r="L11" i="17"/>
  <c r="Q10" i="12"/>
  <c r="N62" i="12"/>
  <c r="N66" i="12"/>
  <c r="I66" i="5"/>
  <c r="F269" i="5"/>
  <c r="K267" i="12"/>
  <c r="O22" i="12"/>
  <c r="J62" i="5"/>
  <c r="O62" i="12"/>
  <c r="O66" i="12"/>
  <c r="J66" i="5"/>
  <c r="H302" i="12"/>
  <c r="C319" i="5"/>
  <c r="D319" i="5"/>
  <c r="I302" i="12"/>
  <c r="J302" i="12"/>
  <c r="L13" i="17"/>
  <c r="L16" i="17"/>
  <c r="L19" i="17"/>
  <c r="L22" i="17"/>
  <c r="Q13" i="12"/>
  <c r="M11" i="17"/>
  <c r="M8" i="5"/>
  <c r="R10" i="12"/>
  <c r="X48" i="6"/>
  <c r="X50" i="6"/>
  <c r="S8" i="12"/>
  <c r="J68" i="5"/>
  <c r="L130" i="11"/>
  <c r="J25" i="17"/>
  <c r="J40" i="17"/>
  <c r="J45" i="17"/>
  <c r="J47" i="17"/>
  <c r="J52" i="17"/>
  <c r="J58" i="17"/>
  <c r="J65" i="17"/>
  <c r="L10" i="5"/>
  <c r="L13" i="5"/>
  <c r="L22" i="5"/>
  <c r="N95" i="11"/>
  <c r="G269" i="5"/>
  <c r="L267" i="12"/>
  <c r="I25" i="17"/>
  <c r="I40" i="17"/>
  <c r="I45" i="17"/>
  <c r="I47" i="17"/>
  <c r="I52" i="17"/>
  <c r="I58" i="17"/>
  <c r="I65" i="17"/>
  <c r="I68" i="5"/>
  <c r="K130" i="11"/>
  <c r="H267" i="5"/>
  <c r="M248" i="12"/>
  <c r="K269" i="12"/>
  <c r="F302" i="5"/>
  <c r="K62" i="5"/>
  <c r="P62" i="12"/>
  <c r="P66" i="12"/>
  <c r="K66" i="5"/>
  <c r="P22" i="12"/>
  <c r="H319" i="12"/>
  <c r="C336" i="5"/>
  <c r="J319" i="12"/>
  <c r="E336" i="5"/>
  <c r="I319" i="12"/>
  <c r="D336" i="5"/>
  <c r="N68" i="12"/>
  <c r="I248" i="5"/>
  <c r="O68" i="12"/>
  <c r="J248" i="5"/>
  <c r="N11" i="17"/>
  <c r="O11" i="17"/>
  <c r="S10" i="12"/>
  <c r="N8" i="5"/>
  <c r="M130" i="11"/>
  <c r="K68" i="5"/>
  <c r="K25" i="17"/>
  <c r="K40" i="17"/>
  <c r="K45" i="17"/>
  <c r="K47" i="17"/>
  <c r="K52" i="17"/>
  <c r="K58" i="17"/>
  <c r="K65" i="17"/>
  <c r="K302" i="12"/>
  <c r="F319" i="5"/>
  <c r="L269" i="12"/>
  <c r="G302" i="5"/>
  <c r="R13" i="12"/>
  <c r="M13" i="17"/>
  <c r="M16" i="17"/>
  <c r="M19" i="17"/>
  <c r="M22" i="17"/>
  <c r="O95" i="11"/>
  <c r="M10" i="5"/>
  <c r="M13" i="5"/>
  <c r="M22" i="5"/>
  <c r="Q22" i="12"/>
  <c r="L62" i="5"/>
  <c r="Q62" i="12"/>
  <c r="Q66" i="12"/>
  <c r="L66" i="5"/>
  <c r="M267" i="12"/>
  <c r="H269" i="5"/>
  <c r="E440" i="5"/>
  <c r="J336" i="12"/>
  <c r="D440" i="5"/>
  <c r="I336" i="12"/>
  <c r="C440" i="5"/>
  <c r="H336" i="12"/>
  <c r="O8" i="5"/>
  <c r="P95" i="11"/>
  <c r="N10" i="5"/>
  <c r="N13" i="5"/>
  <c r="N22" i="5"/>
  <c r="M269" i="12"/>
  <c r="H302" i="5"/>
  <c r="L302" i="12"/>
  <c r="G319" i="5"/>
  <c r="S13" i="12"/>
  <c r="N13" i="17"/>
  <c r="N16" i="17"/>
  <c r="N19" i="17"/>
  <c r="N22" i="17"/>
  <c r="O13" i="17"/>
  <c r="O16" i="17"/>
  <c r="O19" i="17"/>
  <c r="O22" i="17"/>
  <c r="P11" i="17"/>
  <c r="P13" i="17"/>
  <c r="P16" i="17"/>
  <c r="P19" i="17"/>
  <c r="P22" i="17"/>
  <c r="L68" i="5"/>
  <c r="L25" i="17"/>
  <c r="L40" i="17"/>
  <c r="L45" i="17"/>
  <c r="L47" i="17"/>
  <c r="L52" i="17"/>
  <c r="L58" i="17"/>
  <c r="L65" i="17"/>
  <c r="N130" i="11"/>
  <c r="K319" i="12"/>
  <c r="F336" i="5"/>
  <c r="R22" i="12"/>
  <c r="M62" i="5"/>
  <c r="R62" i="12"/>
  <c r="R66" i="12"/>
  <c r="M66" i="5"/>
  <c r="I267" i="5"/>
  <c r="N248" i="12"/>
  <c r="J267" i="5"/>
  <c r="O248" i="12"/>
  <c r="P68" i="12"/>
  <c r="K248" i="5"/>
  <c r="G336" i="5"/>
  <c r="L319" i="12"/>
  <c r="O267" i="12"/>
  <c r="J269" i="5"/>
  <c r="Q68" i="12"/>
  <c r="L248" i="5"/>
  <c r="H319" i="5"/>
  <c r="M302" i="12"/>
  <c r="O130" i="11"/>
  <c r="M68" i="5"/>
  <c r="M25" i="17"/>
  <c r="M40" i="17"/>
  <c r="M45" i="17"/>
  <c r="M47" i="17"/>
  <c r="M52" i="17"/>
  <c r="M58" i="17"/>
  <c r="M65" i="17"/>
  <c r="N62" i="5"/>
  <c r="S22" i="12"/>
  <c r="N267" i="12"/>
  <c r="I269" i="5"/>
  <c r="K267" i="5"/>
  <c r="P248" i="12"/>
  <c r="F440" i="5"/>
  <c r="K336" i="12"/>
  <c r="P8" i="5"/>
  <c r="E8" i="12"/>
  <c r="F8" i="12"/>
  <c r="Q11" i="17"/>
  <c r="Q13" i="17"/>
  <c r="O10" i="5"/>
  <c r="Q8" i="5"/>
  <c r="Q10" i="5"/>
  <c r="Q13" i="5"/>
  <c r="Q22" i="5"/>
  <c r="Q62" i="5"/>
  <c r="P10" i="5"/>
  <c r="Q14" i="17"/>
  <c r="Q8" i="17"/>
  <c r="E10" i="12"/>
  <c r="F10" i="12"/>
  <c r="C98" i="9"/>
  <c r="E98" i="9"/>
  <c r="O13" i="5"/>
  <c r="I302" i="5"/>
  <c r="N269" i="12"/>
  <c r="M319" i="12"/>
  <c r="H336" i="5"/>
  <c r="Q248" i="12"/>
  <c r="L267" i="5"/>
  <c r="O62" i="5"/>
  <c r="S62" i="12"/>
  <c r="S66" i="12"/>
  <c r="N66" i="5"/>
  <c r="J302" i="5"/>
  <c r="O269" i="12"/>
  <c r="M248" i="5"/>
  <c r="R68" i="12"/>
  <c r="K269" i="5"/>
  <c r="P267" i="12"/>
  <c r="L336" i="12"/>
  <c r="G440" i="5"/>
  <c r="Q16" i="17"/>
  <c r="J319" i="5"/>
  <c r="O302" i="12"/>
  <c r="N302" i="12"/>
  <c r="I319" i="5"/>
  <c r="E62" i="12"/>
  <c r="F62" i="12"/>
  <c r="P62" i="5"/>
  <c r="O22" i="5"/>
  <c r="E13" i="12"/>
  <c r="F13" i="12"/>
  <c r="Q17" i="17"/>
  <c r="P13" i="5"/>
  <c r="H440" i="5"/>
  <c r="M336" i="12"/>
  <c r="N68" i="5"/>
  <c r="O66" i="5"/>
  <c r="P130" i="11"/>
  <c r="N25" i="17"/>
  <c r="N40" i="17"/>
  <c r="N45" i="17"/>
  <c r="N47" i="17"/>
  <c r="N52" i="17"/>
  <c r="N58" i="17"/>
  <c r="N65" i="17"/>
  <c r="Q267" i="12"/>
  <c r="L269" i="5"/>
  <c r="K302" i="5"/>
  <c r="P269" i="12"/>
  <c r="M267" i="5"/>
  <c r="R248" i="12"/>
  <c r="Q19" i="17"/>
  <c r="Q22" i="17"/>
  <c r="N248" i="5"/>
  <c r="O68" i="5"/>
  <c r="S68" i="12"/>
  <c r="P66" i="5"/>
  <c r="P25" i="17"/>
  <c r="Q66" i="5"/>
  <c r="E66" i="12"/>
  <c r="F66" i="12"/>
  <c r="O25" i="17"/>
  <c r="O40" i="17"/>
  <c r="O45" i="17"/>
  <c r="O47" i="17"/>
  <c r="O52" i="17"/>
  <c r="O58" i="17"/>
  <c r="O65" i="17"/>
  <c r="N319" i="12"/>
  <c r="I336" i="5"/>
  <c r="O319" i="12"/>
  <c r="J336" i="5"/>
  <c r="E22" i="12"/>
  <c r="F22" i="12"/>
  <c r="C99" i="9"/>
  <c r="E99" i="9"/>
  <c r="C103" i="9"/>
  <c r="E103" i="9"/>
  <c r="P22" i="5"/>
  <c r="C104" i="9"/>
  <c r="R267" i="12"/>
  <c r="M269" i="5"/>
  <c r="K319" i="5"/>
  <c r="P302" i="12"/>
  <c r="L302" i="5"/>
  <c r="Q269" i="12"/>
  <c r="N336" i="12"/>
  <c r="I440" i="5"/>
  <c r="Q302" i="12"/>
  <c r="L319" i="5"/>
  <c r="P40" i="17"/>
  <c r="P45" i="17"/>
  <c r="C115" i="9"/>
  <c r="C117" i="9"/>
  <c r="Q68" i="5"/>
  <c r="Q248" i="5"/>
  <c r="Q267" i="5"/>
  <c r="Q269" i="5"/>
  <c r="Q302" i="5"/>
  <c r="Q319" i="5"/>
  <c r="Q336" i="5"/>
  <c r="Q440" i="5"/>
  <c r="Q25" i="17"/>
  <c r="Q40" i="17"/>
  <c r="Q45" i="17"/>
  <c r="Q47" i="17"/>
  <c r="Q52" i="17"/>
  <c r="Q58" i="17"/>
  <c r="Q65" i="17"/>
  <c r="K336" i="5"/>
  <c r="P319" i="12"/>
  <c r="O336" i="12"/>
  <c r="J440" i="5"/>
  <c r="M302" i="5"/>
  <c r="R269" i="12"/>
  <c r="P68" i="5"/>
  <c r="E68" i="12"/>
  <c r="F68" i="12"/>
  <c r="N267" i="5"/>
  <c r="S248" i="12"/>
  <c r="O248" i="5"/>
  <c r="R302" i="12"/>
  <c r="M319" i="5"/>
  <c r="C141" i="9"/>
  <c r="P47" i="17"/>
  <c r="E248" i="12"/>
  <c r="F248" i="12"/>
  <c r="P248" i="5"/>
  <c r="Q319" i="12"/>
  <c r="L336" i="5"/>
  <c r="S267" i="12"/>
  <c r="N269" i="5"/>
  <c r="O267" i="5"/>
  <c r="P336" i="12"/>
  <c r="K440" i="5"/>
  <c r="Q336" i="12"/>
  <c r="L440" i="5"/>
  <c r="P52" i="17"/>
  <c r="P58" i="17"/>
  <c r="P65" i="17"/>
  <c r="C142" i="9"/>
  <c r="E267" i="12"/>
  <c r="F267" i="12"/>
  <c r="P267" i="5"/>
  <c r="C100" i="9"/>
  <c r="S269" i="12"/>
  <c r="N302" i="5"/>
  <c r="O269" i="5"/>
  <c r="M336" i="5"/>
  <c r="R319" i="12"/>
  <c r="E100" i="9"/>
  <c r="C101" i="9"/>
  <c r="M440" i="5"/>
  <c r="R336" i="12"/>
  <c r="C102" i="9"/>
  <c r="E102" i="9"/>
  <c r="P269" i="5"/>
  <c r="E269" i="12"/>
  <c r="F269" i="12"/>
  <c r="N319" i="5"/>
  <c r="S302" i="12"/>
  <c r="O302" i="5"/>
  <c r="N336" i="5"/>
  <c r="S319" i="12"/>
  <c r="O319" i="5"/>
  <c r="E302" i="12"/>
  <c r="F302" i="12"/>
  <c r="P302" i="5"/>
  <c r="E101" i="9"/>
  <c r="C108" i="9"/>
  <c r="E319" i="12"/>
  <c r="F319" i="12"/>
  <c r="P319" i="5"/>
  <c r="S336" i="12"/>
  <c r="O336" i="5"/>
  <c r="N440" i="5"/>
  <c r="P336" i="5"/>
  <c r="P440" i="5"/>
  <c r="O440" i="5"/>
  <c r="E336" i="12"/>
  <c r="F336" i="12"/>
</calcChain>
</file>

<file path=xl/sharedStrings.xml><?xml version="1.0" encoding="utf-8"?>
<sst xmlns="http://schemas.openxmlformats.org/spreadsheetml/2006/main" count="4238" uniqueCount="1369">
  <si>
    <t>Unit Information</t>
  </si>
  <si>
    <t>Units</t>
  </si>
  <si>
    <t>Market</t>
  </si>
  <si>
    <t>Total:</t>
  </si>
  <si>
    <t>Sq Ft</t>
  </si>
  <si>
    <t>Property</t>
  </si>
  <si>
    <t>Portfolio</t>
  </si>
  <si>
    <t>Yr Built</t>
  </si>
  <si>
    <t>Mgr</t>
  </si>
  <si>
    <t>Budget Change History</t>
  </si>
  <si>
    <t>Market Rent</t>
  </si>
  <si>
    <t>Loss To Lease</t>
  </si>
  <si>
    <t>Physical Vacancy Loss</t>
  </si>
  <si>
    <t>Laundry Income</t>
  </si>
  <si>
    <t>Renters Insurance Income</t>
  </si>
  <si>
    <t>Rental Income</t>
  </si>
  <si>
    <t>Other Income</t>
  </si>
  <si>
    <t>Management Fee</t>
  </si>
  <si>
    <t>Lawn Maintenance</t>
  </si>
  <si>
    <t>Pest Control</t>
  </si>
  <si>
    <t>Security Service</t>
  </si>
  <si>
    <t>Utility Administrative</t>
  </si>
  <si>
    <t>Interest Expense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</si>
  <si>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</si>
  <si>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</si>
  <si>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</si>
  <si>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</si>
  <si>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</si>
  <si>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</si>
  <si>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</si>
  <si>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</si>
  <si>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</si>
  <si>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</si>
  <si>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</si>
  <si>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</si>
  <si>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Upload</t>
  </si>
  <si>
    <t>BUDGET_ID</t>
  </si>
  <si>
    <t>ACCT_NO</t>
  </si>
  <si>
    <t>LOCATION_ID</t>
  </si>
  <si>
    <t>State</t>
  </si>
  <si>
    <t>Total</t>
  </si>
  <si>
    <t>Per Unit</t>
  </si>
  <si>
    <t>Monthly</t>
  </si>
  <si>
    <t>Payroll</t>
  </si>
  <si>
    <t>Unit#</t>
  </si>
  <si>
    <t>Name</t>
  </si>
  <si>
    <t>Job</t>
  </si>
  <si>
    <t>GPR</t>
  </si>
  <si>
    <t>Disc %</t>
  </si>
  <si>
    <t>Gross Potential Rent</t>
  </si>
  <si>
    <t>Net Rental Income</t>
  </si>
  <si>
    <t>Operating Expenses</t>
  </si>
  <si>
    <t>Leasing and Marketing</t>
  </si>
  <si>
    <t>Resident Related Expenses</t>
  </si>
  <si>
    <t>Office and Admin Expense</t>
  </si>
  <si>
    <t>Travel</t>
  </si>
  <si>
    <t>Dues and Memberships</t>
  </si>
  <si>
    <t>Payroll Burden</t>
  </si>
  <si>
    <t>Common Area Repairs</t>
  </si>
  <si>
    <t>Grounds Maintenance</t>
  </si>
  <si>
    <t>General Maintenance</t>
  </si>
  <si>
    <t>Contract Services</t>
  </si>
  <si>
    <t>Utilities</t>
  </si>
  <si>
    <t>Taxes</t>
  </si>
  <si>
    <t>Insurance</t>
  </si>
  <si>
    <t>Other Expenses</t>
  </si>
  <si>
    <t>Net Operating Income</t>
  </si>
  <si>
    <t>Cable Income</t>
  </si>
  <si>
    <t>HOA Dues</t>
  </si>
  <si>
    <t>Actual</t>
  </si>
  <si>
    <t>Budget</t>
  </si>
  <si>
    <t>Year</t>
  </si>
  <si>
    <t>Annual</t>
  </si>
  <si>
    <t>Renovation</t>
  </si>
  <si>
    <t>Explanation</t>
  </si>
  <si>
    <t>Contracts</t>
  </si>
  <si>
    <t>Data Entry Instructions</t>
  </si>
  <si>
    <t>Tabs</t>
  </si>
  <si>
    <t>Help</t>
  </si>
  <si>
    <t>Setup</t>
  </si>
  <si>
    <t>Input</t>
  </si>
  <si>
    <t>This instruction sheet</t>
  </si>
  <si>
    <t>Property name, Unit Mix, Payroll, Approvals</t>
  </si>
  <si>
    <t>Enter your assumptions only in this sheet</t>
  </si>
  <si>
    <t>Quick Tips</t>
  </si>
  <si>
    <t>Comments/Suggestions/Concerns</t>
  </si>
  <si>
    <t>Property Information</t>
  </si>
  <si>
    <t>Reg DM</t>
  </si>
  <si>
    <t>GL Account</t>
  </si>
  <si>
    <t>Account Name</t>
  </si>
  <si>
    <t>Vendor</t>
  </si>
  <si>
    <t>Ops Technology</t>
  </si>
  <si>
    <t>Health Ins</t>
  </si>
  <si>
    <t>Pay Rate</t>
  </si>
  <si>
    <t>Salary</t>
  </si>
  <si>
    <t>Hrs/Wk</t>
  </si>
  <si>
    <t>As you complete the budget, please log your progress against the established deadlines as indicated on the Setup Tab.</t>
  </si>
  <si>
    <t>You will only use the Setup and the Input Tabs.  The others are for reference.</t>
  </si>
  <si>
    <t>Employees Living but Not Working at the Property</t>
  </si>
  <si>
    <t>Unit</t>
  </si>
  <si>
    <t>Disc $</t>
  </si>
  <si>
    <t>Works at</t>
  </si>
  <si>
    <t>Emp Per 100 Units</t>
  </si>
  <si>
    <t>Answering Service</t>
  </si>
  <si>
    <t>Alarm Service</t>
  </si>
  <si>
    <t>Termite</t>
  </si>
  <si>
    <t>Total Income</t>
  </si>
  <si>
    <t>4. Override the monthly amounts in the Yellow Cells</t>
  </si>
  <si>
    <t>flexibility, yet be very easy to enter all of your budget assumptions.  You are provided with the information that does not</t>
  </si>
  <si>
    <t>change, or information that is available from OneSite Leasing and Rents already entered in the Setup Tab.  Once you verify the</t>
  </si>
  <si>
    <t>assumptions, you can then go through the Input Tab and enter the budget amounts for each GL Account.  As you enter the</t>
  </si>
  <si>
    <t>months where the budget is not the same, ie. A/C goes up in the summer months. There is no need to enter zeros, if the</t>
  </si>
  <si>
    <t>Many standard contracts have been entered for you. Please call and verify contract prices with every vendor. Enter the contract</t>
  </si>
  <si>
    <t>Printing Reports</t>
  </si>
  <si>
    <t>All print ranges are predefined to fit on 8.5 x 11 inch paper, landscape.  Simply select the tab, then print.</t>
  </si>
  <si>
    <t>GL Entity</t>
  </si>
  <si>
    <t>Cable TV Clubhouse</t>
  </si>
  <si>
    <t>Budget Review</t>
  </si>
  <si>
    <t>% Chg</t>
  </si>
  <si>
    <t>Annual Expenses</t>
  </si>
  <si>
    <t xml:space="preserve">  Per Unit per Year</t>
  </si>
  <si>
    <t>Average Collected Rent per Month</t>
  </si>
  <si>
    <t>Average Collected Rent per Sq Ft</t>
  </si>
  <si>
    <t>Employees living on the property</t>
  </si>
  <si>
    <t>Employees per 100 units</t>
  </si>
  <si>
    <t xml:space="preserve">  Per Unit Taxes</t>
  </si>
  <si>
    <t>Unit #</t>
  </si>
  <si>
    <t>Type</t>
  </si>
  <si>
    <t>Mkt Rent</t>
  </si>
  <si>
    <t>Concessions</t>
  </si>
  <si>
    <t>Emergency 911 Pool Phone</t>
  </si>
  <si>
    <t>Health Insurance</t>
  </si>
  <si>
    <r>
      <t xml:space="preserve">budget, if the budget amount is the same each month, </t>
    </r>
    <r>
      <rPr>
        <b/>
        <sz val="11"/>
        <color indexed="8"/>
        <rFont val="Calibri"/>
        <family val="2"/>
      </rPr>
      <t>simply enter the amount in the Green Monthly</t>
    </r>
    <r>
      <rPr>
        <sz val="11"/>
        <color theme="1"/>
        <rFont val="Calibri"/>
        <family val="2"/>
        <scheme val="minor"/>
      </rPr>
      <t xml:space="preserve"> column. An entry in a</t>
    </r>
  </si>
  <si>
    <r>
      <t xml:space="preserve">amount is zero, leave the cell blank.  </t>
    </r>
    <r>
      <rPr>
        <b/>
        <sz val="11"/>
        <color indexed="60"/>
        <rFont val="Calibri"/>
        <family val="2"/>
      </rPr>
      <t>Do not use the space bar to zero out a cell, use the delete key to take something out.</t>
    </r>
  </si>
  <si>
    <t>DEPT_ID</t>
  </si>
  <si>
    <t>Physical Occupancy %</t>
  </si>
  <si>
    <t>Apartment Turnover Costs</t>
  </si>
  <si>
    <t>Total Expenses</t>
  </si>
  <si>
    <t>Capital Improvements</t>
  </si>
  <si>
    <t>Total Capital</t>
  </si>
  <si>
    <t>Cash Flow Before Debt Service</t>
  </si>
  <si>
    <t>Mortgage Principal</t>
  </si>
  <si>
    <t>Depreciation and Amortization</t>
  </si>
  <si>
    <t>Total Depr and Amort</t>
  </si>
  <si>
    <t>Escrow Funds</t>
  </si>
  <si>
    <t>Mortgage Payable</t>
  </si>
  <si>
    <t>Budget Start Date</t>
  </si>
  <si>
    <t>Move In Allowance</t>
  </si>
  <si>
    <t>Occupancy</t>
  </si>
  <si>
    <t>Occupied Units - Beginning</t>
  </si>
  <si>
    <t xml:space="preserve"> - Expirations</t>
  </si>
  <si>
    <t xml:space="preserve"> + Renewals</t>
  </si>
  <si>
    <t xml:space="preserve"> + New Move-Ins</t>
  </si>
  <si>
    <t>Occupied Units - Ending</t>
  </si>
  <si>
    <t>Renewal Percentage</t>
  </si>
  <si>
    <t xml:space="preserve"> - Other Move-Outs, Skips Evicts</t>
  </si>
  <si>
    <t>Ending Occupancy Percentage</t>
  </si>
  <si>
    <t>Occup</t>
  </si>
  <si>
    <t>Avg Rent</t>
  </si>
  <si>
    <t>Per SqFt</t>
  </si>
  <si>
    <t>Scheduled Recurring Concessions</t>
  </si>
  <si>
    <t>Discount</t>
  </si>
  <si>
    <t>Entered by Accounting, revise by RD</t>
  </si>
  <si>
    <t>Enter by Property or RD</t>
  </si>
  <si>
    <t>Formula - Do net enter or overwrite</t>
  </si>
  <si>
    <t>411112 - Line 8  Shows where it links to Input</t>
  </si>
  <si>
    <t>Enter only one amount - auto fill</t>
  </si>
  <si>
    <t>Pool Contract</t>
  </si>
  <si>
    <t>2. Follow the color coding for entry on the Setup Tab</t>
  </si>
  <si>
    <t>3. Do not enter amounts month by month unless they change</t>
  </si>
  <si>
    <t>Rent per Occupied Unit</t>
  </si>
  <si>
    <t>Workers Comp per Month for Property</t>
  </si>
  <si>
    <t>Gain (Loss) To Lease</t>
  </si>
  <si>
    <t>Total Salary</t>
  </si>
  <si>
    <t>Work Comp</t>
  </si>
  <si>
    <t>Salaries are rounded to the nearest $10. Enter the amount of rent discounts to employees and the unit number if at this property.</t>
  </si>
  <si>
    <t>the Setup Tab.  You can add or delete rows in the contracts section, and it will automatically indicate that the account number has a contract</t>
  </si>
  <si>
    <t>associated with it by turning the GL account blue.  You can have several contracts for the same GL account.  The total of all contracts will appear</t>
  </si>
  <si>
    <t>in the Monthly Amount column.</t>
  </si>
  <si>
    <t>5. You can only insert rows in certain areas of the Setup Tab.</t>
  </si>
  <si>
    <t xml:space="preserve">Per </t>
  </si>
  <si>
    <t>Budget Routing Schedule</t>
  </si>
  <si>
    <t>Advanstaff Payroll Admin Fee</t>
  </si>
  <si>
    <t>OFFICE</t>
  </si>
  <si>
    <t>CONTRACTS</t>
  </si>
  <si>
    <t>Where to budget what and why</t>
  </si>
  <si>
    <t>The actual payroll as of Sep 30 has been entered for you from the payroll records. Make changes to the names as projected.</t>
  </si>
  <si>
    <t>1.75 per invoice</t>
  </si>
  <si>
    <t>Office Telephone</t>
  </si>
  <si>
    <t>CSA Secure-BlueTrend</t>
  </si>
  <si>
    <t>Technology Support</t>
  </si>
  <si>
    <t xml:space="preserve">Enter the actual Market Rent you expect to get in the month where the increase is projected. </t>
  </si>
  <si>
    <t xml:space="preserve">  Gross Potential Rent</t>
  </si>
  <si>
    <t xml:space="preserve">  Rental Income</t>
  </si>
  <si>
    <t>Accountant</t>
  </si>
  <si>
    <t>Market Comps</t>
  </si>
  <si>
    <t>ADVERTISING MARKETING</t>
  </si>
  <si>
    <t>Form to push approved budget to OneSite Accounting</t>
  </si>
  <si>
    <t>Floor Plan Name</t>
  </si>
  <si>
    <t>Other Lost Rent</t>
  </si>
  <si>
    <t>Capital Expenses</t>
  </si>
  <si>
    <t>Depreciation/Amortization</t>
  </si>
  <si>
    <t> Gross Potential Rent</t>
  </si>
  <si>
    <t> Market Rent</t>
  </si>
  <si>
    <t> Gain (Loss) To Lease</t>
  </si>
  <si>
    <t> Physical Vacancy Loss</t>
  </si>
  <si>
    <t> Bad Debt - Skips and Evicts</t>
  </si>
  <si>
    <t> Less Bad Debt Collected</t>
  </si>
  <si>
    <t> Month To Month Fees</t>
  </si>
  <si>
    <t> Non Revenue Units - Models</t>
  </si>
  <si>
    <t> Concessions - MIA</t>
  </si>
  <si>
    <t> Rent Discounts</t>
  </si>
  <si>
    <t> Prepaid/(Delinquent)</t>
  </si>
  <si>
    <t> Resident Related Income</t>
  </si>
  <si>
    <t> Application Fees</t>
  </si>
  <si>
    <t> Cleaning Fees</t>
  </si>
  <si>
    <t> Corporate Units/Furniture</t>
  </si>
  <si>
    <t> Damages</t>
  </si>
  <si>
    <t> Forfeited Deposits</t>
  </si>
  <si>
    <t> Key/Lock Change</t>
  </si>
  <si>
    <t> Late Fees</t>
  </si>
  <si>
    <t> NSF Charges</t>
  </si>
  <si>
    <t> Parking/Garage Income</t>
  </si>
  <si>
    <t> Pet Fees/Other Fees</t>
  </si>
  <si>
    <t> Admin/Legal Fees</t>
  </si>
  <si>
    <t> Amenity Upgrade Income</t>
  </si>
  <si>
    <t> Ancillary Income</t>
  </si>
  <si>
    <t> Cable Income</t>
  </si>
  <si>
    <t> Interest Income</t>
  </si>
  <si>
    <t> Internet Income</t>
  </si>
  <si>
    <t> Laundry Card Income</t>
  </si>
  <si>
    <t> Laundry Income</t>
  </si>
  <si>
    <t> Security Monitoring Fee</t>
  </si>
  <si>
    <t> Renters Insurance Income</t>
  </si>
  <si>
    <t> Telephone Income</t>
  </si>
  <si>
    <t> Vending Income</t>
  </si>
  <si>
    <t> Miscellaneous Income</t>
  </si>
  <si>
    <t> Ancillary income</t>
  </si>
  <si>
    <t> Utility Reimbursements</t>
  </si>
  <si>
    <t> Util Reimb - Electric</t>
  </si>
  <si>
    <t> Util Reimb - Gas</t>
  </si>
  <si>
    <t> Util Reimb - Trash</t>
  </si>
  <si>
    <t> Util Reimb - Water</t>
  </si>
  <si>
    <t> Operating Expenses</t>
  </si>
  <si>
    <t> Management Fee</t>
  </si>
  <si>
    <t> Administrative Expenses</t>
  </si>
  <si>
    <t> Leasing and Marketing</t>
  </si>
  <si>
    <t> Advertising - Internet</t>
  </si>
  <si>
    <t> Advertising - Print</t>
  </si>
  <si>
    <t> Locator Commissions</t>
  </si>
  <si>
    <t> Marketing Supplies</t>
  </si>
  <si>
    <t> Resident Referrals</t>
  </si>
  <si>
    <t> Shopping Reports</t>
  </si>
  <si>
    <t> Resident Related Expenses</t>
  </si>
  <si>
    <t> Corporate Unit Costs</t>
  </si>
  <si>
    <t> Credit Reports-Leasing Desk</t>
  </si>
  <si>
    <t> Legal - Evictions</t>
  </si>
  <si>
    <t> Resident Relations/Functions</t>
  </si>
  <si>
    <t> Office and Admin Expense</t>
  </si>
  <si>
    <t> Answering Service-Crossfire</t>
  </si>
  <si>
    <t> Automobile</t>
  </si>
  <si>
    <t> Bank Fees</t>
  </si>
  <si>
    <t> Computer-Leasing and Rents</t>
  </si>
  <si>
    <t> Computer-Crossfire Mktg</t>
  </si>
  <si>
    <t> Computer-Ops Processing</t>
  </si>
  <si>
    <t> Contract Printing-Brochures</t>
  </si>
  <si>
    <t> Contributions/Donations</t>
  </si>
  <si>
    <t> Education</t>
  </si>
  <si>
    <t> Employee Recognition</t>
  </si>
  <si>
    <t> Office Equip Expense</t>
  </si>
  <si>
    <t> Furniture Repairs/Rental</t>
  </si>
  <si>
    <t> Hospitality-Office Refreshments</t>
  </si>
  <si>
    <t> Leasing Forms</t>
  </si>
  <si>
    <t> Meetings</t>
  </si>
  <si>
    <t> Mobile Phones</t>
  </si>
  <si>
    <t> Office Cleaning</t>
  </si>
  <si>
    <t> Office Supplies</t>
  </si>
  <si>
    <t> Pagers</t>
  </si>
  <si>
    <t> Renters Insurance Cost</t>
  </si>
  <si>
    <t> Postage</t>
  </si>
  <si>
    <t> Security Monitoring Contract</t>
  </si>
  <si>
    <t> Uniforms</t>
  </si>
  <si>
    <t> Travel</t>
  </si>
  <si>
    <t> Airfare</t>
  </si>
  <si>
    <t> Auto Rental</t>
  </si>
  <si>
    <t> Lodging</t>
  </si>
  <si>
    <t> Meals</t>
  </si>
  <si>
    <t> Mileage</t>
  </si>
  <si>
    <t> Parking</t>
  </si>
  <si>
    <t> Dues and Memberships</t>
  </si>
  <si>
    <t> Dues/Memberships</t>
  </si>
  <si>
    <t> Permits &amp; Licenses</t>
  </si>
  <si>
    <t> Payroll and Benefits</t>
  </si>
  <si>
    <t> Payroll</t>
  </si>
  <si>
    <t> Salary-Manager</t>
  </si>
  <si>
    <t> Salary-Asst Manager</t>
  </si>
  <si>
    <t> Salary-Leasing</t>
  </si>
  <si>
    <t> Overtime-Management</t>
  </si>
  <si>
    <t> Bonus-Management</t>
  </si>
  <si>
    <t> Salary-Courtesy Patrol</t>
  </si>
  <si>
    <t> Contract Staff-Management</t>
  </si>
  <si>
    <t> Salary-Maint Supervisor</t>
  </si>
  <si>
    <t> Salary-Asst Maint Super</t>
  </si>
  <si>
    <t> Salary-Maintenance</t>
  </si>
  <si>
    <t> Salary-Grounds</t>
  </si>
  <si>
    <t> Overtime-Maintenance</t>
  </si>
  <si>
    <t> Bonus-Maintenance</t>
  </si>
  <si>
    <t> Payroll Burden</t>
  </si>
  <si>
    <t> 401 (K)</t>
  </si>
  <si>
    <t> Employee Recruitment</t>
  </si>
  <si>
    <t> Group Insurance</t>
  </si>
  <si>
    <t> Long Term Disability</t>
  </si>
  <si>
    <t> Payroll Processing</t>
  </si>
  <si>
    <t> FICA</t>
  </si>
  <si>
    <t> FUTA</t>
  </si>
  <si>
    <t> SUTA</t>
  </si>
  <si>
    <t> State Payroll Taxes</t>
  </si>
  <si>
    <t> Worker's Comp Insurance</t>
  </si>
  <si>
    <t> Maintenance Expenses</t>
  </si>
  <si>
    <t> Apartment Turnover Costs</t>
  </si>
  <si>
    <t> Apt/Interior Supplies</t>
  </si>
  <si>
    <t> Electrical Supplies-Apts</t>
  </si>
  <si>
    <t> Interior Painting-Contract</t>
  </si>
  <si>
    <t> Interior Resurfacing</t>
  </si>
  <si>
    <t> Maid Service-Contract</t>
  </si>
  <si>
    <t> Paint Supplies-Apts</t>
  </si>
  <si>
    <t> Plumbing Supplies-Apts</t>
  </si>
  <si>
    <t> Window Coverings</t>
  </si>
  <si>
    <t> Common Area Repairs</t>
  </si>
  <si>
    <t> Building Exterior</t>
  </si>
  <si>
    <t> Exterior Painting</t>
  </si>
  <si>
    <t> Fire Safety</t>
  </si>
  <si>
    <t> Interior Common Area</t>
  </si>
  <si>
    <t> Parking Lot Maintenance</t>
  </si>
  <si>
    <t> Pool Contract</t>
  </si>
  <si>
    <t> Pool Supplies/Repairs</t>
  </si>
  <si>
    <t> Recreation Equipment</t>
  </si>
  <si>
    <t> Roof Repairs</t>
  </si>
  <si>
    <t> Signage</t>
  </si>
  <si>
    <t> Sprinkler Repair</t>
  </si>
  <si>
    <t> Tennis Court Repairs</t>
  </si>
  <si>
    <t> TV Antenna Repair</t>
  </si>
  <si>
    <t> Grounds Maintenance</t>
  </si>
  <si>
    <t> Grounds Supplies</t>
  </si>
  <si>
    <t> Lake / Pond Maint &amp; Repair</t>
  </si>
  <si>
    <t> Seasonal Landscaping</t>
  </si>
  <si>
    <t> Snow Removal</t>
  </si>
  <si>
    <t> General Maintenance</t>
  </si>
  <si>
    <t> Appliance Parts</t>
  </si>
  <si>
    <t> Auto/Golf Cart Expense</t>
  </si>
  <si>
    <t> Boiler Repair</t>
  </si>
  <si>
    <t> Carpet - Water Extraction</t>
  </si>
  <si>
    <t> Ceiling Fans</t>
  </si>
  <si>
    <t> Equipment Repairs</t>
  </si>
  <si>
    <t> Equipment Rental</t>
  </si>
  <si>
    <t> Exterior Doors Repairs</t>
  </si>
  <si>
    <t> Glass And Mirror</t>
  </si>
  <si>
    <t> HVAC Supplies</t>
  </si>
  <si>
    <t> Janitorial Supplies</t>
  </si>
  <si>
    <t> Utility Line Maint &amp; Repair</t>
  </si>
  <si>
    <t> Tools</t>
  </si>
  <si>
    <t> Window Screen Replacement</t>
  </si>
  <si>
    <t> Contract Services</t>
  </si>
  <si>
    <t> Lawn Maintenance</t>
  </si>
  <si>
    <t> Pest Control</t>
  </si>
  <si>
    <t> Security Service</t>
  </si>
  <si>
    <t> Termite Bonds</t>
  </si>
  <si>
    <t> Trash Removal</t>
  </si>
  <si>
    <t> Utilities</t>
  </si>
  <si>
    <t> Electric - Common Area</t>
  </si>
  <si>
    <t> Electric - Common Model</t>
  </si>
  <si>
    <t> Electric - Common Office</t>
  </si>
  <si>
    <t> Electric - Vacants</t>
  </si>
  <si>
    <t> Gas</t>
  </si>
  <si>
    <t> Utility Administrative</t>
  </si>
  <si>
    <t> Water</t>
  </si>
  <si>
    <t> Sewer</t>
  </si>
  <si>
    <t> Taxes and Insurance</t>
  </si>
  <si>
    <t> Taxes</t>
  </si>
  <si>
    <t> Franchise Taxes</t>
  </si>
  <si>
    <t> Home Owners Association</t>
  </si>
  <si>
    <t> Personal Property Taxes</t>
  </si>
  <si>
    <t> Real Estate Taxes</t>
  </si>
  <si>
    <t> Real Estate Tax Service</t>
  </si>
  <si>
    <t> Insurance</t>
  </si>
  <si>
    <t> Insurance Expense</t>
  </si>
  <si>
    <t> Flood Insurance</t>
  </si>
  <si>
    <t> CAPX-Carpet/Vinyl</t>
  </si>
  <si>
    <t> CAPX-Drapes/Blinds</t>
  </si>
  <si>
    <t> CAPX-HVAC</t>
  </si>
  <si>
    <t> CAPX-Electrical/Plumbing</t>
  </si>
  <si>
    <t> CAPX-Parking Lots/Gates</t>
  </si>
  <si>
    <t> CAPX-Appliances</t>
  </si>
  <si>
    <t> CAPX-Stairs/Balconies</t>
  </si>
  <si>
    <t> CAPX-Pool</t>
  </si>
  <si>
    <t> CAPX- Interior</t>
  </si>
  <si>
    <t> CAPX- Exterior</t>
  </si>
  <si>
    <t> CAPX-Landscaping</t>
  </si>
  <si>
    <t> CAPX-Furniture/Fixtures</t>
  </si>
  <si>
    <t> CAPX-Golf Carts</t>
  </si>
  <si>
    <t> CAPX-Roofs</t>
  </si>
  <si>
    <t>Non-Recurring Costs</t>
  </si>
  <si>
    <t> Reserve for Replacement Pmt</t>
  </si>
  <si>
    <t> HOA Dues</t>
  </si>
  <si>
    <t> Legal Fees</t>
  </si>
  <si>
    <t> Penalties/Fees</t>
  </si>
  <si>
    <t> Insurance Claims</t>
  </si>
  <si>
    <t> Insurance Proceeds</t>
  </si>
  <si>
    <t>Total Non-Recurring Costs</t>
  </si>
  <si>
    <t>Debt Service</t>
  </si>
  <si>
    <t> Mortgage Interest - Note A</t>
  </si>
  <si>
    <t> Mortgage Interest - Note B</t>
  </si>
  <si>
    <t> Mortgage Interest - Note C</t>
  </si>
  <si>
    <t> Mortgage Interest - Note D</t>
  </si>
  <si>
    <t>Total Debt Service</t>
  </si>
  <si>
    <t> Depreciation -Buildings</t>
  </si>
  <si>
    <t> Amortization Expense</t>
  </si>
  <si>
    <t> REN-Equipment - Maintenance</t>
  </si>
  <si>
    <t> REN-Equipment - Radios</t>
  </si>
  <si>
    <t> REN-Equipment - Other</t>
  </si>
  <si>
    <t> REN-Equipment - Office</t>
  </si>
  <si>
    <t> REN-Furniture - Office</t>
  </si>
  <si>
    <t> REN-Furniture - Model</t>
  </si>
  <si>
    <t> REN-Roof Replacement</t>
  </si>
  <si>
    <t> REN-Major Roof Repairs</t>
  </si>
  <si>
    <t> REN-Foundations</t>
  </si>
  <si>
    <t> REN-HVAC - Air Handlers</t>
  </si>
  <si>
    <t> REN-HVAC - Condensing Units</t>
  </si>
  <si>
    <t> REN-Plumbing</t>
  </si>
  <si>
    <t> REN-Exterior Carpentry</t>
  </si>
  <si>
    <t> REN-Siding\Stucco</t>
  </si>
  <si>
    <t> REN-Exterior Paint</t>
  </si>
  <si>
    <t> REN-Balcony &amp; Stair Repair</t>
  </si>
  <si>
    <t> REN-Retaining Walls</t>
  </si>
  <si>
    <t> REN-Wrought Iron Work</t>
  </si>
  <si>
    <t> REN-Flatwork/Concrete Repairs</t>
  </si>
  <si>
    <t> REN-Major Electrical Repair</t>
  </si>
  <si>
    <t> REN-Paving Repairs</t>
  </si>
  <si>
    <t> REN-Fence Work</t>
  </si>
  <si>
    <t> REN-Lawn Sprinklers</t>
  </si>
  <si>
    <t> REN-Landscaping</t>
  </si>
  <si>
    <t> REN-Exterior Lighting</t>
  </si>
  <si>
    <t> REN-Pool Work</t>
  </si>
  <si>
    <t> REN-Gutter Work</t>
  </si>
  <si>
    <t> REN-Patio Doors/Windows</t>
  </si>
  <si>
    <t> REN-Emergency Repairs</t>
  </si>
  <si>
    <t> REN-Carpet &amp; Tile</t>
  </si>
  <si>
    <t> REN-Light Fixtures</t>
  </si>
  <si>
    <t> REN-Refrigerators</t>
  </si>
  <si>
    <t> REN-Dishwashers</t>
  </si>
  <si>
    <t> REN-Disposals</t>
  </si>
  <si>
    <t> REN-Stoves\Hoods</t>
  </si>
  <si>
    <t> REN-Hallway Renovation</t>
  </si>
  <si>
    <t> REN-Window Coverings</t>
  </si>
  <si>
    <t> REN-Ceiling Fans</t>
  </si>
  <si>
    <t> REN-Termite Treatment</t>
  </si>
  <si>
    <t> REN-Pool Furniture</t>
  </si>
  <si>
    <t> REN-Carports</t>
  </si>
  <si>
    <t> REN-Interior Upgrades</t>
  </si>
  <si>
    <t> REN-Major Rehab Office\Model</t>
  </si>
  <si>
    <t> REN-Cabinet Work</t>
  </si>
  <si>
    <t> REN-Screens</t>
  </si>
  <si>
    <t> REN-Washers\Dryers</t>
  </si>
  <si>
    <t> REN-Water Heaters</t>
  </si>
  <si>
    <t> REN-Resurface Counters\Tubs</t>
  </si>
  <si>
    <t> REN-Playground\Fitness Equi</t>
  </si>
  <si>
    <t> REN-Tennis Court Work</t>
  </si>
  <si>
    <t> REN-Awnings</t>
  </si>
  <si>
    <t> REN-Flags &amp; Banners</t>
  </si>
  <si>
    <t> REN-Signage</t>
  </si>
  <si>
    <t> REN-Re-key Locks</t>
  </si>
  <si>
    <t> REN-Major Printing Purchase</t>
  </si>
  <si>
    <t> REN-Chimney Cleaning &amp; Repairs</t>
  </si>
  <si>
    <t> REN-Security\Access Gates</t>
  </si>
  <si>
    <t> REN-Elevator Repairs</t>
  </si>
  <si>
    <t> REN-Consulting/Supervision Fees</t>
  </si>
  <si>
    <t> REN-Parking Expansion</t>
  </si>
  <si>
    <t> REN-Parking Garage</t>
  </si>
  <si>
    <t> REN-Mailbox Replacement</t>
  </si>
  <si>
    <t> REN-Drainage</t>
  </si>
  <si>
    <t> REN-Construction Mgmt Fee</t>
  </si>
  <si>
    <t> REN-Miscellaneous</t>
  </si>
  <si>
    <t> ADA\Code Compliance</t>
  </si>
  <si>
    <t> Replacement Reserve Escrow</t>
  </si>
  <si>
    <t> Replacement Reserve Escrow BofA</t>
  </si>
  <si>
    <t> Tax Escrow</t>
  </si>
  <si>
    <t> Insurance Escrow</t>
  </si>
  <si>
    <t> Miscellaneous Reserve</t>
  </si>
  <si>
    <t> Construction Escrow</t>
  </si>
  <si>
    <t> Return on Investment Escrow</t>
  </si>
  <si>
    <t> Insurance Claim Escrow</t>
  </si>
  <si>
    <t> Mortgage Payable - 1st</t>
  </si>
  <si>
    <t> Principal Reduction - 1st</t>
  </si>
  <si>
    <t> Interest Payable - 1st</t>
  </si>
  <si>
    <t> Mortgage Payable - 2nd</t>
  </si>
  <si>
    <t> Principal Reduction - 2nd</t>
  </si>
  <si>
    <t> Interest Payable - 2nd</t>
  </si>
  <si>
    <t> Mortgage Payable - 3rd</t>
  </si>
  <si>
    <t> Principal Reduction - 3rd</t>
  </si>
  <si>
    <t> Interest Payable - 3rd</t>
  </si>
  <si>
    <t> Mortgage Payable - 4th</t>
  </si>
  <si>
    <t> Principal Reduction - 4th</t>
  </si>
  <si>
    <t> Interest Payable - 4th</t>
  </si>
  <si>
    <t> Notes Payable - Meadows Bank</t>
  </si>
  <si>
    <t> Notes Payable - Irwin 2 - Land</t>
  </si>
  <si>
    <t>Partnership Expenses</t>
  </si>
  <si>
    <t>Total Partnership Expenses</t>
  </si>
  <si>
    <t> Rental Income</t>
  </si>
  <si>
    <t>Net Cash Flow</t>
  </si>
  <si>
    <t> Acquistion / Re Fi Expense</t>
  </si>
  <si>
    <t> Partnership - Sublease Expense</t>
  </si>
  <si>
    <t> Audit Fees</t>
  </si>
  <si>
    <t> Investment Expense</t>
  </si>
  <si>
    <t> Partnership Legal Fees</t>
  </si>
  <si>
    <t> Loss From Sale Of Property</t>
  </si>
  <si>
    <t> Misc Partnership Expense</t>
  </si>
  <si>
    <t> Other Professional Fees</t>
  </si>
  <si>
    <t> Tax Return Preparation</t>
  </si>
  <si>
    <t>Mortgage</t>
  </si>
  <si>
    <t>411225 Line 17</t>
  </si>
  <si>
    <t>Scott Seegmiller</t>
  </si>
  <si>
    <t>Owner</t>
  </si>
  <si>
    <t>Increase</t>
  </si>
  <si>
    <t>Net Income/(Loss)</t>
  </si>
  <si>
    <t>Cash Flow AfterInterest/Depr</t>
  </si>
  <si>
    <t>Renovations</t>
  </si>
  <si>
    <t>Income After Partnership</t>
  </si>
  <si>
    <t xml:space="preserve">  Per Unit Insurance</t>
  </si>
  <si>
    <t>Total Expenses Per Unit before Taxes</t>
  </si>
  <si>
    <t xml:space="preserve">  Move out Lease compared to Market</t>
  </si>
  <si>
    <t xml:space="preserve">  Renew Lease compared to old lease</t>
  </si>
  <si>
    <t>Summary</t>
  </si>
  <si>
    <t>After the budget is entered, use the following statistics to verify the totals.</t>
  </si>
  <si>
    <t>Loss to Lease</t>
  </si>
  <si>
    <t>Manager/Leasing Bonus</t>
  </si>
  <si>
    <t>Maintenance Bonus</t>
  </si>
  <si>
    <t> Technology Support</t>
  </si>
  <si>
    <t> Telephone/Internet</t>
  </si>
  <si>
    <t> Carpet Cleaning/Repairs</t>
  </si>
  <si>
    <t> Plumbing/Electrical Repairs</t>
  </si>
  <si>
    <t> Contract/Temp Labor</t>
  </si>
  <si>
    <t> Cable</t>
  </si>
  <si>
    <t>Models/Shop</t>
  </si>
  <si>
    <t>411230 Line 18</t>
  </si>
  <si>
    <t xml:space="preserve"> Flood Insurance</t>
  </si>
  <si>
    <t xml:space="preserve"> </t>
  </si>
  <si>
    <t>Occupany Percent</t>
  </si>
  <si>
    <t>For Rent</t>
  </si>
  <si>
    <t xml:space="preserve"> YieldStar</t>
  </si>
  <si>
    <t>Step #</t>
  </si>
  <si>
    <t>Aldonsa</t>
  </si>
  <si>
    <t>Arabella</t>
  </si>
  <si>
    <t>Avalon Square</t>
  </si>
  <si>
    <t>Cabrillo Apartments</t>
  </si>
  <si>
    <t>Cambridge Park Towers</t>
  </si>
  <si>
    <t>Caribbean Isle</t>
  </si>
  <si>
    <t>Chapel Hill</t>
  </si>
  <si>
    <t>Coulter Landing</t>
  </si>
  <si>
    <t>Crescent Ridge</t>
  </si>
  <si>
    <t xml:space="preserve">Enclaves </t>
  </si>
  <si>
    <t>Forest Park</t>
  </si>
  <si>
    <t>Grandview Apartments</t>
  </si>
  <si>
    <t>Living Desert Apartments</t>
  </si>
  <si>
    <t>Los Cabos I</t>
  </si>
  <si>
    <t>Los Cabos II</t>
  </si>
  <si>
    <t>Monterey Park</t>
  </si>
  <si>
    <t>Oasis Apartments</t>
  </si>
  <si>
    <t>Perez Apartments</t>
  </si>
  <si>
    <t>Rancho de Montana</t>
  </si>
  <si>
    <t>Steeples</t>
  </si>
  <si>
    <t>Sunwood Apartments</t>
  </si>
  <si>
    <t>The Warwick</t>
  </si>
  <si>
    <t>Township Apartments</t>
  </si>
  <si>
    <t>Tropicana Royale</t>
  </si>
  <si>
    <t>Twain Estate Apartments</t>
  </si>
  <si>
    <t>Wind Tree</t>
  </si>
  <si>
    <t>WMG</t>
  </si>
  <si>
    <t>HT</t>
  </si>
  <si>
    <t>Budget 2012</t>
  </si>
  <si>
    <t>Master Checklist</t>
  </si>
  <si>
    <t>Paste Unit Mix and enter Lease Rent and Loss to Lease</t>
  </si>
  <si>
    <t>Notice that the GL Account number for several accounts are shaded blue.  The amount for these lines should be entered on the Contracts page of</t>
  </si>
  <si>
    <t xml:space="preserve">If you find something in this budget that needs to be changed, log it in the setup tab.  All changes must be logged. </t>
  </si>
  <si>
    <t>Amy Williams</t>
  </si>
  <si>
    <t>File Save As Property Name 2012</t>
  </si>
  <si>
    <t>NWP</t>
  </si>
  <si>
    <t>Vending Income</t>
  </si>
  <si>
    <t>Protect each sheet</t>
  </si>
  <si>
    <t>Chapel Hill 2</t>
  </si>
  <si>
    <t>Check Setup FICA FUTA SUTA</t>
  </si>
  <si>
    <t>Recheck Tax and Insurance Rates</t>
  </si>
  <si>
    <t>Line Up Occupancy to 12/15</t>
  </si>
  <si>
    <t>Franchise Tax by Month</t>
  </si>
  <si>
    <t>Jovanna Villas</t>
  </si>
  <si>
    <t>South Boulevard</t>
  </si>
  <si>
    <t>Total Units</t>
  </si>
  <si>
    <t>Advertising - Internet</t>
  </si>
  <si>
    <t>Advertising - Print</t>
  </si>
  <si>
    <t>Simply Apts</t>
  </si>
  <si>
    <t>Level One</t>
  </si>
  <si>
    <t>YieldStar-Rent Optimization</t>
  </si>
  <si>
    <t>LeasingDesk Screening</t>
  </si>
  <si>
    <t>LeasingDesk Criminal</t>
  </si>
  <si>
    <t>Yieldstar-Pricing Advisor</t>
  </si>
  <si>
    <t>Ops Invoice Processing</t>
  </si>
  <si>
    <t>Office Equip Exp</t>
  </si>
  <si>
    <t>INCOME</t>
  </si>
  <si>
    <t xml:space="preserve"> Doors Locks Keys</t>
  </si>
  <si>
    <t>Run Budget Creator for 12/31/2012 and for 12/31/2011</t>
  </si>
  <si>
    <t>Mansions</t>
  </si>
  <si>
    <t>COMMMGR</t>
  </si>
  <si>
    <t>Copy and Paste Property Name Unit Mix Payroll</t>
  </si>
  <si>
    <t>x</t>
  </si>
  <si>
    <t>Adjust Occupancy % and Expirations</t>
  </si>
  <si>
    <t>n</t>
  </si>
  <si>
    <t>SDE-Convergent Billing</t>
  </si>
  <si>
    <t>ePay Base Fee</t>
  </si>
  <si>
    <t>The Edge</t>
  </si>
  <si>
    <t>No</t>
  </si>
  <si>
    <t> Computer-Level One</t>
  </si>
  <si>
    <t>fix</t>
  </si>
  <si>
    <t>WHO</t>
  </si>
  <si>
    <t>WHAT</t>
  </si>
  <si>
    <t>BY WHEN</t>
  </si>
  <si>
    <t>FINISHED</t>
  </si>
  <si>
    <t>Review and update payroll, Health Insurance, Work comp</t>
  </si>
  <si>
    <t>Enter Budget in the Input Tab and update contracts, comps and rents</t>
  </si>
  <si>
    <t>Review and Approve final Budget with Manager and Regional</t>
  </si>
  <si>
    <t>WHEN</t>
  </si>
  <si>
    <t>UPLOADED</t>
  </si>
  <si>
    <t>WHAT CHANGED</t>
  </si>
  <si>
    <t>Yieldstar-Pricing Interface</t>
  </si>
  <si>
    <t>Average
Leased</t>
  </si>
  <si>
    <t>Leased
Amt / SQFT</t>
  </si>
  <si>
    <t>Units
Occupied</t>
  </si>
  <si>
    <t xml:space="preserve">
Occupancy %</t>
  </si>
  <si>
    <t>Units
Available</t>
  </si>
  <si>
    <t>This sheet will answer most of your questions concerning this Budget Worksheet.  It is designed to give you a great deal of</t>
  </si>
  <si>
    <t>Amenity</t>
  </si>
  <si>
    <t>(Gain)Loss</t>
  </si>
  <si>
    <t>Base</t>
  </si>
  <si>
    <t>Rent</t>
  </si>
  <si>
    <t>To Lease</t>
  </si>
  <si>
    <t>Enter the market rent</t>
  </si>
  <si>
    <t> Elevator Contract/Repair</t>
  </si>
  <si>
    <t> REN-Contingency</t>
  </si>
  <si>
    <t>513120 Ln 140</t>
  </si>
  <si>
    <t>513145 Ln 149</t>
  </si>
  <si>
    <t>513225 Ln 157</t>
  </si>
  <si>
    <t>513215 Ln 155</t>
  </si>
  <si>
    <t>513240 Ln 162</t>
  </si>
  <si>
    <t>Recheck Occupancy and revise to match</t>
  </si>
  <si>
    <t>Price</t>
  </si>
  <si>
    <t>Per Unit/month</t>
  </si>
  <si>
    <t>Resident Billing Charge</t>
  </si>
  <si>
    <t> Elevator Repair/Contract</t>
  </si>
  <si>
    <t xml:space="preserve"> Gates/Fence Suppliers/Repairs</t>
  </si>
  <si>
    <t xml:space="preserve"> Contract Staff-Maintenance</t>
  </si>
  <si>
    <t xml:space="preserve"> REN-Contingency</t>
  </si>
  <si>
    <t xml:space="preserve"> Gates/Fence Supplies/Repairs</t>
  </si>
  <si>
    <t>Class</t>
  </si>
  <si>
    <t>Code</t>
  </si>
  <si>
    <t>Carrier</t>
  </si>
  <si>
    <t>FL</t>
  </si>
  <si>
    <t>NM</t>
  </si>
  <si>
    <t>NV</t>
  </si>
  <si>
    <t>TX</t>
  </si>
  <si>
    <t>Rate</t>
  </si>
  <si>
    <t xml:space="preserve">GL </t>
  </si>
  <si>
    <t>CODE</t>
  </si>
  <si>
    <t> Computer-OpsTechnology</t>
  </si>
  <si>
    <t> Answering/Call Center</t>
  </si>
  <si>
    <t>Grace Hill</t>
  </si>
  <si>
    <t>Education</t>
  </si>
  <si>
    <t>Per Property</t>
  </si>
  <si>
    <t>QTY</t>
  </si>
  <si>
    <t>RLL</t>
  </si>
  <si>
    <t>Review Notes</t>
  </si>
  <si>
    <t>Description</t>
  </si>
  <si>
    <t>Comments</t>
  </si>
  <si>
    <t>DO NOT USE THIS LINE</t>
  </si>
  <si>
    <t>LEASING</t>
  </si>
  <si>
    <t>Community Web Sites</t>
  </si>
  <si>
    <t>LeaseStar</t>
  </si>
  <si>
    <t>Regional to Send Budget with instructions and Comments to Property</t>
  </si>
  <si>
    <t>Regional and Acctg Review notes and line item help</t>
  </si>
  <si>
    <t>Model</t>
  </si>
  <si>
    <t xml:space="preserve">1 Month Free 12-15months </t>
  </si>
  <si>
    <t>Computer-Web Services</t>
  </si>
  <si>
    <t xml:space="preserve">New for 2016 Ellipse LeasStar SEO </t>
  </si>
  <si>
    <t>Loss to Lease is created when a lease is signed for an amount different from market rent, or if market rents are changed.  The Market rent in</t>
  </si>
  <si>
    <t>OneSite should be the amount charged to recent applicants for each unit type. This formula will calculate loss to lease by estimating the</t>
  </si>
  <si>
    <t>effect of move-outs and renewals.  Enter the amount of the new new lease compared to the replaced lease.  It uses projected Expirations</t>
  </si>
  <si>
    <t>and Move-Ins to adjust the Loss to Lease.</t>
  </si>
  <si>
    <t>includes a contract plus other non contract amounts, enter the additional amount to be added to the months in yellow. The</t>
  </si>
  <si>
    <t>Account number in the Input Tab will turn blue to remind you to enter it in contracts.</t>
  </si>
  <si>
    <t>Send to Owner</t>
  </si>
  <si>
    <t>Contract Printing</t>
  </si>
  <si>
    <t>We deleted the account called Brochures</t>
  </si>
  <si>
    <t>Corporate</t>
  </si>
  <si>
    <t>Computer-Maint Calls</t>
  </si>
  <si>
    <t>SEO Ongoing Service - Advanced</t>
  </si>
  <si>
    <t>Resident Portal</t>
  </si>
  <si>
    <t>RealPage</t>
  </si>
  <si>
    <t>RealPage Payments</t>
  </si>
  <si>
    <t>enter</t>
  </si>
  <si>
    <t xml:space="preserve">as a </t>
  </si>
  <si>
    <t>positive</t>
  </si>
  <si>
    <t>Web</t>
  </si>
  <si>
    <t>For Rent.com</t>
  </si>
  <si>
    <t>Tax</t>
  </si>
  <si>
    <t>no tax</t>
  </si>
  <si>
    <t>No Tax</t>
  </si>
  <si>
    <t>MAINTSUP</t>
  </si>
  <si>
    <t>MAINTTURN</t>
  </si>
  <si>
    <t>HOUSEKEEPER</t>
  </si>
  <si>
    <t>ADT</t>
  </si>
  <si>
    <t>Cox</t>
  </si>
  <si>
    <t>Navarro</t>
  </si>
  <si>
    <t>Global Pest</t>
  </si>
  <si>
    <t>Weekly Service</t>
  </si>
  <si>
    <t>GL Account Changes for 2017</t>
  </si>
  <si>
    <t>Budget Worksheet 2017</t>
  </si>
  <si>
    <t>1. Review and establish Market Rents for each unit for 2017</t>
  </si>
  <si>
    <t>One Page Summary of 2017 Budget</t>
  </si>
  <si>
    <t>Budget for 2017 based on your assumptions in Setup and Input</t>
  </si>
  <si>
    <t>Green Cell will put the same amount in every month in Budget 2017.  Yellow Cells add to the Green Cell amounts for the</t>
  </si>
  <si>
    <t>price for 2017. In the Input tab, if the GL Account Number is shaded blue, enter the amount in the Setup Tab. If a line item</t>
  </si>
  <si>
    <t>Contact your local utility and ask them for the amount of the expected increase for 2017</t>
  </si>
  <si>
    <t>Month Ended January 2017</t>
  </si>
  <si>
    <t>Month Ended February 2017</t>
  </si>
  <si>
    <t>Month Ended March 2017</t>
  </si>
  <si>
    <t>Month Ended April 2017</t>
  </si>
  <si>
    <t>Month Ended May 2017</t>
  </si>
  <si>
    <t>Month Ended June 2017</t>
  </si>
  <si>
    <t>Month Ended July 2017</t>
  </si>
  <si>
    <t>Month Ended August 2017</t>
  </si>
  <si>
    <t>Month Ended September 2017</t>
  </si>
  <si>
    <t>Month Ended October 2017</t>
  </si>
  <si>
    <t>Month Ended November 2017</t>
  </si>
  <si>
    <t>Month Ended December 2017</t>
  </si>
  <si>
    <t xml:space="preserve">  Physical Occupancy %</t>
  </si>
  <si>
    <t xml:space="preserve">  </t>
  </si>
  <si>
    <t>411105</t>
  </si>
  <si>
    <t xml:space="preserve">    Market Rent</t>
  </si>
  <si>
    <t>411110</t>
  </si>
  <si>
    <t xml:space="preserve">    Gain (Loss) To Lease</t>
  </si>
  <si>
    <t xml:space="preserve">    Gross Potential Rent</t>
  </si>
  <si>
    <t>411240</t>
  </si>
  <si>
    <t xml:space="preserve">    Physical Vacancy Loss</t>
  </si>
  <si>
    <t xml:space="preserve">    Rental Income</t>
  </si>
  <si>
    <t>411210</t>
  </si>
  <si>
    <t xml:space="preserve">    Bad Debt - Skips and Evicts</t>
  </si>
  <si>
    <t>411215</t>
  </si>
  <si>
    <t xml:space="preserve">    Less Bad Debt Collected</t>
  </si>
  <si>
    <t>411220</t>
  </si>
  <si>
    <t xml:space="preserve">    Month To Month Fees</t>
  </si>
  <si>
    <t>411225</t>
  </si>
  <si>
    <t xml:space="preserve">    Non Revenue Units - Models</t>
  </si>
  <si>
    <t>411230</t>
  </si>
  <si>
    <t xml:space="preserve">    Concessions - MIA</t>
  </si>
  <si>
    <t>411235</t>
  </si>
  <si>
    <t>411245</t>
  </si>
  <si>
    <t xml:space="preserve">    Prepaid/(Delinquent)</t>
  </si>
  <si>
    <t xml:space="preserve">  Net Rental Income</t>
  </si>
  <si>
    <t xml:space="preserve">  Other Income</t>
  </si>
  <si>
    <t xml:space="preserve">    </t>
  </si>
  <si>
    <t xml:space="preserve">    Resident Related Income</t>
  </si>
  <si>
    <t>421105</t>
  </si>
  <si>
    <t xml:space="preserve">      Application Fees</t>
  </si>
  <si>
    <t>421107</t>
  </si>
  <si>
    <t xml:space="preserve">      Cleaning Fees</t>
  </si>
  <si>
    <t>421110</t>
  </si>
  <si>
    <t>421112</t>
  </si>
  <si>
    <t xml:space="preserve">      Damages</t>
  </si>
  <si>
    <t>421115</t>
  </si>
  <si>
    <t>421117</t>
  </si>
  <si>
    <t xml:space="preserve">      Key/Lock Change</t>
  </si>
  <si>
    <t>421120</t>
  </si>
  <si>
    <t xml:space="preserve">      Late Fees</t>
  </si>
  <si>
    <t>421125</t>
  </si>
  <si>
    <t xml:space="preserve">      NSF Charges</t>
  </si>
  <si>
    <t>421130</t>
  </si>
  <si>
    <t xml:space="preserve">      Parking/Garage Income</t>
  </si>
  <si>
    <t>421135</t>
  </si>
  <si>
    <t xml:space="preserve">      Pet Fees</t>
  </si>
  <si>
    <t>421140</t>
  </si>
  <si>
    <t xml:space="preserve">      Admin/Legal Fees</t>
  </si>
  <si>
    <t>421145</t>
  </si>
  <si>
    <t xml:space="preserve">    Ancillary Income</t>
  </si>
  <si>
    <t>421205</t>
  </si>
  <si>
    <t>421210</t>
  </si>
  <si>
    <t>421215</t>
  </si>
  <si>
    <t>421220</t>
  </si>
  <si>
    <t>421225</t>
  </si>
  <si>
    <t>421230</t>
  </si>
  <si>
    <t>421235</t>
  </si>
  <si>
    <t xml:space="preserve">      Renters Insurance Income</t>
  </si>
  <si>
    <t>421240</t>
  </si>
  <si>
    <t>421245</t>
  </si>
  <si>
    <t xml:space="preserve">      Vending Income</t>
  </si>
  <si>
    <t>421250</t>
  </si>
  <si>
    <t xml:space="preserve">      Miscellaneous Income</t>
  </si>
  <si>
    <t xml:space="preserve">    Ancillary income</t>
  </si>
  <si>
    <t xml:space="preserve">    Utility Reimbursements</t>
  </si>
  <si>
    <t>421305</t>
  </si>
  <si>
    <t xml:space="preserve">      Util Reimb - Electric</t>
  </si>
  <si>
    <t>421310</t>
  </si>
  <si>
    <t>421315</t>
  </si>
  <si>
    <t>421320</t>
  </si>
  <si>
    <t xml:space="preserve">      Util Reimb - Water</t>
  </si>
  <si>
    <t xml:space="preserve">  Total Income</t>
  </si>
  <si>
    <t xml:space="preserve">  Operating Expenses</t>
  </si>
  <si>
    <t xml:space="preserve">    Operating Expenses</t>
  </si>
  <si>
    <t xml:space="preserve">      </t>
  </si>
  <si>
    <t xml:space="preserve">      Management Fee</t>
  </si>
  <si>
    <t>511105</t>
  </si>
  <si>
    <t xml:space="preserve">        Management Fee</t>
  </si>
  <si>
    <t xml:space="preserve">      Administrative Expenses</t>
  </si>
  <si>
    <t xml:space="preserve">        </t>
  </si>
  <si>
    <t xml:space="preserve">        Leasing and Marketing</t>
  </si>
  <si>
    <t>512105</t>
  </si>
  <si>
    <t xml:space="preserve">          Advertising - Internet</t>
  </si>
  <si>
    <t>512110</t>
  </si>
  <si>
    <t xml:space="preserve">          Advertising - Print</t>
  </si>
  <si>
    <t>512115</t>
  </si>
  <si>
    <t xml:space="preserve">          Locator Commissions</t>
  </si>
  <si>
    <t>512120</t>
  </si>
  <si>
    <t xml:space="preserve">          Marketing Supplies</t>
  </si>
  <si>
    <t>512125</t>
  </si>
  <si>
    <t xml:space="preserve">          Resident Referrals</t>
  </si>
  <si>
    <t>512130</t>
  </si>
  <si>
    <t xml:space="preserve">          Shopping Reports</t>
  </si>
  <si>
    <t xml:space="preserve">        Resident Related Expenses</t>
  </si>
  <si>
    <t>512205</t>
  </si>
  <si>
    <t>512210</t>
  </si>
  <si>
    <t xml:space="preserve">          Credit Reports-Leasing Desk</t>
  </si>
  <si>
    <t>512215</t>
  </si>
  <si>
    <t xml:space="preserve">          YieldStar-Rent Optimization</t>
  </si>
  <si>
    <t>512220</t>
  </si>
  <si>
    <t xml:space="preserve">          Legal - Evictions</t>
  </si>
  <si>
    <t>512225</t>
  </si>
  <si>
    <t>512230</t>
  </si>
  <si>
    <t xml:space="preserve">        Office and Admin Expense</t>
  </si>
  <si>
    <t>512305</t>
  </si>
  <si>
    <t xml:space="preserve">          Answering Service</t>
  </si>
  <si>
    <t>512310</t>
  </si>
  <si>
    <t>512315</t>
  </si>
  <si>
    <t xml:space="preserve">          Bank Fees</t>
  </si>
  <si>
    <t>512320</t>
  </si>
  <si>
    <t xml:space="preserve">          Computer-Leasing and Rents</t>
  </si>
  <si>
    <t>512321</t>
  </si>
  <si>
    <t xml:space="preserve">          Computer-Call Center</t>
  </si>
  <si>
    <t>512322</t>
  </si>
  <si>
    <t>512330</t>
  </si>
  <si>
    <t xml:space="preserve">          Contract Printing</t>
  </si>
  <si>
    <t>512335</t>
  </si>
  <si>
    <t>512340</t>
  </si>
  <si>
    <t xml:space="preserve">          Computer-Web Services</t>
  </si>
  <si>
    <t>512345</t>
  </si>
  <si>
    <t xml:space="preserve">          Education</t>
  </si>
  <si>
    <t>512350</t>
  </si>
  <si>
    <t xml:space="preserve">          Employee Recognition</t>
  </si>
  <si>
    <t>512355</t>
  </si>
  <si>
    <t xml:space="preserve">          Office Equip Expense</t>
  </si>
  <si>
    <t>512360</t>
  </si>
  <si>
    <t>512365</t>
  </si>
  <si>
    <t xml:space="preserve">          Hospitality-Office Refreshments</t>
  </si>
  <si>
    <t>512375</t>
  </si>
  <si>
    <t>512385</t>
  </si>
  <si>
    <t>512395</t>
  </si>
  <si>
    <t>512400</t>
  </si>
  <si>
    <t>512415</t>
  </si>
  <si>
    <t xml:space="preserve">          Office Supplies</t>
  </si>
  <si>
    <t>512420</t>
  </si>
  <si>
    <t>512425</t>
  </si>
  <si>
    <t xml:space="preserve">          Renters Insurance Cost</t>
  </si>
  <si>
    <t>512430</t>
  </si>
  <si>
    <t xml:space="preserve">          Postage</t>
  </si>
  <si>
    <t>512440</t>
  </si>
  <si>
    <t xml:space="preserve">          Monitoring Contracts</t>
  </si>
  <si>
    <t>512445</t>
  </si>
  <si>
    <t xml:space="preserve">          Technology Support</t>
  </si>
  <si>
    <t>512450</t>
  </si>
  <si>
    <t xml:space="preserve">          Telephone/Internet</t>
  </si>
  <si>
    <t>512455</t>
  </si>
  <si>
    <t xml:space="preserve">          Uniforms</t>
  </si>
  <si>
    <t xml:space="preserve">        Travel</t>
  </si>
  <si>
    <t>512505</t>
  </si>
  <si>
    <t xml:space="preserve">          Travel</t>
  </si>
  <si>
    <t>512510</t>
  </si>
  <si>
    <t>512515</t>
  </si>
  <si>
    <t>512520</t>
  </si>
  <si>
    <t>512525</t>
  </si>
  <si>
    <t xml:space="preserve">          Mileage</t>
  </si>
  <si>
    <t>512530</t>
  </si>
  <si>
    <t xml:space="preserve">        Dues and Memberships</t>
  </si>
  <si>
    <t>512605</t>
  </si>
  <si>
    <t xml:space="preserve">          Dues/Memberships</t>
  </si>
  <si>
    <t>512615</t>
  </si>
  <si>
    <t xml:space="preserve">          Permits &amp; Licenses</t>
  </si>
  <si>
    <t xml:space="preserve">      Payroll and Benefits</t>
  </si>
  <si>
    <t xml:space="preserve">        Payroll</t>
  </si>
  <si>
    <t>513110</t>
  </si>
  <si>
    <t xml:space="preserve">          Salary-Manager</t>
  </si>
  <si>
    <t>513111</t>
  </si>
  <si>
    <t>513112</t>
  </si>
  <si>
    <t xml:space="preserve">          Salary-Leasing</t>
  </si>
  <si>
    <t>513115</t>
  </si>
  <si>
    <t xml:space="preserve">          Overtime-Management</t>
  </si>
  <si>
    <t>513120</t>
  </si>
  <si>
    <t xml:space="preserve">          Bonus-Management</t>
  </si>
  <si>
    <t>513126</t>
  </si>
  <si>
    <t>513130</t>
  </si>
  <si>
    <t>513135</t>
  </si>
  <si>
    <t xml:space="preserve">          Salary-Maint Supervisor</t>
  </si>
  <si>
    <t>513136</t>
  </si>
  <si>
    <t>513137</t>
  </si>
  <si>
    <t xml:space="preserve">          Salary-Maintenance</t>
  </si>
  <si>
    <t>513138</t>
  </si>
  <si>
    <t xml:space="preserve">          Salary-Grounds</t>
  </si>
  <si>
    <t>513140</t>
  </si>
  <si>
    <t xml:space="preserve">          Overtime-Maintenance</t>
  </si>
  <si>
    <t>513145</t>
  </si>
  <si>
    <t xml:space="preserve">          Bonus-Maintenance</t>
  </si>
  <si>
    <t>513155</t>
  </si>
  <si>
    <t xml:space="preserve">        Payroll Burden</t>
  </si>
  <si>
    <t>513205</t>
  </si>
  <si>
    <t>513210</t>
  </si>
  <si>
    <t xml:space="preserve">          Employee Recruitment</t>
  </si>
  <si>
    <t>513215</t>
  </si>
  <si>
    <t xml:space="preserve">          Group Insurance</t>
  </si>
  <si>
    <t>513220</t>
  </si>
  <si>
    <t>513225</t>
  </si>
  <si>
    <t xml:space="preserve">          Payroll Processing</t>
  </si>
  <si>
    <t>513230</t>
  </si>
  <si>
    <t xml:space="preserve">          FICA</t>
  </si>
  <si>
    <t>513231</t>
  </si>
  <si>
    <t xml:space="preserve">          FUTA</t>
  </si>
  <si>
    <t>513232</t>
  </si>
  <si>
    <t xml:space="preserve">          SUTA</t>
  </si>
  <si>
    <t>513235</t>
  </si>
  <si>
    <t xml:space="preserve">          State Payroll Taxes</t>
  </si>
  <si>
    <t>513240</t>
  </si>
  <si>
    <t xml:space="preserve">          Worker's Comp Insurance</t>
  </si>
  <si>
    <t xml:space="preserve">      Maintenance Expenses</t>
  </si>
  <si>
    <t xml:space="preserve">        Apartment Turnover Costs</t>
  </si>
  <si>
    <t>514105</t>
  </si>
  <si>
    <t xml:space="preserve">          Apt/Interior Supplies</t>
  </si>
  <si>
    <t>514115</t>
  </si>
  <si>
    <t xml:space="preserve">          Carpet Cleaning/Repair</t>
  </si>
  <si>
    <t>514120</t>
  </si>
  <si>
    <t xml:space="preserve">          Electrical Supplies-Apts</t>
  </si>
  <si>
    <t>514130</t>
  </si>
  <si>
    <t>514135</t>
  </si>
  <si>
    <t xml:space="preserve">          Resurfacing (Interior)</t>
  </si>
  <si>
    <t>514140</t>
  </si>
  <si>
    <t>514145</t>
  </si>
  <si>
    <t xml:space="preserve">          Paint Supplies-Apts</t>
  </si>
  <si>
    <t>514150</t>
  </si>
  <si>
    <t xml:space="preserve">          Plumbing/Electrical Repairs</t>
  </si>
  <si>
    <t>514155</t>
  </si>
  <si>
    <t xml:space="preserve">          Plumbing Supplies-Apts</t>
  </si>
  <si>
    <t>514160</t>
  </si>
  <si>
    <t xml:space="preserve">          Blind/Window Parts and Repairs</t>
  </si>
  <si>
    <t xml:space="preserve">        Common Area Repairs</t>
  </si>
  <si>
    <t>514210</t>
  </si>
  <si>
    <t>514220</t>
  </si>
  <si>
    <t xml:space="preserve">          Gates/Fence Supplies/Repairs</t>
  </si>
  <si>
    <t>514225</t>
  </si>
  <si>
    <t>514230</t>
  </si>
  <si>
    <t xml:space="preserve">          Fire Safety</t>
  </si>
  <si>
    <t>514240</t>
  </si>
  <si>
    <t>514245</t>
  </si>
  <si>
    <t xml:space="preserve">          Parking Lot/Garage Maintenance</t>
  </si>
  <si>
    <t>514247</t>
  </si>
  <si>
    <t>514248</t>
  </si>
  <si>
    <t xml:space="preserve">          Pool Supplies/Repairs</t>
  </si>
  <si>
    <t>514250</t>
  </si>
  <si>
    <t xml:space="preserve">          Recreation/Fitness Room</t>
  </si>
  <si>
    <t>514255</t>
  </si>
  <si>
    <t>514260</t>
  </si>
  <si>
    <t xml:space="preserve">          Signage/Land Leases</t>
  </si>
  <si>
    <t>514265</t>
  </si>
  <si>
    <t xml:space="preserve">          Sprinkler Repair</t>
  </si>
  <si>
    <t>514267</t>
  </si>
  <si>
    <t>514270</t>
  </si>
  <si>
    <t xml:space="preserve">        Grounds Maintenance</t>
  </si>
  <si>
    <t>514405</t>
  </si>
  <si>
    <t xml:space="preserve">          Grounds Supplies</t>
  </si>
  <si>
    <t>514407</t>
  </si>
  <si>
    <t>514410</t>
  </si>
  <si>
    <t xml:space="preserve">          Seasonal Landscaping</t>
  </si>
  <si>
    <t>514415</t>
  </si>
  <si>
    <t xml:space="preserve">        General Maintenance</t>
  </si>
  <si>
    <t>514305</t>
  </si>
  <si>
    <t xml:space="preserve">          Appliance Parts/Repairs</t>
  </si>
  <si>
    <t>514310</t>
  </si>
  <si>
    <t xml:space="preserve">          Auto/Golf Cart Expense</t>
  </si>
  <si>
    <t>514315</t>
  </si>
  <si>
    <t>514320</t>
  </si>
  <si>
    <t xml:space="preserve">          Building Exteriors</t>
  </si>
  <si>
    <t>514322</t>
  </si>
  <si>
    <t xml:space="preserve">          Carpet - Water Extraction</t>
  </si>
  <si>
    <t>514325</t>
  </si>
  <si>
    <t xml:space="preserve">          Ceiling Fans</t>
  </si>
  <si>
    <t>514335</t>
  </si>
  <si>
    <t>514345</t>
  </si>
  <si>
    <t>514350</t>
  </si>
  <si>
    <t>514352</t>
  </si>
  <si>
    <t xml:space="preserve">          Doors Keys Locks</t>
  </si>
  <si>
    <t>514355</t>
  </si>
  <si>
    <t xml:space="preserve">          Glass And Mirror</t>
  </si>
  <si>
    <t>514360</t>
  </si>
  <si>
    <t xml:space="preserve">          HVAC Supplies/Repairs</t>
  </si>
  <si>
    <t>514365</t>
  </si>
  <si>
    <t xml:space="preserve">          Janitorial Supplies</t>
  </si>
  <si>
    <t>514382</t>
  </si>
  <si>
    <t xml:space="preserve">          Utility Line Maint &amp; Repair</t>
  </si>
  <si>
    <t>514390</t>
  </si>
  <si>
    <t xml:space="preserve">          Tools</t>
  </si>
  <si>
    <t>514395</t>
  </si>
  <si>
    <t xml:space="preserve">          Window/Door Screen Replacement</t>
  </si>
  <si>
    <t xml:space="preserve">        Contract Services</t>
  </si>
  <si>
    <t>514505</t>
  </si>
  <si>
    <t>514525</t>
  </si>
  <si>
    <t xml:space="preserve">          Lawn Maintenance</t>
  </si>
  <si>
    <t>514530</t>
  </si>
  <si>
    <t xml:space="preserve">          Pest Control</t>
  </si>
  <si>
    <t>514535</t>
  </si>
  <si>
    <t>514545</t>
  </si>
  <si>
    <t>514550</t>
  </si>
  <si>
    <t xml:space="preserve">          Trash Removal</t>
  </si>
  <si>
    <t>514560</t>
  </si>
  <si>
    <t xml:space="preserve">      Utilities</t>
  </si>
  <si>
    <t>515105</t>
  </si>
  <si>
    <t xml:space="preserve">        Electric - Common Area</t>
  </si>
  <si>
    <t>515115</t>
  </si>
  <si>
    <t xml:space="preserve">        Electric - Common Model</t>
  </si>
  <si>
    <t>515120</t>
  </si>
  <si>
    <t>515125</t>
  </si>
  <si>
    <t xml:space="preserve">        Electric - Vacants</t>
  </si>
  <si>
    <t>515135</t>
  </si>
  <si>
    <t xml:space="preserve">        Gas</t>
  </si>
  <si>
    <t>515145</t>
  </si>
  <si>
    <t xml:space="preserve">        Utility Administrative</t>
  </si>
  <si>
    <t>515150</t>
  </si>
  <si>
    <t xml:space="preserve">        Water</t>
  </si>
  <si>
    <t>515155</t>
  </si>
  <si>
    <t xml:space="preserve">        Sewer</t>
  </si>
  <si>
    <t xml:space="preserve">    Taxes and Insurance</t>
  </si>
  <si>
    <t xml:space="preserve">      Taxes</t>
  </si>
  <si>
    <t>621105</t>
  </si>
  <si>
    <t>621110</t>
  </si>
  <si>
    <t>621115</t>
  </si>
  <si>
    <t xml:space="preserve">        Personal Property Taxes</t>
  </si>
  <si>
    <t>621120</t>
  </si>
  <si>
    <t xml:space="preserve">        Real Estate Taxes</t>
  </si>
  <si>
    <t>621125</t>
  </si>
  <si>
    <t xml:space="preserve">      Insurance</t>
  </si>
  <si>
    <t>711100</t>
  </si>
  <si>
    <t xml:space="preserve">        Insurance Expense</t>
  </si>
  <si>
    <t>711105</t>
  </si>
  <si>
    <t>711135</t>
  </si>
  <si>
    <t xml:space="preserve">  Total Expenses</t>
  </si>
  <si>
    <t xml:space="preserve">  Net Operating Income</t>
  </si>
  <si>
    <t xml:space="preserve">  Capital Improvements</t>
  </si>
  <si>
    <t>800110</t>
  </si>
  <si>
    <t xml:space="preserve">    CAPX-Carpet/Vinyl</t>
  </si>
  <si>
    <t>800115</t>
  </si>
  <si>
    <t xml:space="preserve">    CAPX-Drapes/Blinds</t>
  </si>
  <si>
    <t>800120</t>
  </si>
  <si>
    <t xml:space="preserve">    CAPX-HVAC</t>
  </si>
  <si>
    <t>800125</t>
  </si>
  <si>
    <t xml:space="preserve">    CAPX-Electrical/Plumbing</t>
  </si>
  <si>
    <t>800130</t>
  </si>
  <si>
    <t xml:space="preserve">    CAPX-Parking Lots/Gates</t>
  </si>
  <si>
    <t>800135</t>
  </si>
  <si>
    <t xml:space="preserve">    CAPX-Appliances</t>
  </si>
  <si>
    <t>800140</t>
  </si>
  <si>
    <t xml:space="preserve">    CAPX-Stairs/Balconies</t>
  </si>
  <si>
    <t>800145</t>
  </si>
  <si>
    <t xml:space="preserve">    CAPX-Pool</t>
  </si>
  <si>
    <t>800150</t>
  </si>
  <si>
    <t xml:space="preserve">    CAPX- Interior</t>
  </si>
  <si>
    <t>800155</t>
  </si>
  <si>
    <t xml:space="preserve">    CAPX- Exterior</t>
  </si>
  <si>
    <t>800160</t>
  </si>
  <si>
    <t xml:space="preserve">    CAPX-Landscaping</t>
  </si>
  <si>
    <t>800165</t>
  </si>
  <si>
    <t xml:space="preserve">    CAPX-Furn/Fixt/Equip</t>
  </si>
  <si>
    <t>800170</t>
  </si>
  <si>
    <t>800175</t>
  </si>
  <si>
    <t xml:space="preserve">    CAPX-Roofs</t>
  </si>
  <si>
    <t>800180</t>
  </si>
  <si>
    <t>800185</t>
  </si>
  <si>
    <t xml:space="preserve">  Total Capital</t>
  </si>
  <si>
    <t xml:space="preserve">  Non-Recurring Costs</t>
  </si>
  <si>
    <t>911105</t>
  </si>
  <si>
    <t>911110</t>
  </si>
  <si>
    <t>912145</t>
  </si>
  <si>
    <t>912162</t>
  </si>
  <si>
    <t>913105</t>
  </si>
  <si>
    <t xml:space="preserve">    Insurance Claims</t>
  </si>
  <si>
    <t>913110</t>
  </si>
  <si>
    <t xml:space="preserve">    Insurance Proceeds</t>
  </si>
  <si>
    <t xml:space="preserve">  Total Non-Recurring Costs</t>
  </si>
  <si>
    <t xml:space="preserve">  Cash Flow Before Debt Service</t>
  </si>
  <si>
    <t xml:space="preserve">  Debt Service</t>
  </si>
  <si>
    <t>811105</t>
  </si>
  <si>
    <t xml:space="preserve">    Mortgage Interest - Note A</t>
  </si>
  <si>
    <t>811110</t>
  </si>
  <si>
    <t xml:space="preserve">    Mortgage Interest - Note B</t>
  </si>
  <si>
    <t>811115</t>
  </si>
  <si>
    <t>811116</t>
  </si>
  <si>
    <t xml:space="preserve">  Total Debt Service</t>
  </si>
  <si>
    <t xml:space="preserve">  Net Cash Flow</t>
  </si>
  <si>
    <t xml:space="preserve">  Depreciation and Amortization</t>
  </si>
  <si>
    <t>914105</t>
  </si>
  <si>
    <t xml:space="preserve">    Depreciation -Buildings</t>
  </si>
  <si>
    <t>914120</t>
  </si>
  <si>
    <t xml:space="preserve">    Amortization Expense</t>
  </si>
  <si>
    <t xml:space="preserve">  Total Depr and Amort</t>
  </si>
  <si>
    <t>921105</t>
  </si>
  <si>
    <t>921110</t>
  </si>
  <si>
    <t>921115</t>
  </si>
  <si>
    <t>921140</t>
  </si>
  <si>
    <t>921145</t>
  </si>
  <si>
    <t>921150</t>
  </si>
  <si>
    <t>921155</t>
  </si>
  <si>
    <t>921160</t>
  </si>
  <si>
    <t>921165</t>
  </si>
  <si>
    <t xml:space="preserve">  Net Income</t>
  </si>
  <si>
    <t xml:space="preserve">  Renovation</t>
  </si>
  <si>
    <t>141105</t>
  </si>
  <si>
    <t>141110</t>
  </si>
  <si>
    <t>141115</t>
  </si>
  <si>
    <t>141120</t>
  </si>
  <si>
    <t xml:space="preserve">    REN-Equipment - Office</t>
  </si>
  <si>
    <t>141125</t>
  </si>
  <si>
    <t xml:space="preserve">    REN-Furniture - Office</t>
  </si>
  <si>
    <t>141130</t>
  </si>
  <si>
    <t>141135</t>
  </si>
  <si>
    <t>141140</t>
  </si>
  <si>
    <t>141145</t>
  </si>
  <si>
    <t>141150</t>
  </si>
  <si>
    <t>141155</t>
  </si>
  <si>
    <t>141160</t>
  </si>
  <si>
    <t>141165</t>
  </si>
  <si>
    <t>141170</t>
  </si>
  <si>
    <t>141175</t>
  </si>
  <si>
    <t>141180</t>
  </si>
  <si>
    <t>141185</t>
  </si>
  <si>
    <t>141190</t>
  </si>
  <si>
    <t>141195</t>
  </si>
  <si>
    <t>141200</t>
  </si>
  <si>
    <t>141205</t>
  </si>
  <si>
    <t>141210</t>
  </si>
  <si>
    <t>141215</t>
  </si>
  <si>
    <t>141220</t>
  </si>
  <si>
    <t>141225</t>
  </si>
  <si>
    <t>141230</t>
  </si>
  <si>
    <t>141235</t>
  </si>
  <si>
    <t>141240</t>
  </si>
  <si>
    <t>141245</t>
  </si>
  <si>
    <t>141250</t>
  </si>
  <si>
    <t xml:space="preserve">    REN-Carpet &amp; Tile</t>
  </si>
  <si>
    <t>141255</t>
  </si>
  <si>
    <t>141260</t>
  </si>
  <si>
    <t xml:space="preserve">    REN-Refrigerators</t>
  </si>
  <si>
    <t>141265</t>
  </si>
  <si>
    <t xml:space="preserve">    REN-Dishwashers</t>
  </si>
  <si>
    <t>141270</t>
  </si>
  <si>
    <t>141275</t>
  </si>
  <si>
    <t>141280</t>
  </si>
  <si>
    <t>141285</t>
  </si>
  <si>
    <t xml:space="preserve">    REN-Window Coverings</t>
  </si>
  <si>
    <t>141290</t>
  </si>
  <si>
    <t>141295</t>
  </si>
  <si>
    <t>141300</t>
  </si>
  <si>
    <t>141305</t>
  </si>
  <si>
    <t>141310</t>
  </si>
  <si>
    <t xml:space="preserve">    REN-Interior Upgrades</t>
  </si>
  <si>
    <t>141315</t>
  </si>
  <si>
    <t>141320</t>
  </si>
  <si>
    <t xml:space="preserve">    REN-Cabinet Work</t>
  </si>
  <si>
    <t>141325</t>
  </si>
  <si>
    <t>141330</t>
  </si>
  <si>
    <t>141335</t>
  </si>
  <si>
    <t>141340</t>
  </si>
  <si>
    <t>141345</t>
  </si>
  <si>
    <t>141350</t>
  </si>
  <si>
    <t>141355</t>
  </si>
  <si>
    <t>141360</t>
  </si>
  <si>
    <t>141365</t>
  </si>
  <si>
    <t>141370</t>
  </si>
  <si>
    <t>141375</t>
  </si>
  <si>
    <t>141380</t>
  </si>
  <si>
    <t>141385</t>
  </si>
  <si>
    <t>141390</t>
  </si>
  <si>
    <t>141395</t>
  </si>
  <si>
    <t xml:space="preserve">    REN-Consulting/Supervision Fees</t>
  </si>
  <si>
    <t>141400</t>
  </si>
  <si>
    <t>141405</t>
  </si>
  <si>
    <t>141410</t>
  </si>
  <si>
    <t>141415</t>
  </si>
  <si>
    <t>141420</t>
  </si>
  <si>
    <t>141425</t>
  </si>
  <si>
    <t>141430</t>
  </si>
  <si>
    <t xml:space="preserve">    REN-Miscellaneous</t>
  </si>
  <si>
    <t>141435</t>
  </si>
  <si>
    <t xml:space="preserve">  Escrow Funds</t>
  </si>
  <si>
    <t>111305</t>
  </si>
  <si>
    <t xml:space="preserve">    Replacement Reserve Escrow</t>
  </si>
  <si>
    <t>111306</t>
  </si>
  <si>
    <t>111310</t>
  </si>
  <si>
    <t xml:space="preserve">    Tax Escrow</t>
  </si>
  <si>
    <t>111315</t>
  </si>
  <si>
    <t xml:space="preserve">    Insurance Escrow</t>
  </si>
  <si>
    <t>111320</t>
  </si>
  <si>
    <t>111325</t>
  </si>
  <si>
    <t>111330</t>
  </si>
  <si>
    <t>111335</t>
  </si>
  <si>
    <t xml:space="preserve">  Mortgage Payable</t>
  </si>
  <si>
    <t>241105</t>
  </si>
  <si>
    <t xml:space="preserve">    Mortgage Payable - 1st</t>
  </si>
  <si>
    <t>241110</t>
  </si>
  <si>
    <t xml:space="preserve">    Principal Reduction - 1st</t>
  </si>
  <si>
    <t>241115</t>
  </si>
  <si>
    <t>241120</t>
  </si>
  <si>
    <t xml:space="preserve">    Mortgage Payable - 2nd</t>
  </si>
  <si>
    <t>241125</t>
  </si>
  <si>
    <t>241130</t>
  </si>
  <si>
    <t>241135</t>
  </si>
  <si>
    <t>241140</t>
  </si>
  <si>
    <t>241145</t>
  </si>
  <si>
    <t>241150</t>
  </si>
  <si>
    <t>241155</t>
  </si>
  <si>
    <t>241160</t>
  </si>
  <si>
    <t>242725</t>
  </si>
  <si>
    <t>242726</t>
  </si>
  <si>
    <t xml:space="preserve">  Total Mortgage Payable</t>
  </si>
  <si>
    <t>Prepared by WestCorp Mangement Group</t>
  </si>
  <si>
    <t>Extract History 2015 2016 Lease Expiration Detail, Unit Mix</t>
  </si>
  <si>
    <t xml:space="preserve"> Professional Fees - Legal/Acctg</t>
  </si>
  <si>
    <t xml:space="preserve"> Computer-Web Services</t>
  </si>
  <si>
    <t xml:space="preserve"> Water Chiller Maintenance</t>
  </si>
  <si>
    <t xml:space="preserve"> Mortgage Insurance Premium</t>
  </si>
  <si>
    <t xml:space="preserve"> CAPX-Consulting</t>
  </si>
  <si>
    <t xml:space="preserve"> CAPX-Renovation</t>
  </si>
  <si>
    <t xml:space="preserve"> Water Chiller Service</t>
  </si>
  <si>
    <t>TN</t>
  </si>
  <si>
    <t>ICW Group</t>
  </si>
  <si>
    <t>Work Comp Rates as of 8/1/2016</t>
  </si>
  <si>
    <t>Created on: 08/01/2016 12:29 PM</t>
  </si>
  <si>
    <t>Created on: 08/01/2016 12:58 PM</t>
  </si>
  <si>
    <t>KS</t>
  </si>
  <si>
    <t>2016 IREM Expense Survey Las Vegas NV Garden Style Apts</t>
  </si>
  <si>
    <t>Budget 2017</t>
  </si>
  <si>
    <t>Rentpath</t>
  </si>
  <si>
    <t>Apartments.com Network</t>
  </si>
  <si>
    <t>Google</t>
  </si>
  <si>
    <t>Yelp</t>
  </si>
  <si>
    <t>Zillow</t>
  </si>
  <si>
    <t xml:space="preserve">Facebook </t>
  </si>
  <si>
    <t>Geotargeting</t>
  </si>
  <si>
    <t>Onsite</t>
  </si>
  <si>
    <t>Entrata</t>
  </si>
  <si>
    <t>LeaseLabs</t>
  </si>
  <si>
    <t>Concierge Services</t>
  </si>
  <si>
    <t>Finch</t>
  </si>
  <si>
    <t>Package Lockers</t>
  </si>
  <si>
    <t>GROUNDSKEEPER</t>
  </si>
  <si>
    <t>Emily McCann</t>
  </si>
  <si>
    <t>Review marketing budgets</t>
  </si>
  <si>
    <t>Review and Approve initial completed Budget</t>
  </si>
  <si>
    <t>Dashboard</t>
  </si>
  <si>
    <t>Manager</t>
  </si>
  <si>
    <t>Regional</t>
  </si>
  <si>
    <t>VP Operations</t>
  </si>
  <si>
    <t>CFO</t>
  </si>
  <si>
    <t>VP Marketing</t>
  </si>
  <si>
    <t>Enter Debt Service/Taxes/Insurance, and check contracts; Final review</t>
  </si>
  <si>
    <t xml:space="preserve"> Computer-Web Sites</t>
  </si>
  <si>
    <r>
      <t> Salary-Grounds</t>
    </r>
    <r>
      <rPr>
        <sz val="8"/>
        <color indexed="8"/>
        <rFont val="Verdana"/>
        <family val="2"/>
      </rPr>
      <t>/Housekeeping</t>
    </r>
  </si>
  <si>
    <t xml:space="preserve"> Monitoring Contract</t>
  </si>
  <si>
    <t> Contract Printing</t>
  </si>
  <si>
    <t>Budget 2016</t>
  </si>
  <si>
    <t>HR</t>
  </si>
  <si>
    <t>Version 7.1</t>
  </si>
  <si>
    <t>Manger</t>
  </si>
  <si>
    <t>Leasing</t>
  </si>
  <si>
    <t>Maintenance</t>
  </si>
  <si>
    <t>Turns</t>
  </si>
  <si>
    <t>Grounds</t>
  </si>
  <si>
    <t>Housekeeping</t>
  </si>
  <si>
    <t>Formula - Do not enter or overwrite</t>
  </si>
  <si>
    <t>2016 Actuals through Sep 2016, and 2016 Budget for Oct Nov Dec</t>
  </si>
  <si>
    <t>Actuals for 2015</t>
  </si>
  <si>
    <t>+ Amenity</t>
  </si>
  <si>
    <t>Floor Plan Group</t>
  </si>
  <si>
    <t>Total Concessions</t>
  </si>
  <si>
    <t>Move Outs</t>
  </si>
  <si>
    <t>Describe Your Concessions Offered</t>
  </si>
  <si>
    <t>Lease Expirations 2015</t>
  </si>
  <si>
    <t>Lease Expirations 2016</t>
  </si>
  <si>
    <t>Lease Expirations 2017</t>
  </si>
  <si>
    <t>Lease Expiration Bar Graph</t>
  </si>
  <si>
    <t>Last 12 Mo</t>
  </si>
  <si>
    <t>SOFTWARE</t>
  </si>
  <si>
    <t>Fixed Costs under Contract</t>
  </si>
  <si>
    <t>Description/Comments</t>
  </si>
  <si>
    <t>Enter Budget for Oct Nov Dec 2016</t>
  </si>
  <si>
    <t>Run the Lease Expiration Bar Graph with these parameters</t>
  </si>
  <si>
    <t xml:space="preserve">Regional should enter the Percentage expiring by month in Setup&gt; Leasing and Rents&gt; Lease Expiration </t>
  </si>
  <si>
    <t xml:space="preserve"> Computer-Active Building</t>
  </si>
  <si>
    <t>512323</t>
  </si>
  <si>
    <t xml:space="preserve"> 28,200 x Rate 2.1% for NV</t>
  </si>
  <si>
    <t xml:space="preserve"> 7.65% of all wages up to 118,500</t>
  </si>
  <si>
    <t xml:space="preserve"> .6% up to 7,000 in wages</t>
  </si>
  <si>
    <t>Budget Master</t>
  </si>
  <si>
    <t>Active Building</t>
  </si>
  <si>
    <t>LeaseStar Syndication</t>
  </si>
  <si>
    <t>Contact Center Answer Automation</t>
  </si>
  <si>
    <t>Prestige</t>
  </si>
  <si>
    <t>Contact Center Missed Leasing Calls</t>
  </si>
  <si>
    <t>OneSite Enterprise Suite-Conventional</t>
  </si>
  <si>
    <t>Facilities Plus</t>
  </si>
  <si>
    <t>Pricing and Availibility</t>
  </si>
  <si>
    <t>Online Renewals</t>
  </si>
  <si>
    <t>Online Leasing/eSignature</t>
  </si>
  <si>
    <t>ODE-Blue Moon</t>
  </si>
  <si>
    <t>OneSite Document Management</t>
  </si>
  <si>
    <t>SDE-BlueMoon Export</t>
  </si>
  <si>
    <t>SDE-Collections</t>
  </si>
  <si>
    <t>SDE-NWP</t>
  </si>
  <si>
    <t>LeasingDesk Screening Enterprise</t>
  </si>
  <si>
    <t>Contact Center Each Additional Toll-Free Tracking Number</t>
  </si>
  <si>
    <t>Per Number</t>
  </si>
  <si>
    <t>LeaseStar Check Availibility</t>
  </si>
  <si>
    <t>Community Web Sites with Mobile</t>
  </si>
  <si>
    <t>LeaseStar Lead 2 Lease Lead Management System</t>
  </si>
  <si>
    <t>SEO Ongoing Service - Standard</t>
  </si>
  <si>
    <t>LeaseStar Smart Leasing Tablet</t>
  </si>
  <si>
    <t>LeaseStar Classified Service</t>
  </si>
  <si>
    <t>LeaseStar Social Surveys</t>
  </si>
  <si>
    <t>OpsEnterprise</t>
  </si>
  <si>
    <t>OpsInvoice</t>
  </si>
  <si>
    <t>OpsInvoice Invoice Processing Fees</t>
  </si>
  <si>
    <t>Per Invoice</t>
  </si>
  <si>
    <t>Contact Center Line Rollover with Voice Mail</t>
  </si>
  <si>
    <t>Contact Center Missed Maintenace Calls</t>
  </si>
  <si>
    <t>Contact Center Missed Leasing Calls and All Emails Variable Pricing</t>
  </si>
  <si>
    <t>RealPage Accounting</t>
  </si>
  <si>
    <t>Per Screen</t>
  </si>
  <si>
    <t>Pricing and Availibility Web Service</t>
  </si>
  <si>
    <t>SDE-Standard Resident Utility Billing</t>
  </si>
  <si>
    <t>Budget Training Session with Regionals and Managers</t>
  </si>
  <si>
    <t>WC-PropName</t>
  </si>
  <si>
    <t>LeaseStar Social Referrals</t>
  </si>
  <si>
    <t>1X1A</t>
  </si>
  <si>
    <t>1X1B</t>
  </si>
  <si>
    <t>2X2C</t>
  </si>
  <si>
    <t>2X2D</t>
  </si>
  <si>
    <t>3X2E</t>
  </si>
  <si>
    <t>1x1</t>
  </si>
  <si>
    <t>2x2</t>
  </si>
  <si>
    <t>3x2</t>
  </si>
  <si>
    <t>Ascent Digital Mktg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</si>
</sst>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/d/yy;@"/>
    <numFmt numFmtId="167" formatCode="0.000%"/>
    <numFmt numFmtId="168" formatCode="_(&quot;$&quot;* #,##0_);_(&quot;$&quot;* \(#,##0\);_(&quot;$&quot;* &quot;-&quot;??_);_(@_)"/>
    <numFmt numFmtId="169" formatCode="0.000"/>
    <numFmt numFmtId="170" formatCode="0.0"/>
    <numFmt numFmtId="171" formatCode="mm/dd/yy;@"/>
    <numFmt numFmtId="172" formatCode="mmm\ yyyy"/>
    <numFmt numFmtId="173" formatCode="m/d/yyyy;@"/>
    <numFmt numFmtId="174" formatCode="0_);\(0\)"/>
    <numFmt numFmtId="175" formatCode="mmm"/>
    <numFmt numFmtId="176" formatCode="\+0;\-0"/>
    <numFmt numFmtId="177" formatCode="_(* #,##0_);_(* \(#,##0\);_(* \-??_);_(@_)"/>
    <numFmt numFmtId="178" formatCode="0.00_);\(0.00\)"/>
    <numFmt numFmtId="179" formatCode="_(* #,##0.00_);_(* \(#,##0.00\);_(* \-??_);_(@_)"/>
    <numFmt numFmtId="180" formatCode="#,##0.0\ %;\(#,##0.0\)\ %"/>
    <numFmt numFmtId="181" formatCode="#,##0;\(#,##0\)"/>
    <numFmt numFmtId="182" formatCode="0.0000"/>
  </numFmts>
  <fonts count="7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8"/>
      <name val="Arial"/>
      <family val="2"/>
    </font>
    <font>
      <b/>
      <sz val="11"/>
      <color indexed="8"/>
      <name val="Verdana"/>
      <family val="2"/>
    </font>
    <font>
      <sz val="8"/>
      <color indexed="56"/>
      <name val="Verdana"/>
      <family val="2"/>
    </font>
    <font>
      <b/>
      <sz val="8"/>
      <color indexed="8"/>
      <name val="Calibri"/>
      <family val="2"/>
    </font>
    <font>
      <sz val="8"/>
      <color indexed="18"/>
      <name val="Calibri"/>
      <family val="2"/>
    </font>
    <font>
      <sz val="8"/>
      <color indexed="18"/>
      <name val="Verdana"/>
      <family val="2"/>
    </font>
    <font>
      <b/>
      <sz val="8"/>
      <color indexed="9"/>
      <name val="Arial"/>
      <family val="2"/>
    </font>
    <font>
      <sz val="8"/>
      <name val="Calibri"/>
      <family val="2"/>
    </font>
    <font>
      <b/>
      <sz val="11"/>
      <color indexed="60"/>
      <name val="Calibri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30"/>
      <name val="Calibri"/>
      <family val="2"/>
    </font>
    <font>
      <sz val="10"/>
      <color indexed="16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0"/>
      <color indexed="56"/>
      <name val="Calibri"/>
      <family val="2"/>
    </font>
    <font>
      <sz val="8"/>
      <color indexed="18"/>
      <name val="Verdana"/>
      <family val="2"/>
    </font>
    <font>
      <b/>
      <sz val="8"/>
      <color indexed="8"/>
      <name val="Arial"/>
      <family val="2"/>
    </font>
    <font>
      <b/>
      <sz val="10"/>
      <color indexed="30"/>
      <name val="Calibri"/>
      <family val="2"/>
    </font>
    <font>
      <sz val="11"/>
      <color indexed="30"/>
      <name val="Calibri"/>
      <family val="2"/>
    </font>
    <font>
      <i/>
      <sz val="8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b/>
      <sz val="8"/>
      <color indexed="43"/>
      <name val="Arial"/>
      <family val="2"/>
    </font>
    <font>
      <u/>
      <sz val="11"/>
      <color theme="10"/>
      <name val="Calibri"/>
      <family val="2"/>
    </font>
    <font>
      <sz val="10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FFFF99"/>
      <name val="Arial"/>
      <family val="2"/>
    </font>
    <font>
      <sz val="10"/>
      <color theme="1"/>
      <name val="Calibri"/>
      <family val="2"/>
      <scheme val="minor"/>
    </font>
    <font>
      <sz val="10"/>
      <color indexed="56"/>
      <name val="Calibri"/>
      <family val="2"/>
      <scheme val="minor"/>
    </font>
    <font>
      <sz val="10"/>
      <color indexed="8"/>
      <name val="Arial"/>
      <family val="2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0000"/>
      <name val="Verdana"/>
      <family val="2"/>
    </font>
    <font>
      <sz val="16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  <font>
      <b/>
      <sz val="8"/>
      <color theme="0"/>
      <name val="Arial"/>
      <family val="2"/>
    </font>
    <font>
      <sz val="8"/>
      <name val="Helvetica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</font>
    <font>
      <b/>
      <sz val="16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6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 style="medium">
        <color auto="1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n">
        <color auto="1"/>
      </bottom>
      <diagonal/>
    </border>
  </borders>
  <cellStyleXfs count="4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64" fillId="0" borderId="0"/>
    <xf numFmtId="9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7">
    <xf numFmtId="0" fontId="0" fillId="0" borderId="0" xfId="0"/>
    <xf numFmtId="0" fontId="7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10" fillId="0" borderId="0" xfId="0" applyFont="1" applyAlignment="1">
      <alignment horizontal="left"/>
    </xf>
    <xf numFmtId="3" fontId="10" fillId="0" borderId="0" xfId="1" applyNumberFormat="1" applyFont="1" applyFill="1" applyAlignment="1">
      <alignment horizontal="right"/>
    </xf>
    <xf numFmtId="3" fontId="6" fillId="0" borderId="0" xfId="1" applyNumberFormat="1" applyFont="1" applyAlignment="1">
      <alignment horizontal="right"/>
    </xf>
    <xf numFmtId="43" fontId="6" fillId="0" borderId="0" xfId="1" applyFont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/>
    </xf>
    <xf numFmtId="43" fontId="14" fillId="0" borderId="0" xfId="1" applyFont="1" applyFill="1" applyAlignment="1">
      <alignment horizontal="left"/>
    </xf>
    <xf numFmtId="3" fontId="15" fillId="0" borderId="0" xfId="0" applyNumberFormat="1" applyFont="1" applyFill="1" applyAlignment="1">
      <alignment horizontal="right"/>
    </xf>
    <xf numFmtId="43" fontId="15" fillId="0" borderId="0" xfId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0" fontId="17" fillId="0" borderId="1" xfId="0" applyFont="1" applyFill="1" applyBorder="1" applyAlignment="1">
      <alignment horizontal="left" vertical="center"/>
    </xf>
    <xf numFmtId="0" fontId="8" fillId="0" borderId="0" xfId="0" applyFont="1"/>
    <xf numFmtId="3" fontId="0" fillId="0" borderId="0" xfId="0" applyNumberFormat="1" applyBorder="1"/>
    <xf numFmtId="0" fontId="0" fillId="0" borderId="0" xfId="0" applyAlignment="1"/>
    <xf numFmtId="0" fontId="11" fillId="0" borderId="0" xfId="0" applyFont="1" applyFill="1" applyBorder="1" applyAlignment="1">
      <alignment horizontal="left" vertical="center"/>
    </xf>
    <xf numFmtId="0" fontId="3" fillId="0" borderId="0" xfId="3" applyFont="1" applyAlignment="1" applyProtection="1"/>
    <xf numFmtId="0" fontId="0" fillId="0" borderId="2" xfId="0" applyBorder="1" applyAlignment="1">
      <alignment horizontal="center"/>
    </xf>
    <xf numFmtId="0" fontId="0" fillId="0" borderId="2" xfId="0" applyBorder="1"/>
    <xf numFmtId="3" fontId="13" fillId="3" borderId="0" xfId="1" applyNumberFormat="1" applyFont="1" applyFill="1" applyAlignment="1" applyProtection="1">
      <alignment horizontal="right"/>
      <protection locked="0"/>
    </xf>
    <xf numFmtId="10" fontId="13" fillId="3" borderId="0" xfId="4" applyNumberFormat="1" applyFont="1" applyFill="1" applyAlignment="1" applyProtection="1">
      <alignment horizontal="right"/>
      <protection locked="0"/>
    </xf>
    <xf numFmtId="0" fontId="0" fillId="0" borderId="0" xfId="0" quotePrefix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0" fontId="22" fillId="2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43" fontId="11" fillId="3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165" fontId="11" fillId="3" borderId="1" xfId="4" applyNumberFormat="1" applyFont="1" applyFill="1" applyBorder="1" applyAlignment="1">
      <alignment horizontal="right" vertical="center"/>
    </xf>
    <xf numFmtId="0" fontId="11" fillId="3" borderId="1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1" fillId="3" borderId="1" xfId="1" applyNumberFormat="1" applyFont="1" applyFill="1" applyBorder="1" applyAlignment="1">
      <alignment horizontal="right" vertical="center"/>
    </xf>
    <xf numFmtId="14" fontId="11" fillId="3" borderId="1" xfId="0" applyNumberFormat="1" applyFont="1" applyFill="1" applyBorder="1" applyAlignment="1">
      <alignment horizontal="right" vertical="center"/>
    </xf>
    <xf numFmtId="3" fontId="11" fillId="3" borderId="1" xfId="1" applyNumberFormat="1" applyFont="1" applyFill="1" applyBorder="1" applyAlignment="1">
      <alignment horizontal="center" vertical="center"/>
    </xf>
    <xf numFmtId="172" fontId="11" fillId="3" borderId="1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Alignment="1" applyProtection="1">
      <alignment horizontal="right"/>
      <protection locked="0"/>
    </xf>
    <xf numFmtId="0" fontId="23" fillId="0" borderId="0" xfId="0" applyFont="1"/>
    <xf numFmtId="172" fontId="23" fillId="0" borderId="0" xfId="0" applyNumberFormat="1" applyFont="1" applyAlignment="1">
      <alignment horizontal="center"/>
    </xf>
    <xf numFmtId="0" fontId="24" fillId="0" borderId="0" xfId="0" applyFont="1"/>
    <xf numFmtId="0" fontId="25" fillId="4" borderId="0" xfId="0" applyFont="1" applyFill="1" applyAlignment="1" applyProtection="1">
      <alignment horizontal="left"/>
      <protection locked="0"/>
    </xf>
    <xf numFmtId="0" fontId="27" fillId="5" borderId="0" xfId="0" applyFont="1" applyFill="1" applyBorder="1"/>
    <xf numFmtId="0" fontId="28" fillId="0" borderId="0" xfId="0" applyFont="1"/>
    <xf numFmtId="0" fontId="23" fillId="0" borderId="0" xfId="0" applyFont="1" applyAlignment="1">
      <alignment horizontal="center"/>
    </xf>
    <xf numFmtId="0" fontId="25" fillId="4" borderId="0" xfId="0" applyFont="1" applyFill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23" fillId="0" borderId="3" xfId="0" applyFont="1" applyBorder="1"/>
    <xf numFmtId="164" fontId="23" fillId="0" borderId="0" xfId="0" applyNumberFormat="1" applyFont="1"/>
    <xf numFmtId="164" fontId="29" fillId="0" borderId="0" xfId="1" applyNumberFormat="1" applyFont="1" applyBorder="1"/>
    <xf numFmtId="0" fontId="23" fillId="0" borderId="0" xfId="0" applyFont="1" applyBorder="1"/>
    <xf numFmtId="3" fontId="23" fillId="0" borderId="0" xfId="0" applyNumberFormat="1" applyFont="1" applyBorder="1"/>
    <xf numFmtId="165" fontId="29" fillId="0" borderId="0" xfId="4" applyNumberFormat="1" applyFont="1" applyBorder="1"/>
    <xf numFmtId="0" fontId="24" fillId="0" borderId="0" xfId="0" applyFont="1" applyBorder="1"/>
    <xf numFmtId="0" fontId="23" fillId="0" borderId="4" xfId="0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169" fontId="29" fillId="0" borderId="0" xfId="0" applyNumberFormat="1" applyFont="1" applyAlignment="1">
      <alignment horizontal="left"/>
    </xf>
    <xf numFmtId="16" fontId="29" fillId="0" borderId="0" xfId="0" applyNumberFormat="1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29" fillId="0" borderId="0" xfId="0" applyFont="1" applyAlignment="1" applyProtection="1">
      <alignment horizontal="left"/>
      <protection locked="0"/>
    </xf>
    <xf numFmtId="165" fontId="29" fillId="0" borderId="0" xfId="0" applyNumberFormat="1" applyFont="1" applyFill="1" applyBorder="1" applyAlignment="1">
      <alignment horizontal="left"/>
    </xf>
    <xf numFmtId="0" fontId="23" fillId="0" borderId="5" xfId="0" applyFont="1" applyBorder="1"/>
    <xf numFmtId="164" fontId="32" fillId="0" borderId="0" xfId="1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37" fontId="29" fillId="0" borderId="0" xfId="1" applyNumberFormat="1" applyFont="1" applyAlignment="1">
      <alignment horizontal="right"/>
    </xf>
    <xf numFmtId="165" fontId="29" fillId="0" borderId="0" xfId="0" applyNumberFormat="1" applyFont="1" applyAlignment="1">
      <alignment horizontal="left"/>
    </xf>
    <xf numFmtId="0" fontId="28" fillId="0" borderId="1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right"/>
    </xf>
    <xf numFmtId="0" fontId="29" fillId="0" borderId="0" xfId="0" applyFont="1" applyFill="1" applyAlignment="1">
      <alignment horizontal="left" vertical="top"/>
    </xf>
    <xf numFmtId="0" fontId="23" fillId="0" borderId="6" xfId="0" applyFont="1" applyBorder="1"/>
    <xf numFmtId="3" fontId="33" fillId="0" borderId="0" xfId="1" applyNumberFormat="1" applyFont="1" applyFill="1" applyAlignment="1" applyProtection="1">
      <alignment horizontal="right"/>
      <protection locked="0"/>
    </xf>
    <xf numFmtId="0" fontId="29" fillId="0" borderId="0" xfId="0" applyFont="1" applyFill="1" applyAlignment="1" applyProtection="1">
      <alignment horizontal="right"/>
      <protection locked="0"/>
    </xf>
    <xf numFmtId="0" fontId="23" fillId="0" borderId="0" xfId="0" applyFont="1" applyFill="1"/>
    <xf numFmtId="0" fontId="25" fillId="2" borderId="0" xfId="0" applyFont="1" applyFill="1" applyAlignment="1" applyProtection="1">
      <alignment horizontal="left"/>
      <protection locked="0"/>
    </xf>
    <xf numFmtId="3" fontId="33" fillId="2" borderId="0" xfId="1" applyNumberFormat="1" applyFont="1" applyFill="1" applyAlignment="1" applyProtection="1">
      <alignment horizontal="right"/>
      <protection locked="0"/>
    </xf>
    <xf numFmtId="0" fontId="23" fillId="0" borderId="0" xfId="0" quotePrefix="1" applyFont="1" applyBorder="1" applyAlignment="1">
      <alignment horizontal="center"/>
    </xf>
    <xf numFmtId="171" fontId="23" fillId="0" borderId="0" xfId="0" applyNumberFormat="1" applyFont="1" applyProtection="1">
      <protection locked="0"/>
    </xf>
    <xf numFmtId="14" fontId="23" fillId="0" borderId="0" xfId="0" applyNumberFormat="1" applyFont="1" applyProtection="1">
      <protection locked="0"/>
    </xf>
    <xf numFmtId="171" fontId="28" fillId="0" borderId="0" xfId="0" applyNumberFormat="1" applyFont="1" applyProtection="1">
      <protection locked="0"/>
    </xf>
    <xf numFmtId="171" fontId="23" fillId="0" borderId="6" xfId="0" applyNumberFormat="1" applyFont="1" applyBorder="1" applyProtection="1">
      <protection locked="0"/>
    </xf>
    <xf numFmtId="0" fontId="23" fillId="0" borderId="6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9" fillId="0" borderId="0" xfId="1" applyNumberFormat="1" applyFont="1" applyFill="1" applyBorder="1" applyAlignment="1">
      <alignment horizontal="center"/>
    </xf>
    <xf numFmtId="3" fontId="13" fillId="6" borderId="0" xfId="1" applyNumberFormat="1" applyFont="1" applyFill="1" applyAlignment="1" applyProtection="1">
      <alignment horizontal="right"/>
      <protection locked="0"/>
    </xf>
    <xf numFmtId="3" fontId="13" fillId="3" borderId="0" xfId="1" applyNumberFormat="1" applyFont="1" applyFill="1" applyAlignment="1" applyProtection="1">
      <alignment horizontal="left"/>
      <protection locked="0"/>
    </xf>
    <xf numFmtId="0" fontId="23" fillId="6" borderId="0" xfId="0" applyFont="1" applyFill="1"/>
    <xf numFmtId="0" fontId="23" fillId="6" borderId="3" xfId="0" applyFont="1" applyFill="1" applyBorder="1"/>
    <xf numFmtId="3" fontId="23" fillId="6" borderId="3" xfId="0" applyNumberFormat="1" applyFont="1" applyFill="1" applyBorder="1"/>
    <xf numFmtId="164" fontId="29" fillId="6" borderId="3" xfId="1" applyNumberFormat="1" applyFont="1" applyFill="1" applyBorder="1"/>
    <xf numFmtId="3" fontId="28" fillId="0" borderId="1" xfId="1" applyNumberFormat="1" applyFont="1" applyFill="1" applyBorder="1" applyAlignment="1">
      <alignment horizontal="center" vertical="center"/>
    </xf>
    <xf numFmtId="3" fontId="16" fillId="6" borderId="0" xfId="0" applyNumberFormat="1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1" applyNumberFormat="1" applyFont="1" applyFill="1" applyAlignment="1" applyProtection="1">
      <alignment horizontal="right" vertical="top"/>
      <protection locked="0"/>
    </xf>
    <xf numFmtId="0" fontId="23" fillId="0" borderId="0" xfId="0" applyFont="1" applyFill="1" applyBorder="1"/>
    <xf numFmtId="0" fontId="25" fillId="0" borderId="0" xfId="0" applyFont="1" applyFill="1" applyAlignment="1" applyProtection="1">
      <alignment horizontal="left"/>
      <protection locked="0"/>
    </xf>
    <xf numFmtId="43" fontId="25" fillId="0" borderId="0" xfId="1" applyNumberFormat="1" applyFont="1" applyFill="1" applyAlignment="1" applyProtection="1">
      <alignment horizontal="left"/>
      <protection locked="0"/>
    </xf>
    <xf numFmtId="164" fontId="25" fillId="0" borderId="0" xfId="1" applyNumberFormat="1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165" fontId="25" fillId="0" borderId="0" xfId="4" applyNumberFormat="1" applyFont="1" applyFill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43" fontId="25" fillId="0" borderId="0" xfId="1" applyFont="1" applyFill="1" applyAlignment="1" applyProtection="1">
      <alignment horizontal="right"/>
      <protection locked="0"/>
    </xf>
    <xf numFmtId="3" fontId="13" fillId="0" borderId="0" xfId="1" applyNumberFormat="1" applyFont="1" applyFill="1" applyBorder="1" applyAlignment="1" applyProtection="1">
      <alignment horizontal="right"/>
      <protection locked="0"/>
    </xf>
    <xf numFmtId="3" fontId="13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3" fontId="23" fillId="0" borderId="0" xfId="0" applyNumberFormat="1" applyFont="1" applyFill="1" applyBorder="1"/>
    <xf numFmtId="164" fontId="29" fillId="0" borderId="0" xfId="1" applyNumberFormat="1" applyFont="1" applyFill="1" applyBorder="1"/>
    <xf numFmtId="0" fontId="11" fillId="0" borderId="0" xfId="0" applyFont="1" applyFill="1" applyBorder="1" applyAlignment="1">
      <alignment horizontal="left" vertical="center" wrapText="1"/>
    </xf>
    <xf numFmtId="0" fontId="35" fillId="4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right" vertical="center" wrapText="1"/>
    </xf>
    <xf numFmtId="0" fontId="35" fillId="4" borderId="0" xfId="0" applyFont="1" applyFill="1" applyBorder="1" applyAlignment="1">
      <alignment horizontal="right" vertical="center"/>
    </xf>
    <xf numFmtId="165" fontId="20" fillId="0" borderId="0" xfId="4" applyNumberFormat="1" applyFont="1" applyFill="1" applyBorder="1" applyAlignment="1">
      <alignment horizontal="right" vertical="center"/>
    </xf>
    <xf numFmtId="0" fontId="35" fillId="0" borderId="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right"/>
    </xf>
    <xf numFmtId="10" fontId="21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 vertical="top"/>
    </xf>
    <xf numFmtId="0" fontId="21" fillId="0" borderId="0" xfId="0" applyFont="1" applyFill="1" applyAlignment="1"/>
    <xf numFmtId="3" fontId="21" fillId="0" borderId="0" xfId="0" applyNumberFormat="1" applyFont="1" applyFill="1" applyAlignment="1"/>
    <xf numFmtId="3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right" vertical="top"/>
    </xf>
    <xf numFmtId="0" fontId="2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3" fontId="9" fillId="0" borderId="0" xfId="1" applyNumberFormat="1" applyFont="1" applyFill="1" applyAlignment="1">
      <alignment horizontal="right"/>
    </xf>
    <xf numFmtId="165" fontId="9" fillId="0" borderId="0" xfId="4" applyNumberFormat="1" applyFont="1" applyFill="1" applyAlignment="1">
      <alignment horizontal="center"/>
    </xf>
    <xf numFmtId="0" fontId="35" fillId="4" borderId="0" xfId="0" applyFont="1" applyFill="1" applyBorder="1" applyAlignment="1">
      <alignment horizontal="left" vertical="center" wrapText="1"/>
    </xf>
    <xf numFmtId="0" fontId="35" fillId="4" borderId="0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5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164" fontId="25" fillId="0" borderId="0" xfId="1" applyNumberFormat="1" applyFont="1" applyFill="1" applyProtection="1">
      <protection locked="0"/>
    </xf>
    <xf numFmtId="0" fontId="29" fillId="0" borderId="0" xfId="0" applyFont="1" applyFill="1" applyAlignment="1">
      <alignment horizontal="right"/>
    </xf>
    <xf numFmtId="9" fontId="29" fillId="0" borderId="0" xfId="4" applyFont="1" applyFill="1" applyAlignment="1">
      <alignment horizontal="right"/>
    </xf>
    <xf numFmtId="14" fontId="23" fillId="0" borderId="0" xfId="0" applyNumberFormat="1" applyFont="1"/>
    <xf numFmtId="3" fontId="9" fillId="0" borderId="0" xfId="0" applyNumberFormat="1" applyFont="1" applyFill="1" applyAlignment="1">
      <alignment horizontal="right"/>
    </xf>
    <xf numFmtId="164" fontId="23" fillId="0" borderId="0" xfId="1" applyNumberFormat="1" applyFont="1" applyBorder="1" applyAlignment="1">
      <alignment horizontal="right"/>
    </xf>
    <xf numFmtId="0" fontId="27" fillId="2" borderId="3" xfId="0" applyFont="1" applyFill="1" applyBorder="1"/>
    <xf numFmtId="0" fontId="11" fillId="4" borderId="0" xfId="0" applyFont="1" applyFill="1" applyBorder="1" applyAlignment="1">
      <alignment horizontal="right" vertical="center"/>
    </xf>
    <xf numFmtId="165" fontId="21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left"/>
    </xf>
    <xf numFmtId="171" fontId="24" fillId="0" borderId="0" xfId="0" applyNumberFormat="1" applyFont="1" applyProtection="1">
      <protection locked="0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3" fontId="41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vertical="top"/>
    </xf>
    <xf numFmtId="0" fontId="41" fillId="0" borderId="0" xfId="0" applyFont="1" applyFill="1" applyAlignment="1">
      <alignment horizontal="right" vertical="top"/>
    </xf>
    <xf numFmtId="0" fontId="41" fillId="0" borderId="0" xfId="0" applyFont="1" applyFill="1" applyAlignment="1"/>
    <xf numFmtId="0" fontId="42" fillId="0" borderId="0" xfId="0" applyFont="1" applyFill="1" applyAlignment="1">
      <alignment horizontal="left" vertical="top"/>
    </xf>
    <xf numFmtId="1" fontId="11" fillId="4" borderId="0" xfId="0" quotePrefix="1" applyNumberFormat="1" applyFont="1" applyFill="1" applyBorder="1" applyAlignment="1">
      <alignment horizontal="center" vertical="center"/>
    </xf>
    <xf numFmtId="175" fontId="35" fillId="4" borderId="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right"/>
    </xf>
    <xf numFmtId="1" fontId="31" fillId="5" borderId="0" xfId="1" applyNumberFormat="1" applyFont="1" applyFill="1" applyBorder="1"/>
    <xf numFmtId="1" fontId="21" fillId="0" borderId="0" xfId="0" applyNumberFormat="1" applyFont="1" applyFill="1" applyAlignment="1">
      <alignment horizontal="right"/>
    </xf>
    <xf numFmtId="164" fontId="27" fillId="5" borderId="0" xfId="1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 vertical="top"/>
    </xf>
    <xf numFmtId="3" fontId="21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3" fontId="21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165" fontId="23" fillId="0" borderId="0" xfId="4" applyNumberFormat="1" applyFont="1" applyFill="1"/>
    <xf numFmtId="0" fontId="25" fillId="0" borderId="0" xfId="0" applyFont="1" applyFill="1" applyProtection="1">
      <protection locked="0"/>
    </xf>
    <xf numFmtId="0" fontId="26" fillId="0" borderId="0" xfId="0" applyFont="1" applyFill="1"/>
    <xf numFmtId="0" fontId="27" fillId="0" borderId="0" xfId="0" applyFont="1" applyFill="1" applyBorder="1"/>
    <xf numFmtId="3" fontId="13" fillId="0" borderId="0" xfId="1" applyNumberFormat="1" applyFont="1" applyFill="1" applyAlignment="1" applyProtection="1">
      <alignment horizontal="center"/>
      <protection locked="0"/>
    </xf>
    <xf numFmtId="0" fontId="1" fillId="0" borderId="0" xfId="0" applyFont="1"/>
    <xf numFmtId="0" fontId="40" fillId="0" borderId="0" xfId="0" applyFont="1"/>
    <xf numFmtId="0" fontId="0" fillId="0" borderId="0" xfId="0" applyFont="1"/>
    <xf numFmtId="164" fontId="13" fillId="3" borderId="0" xfId="1" applyNumberFormat="1" applyFont="1" applyFill="1" applyAlignment="1" applyProtection="1">
      <alignment horizontal="right"/>
      <protection locked="0"/>
    </xf>
    <xf numFmtId="164" fontId="13" fillId="0" borderId="0" xfId="1" applyNumberFormat="1" applyFont="1" applyFill="1" applyAlignment="1" applyProtection="1">
      <alignment horizontal="right"/>
      <protection locked="0"/>
    </xf>
    <xf numFmtId="167" fontId="13" fillId="3" borderId="0" xfId="4" applyNumberFormat="1" applyFont="1" applyFill="1" applyAlignment="1" applyProtection="1">
      <alignment horizontal="right"/>
      <protection locked="0"/>
    </xf>
    <xf numFmtId="0" fontId="43" fillId="0" borderId="0" xfId="0" applyFont="1"/>
    <xf numFmtId="0" fontId="29" fillId="0" borderId="2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3" fontId="0" fillId="0" borderId="0" xfId="0" applyNumberFormat="1" applyFill="1" applyAlignment="1">
      <alignment horizontal="left"/>
    </xf>
    <xf numFmtId="3" fontId="21" fillId="0" borderId="0" xfId="0" applyNumberFormat="1" applyFont="1" applyFill="1" applyAlignment="1">
      <alignment horizontal="left"/>
    </xf>
    <xf numFmtId="3" fontId="0" fillId="0" borderId="0" xfId="0" applyNumberFormat="1" applyAlignment="1">
      <alignment horizontal="left"/>
    </xf>
    <xf numFmtId="3" fontId="9" fillId="0" borderId="4" xfId="0" applyNumberFormat="1" applyFont="1" applyFill="1" applyBorder="1" applyAlignment="1">
      <alignment horizontal="right"/>
    </xf>
    <xf numFmtId="3" fontId="9" fillId="0" borderId="4" xfId="1" applyNumberFormat="1" applyFont="1" applyFill="1" applyBorder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0" fontId="44" fillId="0" borderId="0" xfId="0" applyFont="1" applyAlignment="1">
      <alignment horizontal="left"/>
    </xf>
    <xf numFmtId="0" fontId="45" fillId="4" borderId="0" xfId="0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1" fontId="9" fillId="0" borderId="0" xfId="1" applyNumberFormat="1" applyFont="1" applyFill="1" applyAlignment="1">
      <alignment horizontal="right" vertical="center"/>
    </xf>
    <xf numFmtId="175" fontId="11" fillId="4" borderId="0" xfId="0" applyNumberFormat="1" applyFont="1" applyFill="1" applyBorder="1" applyAlignment="1">
      <alignment horizontal="right" vertical="center"/>
    </xf>
    <xf numFmtId="172" fontId="35" fillId="4" borderId="0" xfId="0" applyNumberFormat="1" applyFont="1" applyFill="1" applyBorder="1" applyAlignment="1">
      <alignment horizontal="right" vertical="center"/>
    </xf>
    <xf numFmtId="172" fontId="35" fillId="4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3" fontId="13" fillId="0" borderId="0" xfId="1" applyNumberFormat="1" applyFont="1" applyFill="1" applyAlignment="1" applyProtection="1">
      <alignment horizontal="left"/>
      <protection locked="0"/>
    </xf>
    <xf numFmtId="173" fontId="2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7" fillId="0" borderId="0" xfId="0" applyFont="1"/>
    <xf numFmtId="0" fontId="11" fillId="4" borderId="0" xfId="0" applyFont="1" applyFill="1" applyBorder="1" applyAlignment="1">
      <alignment horizontal="left" vertical="center"/>
    </xf>
    <xf numFmtId="0" fontId="49" fillId="4" borderId="0" xfId="0" applyFont="1" applyFill="1" applyBorder="1" applyAlignment="1">
      <alignment vertical="center"/>
    </xf>
    <xf numFmtId="14" fontId="23" fillId="0" borderId="0" xfId="0" applyNumberFormat="1" applyFont="1" applyBorder="1"/>
    <xf numFmtId="0" fontId="47" fillId="0" borderId="0" xfId="0" applyFont="1" applyAlignment="1">
      <alignment horizontal="left"/>
    </xf>
    <xf numFmtId="0" fontId="50" fillId="0" borderId="2" xfId="0" applyFont="1" applyBorder="1" applyAlignment="1">
      <alignment horizontal="center" textRotation="90" wrapText="1"/>
    </xf>
    <xf numFmtId="0" fontId="37" fillId="4" borderId="0" xfId="0" applyFont="1" applyFill="1" applyProtection="1">
      <protection locked="0"/>
    </xf>
    <xf numFmtId="0" fontId="25" fillId="4" borderId="0" xfId="0" applyFont="1" applyFill="1" applyProtection="1">
      <protection locked="0"/>
    </xf>
    <xf numFmtId="164" fontId="23" fillId="6" borderId="0" xfId="1" applyNumberFormat="1" applyFont="1" applyFill="1"/>
    <xf numFmtId="164" fontId="25" fillId="4" borderId="0" xfId="1" applyNumberFormat="1" applyFont="1" applyFill="1" applyProtection="1">
      <protection locked="0"/>
    </xf>
    <xf numFmtId="0" fontId="24" fillId="0" borderId="5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right"/>
    </xf>
    <xf numFmtId="165" fontId="23" fillId="0" borderId="5" xfId="0" applyNumberFormat="1" applyFont="1" applyBorder="1" applyAlignment="1">
      <alignment horizontal="center"/>
    </xf>
    <xf numFmtId="0" fontId="25" fillId="4" borderId="0" xfId="0" applyNumberFormat="1" applyFont="1" applyFill="1" applyAlignment="1" applyProtection="1">
      <alignment horizontal="left"/>
      <protection locked="0"/>
    </xf>
    <xf numFmtId="43" fontId="25" fillId="4" borderId="0" xfId="1" applyNumberFormat="1" applyFont="1" applyFill="1" applyAlignment="1" applyProtection="1">
      <alignment horizontal="left"/>
      <protection locked="0"/>
    </xf>
    <xf numFmtId="164" fontId="25" fillId="4" borderId="0" xfId="1" applyNumberFormat="1" applyFont="1" applyFill="1" applyAlignment="1" applyProtection="1">
      <alignment horizontal="left"/>
      <protection locked="0"/>
    </xf>
    <xf numFmtId="0" fontId="25" fillId="4" borderId="0" xfId="0" applyFont="1" applyFill="1" applyAlignment="1" applyProtection="1">
      <alignment horizontal="right"/>
      <protection locked="0"/>
    </xf>
    <xf numFmtId="164" fontId="27" fillId="5" borderId="0" xfId="1" applyNumberFormat="1" applyFont="1" applyFill="1" applyBorder="1" applyAlignment="1">
      <alignment horizontal="left"/>
    </xf>
    <xf numFmtId="174" fontId="27" fillId="5" borderId="0" xfId="1" applyNumberFormat="1" applyFont="1" applyFill="1" applyBorder="1" applyAlignment="1">
      <alignment horizontal="left"/>
    </xf>
    <xf numFmtId="164" fontId="32" fillId="0" borderId="0" xfId="1" applyNumberFormat="1" applyFont="1" applyFill="1" applyAlignment="1" applyProtection="1">
      <alignment horizontal="left"/>
      <protection locked="0"/>
    </xf>
    <xf numFmtId="165" fontId="25" fillId="4" borderId="0" xfId="4" applyNumberFormat="1" applyFont="1" applyFill="1" applyAlignment="1" applyProtection="1">
      <alignment horizontal="center"/>
      <protection locked="0"/>
    </xf>
    <xf numFmtId="164" fontId="32" fillId="6" borderId="0" xfId="1" applyNumberFormat="1" applyFont="1" applyFill="1" applyAlignment="1" applyProtection="1">
      <alignment horizontal="left"/>
    </xf>
    <xf numFmtId="3" fontId="13" fillId="0" borderId="0" xfId="1" applyNumberFormat="1" applyFont="1" applyFill="1" applyAlignment="1" applyProtection="1">
      <alignment horizontal="right"/>
    </xf>
    <xf numFmtId="3" fontId="9" fillId="0" borderId="0" xfId="0" applyNumberFormat="1" applyFont="1" applyFill="1" applyAlignment="1">
      <alignment horizontal="left"/>
    </xf>
    <xf numFmtId="3" fontId="13" fillId="6" borderId="0" xfId="1" applyNumberFormat="1" applyFont="1" applyFill="1" applyAlignment="1" applyProtection="1">
      <alignment horizontal="right"/>
    </xf>
    <xf numFmtId="0" fontId="24" fillId="0" borderId="0" xfId="0" applyFont="1" applyBorder="1" applyProtection="1">
      <protection locked="0"/>
    </xf>
    <xf numFmtId="3" fontId="23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164" fontId="32" fillId="6" borderId="0" xfId="1" applyNumberFormat="1" applyFont="1" applyFill="1" applyAlignment="1">
      <alignment horizontal="right"/>
    </xf>
    <xf numFmtId="0" fontId="23" fillId="6" borderId="0" xfId="0" applyFont="1" applyFill="1" applyAlignment="1">
      <alignment horizontal="left" vertical="top"/>
    </xf>
    <xf numFmtId="14" fontId="23" fillId="6" borderId="0" xfId="0" applyNumberFormat="1" applyFont="1" applyFill="1" applyAlignment="1">
      <alignment horizontal="left" vertical="top"/>
    </xf>
    <xf numFmtId="177" fontId="51" fillId="8" borderId="0" xfId="1" applyNumberFormat="1" applyFont="1" applyFill="1" applyBorder="1" applyAlignment="1" applyProtection="1">
      <alignment horizontal="center"/>
      <protection locked="0"/>
    </xf>
    <xf numFmtId="164" fontId="51" fillId="3" borderId="0" xfId="1" applyNumberFormat="1" applyFont="1" applyFill="1" applyAlignment="1" applyProtection="1">
      <alignment horizontal="center"/>
      <protection locked="0"/>
    </xf>
    <xf numFmtId="177" fontId="51" fillId="9" borderId="0" xfId="1" applyNumberFormat="1" applyFont="1" applyFill="1" applyBorder="1" applyAlignment="1" applyProtection="1">
      <alignment horizontal="center"/>
      <protection locked="0"/>
    </xf>
    <xf numFmtId="3" fontId="33" fillId="0" borderId="0" xfId="1" applyNumberFormat="1" applyFont="1" applyFill="1" applyAlignment="1" applyProtection="1">
      <alignment horizontal="left" vertical="top"/>
      <protection locked="0"/>
    </xf>
    <xf numFmtId="0" fontId="25" fillId="4" borderId="0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Border="1"/>
    <xf numFmtId="1" fontId="11" fillId="4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/>
    </xf>
    <xf numFmtId="17" fontId="20" fillId="12" borderId="0" xfId="0" applyNumberFormat="1" applyFont="1" applyFill="1" applyBorder="1" applyAlignment="1">
      <alignment vertical="center"/>
    </xf>
    <xf numFmtId="0" fontId="20" fillId="12" borderId="0" xfId="0" applyNumberFormat="1" applyFont="1" applyFill="1" applyBorder="1" applyAlignment="1">
      <alignment horizontal="right" vertical="center"/>
    </xf>
    <xf numFmtId="44" fontId="25" fillId="4" borderId="0" xfId="2" applyFont="1" applyFill="1" applyAlignment="1" applyProtection="1">
      <alignment horizontal="center"/>
      <protection locked="0"/>
    </xf>
    <xf numFmtId="0" fontId="54" fillId="0" borderId="0" xfId="0" applyFont="1"/>
    <xf numFmtId="165" fontId="23" fillId="0" borderId="0" xfId="4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9" fillId="0" borderId="0" xfId="1" applyNumberFormat="1" applyFont="1" applyFill="1" applyBorder="1"/>
    <xf numFmtId="164" fontId="23" fillId="0" borderId="0" xfId="1" applyNumberFormat="1" applyFont="1" applyFill="1" applyBorder="1"/>
    <xf numFmtId="3" fontId="28" fillId="0" borderId="0" xfId="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3" fontId="33" fillId="0" borderId="0" xfId="1" applyNumberFormat="1" applyFont="1" applyFill="1" applyBorder="1" applyAlignment="1" applyProtection="1">
      <alignment horizontal="left" vertical="top"/>
      <protection locked="0"/>
    </xf>
    <xf numFmtId="3" fontId="33" fillId="0" borderId="0" xfId="1" applyNumberFormat="1" applyFont="1" applyFill="1" applyBorder="1" applyAlignment="1" applyProtection="1">
      <alignment horizontal="right"/>
      <protection locked="0"/>
    </xf>
    <xf numFmtId="0" fontId="29" fillId="0" borderId="0" xfId="0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 horizontal="left" vertical="top" indent="1"/>
    </xf>
    <xf numFmtId="0" fontId="0" fillId="0" borderId="0" xfId="0" applyAlignment="1">
      <alignment horizontal="left" vertical="top" wrapText="1" indent="1"/>
    </xf>
    <xf numFmtId="0" fontId="48" fillId="0" borderId="0" xfId="0" applyFont="1" applyAlignment="1">
      <alignment vertical="top"/>
    </xf>
    <xf numFmtId="0" fontId="50" fillId="0" borderId="0" xfId="0" applyFont="1" applyAlignment="1">
      <alignment horizontal="left" vertical="top" wrapText="1" indent="1"/>
    </xf>
    <xf numFmtId="3" fontId="15" fillId="0" borderId="0" xfId="0" quotePrefix="1" applyNumberFormat="1" applyFont="1" applyFill="1" applyAlignment="1">
      <alignment horizontal="right"/>
    </xf>
    <xf numFmtId="0" fontId="48" fillId="0" borderId="0" xfId="0" applyFont="1" applyAlignment="1">
      <alignment horizontal="left" vertical="top" indent="1"/>
    </xf>
    <xf numFmtId="43" fontId="25" fillId="4" borderId="0" xfId="1" applyFont="1" applyFill="1" applyAlignment="1" applyProtection="1">
      <alignment horizontal="right"/>
      <protection locked="0"/>
    </xf>
    <xf numFmtId="164" fontId="23" fillId="0" borderId="0" xfId="1" applyNumberFormat="1" applyFont="1" applyBorder="1"/>
    <xf numFmtId="165" fontId="39" fillId="13" borderId="0" xfId="4" applyNumberFormat="1" applyFont="1" applyFill="1" applyBorder="1"/>
    <xf numFmtId="10" fontId="0" fillId="13" borderId="0" xfId="0" applyNumberFormat="1" applyFill="1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13" borderId="12" xfId="0" applyFill="1" applyBorder="1"/>
    <xf numFmtId="10" fontId="6" fillId="13" borderId="0" xfId="4" applyNumberFormat="1" applyFont="1" applyFill="1" applyBorder="1"/>
    <xf numFmtId="10" fontId="6" fillId="13" borderId="14" xfId="4" applyNumberFormat="1" applyFont="1" applyFill="1" applyBorder="1"/>
    <xf numFmtId="10" fontId="6" fillId="0" borderId="0" xfId="4" applyNumberFormat="1" applyFont="1" applyBorder="1"/>
    <xf numFmtId="10" fontId="6" fillId="0" borderId="14" xfId="4" applyNumberFormat="1" applyFont="1" applyBorder="1"/>
    <xf numFmtId="3" fontId="0" fillId="13" borderId="12" xfId="0" applyNumberFormat="1" applyFill="1" applyBorder="1"/>
    <xf numFmtId="43" fontId="39" fillId="13" borderId="0" xfId="1" quotePrefix="1" applyFont="1" applyFill="1" applyBorder="1"/>
    <xf numFmtId="164" fontId="6" fillId="13" borderId="0" xfId="1" applyNumberFormat="1" applyFont="1" applyFill="1" applyBorder="1"/>
    <xf numFmtId="168" fontId="6" fillId="13" borderId="0" xfId="2" applyNumberFormat="1" applyFont="1" applyFill="1" applyBorder="1"/>
    <xf numFmtId="2" fontId="0" fillId="0" borderId="0" xfId="0" applyNumberFormat="1" applyBorder="1"/>
    <xf numFmtId="2" fontId="0" fillId="0" borderId="14" xfId="0" applyNumberFormat="1" applyBorder="1"/>
    <xf numFmtId="170" fontId="0" fillId="13" borderId="0" xfId="0" applyNumberFormat="1" applyFill="1" applyBorder="1"/>
    <xf numFmtId="0" fontId="0" fillId="13" borderId="0" xfId="0" applyFill="1" applyBorder="1"/>
    <xf numFmtId="0" fontId="0" fillId="13" borderId="14" xfId="0" applyFill="1" applyBorder="1"/>
    <xf numFmtId="164" fontId="2" fillId="13" borderId="0" xfId="1" applyNumberFormat="1" applyFont="1" applyFill="1" applyBorder="1"/>
    <xf numFmtId="164" fontId="0" fillId="0" borderId="0" xfId="0" applyNumberFormat="1" applyBorder="1"/>
    <xf numFmtId="0" fontId="0" fillId="0" borderId="0" xfId="0" applyBorder="1"/>
    <xf numFmtId="0" fontId="0" fillId="0" borderId="14" xfId="0" applyBorder="1"/>
    <xf numFmtId="3" fontId="0" fillId="13" borderId="0" xfId="0" applyNumberFormat="1" applyFill="1" applyBorder="1"/>
    <xf numFmtId="0" fontId="0" fillId="0" borderId="15" xfId="0" applyBorder="1"/>
    <xf numFmtId="164" fontId="2" fillId="0" borderId="16" xfId="1" applyNumberFormat="1" applyFont="1" applyBorder="1"/>
    <xf numFmtId="0" fontId="0" fillId="0" borderId="16" xfId="0" applyBorder="1"/>
    <xf numFmtId="0" fontId="0" fillId="0" borderId="17" xfId="0" applyBorder="1"/>
    <xf numFmtId="0" fontId="41" fillId="0" borderId="1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4" fontId="9" fillId="0" borderId="0" xfId="1" applyNumberFormat="1" applyFont="1" applyFill="1" applyBorder="1" applyAlignment="1">
      <alignment horizontal="right"/>
    </xf>
    <xf numFmtId="0" fontId="23" fillId="0" borderId="0" xfId="0" quotePrefix="1" applyFont="1" applyBorder="1" applyAlignment="1">
      <alignment horizontal="left"/>
    </xf>
    <xf numFmtId="0" fontId="0" fillId="0" borderId="0" xfId="0" applyAlignment="1">
      <alignment vertical="top"/>
    </xf>
    <xf numFmtId="0" fontId="36" fillId="4" borderId="0" xfId="0" applyFont="1" applyFill="1" applyAlignment="1" applyProtection="1">
      <alignment horizontal="left"/>
      <protection locked="0"/>
    </xf>
    <xf numFmtId="39" fontId="57" fillId="0" borderId="0" xfId="0" applyNumberFormat="1" applyFont="1" applyAlignment="1">
      <alignment vertical="top" wrapText="1"/>
    </xf>
    <xf numFmtId="16" fontId="24" fillId="0" borderId="0" xfId="0" applyNumberFormat="1" applyFont="1" applyAlignment="1">
      <alignment horizontal="left"/>
    </xf>
    <xf numFmtId="16" fontId="23" fillId="0" borderId="0" xfId="0" applyNumberFormat="1" applyFont="1" applyAlignment="1">
      <alignment horizontal="center"/>
    </xf>
    <xf numFmtId="0" fontId="55" fillId="0" borderId="0" xfId="0" applyFont="1" applyFill="1" applyAlignment="1">
      <alignment horizontal="left" vertical="top" indent="1"/>
    </xf>
    <xf numFmtId="0" fontId="48" fillId="0" borderId="0" xfId="0" applyFont="1" applyFill="1" applyAlignment="1">
      <alignment horizontal="left" vertical="top" indent="1"/>
    </xf>
    <xf numFmtId="0" fontId="48" fillId="0" borderId="0" xfId="0" applyFont="1" applyFill="1" applyAlignment="1">
      <alignment vertical="top"/>
    </xf>
    <xf numFmtId="0" fontId="0" fillId="0" borderId="0" xfId="0" applyFill="1" applyAlignment="1">
      <alignment horizontal="left" indent="1"/>
    </xf>
    <xf numFmtId="3" fontId="9" fillId="0" borderId="0" xfId="0" quotePrefix="1" applyNumberFormat="1" applyFont="1" applyFill="1" applyBorder="1" applyAlignment="1">
      <alignment horizontal="right"/>
    </xf>
    <xf numFmtId="0" fontId="57" fillId="0" borderId="0" xfId="0" applyFont="1" applyAlignment="1">
      <alignment vertical="top" wrapText="1" readingOrder="1"/>
    </xf>
    <xf numFmtId="3" fontId="58" fillId="0" borderId="0" xfId="0" applyNumberFormat="1" applyFont="1" applyAlignment="1">
      <alignment vertical="top" wrapText="1"/>
    </xf>
    <xf numFmtId="39" fontId="58" fillId="0" borderId="0" xfId="0" applyNumberFormat="1" applyFont="1" applyAlignment="1">
      <alignment vertical="top" wrapText="1"/>
    </xf>
    <xf numFmtId="0" fontId="58" fillId="0" borderId="0" xfId="0" applyFont="1" applyAlignment="1">
      <alignment vertical="top" wrapText="1"/>
    </xf>
    <xf numFmtId="0" fontId="48" fillId="0" borderId="0" xfId="0" applyFont="1" applyAlignment="1">
      <alignment horizontal="left" vertical="top" indent="1"/>
    </xf>
    <xf numFmtId="165" fontId="23" fillId="0" borderId="0" xfId="0" applyNumberFormat="1" applyFont="1" applyAlignment="1">
      <alignment horizontal="left"/>
    </xf>
    <xf numFmtId="0" fontId="25" fillId="10" borderId="0" xfId="0" applyFont="1" applyFill="1" applyAlignment="1" applyProtection="1">
      <alignment horizontal="center"/>
    </xf>
    <xf numFmtId="3" fontId="29" fillId="6" borderId="0" xfId="1" applyNumberFormat="1" applyFont="1" applyFill="1" applyBorder="1" applyProtection="1"/>
    <xf numFmtId="3" fontId="32" fillId="10" borderId="0" xfId="0" applyNumberFormat="1" applyFont="1" applyFill="1" applyAlignment="1" applyProtection="1">
      <alignment horizontal="right"/>
    </xf>
    <xf numFmtId="3" fontId="32" fillId="10" borderId="0" xfId="0" applyNumberFormat="1" applyFont="1" applyFill="1" applyBorder="1" applyAlignment="1" applyProtection="1">
      <alignment horizontal="right"/>
    </xf>
    <xf numFmtId="0" fontId="29" fillId="6" borderId="0" xfId="0" applyFont="1" applyFill="1" applyAlignment="1" applyProtection="1">
      <alignment horizontal="center"/>
    </xf>
    <xf numFmtId="0" fontId="23" fillId="6" borderId="0" xfId="0" applyFont="1" applyFill="1" applyBorder="1" applyAlignment="1" applyProtection="1">
      <alignment horizontal="center"/>
    </xf>
    <xf numFmtId="0" fontId="29" fillId="6" borderId="0" xfId="0" applyFont="1" applyFill="1" applyBorder="1" applyAlignment="1" applyProtection="1">
      <alignment horizontal="center"/>
    </xf>
    <xf numFmtId="0" fontId="32" fillId="6" borderId="0" xfId="0" applyFont="1" applyFill="1" applyAlignment="1" applyProtection="1">
      <alignment horizontal="center"/>
    </xf>
    <xf numFmtId="0" fontId="32" fillId="6" borderId="0" xfId="0" applyFont="1" applyFill="1" applyBorder="1" applyAlignment="1" applyProtection="1">
      <alignment horizontal="center"/>
    </xf>
    <xf numFmtId="0" fontId="29" fillId="6" borderId="0" xfId="0" applyNumberFormat="1" applyFont="1" applyFill="1" applyAlignment="1" applyProtection="1">
      <alignment horizontal="center"/>
    </xf>
    <xf numFmtId="0" fontId="29" fillId="6" borderId="0" xfId="0" applyNumberFormat="1" applyFont="1" applyFill="1" applyBorder="1" applyAlignment="1" applyProtection="1">
      <alignment horizontal="center"/>
    </xf>
    <xf numFmtId="0" fontId="25" fillId="6" borderId="0" xfId="0" applyFont="1" applyFill="1" applyAlignment="1" applyProtection="1">
      <alignment horizontal="left"/>
    </xf>
    <xf numFmtId="43" fontId="25" fillId="6" borderId="0" xfId="1" applyNumberFormat="1" applyFont="1" applyFill="1" applyAlignment="1" applyProtection="1">
      <alignment horizontal="left"/>
    </xf>
    <xf numFmtId="43" fontId="25" fillId="6" borderId="0" xfId="1" applyFont="1" applyFill="1" applyAlignment="1" applyProtection="1">
      <alignment horizontal="left"/>
    </xf>
    <xf numFmtId="0" fontId="25" fillId="6" borderId="0" xfId="0" applyFont="1" applyFill="1" applyAlignment="1" applyProtection="1">
      <alignment horizontal="right"/>
    </xf>
    <xf numFmtId="164" fontId="25" fillId="6" borderId="0" xfId="1" applyNumberFormat="1" applyFont="1" applyFill="1" applyAlignment="1" applyProtection="1">
      <alignment horizontal="left"/>
    </xf>
    <xf numFmtId="43" fontId="25" fillId="6" borderId="0" xfId="1" applyFont="1" applyFill="1" applyAlignment="1" applyProtection="1">
      <alignment horizontal="right"/>
    </xf>
    <xf numFmtId="0" fontId="59" fillId="0" borderId="2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7" xfId="0" applyFont="1" applyBorder="1" applyAlignment="1">
      <alignment horizontal="left"/>
    </xf>
    <xf numFmtId="0" fontId="59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9" fillId="0" borderId="26" xfId="0" applyFont="1" applyFill="1" applyBorder="1" applyAlignment="1">
      <alignment horizontal="center"/>
    </xf>
    <xf numFmtId="0" fontId="0" fillId="0" borderId="25" xfId="0" applyBorder="1"/>
    <xf numFmtId="0" fontId="0" fillId="0" borderId="7" xfId="0" applyBorder="1"/>
    <xf numFmtId="2" fontId="0" fillId="0" borderId="7" xfId="0" applyNumberFormat="1" applyFill="1" applyBorder="1" applyAlignment="1">
      <alignment horizontal="center"/>
    </xf>
    <xf numFmtId="0" fontId="23" fillId="10" borderId="0" xfId="0" applyFont="1" applyFill="1"/>
    <xf numFmtId="3" fontId="26" fillId="10" borderId="7" xfId="0" applyNumberFormat="1" applyFont="1" applyFill="1" applyBorder="1"/>
    <xf numFmtId="0" fontId="25" fillId="7" borderId="7" xfId="0" applyFont="1" applyFill="1" applyBorder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 locked="0"/>
    </xf>
    <xf numFmtId="0" fontId="36" fillId="15" borderId="0" xfId="0" applyFont="1" applyFill="1" applyAlignment="1" applyProtection="1">
      <alignment horizontal="left"/>
      <protection locked="0"/>
    </xf>
    <xf numFmtId="2" fontId="25" fillId="6" borderId="0" xfId="0" applyNumberFormat="1" applyFont="1" applyFill="1" applyAlignment="1" applyProtection="1">
      <alignment horizontal="right"/>
    </xf>
    <xf numFmtId="0" fontId="25" fillId="10" borderId="0" xfId="0" applyFont="1" applyFill="1" applyAlignment="1" applyProtection="1">
      <alignment horizontal="right"/>
      <protection locked="0"/>
    </xf>
    <xf numFmtId="43" fontId="25" fillId="10" borderId="0" xfId="1" applyFont="1" applyFill="1" applyAlignment="1" applyProtection="1">
      <alignment horizontal="right"/>
      <protection locked="0"/>
    </xf>
    <xf numFmtId="0" fontId="25" fillId="10" borderId="0" xfId="0" applyFont="1" applyFill="1" applyAlignment="1" applyProtection="1">
      <alignment horizontal="right"/>
    </xf>
    <xf numFmtId="0" fontId="25" fillId="15" borderId="0" xfId="0" applyFont="1" applyFill="1" applyAlignment="1" applyProtection="1">
      <alignment horizontal="right"/>
      <protection locked="0"/>
    </xf>
    <xf numFmtId="14" fontId="25" fillId="7" borderId="7" xfId="0" applyNumberFormat="1" applyFont="1" applyFill="1" applyBorder="1" applyAlignment="1" applyProtection="1">
      <alignment horizontal="left"/>
      <protection locked="0"/>
    </xf>
    <xf numFmtId="164" fontId="25" fillId="7" borderId="7" xfId="1" applyNumberFormat="1" applyFont="1" applyFill="1" applyBorder="1" applyAlignment="1" applyProtection="1">
      <alignment horizontal="left"/>
      <protection locked="0"/>
    </xf>
    <xf numFmtId="3" fontId="16" fillId="10" borderId="0" xfId="0" applyNumberFormat="1" applyFont="1" applyFill="1" applyAlignment="1"/>
    <xf numFmtId="3" fontId="16" fillId="10" borderId="0" xfId="0" applyNumberFormat="1" applyFont="1" applyFill="1" applyBorder="1" applyAlignment="1"/>
    <xf numFmtId="3" fontId="9" fillId="10" borderId="0" xfId="0" applyNumberFormat="1" applyFont="1" applyFill="1" applyAlignment="1"/>
    <xf numFmtId="3" fontId="13" fillId="10" borderId="8" xfId="0" applyNumberFormat="1" applyFont="1" applyFill="1" applyBorder="1" applyAlignment="1" applyProtection="1"/>
    <xf numFmtId="3" fontId="26" fillId="10" borderId="7" xfId="0" applyNumberFormat="1" applyFont="1" applyFill="1" applyBorder="1" applyAlignment="1"/>
    <xf numFmtId="3" fontId="16" fillId="0" borderId="0" xfId="0" applyNumberFormat="1" applyFont="1" applyFill="1" applyAlignment="1"/>
    <xf numFmtId="3" fontId="9" fillId="0" borderId="0" xfId="0" applyNumberFormat="1" applyFont="1" applyFill="1" applyAlignment="1"/>
    <xf numFmtId="3" fontId="12" fillId="0" borderId="0" xfId="0" applyNumberFormat="1" applyFont="1" applyFill="1" applyAlignment="1">
      <alignment vertical="top"/>
    </xf>
    <xf numFmtId="3" fontId="16" fillId="0" borderId="0" xfId="0" applyNumberFormat="1" applyFont="1" applyFill="1" applyBorder="1" applyAlignment="1"/>
    <xf numFmtId="3" fontId="25" fillId="7" borderId="7" xfId="0" applyNumberFormat="1" applyFont="1" applyFill="1" applyBorder="1" applyAlignment="1" applyProtection="1">
      <protection locked="0"/>
    </xf>
    <xf numFmtId="3" fontId="25" fillId="7" borderId="7" xfId="1" applyNumberFormat="1" applyFont="1" applyFill="1" applyBorder="1" applyAlignment="1" applyProtection="1">
      <protection locked="0"/>
    </xf>
    <xf numFmtId="3" fontId="26" fillId="16" borderId="7" xfId="0" applyNumberFormat="1" applyFont="1" applyFill="1" applyBorder="1"/>
    <xf numFmtId="0" fontId="23" fillId="5" borderId="0" xfId="0" applyFont="1" applyFill="1" applyBorder="1"/>
    <xf numFmtId="3" fontId="33" fillId="3" borderId="0" xfId="1" applyNumberFormat="1" applyFont="1" applyFill="1" applyAlignment="1" applyProtection="1">
      <alignment horizontal="left"/>
      <protection locked="0"/>
    </xf>
    <xf numFmtId="0" fontId="4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 applyProtection="1">
      <alignment horizontal="center"/>
      <protection locked="0"/>
    </xf>
    <xf numFmtId="0" fontId="60" fillId="0" borderId="0" xfId="0" applyFont="1" applyProtection="1">
      <protection locked="0"/>
    </xf>
    <xf numFmtId="0" fontId="60" fillId="0" borderId="0" xfId="0" applyFont="1"/>
    <xf numFmtId="0" fontId="50" fillId="0" borderId="0" xfId="0" applyFont="1"/>
    <xf numFmtId="0" fontId="60" fillId="0" borderId="0" xfId="0" applyFont="1" applyFill="1" applyAlignment="1">
      <alignment horizontal="left"/>
    </xf>
    <xf numFmtId="0" fontId="60" fillId="0" borderId="0" xfId="0" applyFont="1" applyAlignment="1">
      <alignment horizontal="left"/>
    </xf>
    <xf numFmtId="0" fontId="61" fillId="4" borderId="0" xfId="0" applyFont="1" applyFill="1" applyBorder="1" applyAlignment="1">
      <alignment vertical="center"/>
    </xf>
    <xf numFmtId="0" fontId="43" fillId="0" borderId="0" xfId="0" applyFont="1" applyFill="1"/>
    <xf numFmtId="0" fontId="25" fillId="7" borderId="0" xfId="0" applyFont="1" applyFill="1" applyAlignment="1" applyProtection="1">
      <alignment horizontal="left"/>
      <protection locked="0"/>
    </xf>
    <xf numFmtId="0" fontId="25" fillId="7" borderId="0" xfId="0" applyFont="1" applyFill="1" applyAlignment="1" applyProtection="1">
      <alignment horizontal="right"/>
      <protection locked="0"/>
    </xf>
    <xf numFmtId="2" fontId="25" fillId="7" borderId="0" xfId="0" applyNumberFormat="1" applyFont="1" applyFill="1" applyAlignment="1" applyProtection="1">
      <alignment horizontal="right"/>
      <protection locked="0"/>
    </xf>
    <xf numFmtId="179" fontId="51" fillId="14" borderId="0" xfId="1" applyNumberFormat="1" applyFont="1" applyFill="1" applyBorder="1" applyAlignment="1" applyProtection="1">
      <alignment horizontal="center"/>
    </xf>
    <xf numFmtId="16" fontId="25" fillId="4" borderId="0" xfId="0" applyNumberFormat="1" applyFont="1" applyFill="1" applyAlignment="1" applyProtection="1">
      <alignment horizontal="center"/>
      <protection locked="0"/>
    </xf>
    <xf numFmtId="0" fontId="48" fillId="0" borderId="0" xfId="0" applyFont="1" applyAlignment="1">
      <alignment horizontal="left" vertical="top" indent="1"/>
    </xf>
    <xf numFmtId="0" fontId="63" fillId="17" borderId="0" xfId="0" applyFont="1" applyFill="1"/>
    <xf numFmtId="0" fontId="10" fillId="0" borderId="0" xfId="0" applyFont="1" applyFill="1" applyAlignment="1">
      <alignment horizontal="right"/>
    </xf>
    <xf numFmtId="1" fontId="63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 vertical="top"/>
    </xf>
    <xf numFmtId="1" fontId="6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49" fontId="9" fillId="0" borderId="0" xfId="0" quotePrefix="1" applyNumberFormat="1" applyFont="1" applyFill="1" applyAlignment="1">
      <alignment horizontal="left"/>
    </xf>
    <xf numFmtId="49" fontId="41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 vertical="center"/>
    </xf>
    <xf numFmtId="0" fontId="64" fillId="0" borderId="0" xfId="5"/>
    <xf numFmtId="0" fontId="62" fillId="17" borderId="0" xfId="5" applyFont="1" applyFill="1" applyAlignment="1">
      <alignment horizontal="left"/>
    </xf>
    <xf numFmtId="0" fontId="64" fillId="17" borderId="0" xfId="5" applyFill="1" applyAlignment="1">
      <alignment horizontal="left"/>
    </xf>
    <xf numFmtId="180" fontId="62" fillId="17" borderId="0" xfId="5" applyNumberFormat="1" applyFont="1" applyFill="1" applyAlignment="1">
      <alignment horizontal="right"/>
    </xf>
    <xf numFmtId="181" fontId="62" fillId="17" borderId="0" xfId="5" applyNumberFormat="1" applyFont="1" applyFill="1" applyAlignment="1">
      <alignment horizontal="right"/>
    </xf>
    <xf numFmtId="0" fontId="5" fillId="17" borderId="0" xfId="5" applyFont="1" applyFill="1" applyAlignment="1">
      <alignment horizontal="left"/>
    </xf>
    <xf numFmtId="181" fontId="62" fillId="17" borderId="28" xfId="5" applyNumberFormat="1" applyFont="1" applyFill="1" applyBorder="1" applyAlignment="1">
      <alignment horizontal="right"/>
    </xf>
    <xf numFmtId="181" fontId="62" fillId="17" borderId="29" xfId="5" applyNumberFormat="1" applyFont="1" applyFill="1" applyBorder="1" applyAlignment="1">
      <alignment horizontal="right"/>
    </xf>
    <xf numFmtId="0" fontId="62" fillId="17" borderId="28" xfId="5" applyFont="1" applyFill="1" applyBorder="1" applyAlignment="1">
      <alignment horizontal="left"/>
    </xf>
    <xf numFmtId="181" fontId="62" fillId="17" borderId="30" xfId="5" applyNumberFormat="1" applyFont="1" applyFill="1" applyBorder="1" applyAlignment="1">
      <alignment horizontal="right"/>
    </xf>
    <xf numFmtId="0" fontId="64" fillId="0" borderId="0" xfId="5"/>
    <xf numFmtId="0" fontId="62" fillId="17" borderId="0" xfId="5" applyFont="1" applyFill="1" applyAlignment="1">
      <alignment horizontal="left"/>
    </xf>
    <xf numFmtId="0" fontId="64" fillId="17" borderId="0" xfId="5" applyFill="1" applyAlignment="1">
      <alignment horizontal="left"/>
    </xf>
    <xf numFmtId="180" fontId="62" fillId="17" borderId="0" xfId="5" applyNumberFormat="1" applyFont="1" applyFill="1" applyAlignment="1">
      <alignment horizontal="right"/>
    </xf>
    <xf numFmtId="181" fontId="62" fillId="17" borderId="0" xfId="5" applyNumberFormat="1" applyFont="1" applyFill="1" applyAlignment="1">
      <alignment horizontal="right"/>
    </xf>
    <xf numFmtId="0" fontId="5" fillId="17" borderId="0" xfId="5" applyFont="1" applyFill="1" applyAlignment="1">
      <alignment horizontal="left"/>
    </xf>
    <xf numFmtId="181" fontId="62" fillId="17" borderId="28" xfId="5" applyNumberFormat="1" applyFont="1" applyFill="1" applyBorder="1" applyAlignment="1">
      <alignment horizontal="right"/>
    </xf>
    <xf numFmtId="181" fontId="62" fillId="17" borderId="29" xfId="5" applyNumberFormat="1" applyFont="1" applyFill="1" applyBorder="1" applyAlignment="1">
      <alignment horizontal="right"/>
    </xf>
    <xf numFmtId="0" fontId="62" fillId="17" borderId="28" xfId="5" applyFont="1" applyFill="1" applyBorder="1" applyAlignment="1">
      <alignment horizontal="left"/>
    </xf>
    <xf numFmtId="181" fontId="62" fillId="17" borderId="30" xfId="5" applyNumberFormat="1" applyFont="1" applyFill="1" applyBorder="1" applyAlignment="1">
      <alignment horizontal="right"/>
    </xf>
    <xf numFmtId="0" fontId="65" fillId="0" borderId="0" xfId="0" applyFont="1"/>
    <xf numFmtId="182" fontId="65" fillId="0" borderId="0" xfId="0" applyNumberFormat="1" applyFont="1" applyFill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/>
    <xf numFmtId="2" fontId="66" fillId="0" borderId="0" xfId="0" applyNumberFormat="1" applyFont="1" applyFill="1" applyAlignment="1">
      <alignment horizontal="center"/>
    </xf>
    <xf numFmtId="182" fontId="66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66" fillId="0" borderId="0" xfId="0" applyFont="1" applyFill="1"/>
    <xf numFmtId="172" fontId="23" fillId="18" borderId="0" xfId="0" applyNumberFormat="1" applyFont="1" applyFill="1" applyAlignment="1">
      <alignment horizontal="center"/>
    </xf>
    <xf numFmtId="3" fontId="0" fillId="0" borderId="0" xfId="0" applyNumberFormat="1"/>
    <xf numFmtId="0" fontId="69" fillId="0" borderId="0" xfId="0" applyFont="1" applyFill="1" applyAlignment="1">
      <alignment horizontal="right"/>
    </xf>
    <xf numFmtId="0" fontId="70" fillId="4" borderId="0" xfId="0" applyFont="1" applyFill="1" applyBorder="1" applyAlignment="1">
      <alignment horizontal="right" vertical="center" wrapText="1"/>
    </xf>
    <xf numFmtId="0" fontId="70" fillId="4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left"/>
    </xf>
    <xf numFmtId="0" fontId="69" fillId="0" borderId="0" xfId="0" applyFont="1" applyFill="1" applyAlignment="1">
      <alignment horizontal="left"/>
    </xf>
    <xf numFmtId="3" fontId="69" fillId="0" borderId="0" xfId="0" applyNumberFormat="1" applyFont="1" applyFill="1" applyAlignment="1">
      <alignment horizontal="right"/>
    </xf>
    <xf numFmtId="0" fontId="73" fillId="0" borderId="0" xfId="0" applyFont="1" applyFill="1" applyAlignment="1">
      <alignment horizontal="left"/>
    </xf>
    <xf numFmtId="3" fontId="69" fillId="0" borderId="2" xfId="0" applyNumberFormat="1" applyFont="1" applyFill="1" applyBorder="1" applyAlignment="1">
      <alignment horizontal="right"/>
    </xf>
    <xf numFmtId="0" fontId="69" fillId="0" borderId="0" xfId="0" applyFont="1" applyFill="1" applyAlignment="1">
      <alignment horizontal="right" vertical="top"/>
    </xf>
    <xf numFmtId="0" fontId="70" fillId="4" borderId="32" xfId="0" applyFont="1" applyFill="1" applyBorder="1" applyAlignment="1">
      <alignment horizontal="center" vertical="center"/>
    </xf>
    <xf numFmtId="165" fontId="71" fillId="0" borderId="32" xfId="4" applyNumberFormat="1" applyFont="1" applyFill="1" applyBorder="1" applyAlignment="1">
      <alignment horizontal="right" vertical="center"/>
    </xf>
    <xf numFmtId="0" fontId="68" fillId="0" borderId="32" xfId="0" applyFont="1" applyFill="1" applyBorder="1" applyAlignment="1">
      <alignment horizontal="left"/>
    </xf>
    <xf numFmtId="3" fontId="68" fillId="0" borderId="32" xfId="1" applyNumberFormat="1" applyFont="1" applyFill="1" applyBorder="1" applyAlignment="1">
      <alignment horizontal="right"/>
    </xf>
    <xf numFmtId="3" fontId="68" fillId="0" borderId="25" xfId="1" applyNumberFormat="1" applyFont="1" applyFill="1" applyBorder="1" applyAlignment="1">
      <alignment horizontal="right"/>
    </xf>
    <xf numFmtId="3" fontId="68" fillId="0" borderId="32" xfId="1" applyNumberFormat="1" applyFont="1" applyFill="1" applyBorder="1" applyAlignment="1">
      <alignment horizontal="right" vertical="top"/>
    </xf>
    <xf numFmtId="3" fontId="68" fillId="0" borderId="32" xfId="0" applyNumberFormat="1" applyFont="1" applyFill="1" applyBorder="1" applyAlignment="1">
      <alignment horizontal="right"/>
    </xf>
    <xf numFmtId="3" fontId="68" fillId="0" borderId="25" xfId="0" applyNumberFormat="1" applyFont="1" applyFill="1" applyBorder="1" applyAlignment="1">
      <alignment horizontal="right"/>
    </xf>
    <xf numFmtId="3" fontId="68" fillId="0" borderId="32" xfId="0" applyNumberFormat="1" applyFont="1" applyFill="1" applyBorder="1" applyAlignment="1">
      <alignment horizontal="right" vertical="top"/>
    </xf>
    <xf numFmtId="3" fontId="69" fillId="0" borderId="32" xfId="0" applyNumberFormat="1" applyFont="1" applyFill="1" applyBorder="1" applyAlignment="1">
      <alignment horizontal="right"/>
    </xf>
    <xf numFmtId="3" fontId="68" fillId="0" borderId="32" xfId="0" applyNumberFormat="1" applyFont="1" applyFill="1" applyBorder="1" applyAlignment="1"/>
    <xf numFmtId="3" fontId="69" fillId="0" borderId="24" xfId="0" applyNumberFormat="1" applyFont="1" applyFill="1" applyBorder="1" applyAlignment="1">
      <alignment horizontal="right"/>
    </xf>
    <xf numFmtId="0" fontId="70" fillId="4" borderId="31" xfId="0" applyFont="1" applyFill="1" applyBorder="1" applyAlignment="1">
      <alignment horizontal="center"/>
    </xf>
    <xf numFmtId="0" fontId="74" fillId="4" borderId="0" xfId="0" applyFont="1" applyFill="1" applyBorder="1" applyAlignment="1">
      <alignment horizontal="center" vertical="top" wrapText="1"/>
    </xf>
    <xf numFmtId="0" fontId="53" fillId="0" borderId="0" xfId="0" applyFont="1" applyAlignment="1"/>
    <xf numFmtId="0" fontId="75" fillId="0" borderId="0" xfId="0" applyFont="1" applyAlignment="1"/>
    <xf numFmtId="0" fontId="23" fillId="0" borderId="0" xfId="0" applyFont="1" applyAlignment="1" applyProtection="1">
      <alignment horizontal="center"/>
      <protection locked="0"/>
    </xf>
    <xf numFmtId="165" fontId="62" fillId="17" borderId="0" xfId="5" applyNumberFormat="1" applyFont="1" applyFill="1" applyAlignment="1">
      <alignment horizontal="right"/>
    </xf>
    <xf numFmtId="0" fontId="23" fillId="0" borderId="0" xfId="0" quotePrefix="1" applyFont="1" applyAlignment="1">
      <alignment horizontal="center"/>
    </xf>
    <xf numFmtId="0" fontId="26" fillId="19" borderId="0" xfId="0" applyFont="1" applyFill="1" applyAlignment="1">
      <alignment horizontal="center"/>
    </xf>
    <xf numFmtId="0" fontId="26" fillId="19" borderId="0" xfId="0" applyFont="1" applyFill="1" applyBorder="1" applyAlignment="1">
      <alignment horizontal="center"/>
    </xf>
    <xf numFmtId="43" fontId="26" fillId="19" borderId="0" xfId="1" applyFont="1" applyFill="1" applyAlignment="1" applyProtection="1">
      <alignment horizontal="center"/>
      <protection locked="0"/>
    </xf>
    <xf numFmtId="43" fontId="26" fillId="19" borderId="0" xfId="1" applyFont="1" applyFill="1" applyBorder="1" applyAlignment="1">
      <alignment horizontal="center"/>
    </xf>
    <xf numFmtId="43" fontId="26" fillId="19" borderId="0" xfId="1" applyFont="1" applyFill="1" applyBorder="1" applyAlignment="1" applyProtection="1">
      <alignment horizontal="center"/>
      <protection locked="0"/>
    </xf>
    <xf numFmtId="172" fontId="77" fillId="11" borderId="0" xfId="0" applyNumberFormat="1" applyFont="1" applyFill="1" applyAlignment="1">
      <alignment horizontal="center"/>
    </xf>
    <xf numFmtId="165" fontId="26" fillId="19" borderId="0" xfId="4" applyNumberFormat="1" applyFont="1" applyFill="1" applyAlignment="1" applyProtection="1">
      <alignment horizontal="center"/>
      <protection locked="0"/>
    </xf>
    <xf numFmtId="3" fontId="26" fillId="19" borderId="0" xfId="1" applyNumberFormat="1" applyFont="1" applyFill="1" applyAlignment="1" applyProtection="1">
      <alignment horizontal="center"/>
      <protection locked="0"/>
    </xf>
    <xf numFmtId="3" fontId="29" fillId="6" borderId="0" xfId="1" applyNumberFormat="1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43" fontId="26" fillId="19" borderId="0" xfId="1" applyFont="1" applyFill="1" applyAlignment="1" applyProtection="1">
      <alignment horizontal="left"/>
      <protection locked="0"/>
    </xf>
    <xf numFmtId="43" fontId="26" fillId="19" borderId="0" xfId="1" applyFont="1" applyFill="1" applyAlignment="1" applyProtection="1">
      <protection locked="0"/>
    </xf>
    <xf numFmtId="1" fontId="26" fillId="19" borderId="0" xfId="1" applyNumberFormat="1" applyFont="1" applyFill="1" applyAlignment="1" applyProtection="1">
      <alignment horizontal="center"/>
      <protection locked="0"/>
    </xf>
    <xf numFmtId="39" fontId="29" fillId="6" borderId="0" xfId="1" applyNumberFormat="1" applyFont="1" applyFill="1" applyAlignment="1">
      <alignment horizontal="right"/>
    </xf>
    <xf numFmtId="0" fontId="24" fillId="0" borderId="0" xfId="0" applyFont="1" applyAlignment="1">
      <alignment horizontal="left"/>
    </xf>
    <xf numFmtId="3" fontId="24" fillId="6" borderId="0" xfId="1" applyNumberFormat="1" applyFont="1" applyFill="1" applyBorder="1" applyProtection="1"/>
    <xf numFmtId="0" fontId="32" fillId="11" borderId="0" xfId="0" applyFont="1" applyFill="1" applyAlignment="1" applyProtection="1">
      <alignment horizontal="right"/>
      <protection locked="0"/>
    </xf>
    <xf numFmtId="176" fontId="26" fillId="19" borderId="0" xfId="1" applyNumberFormat="1" applyFont="1" applyFill="1" applyAlignment="1" applyProtection="1">
      <alignment horizontal="center"/>
      <protection locked="0"/>
    </xf>
    <xf numFmtId="1" fontId="25" fillId="15" borderId="0" xfId="0" applyNumberFormat="1" applyFont="1" applyFill="1" applyAlignment="1" applyProtection="1">
      <alignment horizontal="left"/>
      <protection locked="0"/>
    </xf>
    <xf numFmtId="1" fontId="26" fillId="19" borderId="0" xfId="1" applyNumberFormat="1" applyFont="1" applyFill="1" applyAlignment="1" applyProtection="1">
      <alignment horizontal="left"/>
      <protection locked="0"/>
    </xf>
    <xf numFmtId="43" fontId="26" fillId="19" borderId="7" xfId="1" applyFont="1" applyFill="1" applyBorder="1" applyAlignment="1" applyProtection="1">
      <alignment horizontal="center"/>
      <protection locked="0"/>
    </xf>
    <xf numFmtId="3" fontId="26" fillId="19" borderId="7" xfId="0" applyNumberFormat="1" applyFont="1" applyFill="1" applyBorder="1" applyAlignment="1" applyProtection="1">
      <protection locked="0"/>
    </xf>
    <xf numFmtId="1" fontId="29" fillId="6" borderId="0" xfId="0" applyNumberFormat="1" applyFont="1" applyFill="1" applyAlignment="1" applyProtection="1">
      <alignment horizontal="center"/>
    </xf>
    <xf numFmtId="165" fontId="26" fillId="10" borderId="0" xfId="4" applyNumberFormat="1" applyFont="1" applyFill="1" applyAlignment="1" applyProtection="1">
      <alignment horizontal="center"/>
      <protection locked="0"/>
    </xf>
    <xf numFmtId="0" fontId="23" fillId="0" borderId="33" xfId="0" applyFont="1" applyBorder="1" applyAlignment="1">
      <alignment horizontal="center"/>
    </xf>
    <xf numFmtId="0" fontId="23" fillId="10" borderId="2" xfId="0" applyFont="1" applyFill="1" applyBorder="1"/>
    <xf numFmtId="0" fontId="23" fillId="0" borderId="2" xfId="0" applyFont="1" applyBorder="1"/>
    <xf numFmtId="0" fontId="23" fillId="0" borderId="2" xfId="0" applyFont="1" applyBorder="1" applyProtection="1">
      <protection locked="0"/>
    </xf>
    <xf numFmtId="14" fontId="23" fillId="0" borderId="2" xfId="0" applyNumberFormat="1" applyFont="1" applyBorder="1"/>
    <xf numFmtId="14" fontId="23" fillId="0" borderId="2" xfId="0" applyNumberFormat="1" applyFont="1" applyBorder="1" applyProtection="1">
      <protection locked="0"/>
    </xf>
    <xf numFmtId="8" fontId="25" fillId="4" borderId="0" xfId="46" applyNumberFormat="1" applyFont="1" applyFill="1" applyAlignment="1" applyProtection="1">
      <alignment horizontal="right"/>
      <protection locked="0"/>
    </xf>
    <xf numFmtId="164" fontId="32" fillId="6" borderId="0" xfId="47" applyNumberFormat="1" applyFont="1" applyFill="1" applyAlignment="1" applyProtection="1">
      <alignment horizontal="left"/>
    </xf>
    <xf numFmtId="0" fontId="37" fillId="4" borderId="0" xfId="0" applyFont="1" applyFill="1" applyAlignment="1" applyProtection="1">
      <protection locked="0"/>
    </xf>
    <xf numFmtId="164" fontId="37" fillId="4" borderId="0" xfId="47" applyNumberFormat="1" applyFont="1" applyFill="1" applyProtection="1">
      <protection locked="0"/>
    </xf>
    <xf numFmtId="164" fontId="37" fillId="4" borderId="0" xfId="47" applyNumberFormat="1" applyFont="1" applyFill="1" applyAlignment="1" applyProtection="1">
      <protection locked="0"/>
    </xf>
    <xf numFmtId="0" fontId="37" fillId="4" borderId="0" xfId="0" applyFont="1" applyFill="1" applyAlignment="1" applyProtection="1">
      <alignment wrapText="1"/>
      <protection locked="0"/>
    </xf>
    <xf numFmtId="0" fontId="25" fillId="4" borderId="0" xfId="0" applyFont="1" applyFill="1" applyAlignment="1" applyProtection="1">
      <alignment horizontal="center" wrapText="1"/>
      <protection locked="0"/>
    </xf>
    <xf numFmtId="44" fontId="25" fillId="4" borderId="0" xfId="46" applyFont="1" applyFill="1" applyAlignment="1" applyProtection="1">
      <alignment horizontal="center"/>
      <protection locked="0"/>
    </xf>
    <xf numFmtId="8" fontId="25" fillId="4" borderId="0" xfId="46" applyNumberFormat="1" applyFont="1" applyFill="1" applyAlignment="1" applyProtection="1">
      <alignment horizontal="right" wrapText="1"/>
      <protection locked="0"/>
    </xf>
    <xf numFmtId="0" fontId="23" fillId="0" borderId="0" xfId="0" quotePrefix="1" applyFont="1" applyBorder="1" applyAlignment="1">
      <alignment horizontal="center"/>
    </xf>
    <xf numFmtId="182" fontId="25" fillId="7" borderId="0" xfId="0" applyNumberFormat="1" applyFont="1" applyFill="1" applyAlignment="1" applyProtection="1">
      <alignment horizontal="left"/>
      <protection locked="0"/>
    </xf>
    <xf numFmtId="6" fontId="26" fillId="19" borderId="0" xfId="1" applyNumberFormat="1" applyFont="1" applyFill="1" applyAlignment="1" applyProtection="1">
      <alignment horizontal="center"/>
      <protection locked="0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3" fillId="0" borderId="27" xfId="0" applyFont="1" applyBorder="1" applyAlignment="1">
      <alignment wrapText="1"/>
    </xf>
    <xf numFmtId="0" fontId="23" fillId="0" borderId="27" xfId="0" quotePrefix="1" applyFont="1" applyBorder="1" applyAlignment="1">
      <alignment horizontal="center"/>
    </xf>
    <xf numFmtId="0" fontId="23" fillId="0" borderId="0" xfId="0" applyFont="1" applyAlignment="1" applyProtection="1">
      <alignment wrapText="1"/>
      <protection locked="0"/>
    </xf>
    <xf numFmtId="0" fontId="23" fillId="0" borderId="0" xfId="0" quotePrefix="1" applyFont="1" applyBorder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>
      <alignment wrapText="1"/>
    </xf>
    <xf numFmtId="3" fontId="57" fillId="0" borderId="0" xfId="0" applyNumberFormat="1" applyFont="1" applyAlignment="1">
      <alignment horizontal="center" vertical="top" wrapText="1"/>
    </xf>
    <xf numFmtId="39" fontId="57" fillId="0" borderId="0" xfId="0" applyNumberFormat="1" applyFont="1" applyAlignment="1">
      <alignment horizontal="right" vertical="top" wrapText="1"/>
    </xf>
    <xf numFmtId="39" fontId="58" fillId="0" borderId="0" xfId="0" applyNumberFormat="1" applyFont="1" applyAlignment="1">
      <alignment horizontal="right" vertical="top" wrapText="1"/>
    </xf>
    <xf numFmtId="3" fontId="58" fillId="0" borderId="0" xfId="0" applyNumberFormat="1" applyFont="1" applyAlignment="1">
      <alignment horizontal="center" vertical="top" wrapText="1"/>
    </xf>
    <xf numFmtId="178" fontId="58" fillId="0" borderId="0" xfId="0" applyNumberFormat="1" applyFont="1" applyAlignment="1">
      <alignment horizontal="center" vertical="top" wrapText="1"/>
    </xf>
    <xf numFmtId="2" fontId="57" fillId="0" borderId="0" xfId="0" applyNumberFormat="1" applyFont="1" applyAlignment="1">
      <alignment horizontal="center" vertical="top" wrapText="1"/>
    </xf>
    <xf numFmtId="0" fontId="57" fillId="0" borderId="0" xfId="0" applyFont="1" applyAlignment="1">
      <alignment horizontal="center" vertical="top" wrapText="1" readingOrder="1"/>
    </xf>
    <xf numFmtId="0" fontId="57" fillId="0" borderId="0" xfId="0" applyFont="1" applyAlignment="1">
      <alignment horizontal="right" vertical="top" wrapText="1" readingOrder="1"/>
    </xf>
    <xf numFmtId="0" fontId="11" fillId="11" borderId="0" xfId="0" applyFont="1" applyFill="1" applyBorder="1" applyAlignment="1">
      <alignment horizontal="center" vertical="center"/>
    </xf>
    <xf numFmtId="0" fontId="62" fillId="17" borderId="0" xfId="5" applyFont="1" applyFill="1" applyAlignment="1">
      <alignment horizontal="left"/>
    </xf>
    <xf numFmtId="0" fontId="53" fillId="0" borderId="0" xfId="0" applyFont="1" applyAlignment="1">
      <alignment horizontal="right"/>
    </xf>
    <xf numFmtId="0" fontId="78" fillId="0" borderId="0" xfId="0" applyFont="1"/>
  </cellXfs>
  <cellStyles count="48">
    <cellStyle name="Comma" xfId="1" builtinId="3"/>
    <cellStyle name="Comma [0] 2" xfId="10"/>
    <cellStyle name="Comma 10" xfId="26"/>
    <cellStyle name="Comma 11" xfId="47"/>
    <cellStyle name="Comma 2" xfId="9"/>
    <cellStyle name="Comma 3" xfId="12"/>
    <cellStyle name="Comma 4" xfId="15"/>
    <cellStyle name="Comma 5" xfId="16"/>
    <cellStyle name="Comma 6" xfId="19"/>
    <cellStyle name="Comma 7" xfId="21"/>
    <cellStyle name="Comma 8" xfId="23"/>
    <cellStyle name="Comma 9" xfId="25"/>
    <cellStyle name="Currency" xfId="2" builtinId="4"/>
    <cellStyle name="Currency [0] 2" xfId="8"/>
    <cellStyle name="Currency 10" xfId="24"/>
    <cellStyle name="Currency 12" xfId="46"/>
    <cellStyle name="Currency 2" xfId="7"/>
    <cellStyle name="Currency 3" xfId="11"/>
    <cellStyle name="Currency 4" xfId="13"/>
    <cellStyle name="Currency 5" xfId="14"/>
    <cellStyle name="Currency 6" xfId="17"/>
    <cellStyle name="Currency 7" xfId="18"/>
    <cellStyle name="Currency 8" xfId="20"/>
    <cellStyle name="Currency 9" xfId="22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Hyperlink" xfId="3" builtinId="8"/>
    <cellStyle name="Normal" xfId="0" builtinId="0"/>
    <cellStyle name="Normal 2" xfId="5"/>
    <cellStyle name="Percent" xfId="4" builtinId="5"/>
    <cellStyle name="Percent 2" xfId="6"/>
  </cellStyles>
  <dxfs count="10">
    <dxf>
      <fill>
        <patternFill>
          <bgColor rgb="FF99FF66"/>
        </patternFill>
      </fill>
    </dxf>
    <dxf>
      <fill>
        <patternFill>
          <bgColor theme="8" tint="0.79998168889431442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9966"/>
      <color rgb="FFF48E28"/>
      <color rgb="FF00DA6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Occupancy Percentage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'2015'!$B$3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numRef>
              <c:f>'2015'!$C$3:$N$3</c:f>
              <c:numCache>
                <c:formatCode>mmm</c:formatCode>
                <c:ptCount val="12"/>
                <c:pt idx="0">
                  <c:v>40198.0</c:v>
                </c:pt>
                <c:pt idx="1">
                  <c:v>40229.0</c:v>
                </c:pt>
                <c:pt idx="2">
                  <c:v>40257.0</c:v>
                </c:pt>
                <c:pt idx="3">
                  <c:v>40288.0</c:v>
                </c:pt>
                <c:pt idx="4">
                  <c:v>40318.0</c:v>
                </c:pt>
                <c:pt idx="5">
                  <c:v>40349.0</c:v>
                </c:pt>
                <c:pt idx="6">
                  <c:v>40379.0</c:v>
                </c:pt>
                <c:pt idx="7">
                  <c:v>40410.0</c:v>
                </c:pt>
                <c:pt idx="8">
                  <c:v>40441.0</c:v>
                </c:pt>
                <c:pt idx="9">
                  <c:v>40471.0</c:v>
                </c:pt>
                <c:pt idx="10">
                  <c:v>40502.0</c:v>
                </c:pt>
                <c:pt idx="11">
                  <c:v>40532.0</c:v>
                </c:pt>
              </c:numCache>
            </c:numRef>
          </c:cat>
          <c:val>
            <c:numRef>
              <c:f>'2015'!$C$5:$N$5</c:f>
              <c:numCache>
                <c:formatCode>#,##0.0\ %;\(#,##0.0\)\ %</c:formatCode>
                <c:ptCount val="12"/>
                <c:pt idx="0">
                  <c:v>0.943</c:v>
                </c:pt>
                <c:pt idx="1">
                  <c:v>0.942</c:v>
                </c:pt>
                <c:pt idx="2">
                  <c:v>0.958</c:v>
                </c:pt>
                <c:pt idx="3">
                  <c:v>0.96</c:v>
                </c:pt>
                <c:pt idx="4">
                  <c:v>0.949</c:v>
                </c:pt>
                <c:pt idx="5">
                  <c:v>0.959</c:v>
                </c:pt>
                <c:pt idx="6">
                  <c:v>0.95</c:v>
                </c:pt>
                <c:pt idx="7">
                  <c:v>0.958</c:v>
                </c:pt>
                <c:pt idx="8">
                  <c:v>0.954</c:v>
                </c:pt>
                <c:pt idx="9">
                  <c:v>0.949</c:v>
                </c:pt>
                <c:pt idx="10">
                  <c:v>0.948</c:v>
                </c:pt>
                <c:pt idx="11">
                  <c:v>0.938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EC-452A-B1DD-0311F279CD11}"/>
            </c:ext>
          </c:extLst>
        </c:ser>
        <c:ser>
          <c:idx val="1"/>
          <c:order val="1"/>
          <c:tx>
            <c:strRef>
              <c:f>'2016'!$C$4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'2016'!$C$5:$N$5</c:f>
              <c:numCache>
                <c:formatCode>#,##0.0\ %;\(#,##0.0\)\ %</c:formatCode>
                <c:ptCount val="12"/>
                <c:pt idx="0">
                  <c:v>0.938</c:v>
                </c:pt>
                <c:pt idx="1">
                  <c:v>0.949</c:v>
                </c:pt>
                <c:pt idx="2">
                  <c:v>0.97</c:v>
                </c:pt>
                <c:pt idx="3">
                  <c:v>0.955</c:v>
                </c:pt>
                <c:pt idx="4">
                  <c:v>0.95</c:v>
                </c:pt>
                <c:pt idx="5">
                  <c:v>0.962</c:v>
                </c:pt>
                <c:pt idx="6">
                  <c:v>0.968</c:v>
                </c:pt>
                <c:pt idx="7">
                  <c:v>0.958</c:v>
                </c:pt>
                <c:pt idx="8">
                  <c:v>0.958</c:v>
                </c:pt>
                <c:pt idx="9">
                  <c:v>0.958</c:v>
                </c:pt>
                <c:pt idx="10">
                  <c:v>0.958</c:v>
                </c:pt>
                <c:pt idx="11">
                  <c:v>0.958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EC-452A-B1DD-0311F279CD11}"/>
            </c:ext>
          </c:extLst>
        </c:ser>
        <c:ser>
          <c:idx val="2"/>
          <c:order val="2"/>
          <c:tx>
            <c:strRef>
              <c:f>'2017'!$B$3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'2017'!$C$5:$N$5</c:f>
              <c:numCache>
                <c:formatCode>0.00%</c:formatCode>
                <c:ptCount val="12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0.945454545454545</c:v>
                </c:pt>
                <c:pt idx="4">
                  <c:v>0.940909090909091</c:v>
                </c:pt>
                <c:pt idx="5">
                  <c:v>0.945454545454545</c:v>
                </c:pt>
                <c:pt idx="6">
                  <c:v>0.952272727272727</c:v>
                </c:pt>
                <c:pt idx="7">
                  <c:v>0.956818181818182</c:v>
                </c:pt>
                <c:pt idx="8">
                  <c:v>0.954545454545455</c:v>
                </c:pt>
                <c:pt idx="9">
                  <c:v>0.95</c:v>
                </c:pt>
                <c:pt idx="10">
                  <c:v>0.945454545454545</c:v>
                </c:pt>
                <c:pt idx="11">
                  <c:v>0.940909090909091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EC-452A-B1DD-0311F279C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9458712"/>
        <c:axId val="-2068956520"/>
      </c:lineChart>
      <c:dateAx>
        <c:axId val="-2069458712"/>
        <c:scaling>
          <c:orientation val="minMax"/>
        </c:scaling>
        <c:delete val="0"/>
        <c:axPos val="b"/>
        <c:numFmt formatCode="mmm" sourceLinked="1"/>
        <c:majorTickMark val="out"/>
        <c:minorTickMark val="none"/>
        <c:tickLblPos val="nextTo"/>
        <c:crossAx val="-2068956520"/>
        <c:crosses val="autoZero"/>
        <c:auto val="1"/>
        <c:lblOffset val="100"/>
        <c:baseTimeUnit val="months"/>
      </c:dateAx>
      <c:valAx>
        <c:axId val="-2068956520"/>
        <c:scaling>
          <c:orientation val="minMax"/>
          <c:min val="0.91"/>
        </c:scaling>
        <c:delete val="0"/>
        <c:axPos val="l"/>
        <c:majorGridlines/>
        <c:numFmt formatCode="#,##0.0\ %;\(#,##0.0\)\ %" sourceLinked="1"/>
        <c:majorTickMark val="out"/>
        <c:minorTickMark val="none"/>
        <c:tickLblPos val="nextTo"/>
        <c:crossAx val="-20694587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49233158355205"/>
          <c:y val="0.168499709348412"/>
          <c:w val="0.442799868766404"/>
          <c:h val="0.0837171916010499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6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 Rental Income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'2015'!$B$3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numRef>
              <c:f>'2016'!$C$3:$N$3</c:f>
              <c:numCache>
                <c:formatCode>mmm</c:formatCode>
                <c:ptCount val="12"/>
                <c:pt idx="0">
                  <c:v>40198.0</c:v>
                </c:pt>
                <c:pt idx="1">
                  <c:v>40229.0</c:v>
                </c:pt>
                <c:pt idx="2">
                  <c:v>40257.0</c:v>
                </c:pt>
                <c:pt idx="3">
                  <c:v>40288.0</c:v>
                </c:pt>
                <c:pt idx="4">
                  <c:v>40318.0</c:v>
                </c:pt>
                <c:pt idx="5">
                  <c:v>40349.0</c:v>
                </c:pt>
                <c:pt idx="6">
                  <c:v>40379.0</c:v>
                </c:pt>
                <c:pt idx="7">
                  <c:v>40410.0</c:v>
                </c:pt>
                <c:pt idx="8">
                  <c:v>40441.0</c:v>
                </c:pt>
                <c:pt idx="9">
                  <c:v>40471.0</c:v>
                </c:pt>
                <c:pt idx="10">
                  <c:v>40502.0</c:v>
                </c:pt>
                <c:pt idx="11">
                  <c:v>40532.0</c:v>
                </c:pt>
              </c:numCache>
            </c:numRef>
          </c:cat>
          <c:val>
            <c:numRef>
              <c:f>'2015'!$C$18:$N$18</c:f>
              <c:numCache>
                <c:formatCode>#,##0;\(#,##0\)</c:formatCode>
                <c:ptCount val="12"/>
                <c:pt idx="0">
                  <c:v>163630.0</c:v>
                </c:pt>
                <c:pt idx="1">
                  <c:v>160912.0</c:v>
                </c:pt>
                <c:pt idx="2">
                  <c:v>153403.0</c:v>
                </c:pt>
                <c:pt idx="3">
                  <c:v>160529.0</c:v>
                </c:pt>
                <c:pt idx="4">
                  <c:v>153013.0</c:v>
                </c:pt>
                <c:pt idx="5">
                  <c:v>158898.0</c:v>
                </c:pt>
                <c:pt idx="6">
                  <c:v>159973.0</c:v>
                </c:pt>
                <c:pt idx="7">
                  <c:v>163029.0</c:v>
                </c:pt>
                <c:pt idx="8">
                  <c:v>159306.0</c:v>
                </c:pt>
                <c:pt idx="9">
                  <c:v>163398.0</c:v>
                </c:pt>
                <c:pt idx="10">
                  <c:v>162977.0</c:v>
                </c:pt>
                <c:pt idx="11">
                  <c:v>161386.0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E88-4B34-AB1E-FC2C5FFE1C62}"/>
            </c:ext>
          </c:extLst>
        </c:ser>
        <c:ser>
          <c:idx val="1"/>
          <c:order val="1"/>
          <c:tx>
            <c:strRef>
              <c:f>'2016'!$B$3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5">
                  <a:alpha val="55000"/>
                </a:schemeClr>
              </a:solidFill>
            </a:ln>
          </c:spPr>
          <c:marker>
            <c:symbol val="none"/>
          </c:marker>
          <c:cat>
            <c:numRef>
              <c:f>'2016'!$C$3:$N$3</c:f>
              <c:numCache>
                <c:formatCode>mmm</c:formatCode>
                <c:ptCount val="12"/>
                <c:pt idx="0">
                  <c:v>40198.0</c:v>
                </c:pt>
                <c:pt idx="1">
                  <c:v>40229.0</c:v>
                </c:pt>
                <c:pt idx="2">
                  <c:v>40257.0</c:v>
                </c:pt>
                <c:pt idx="3">
                  <c:v>40288.0</c:v>
                </c:pt>
                <c:pt idx="4">
                  <c:v>40318.0</c:v>
                </c:pt>
                <c:pt idx="5">
                  <c:v>40349.0</c:v>
                </c:pt>
                <c:pt idx="6">
                  <c:v>40379.0</c:v>
                </c:pt>
                <c:pt idx="7">
                  <c:v>40410.0</c:v>
                </c:pt>
                <c:pt idx="8">
                  <c:v>40441.0</c:v>
                </c:pt>
                <c:pt idx="9">
                  <c:v>40471.0</c:v>
                </c:pt>
                <c:pt idx="10">
                  <c:v>40502.0</c:v>
                </c:pt>
                <c:pt idx="11">
                  <c:v>40532.0</c:v>
                </c:pt>
              </c:numCache>
            </c:numRef>
          </c:cat>
          <c:val>
            <c:numRef>
              <c:f>'2016'!$C$18:$N$18</c:f>
              <c:numCache>
                <c:formatCode>#,##0;\(#,##0\)</c:formatCode>
                <c:ptCount val="12"/>
                <c:pt idx="0">
                  <c:v>157622.0</c:v>
                </c:pt>
                <c:pt idx="1">
                  <c:v>168948.0</c:v>
                </c:pt>
                <c:pt idx="2">
                  <c:v>174051.0</c:v>
                </c:pt>
                <c:pt idx="3">
                  <c:v>168375.0</c:v>
                </c:pt>
                <c:pt idx="4">
                  <c:v>164104.0</c:v>
                </c:pt>
                <c:pt idx="5">
                  <c:v>171064.0</c:v>
                </c:pt>
                <c:pt idx="6">
                  <c:v>173938.0</c:v>
                </c:pt>
                <c:pt idx="7">
                  <c:v>163365.0</c:v>
                </c:pt>
                <c:pt idx="8">
                  <c:v>163365.0</c:v>
                </c:pt>
                <c:pt idx="9">
                  <c:v>163365.0</c:v>
                </c:pt>
                <c:pt idx="10">
                  <c:v>163365.0</c:v>
                </c:pt>
                <c:pt idx="11">
                  <c:v>163365.0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88-4B34-AB1E-FC2C5FFE1C62}"/>
            </c:ext>
          </c:extLst>
        </c:ser>
        <c:ser>
          <c:idx val="2"/>
          <c:order val="2"/>
          <c:tx>
            <c:strRef>
              <c:f>'2017'!$B$3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'2016'!$C$3:$N$3</c:f>
              <c:numCache>
                <c:formatCode>mmm</c:formatCode>
                <c:ptCount val="12"/>
                <c:pt idx="0">
                  <c:v>40198.0</c:v>
                </c:pt>
                <c:pt idx="1">
                  <c:v>40229.0</c:v>
                </c:pt>
                <c:pt idx="2">
                  <c:v>40257.0</c:v>
                </c:pt>
                <c:pt idx="3">
                  <c:v>40288.0</c:v>
                </c:pt>
                <c:pt idx="4">
                  <c:v>40318.0</c:v>
                </c:pt>
                <c:pt idx="5">
                  <c:v>40349.0</c:v>
                </c:pt>
                <c:pt idx="6">
                  <c:v>40379.0</c:v>
                </c:pt>
                <c:pt idx="7">
                  <c:v>40410.0</c:v>
                </c:pt>
                <c:pt idx="8">
                  <c:v>40441.0</c:v>
                </c:pt>
                <c:pt idx="9">
                  <c:v>40471.0</c:v>
                </c:pt>
                <c:pt idx="10">
                  <c:v>40502.0</c:v>
                </c:pt>
                <c:pt idx="11">
                  <c:v>40532.0</c:v>
                </c:pt>
              </c:numCache>
            </c:numRef>
          </c:cat>
          <c:val>
            <c:numRef>
              <c:f>'2017'!$C$22:$N$22</c:f>
              <c:numCache>
                <c:formatCode>#,##0</c:formatCode>
                <c:ptCount val="12"/>
                <c:pt idx="0">
                  <c:v>225734.0</c:v>
                </c:pt>
                <c:pt idx="1">
                  <c:v>227034.0</c:v>
                </c:pt>
                <c:pt idx="2">
                  <c:v>228334.0</c:v>
                </c:pt>
                <c:pt idx="3">
                  <c:v>229094.4545454545</c:v>
                </c:pt>
                <c:pt idx="4">
                  <c:v>229629.9090909091</c:v>
                </c:pt>
                <c:pt idx="5">
                  <c:v>232344.4545454545</c:v>
                </c:pt>
                <c:pt idx="6">
                  <c:v>235528.7727272727</c:v>
                </c:pt>
                <c:pt idx="7">
                  <c:v>238168.3181818182</c:v>
                </c:pt>
                <c:pt idx="8">
                  <c:v>237173.5454545455</c:v>
                </c:pt>
                <c:pt idx="9">
                  <c:v>237009.0</c:v>
                </c:pt>
                <c:pt idx="10">
                  <c:v>236844.4545454545</c:v>
                </c:pt>
                <c:pt idx="11">
                  <c:v>236604.9090909091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E88-4B34-AB1E-FC2C5FFE1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0852664"/>
        <c:axId val="-2069088280"/>
      </c:lineChart>
      <c:dateAx>
        <c:axId val="-2070852664"/>
        <c:scaling>
          <c:orientation val="minMax"/>
        </c:scaling>
        <c:delete val="0"/>
        <c:axPos val="b"/>
        <c:numFmt formatCode="mmm" sourceLinked="1"/>
        <c:majorTickMark val="out"/>
        <c:minorTickMark val="none"/>
        <c:tickLblPos val="nextTo"/>
        <c:crossAx val="-2069088280"/>
        <c:crosses val="autoZero"/>
        <c:auto val="1"/>
        <c:lblOffset val="100"/>
        <c:baseTimeUnit val="months"/>
      </c:dateAx>
      <c:valAx>
        <c:axId val="-2069088280"/>
        <c:scaling>
          <c:orientation val="minMax"/>
        </c:scaling>
        <c:delete val="0"/>
        <c:axPos val="l"/>
        <c:majorGridlines/>
        <c:numFmt formatCode="#,##0;\(#,##0\)" sourceLinked="1"/>
        <c:majorTickMark val="out"/>
        <c:minorTickMark val="none"/>
        <c:tickLblPos val="nextTo"/>
        <c:crossAx val="-20708526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84155511811024"/>
          <c:y val="0.160017262942803"/>
          <c:w val="0.442799868766404"/>
          <c:h val="0.0837171916010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6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" l="0.700000000000001" r="0.700000000000001" t="0.750000000000001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Expiring Leases by Month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'2015'!$B$3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Setup!$M$66:$X$66</c:f>
              <c:numCache>
                <c:formatCode>General</c:formatCode>
                <c:ptCount val="12"/>
                <c:pt idx="0">
                  <c:v>18.0</c:v>
                </c:pt>
                <c:pt idx="1">
                  <c:v>17.0</c:v>
                </c:pt>
                <c:pt idx="2">
                  <c:v>22.0</c:v>
                </c:pt>
                <c:pt idx="3">
                  <c:v>14.0</c:v>
                </c:pt>
                <c:pt idx="4">
                  <c:v>6.0</c:v>
                </c:pt>
                <c:pt idx="5">
                  <c:v>17.0</c:v>
                </c:pt>
                <c:pt idx="6">
                  <c:v>28.0</c:v>
                </c:pt>
                <c:pt idx="7">
                  <c:v>8.0</c:v>
                </c:pt>
                <c:pt idx="8">
                  <c:v>11.0</c:v>
                </c:pt>
                <c:pt idx="9">
                  <c:v>8.0</c:v>
                </c:pt>
                <c:pt idx="10">
                  <c:v>3.0</c:v>
                </c:pt>
                <c:pt idx="1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20-4F40-A5B6-052E6113FC3E}"/>
            </c:ext>
          </c:extLst>
        </c:ser>
        <c:ser>
          <c:idx val="2"/>
          <c:order val="1"/>
          <c:tx>
            <c:strRef>
              <c:f>'2016'!$B$3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alpha val="54000"/>
              </a:schemeClr>
            </a:solidFill>
          </c:spPr>
          <c:invertIfNegative val="0"/>
          <c:val>
            <c:numRef>
              <c:f>Setup!$M$67:$X$67</c:f>
              <c:numCache>
                <c:formatCode>General</c:formatCode>
                <c:ptCount val="12"/>
                <c:pt idx="0">
                  <c:v>22.0</c:v>
                </c:pt>
                <c:pt idx="1">
                  <c:v>13.0</c:v>
                </c:pt>
                <c:pt idx="2">
                  <c:v>23.0</c:v>
                </c:pt>
                <c:pt idx="3">
                  <c:v>11.0</c:v>
                </c:pt>
                <c:pt idx="4">
                  <c:v>11.0</c:v>
                </c:pt>
                <c:pt idx="5">
                  <c:v>11.0</c:v>
                </c:pt>
                <c:pt idx="6">
                  <c:v>37.0</c:v>
                </c:pt>
                <c:pt idx="7">
                  <c:v>4.0</c:v>
                </c:pt>
                <c:pt idx="8">
                  <c:v>7.0</c:v>
                </c:pt>
                <c:pt idx="9">
                  <c:v>9.0</c:v>
                </c:pt>
                <c:pt idx="10">
                  <c:v>1.0</c:v>
                </c:pt>
                <c:pt idx="1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20-4F40-A5B6-052E6113FC3E}"/>
            </c:ext>
          </c:extLst>
        </c:ser>
        <c:ser>
          <c:idx val="1"/>
          <c:order val="2"/>
          <c:tx>
            <c:strRef>
              <c:f>'2017'!$B$3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'2016'!$C$3:$N$3</c:f>
              <c:numCache>
                <c:formatCode>mmm</c:formatCode>
                <c:ptCount val="12"/>
                <c:pt idx="0">
                  <c:v>40198.0</c:v>
                </c:pt>
                <c:pt idx="1">
                  <c:v>40229.0</c:v>
                </c:pt>
                <c:pt idx="2">
                  <c:v>40257.0</c:v>
                </c:pt>
                <c:pt idx="3">
                  <c:v>40288.0</c:v>
                </c:pt>
                <c:pt idx="4">
                  <c:v>40318.0</c:v>
                </c:pt>
                <c:pt idx="5">
                  <c:v>40349.0</c:v>
                </c:pt>
                <c:pt idx="6">
                  <c:v>40379.0</c:v>
                </c:pt>
                <c:pt idx="7">
                  <c:v>40410.0</c:v>
                </c:pt>
                <c:pt idx="8">
                  <c:v>40441.0</c:v>
                </c:pt>
                <c:pt idx="9">
                  <c:v>40471.0</c:v>
                </c:pt>
                <c:pt idx="10">
                  <c:v>40502.0</c:v>
                </c:pt>
                <c:pt idx="11">
                  <c:v>40532.0</c:v>
                </c:pt>
              </c:numCache>
            </c:numRef>
          </c:cat>
          <c:val>
            <c:numRef>
              <c:f>Setup!$M$53:$X$53</c:f>
              <c:numCache>
                <c:formatCode>General</c:formatCode>
                <c:ptCount val="12"/>
                <c:pt idx="0">
                  <c:v>20.0</c:v>
                </c:pt>
                <c:pt idx="1">
                  <c:v>20.0</c:v>
                </c:pt>
                <c:pt idx="2">
                  <c:v>20.0</c:v>
                </c:pt>
                <c:pt idx="3">
                  <c:v>25.0</c:v>
                </c:pt>
                <c:pt idx="4">
                  <c:v>25.0</c:v>
                </c:pt>
                <c:pt idx="5">
                  <c:v>25.0</c:v>
                </c:pt>
                <c:pt idx="6">
                  <c:v>20.0</c:v>
                </c:pt>
                <c:pt idx="7">
                  <c:v>20.0</c:v>
                </c:pt>
                <c:pt idx="8">
                  <c:v>20.0</c:v>
                </c:pt>
                <c:pt idx="9">
                  <c:v>15.0</c:v>
                </c:pt>
                <c:pt idx="10">
                  <c:v>15.0</c:v>
                </c:pt>
                <c:pt idx="11">
                  <c:v>10.0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20-4F40-A5B6-052E6113F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747656"/>
        <c:axId val="-2069220088"/>
      </c:barChart>
      <c:catAx>
        <c:axId val="-2070747656"/>
        <c:scaling>
          <c:orientation val="minMax"/>
        </c:scaling>
        <c:delete val="0"/>
        <c:axPos val="b"/>
        <c:numFmt formatCode="mmm" sourceLinked="1"/>
        <c:majorTickMark val="out"/>
        <c:minorTickMark val="none"/>
        <c:tickLblPos val="nextTo"/>
        <c:crossAx val="-2069220088"/>
        <c:crosses val="autoZero"/>
        <c:auto val="1"/>
        <c:lblAlgn val="ctr"/>
        <c:lblOffset val="100"/>
        <c:noMultiLvlLbl val="1"/>
      </c:catAx>
      <c:valAx>
        <c:axId val="-2069220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07476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gradFill>
      <a:gsLst>
        <a:gs pos="0">
          <a:schemeClr val="accent6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Expenses per Unit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'2015'!$B$3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Help!$B$101</c:f>
              <c:strCache>
                <c:ptCount val="1"/>
                <c:pt idx="0">
                  <c:v>  Per Unit per Year</c:v>
                </c:pt>
              </c:strCache>
            </c:strRef>
          </c:cat>
          <c:val>
            <c:numRef>
              <c:f>Help!$F$101</c:f>
              <c:numCache>
                <c:formatCode>_(* #,##0_);_(* \(#,##0\);_(* "-"??_);_(@_)</c:formatCode>
                <c:ptCount val="1"/>
                <c:pt idx="0">
                  <c:v>4046.013636363637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44-46CC-B0FA-1D983F12386F}"/>
            </c:ext>
          </c:extLst>
        </c:ser>
        <c:ser>
          <c:idx val="2"/>
          <c:order val="1"/>
          <c:tx>
            <c:strRef>
              <c:f>'2016'!$B$3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alpha val="5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Help!$B$101</c:f>
              <c:strCache>
                <c:ptCount val="1"/>
                <c:pt idx="0">
                  <c:v>  Per Unit per Year</c:v>
                </c:pt>
              </c:strCache>
            </c:strRef>
          </c:cat>
          <c:val>
            <c:numRef>
              <c:f>Help!$D$101</c:f>
              <c:numCache>
                <c:formatCode>_(* #,##0_);_(* \(#,##0\);_(* "-"??_);_(@_)</c:formatCode>
                <c:ptCount val="1"/>
                <c:pt idx="0">
                  <c:v>3936.918181818182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44-46CC-B0FA-1D983F12386F}"/>
            </c:ext>
          </c:extLst>
        </c:ser>
        <c:ser>
          <c:idx val="1"/>
          <c:order val="2"/>
          <c:tx>
            <c:strRef>
              <c:f>'2017'!$B$3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Help!$B$101</c:f>
              <c:strCache>
                <c:ptCount val="1"/>
                <c:pt idx="0">
                  <c:v>  Per Unit per Year</c:v>
                </c:pt>
              </c:strCache>
            </c:strRef>
          </c:cat>
          <c:val>
            <c:numRef>
              <c:f>Help!$C$108</c:f>
              <c:numCache>
                <c:formatCode>_(* #,##0_);_(* \(#,##0\);_(* "-"??_);_(@_)</c:formatCode>
                <c:ptCount val="1"/>
                <c:pt idx="0">
                  <c:v>3079.277666115703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A44-46CC-B0FA-1D983F123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0637080"/>
        <c:axId val="-2069351848"/>
      </c:barChart>
      <c:catAx>
        <c:axId val="-2070637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9351848"/>
        <c:crosses val="autoZero"/>
        <c:auto val="1"/>
        <c:lblAlgn val="ctr"/>
        <c:lblOffset val="100"/>
        <c:noMultiLvlLbl val="1"/>
      </c:catAx>
      <c:valAx>
        <c:axId val="-20693518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-20706370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gradFill>
      <a:gsLst>
        <a:gs pos="0">
          <a:schemeClr val="accent6">
            <a:lumMod val="20000"/>
            <a:lumOff val="8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Documents%20and%20Settings\SSeegmiller\Local%20Settings\Temporary%20Internet%20Files\Content.IE5\resources\images\ia-app\misc\trans.gif" TargetMode="External"/><Relationship Id="rId2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Documents%20and%20Settings\SSeegmiller\Local%20Settings\Temporary%20Internet%20Files\Content.IE5\resources\images\ia-app\misc\trans.gif" TargetMode="External"/><Relationship Id="rId2" Type="http://schemas.openxmlformats.org/officeDocument/2006/relationships/image" Target="file:///C:\Documents%20and%20Settings\SSeegmiller\Local%20Settings\Temporary%20Internet%20Files\Content.IE5\resources\images\ia-app\misc\blackpixel.gif" TargetMode="External"/><Relationship Id="rId3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4" Type="http://schemas.openxmlformats.org/officeDocument/2006/relationships/image" Target="../media/image10.png"/><Relationship Id="rId5" Type="http://schemas.openxmlformats.org/officeDocument/2006/relationships/image" Target="../media/image11.png"/><Relationship Id="rId6" Type="http://schemas.openxmlformats.org/officeDocument/2006/relationships/image" Target="../media/image12.png"/><Relationship Id="rId1" Type="http://schemas.openxmlformats.org/officeDocument/2006/relationships/image" Target="../media/image7.png"/><Relationship Id="rId2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15</xdr:col>
      <xdr:colOff>55490</xdr:colOff>
      <xdr:row>38</xdr:row>
      <xdr:rowOff>123691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86500"/>
          <a:ext cx="13285715" cy="10761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85725</xdr:rowOff>
    </xdr:from>
    <xdr:to>
      <xdr:col>16</xdr:col>
      <xdr:colOff>388747</xdr:colOff>
      <xdr:row>32</xdr:row>
      <xdr:rowOff>177692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19725"/>
          <a:ext cx="14228572" cy="8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1000125</xdr:colOff>
      <xdr:row>113</xdr:row>
      <xdr:rowOff>9525</xdr:rowOff>
    </xdr:from>
    <xdr:to>
      <xdr:col>1</xdr:col>
      <xdr:colOff>3257268</xdr:colOff>
      <xdr:row>144</xdr:row>
      <xdr:rowOff>56406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81200" y="21650325"/>
          <a:ext cx="2257143" cy="59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3267075</xdr:colOff>
      <xdr:row>113</xdr:row>
      <xdr:rowOff>19050</xdr:rowOff>
    </xdr:from>
    <xdr:to>
      <xdr:col>2</xdr:col>
      <xdr:colOff>9458</xdr:colOff>
      <xdr:row>143</xdr:row>
      <xdr:rowOff>75479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48150" y="21659850"/>
          <a:ext cx="533333" cy="57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1</xdr:rowOff>
    </xdr:from>
    <xdr:to>
      <xdr:col>4</xdr:col>
      <xdr:colOff>657225</xdr:colOff>
      <xdr:row>68</xdr:row>
      <xdr:rowOff>7585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0086976"/>
          <a:ext cx="6848475" cy="286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0</xdr:rowOff>
    </xdr:from>
    <xdr:to>
      <xdr:col>8</xdr:col>
      <xdr:colOff>390524</xdr:colOff>
      <xdr:row>1</xdr:row>
      <xdr:rowOff>104775</xdr:rowOff>
    </xdr:to>
    <xdr:pic>
      <xdr:nvPicPr>
        <xdr:cNvPr id="4901" name="Picture 1" descr="WestCorp75.gif">
          <a:extLst>
            <a:ext uri="{FF2B5EF4-FFF2-40B4-BE49-F238E27FC236}">
              <a16:creationId xmlns:a16="http://schemas.microsoft.com/office/drawing/2014/main" xmlns="" id="{00000000-0008-0000-0100-00002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0"/>
          <a:ext cx="1076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324</xdr:row>
      <xdr:rowOff>0</xdr:rowOff>
    </xdr:from>
    <xdr:to>
      <xdr:col>2</xdr:col>
      <xdr:colOff>142875</xdr:colOff>
      <xdr:row>324</xdr:row>
      <xdr:rowOff>9525</xdr:rowOff>
    </xdr:to>
    <xdr:pic>
      <xdr:nvPicPr>
        <xdr:cNvPr id="323172" name="Picture 130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200-000064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37785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142875</xdr:colOff>
      <xdr:row>324</xdr:row>
      <xdr:rowOff>9525</xdr:rowOff>
    </xdr:to>
    <xdr:pic>
      <xdr:nvPicPr>
        <xdr:cNvPr id="323173" name="Picture 1311" descr="C:\Documents and Settings\SSeegmiller\Local Settings\Temporary Internet Files\Content.IE5\resources\images\ia-app\misc\trans.gif" hidden="1">
          <a:extLst>
            <a:ext uri="{FF2B5EF4-FFF2-40B4-BE49-F238E27FC236}">
              <a16:creationId xmlns:a16="http://schemas.microsoft.com/office/drawing/2014/main" xmlns="" id="{00000000-0008-0000-0200-000065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37785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142875</xdr:colOff>
      <xdr:row>324</xdr:row>
      <xdr:rowOff>9525</xdr:rowOff>
    </xdr:to>
    <xdr:pic>
      <xdr:nvPicPr>
        <xdr:cNvPr id="323174" name="Picture 1312" descr="C:\Documents and Settings\SSeegmiller\Local Settings\Temporary Internet Files\Content.IE5\resources\images\ia-app\misc\trans.gif" hidden="1">
          <a:extLst>
            <a:ext uri="{FF2B5EF4-FFF2-40B4-BE49-F238E27FC236}">
              <a16:creationId xmlns:a16="http://schemas.microsoft.com/office/drawing/2014/main" xmlns="" id="{00000000-0008-0000-0200-000066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37785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142875</xdr:colOff>
      <xdr:row>324</xdr:row>
      <xdr:rowOff>9525</xdr:rowOff>
    </xdr:to>
    <xdr:pic>
      <xdr:nvPicPr>
        <xdr:cNvPr id="323175" name="Picture 1313" descr="C:\Documents and Settings\SSeegmiller\Local Settings\Temporary Internet Files\Content.IE5\resources\images\ia-app\misc\trans.gif" hidden="1">
          <a:extLst>
            <a:ext uri="{FF2B5EF4-FFF2-40B4-BE49-F238E27FC236}">
              <a16:creationId xmlns:a16="http://schemas.microsoft.com/office/drawing/2014/main" xmlns="" id="{00000000-0008-0000-0200-000067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37785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142875</xdr:colOff>
      <xdr:row>324</xdr:row>
      <xdr:rowOff>9525</xdr:rowOff>
    </xdr:to>
    <xdr:pic>
      <xdr:nvPicPr>
        <xdr:cNvPr id="323176" name="Picture 1314" descr="C:\Documents and Settings\SSeegmiller\Local Settings\Temporary Internet Files\Content.IE5\resources\images\ia-app\misc\trans.gif" hidden="1">
          <a:extLst>
            <a:ext uri="{FF2B5EF4-FFF2-40B4-BE49-F238E27FC236}">
              <a16:creationId xmlns:a16="http://schemas.microsoft.com/office/drawing/2014/main" xmlns="" id="{00000000-0008-0000-0200-000068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37785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142875</xdr:colOff>
      <xdr:row>324</xdr:row>
      <xdr:rowOff>9525</xdr:rowOff>
    </xdr:to>
    <xdr:pic>
      <xdr:nvPicPr>
        <xdr:cNvPr id="323177" name="Picture 1315" descr="C:\Documents and Settings\SSeegmiller\Local Settings\Temporary Internet Files\Content.IE5\resources\images\ia-app\misc\trans.gif" hidden="1">
          <a:extLst>
            <a:ext uri="{FF2B5EF4-FFF2-40B4-BE49-F238E27FC236}">
              <a16:creationId xmlns:a16="http://schemas.microsoft.com/office/drawing/2014/main" xmlns="" id="{00000000-0008-0000-0200-000069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37785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619125</xdr:colOff>
      <xdr:row>3</xdr:row>
      <xdr:rowOff>123825</xdr:rowOff>
    </xdr:to>
    <xdr:pic>
      <xdr:nvPicPr>
        <xdr:cNvPr id="323178" name="Picture 1" descr="WestCorp75.gif">
          <a:extLst>
            <a:ext uri="{FF2B5EF4-FFF2-40B4-BE49-F238E27FC236}">
              <a16:creationId xmlns:a16="http://schemas.microsoft.com/office/drawing/2014/main" xmlns="" id="{00000000-0008-0000-0200-00006AEE0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50"/>
          <a:ext cx="1076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142875</xdr:colOff>
      <xdr:row>323</xdr:row>
      <xdr:rowOff>9525</xdr:rowOff>
    </xdr:to>
    <xdr:pic>
      <xdr:nvPicPr>
        <xdr:cNvPr id="323179" name="Picture 130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200-00006B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24450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142875</xdr:colOff>
      <xdr:row>323</xdr:row>
      <xdr:rowOff>9525</xdr:rowOff>
    </xdr:to>
    <xdr:pic>
      <xdr:nvPicPr>
        <xdr:cNvPr id="323180" name="Picture 130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200-00006C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24450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142875</xdr:colOff>
      <xdr:row>323</xdr:row>
      <xdr:rowOff>9525</xdr:rowOff>
    </xdr:to>
    <xdr:pic>
      <xdr:nvPicPr>
        <xdr:cNvPr id="323181" name="Picture 130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200-00006D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24450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142875</xdr:colOff>
      <xdr:row>323</xdr:row>
      <xdr:rowOff>9525</xdr:rowOff>
    </xdr:to>
    <xdr:pic>
      <xdr:nvPicPr>
        <xdr:cNvPr id="323182" name="Picture 130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200-00006E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24450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142875</xdr:colOff>
      <xdr:row>323</xdr:row>
      <xdr:rowOff>9525</xdr:rowOff>
    </xdr:to>
    <xdr:pic>
      <xdr:nvPicPr>
        <xdr:cNvPr id="323183" name="Picture 130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200-00006F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24450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142875</xdr:colOff>
      <xdr:row>323</xdr:row>
      <xdr:rowOff>9525</xdr:rowOff>
    </xdr:to>
    <xdr:pic>
      <xdr:nvPicPr>
        <xdr:cNvPr id="323184" name="Picture 130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200-000070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24450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142875</xdr:colOff>
      <xdr:row>323</xdr:row>
      <xdr:rowOff>9525</xdr:rowOff>
    </xdr:to>
    <xdr:pic>
      <xdr:nvPicPr>
        <xdr:cNvPr id="323185" name="Picture 130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200-000071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24450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142875</xdr:colOff>
      <xdr:row>323</xdr:row>
      <xdr:rowOff>9525</xdr:rowOff>
    </xdr:to>
    <xdr:pic>
      <xdr:nvPicPr>
        <xdr:cNvPr id="323186" name="Picture 131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200-000072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24450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142875</xdr:colOff>
      <xdr:row>323</xdr:row>
      <xdr:rowOff>9525</xdr:rowOff>
    </xdr:to>
    <xdr:pic>
      <xdr:nvPicPr>
        <xdr:cNvPr id="323187" name="Picture 1311" descr="C:\Documents and Settings\SSeegmiller\Local Settings\Temporary Internet Files\Content.IE5\resources\images\ia-app\misc\trans.gif" hidden="1">
          <a:extLst>
            <a:ext uri="{FF2B5EF4-FFF2-40B4-BE49-F238E27FC236}">
              <a16:creationId xmlns:a16="http://schemas.microsoft.com/office/drawing/2014/main" xmlns="" id="{00000000-0008-0000-0200-000073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24450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142875</xdr:colOff>
      <xdr:row>323</xdr:row>
      <xdr:rowOff>9525</xdr:rowOff>
    </xdr:to>
    <xdr:pic>
      <xdr:nvPicPr>
        <xdr:cNvPr id="323188" name="Picture 1312" descr="C:\Documents and Settings\SSeegmiller\Local Settings\Temporary Internet Files\Content.IE5\resources\images\ia-app\misc\trans.gif" hidden="1">
          <a:extLst>
            <a:ext uri="{FF2B5EF4-FFF2-40B4-BE49-F238E27FC236}">
              <a16:creationId xmlns:a16="http://schemas.microsoft.com/office/drawing/2014/main" xmlns="" id="{00000000-0008-0000-0200-000074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24450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142875</xdr:colOff>
      <xdr:row>323</xdr:row>
      <xdr:rowOff>9525</xdr:rowOff>
    </xdr:to>
    <xdr:pic>
      <xdr:nvPicPr>
        <xdr:cNvPr id="323189" name="Picture 1313" descr="C:\Documents and Settings\SSeegmiller\Local Settings\Temporary Internet Files\Content.IE5\resources\images\ia-app\misc\trans.gif" hidden="1">
          <a:extLst>
            <a:ext uri="{FF2B5EF4-FFF2-40B4-BE49-F238E27FC236}">
              <a16:creationId xmlns:a16="http://schemas.microsoft.com/office/drawing/2014/main" xmlns="" id="{00000000-0008-0000-0200-000075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24450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142875</xdr:colOff>
      <xdr:row>323</xdr:row>
      <xdr:rowOff>9525</xdr:rowOff>
    </xdr:to>
    <xdr:pic>
      <xdr:nvPicPr>
        <xdr:cNvPr id="323190" name="Picture 1314" descr="C:\Documents and Settings\SSeegmiller\Local Settings\Temporary Internet Files\Content.IE5\resources\images\ia-app\misc\trans.gif" hidden="1">
          <a:extLst>
            <a:ext uri="{FF2B5EF4-FFF2-40B4-BE49-F238E27FC236}">
              <a16:creationId xmlns:a16="http://schemas.microsoft.com/office/drawing/2014/main" xmlns="" id="{00000000-0008-0000-0200-000076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24450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142875</xdr:colOff>
      <xdr:row>323</xdr:row>
      <xdr:rowOff>9525</xdr:rowOff>
    </xdr:to>
    <xdr:pic>
      <xdr:nvPicPr>
        <xdr:cNvPr id="323191" name="Picture 1315" descr="C:\Documents and Settings\SSeegmiller\Local Settings\Temporary Internet Files\Content.IE5\resources\images\ia-app\misc\trans.gif" hidden="1">
          <a:extLst>
            <a:ext uri="{FF2B5EF4-FFF2-40B4-BE49-F238E27FC236}">
              <a16:creationId xmlns:a16="http://schemas.microsoft.com/office/drawing/2014/main" xmlns="" id="{00000000-0008-0000-0200-000077E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57200" y="5124450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9525</xdr:rowOff>
    </xdr:to>
    <xdr:pic>
      <xdr:nvPicPr>
        <xdr:cNvPr id="356154" name="Picture 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A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9525</xdr:rowOff>
    </xdr:to>
    <xdr:pic>
      <xdr:nvPicPr>
        <xdr:cNvPr id="356155" name="Picture 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B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156" name="Picture 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C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157" name="Picture 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D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158" name="Picture 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E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159" name="Picture 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F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160" name="Picture 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0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161" name="Picture 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1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162" name="Picture 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2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163" name="Picture 1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3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164" name="Picture 1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4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165" name="Picture 1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5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166" name="Picture 1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6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167" name="Picture 1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7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168" name="Picture 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8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169" name="Picture 1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9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9525</xdr:rowOff>
    </xdr:to>
    <xdr:pic>
      <xdr:nvPicPr>
        <xdr:cNvPr id="356170" name="Picture 1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A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9525</xdr:rowOff>
    </xdr:to>
    <xdr:pic>
      <xdr:nvPicPr>
        <xdr:cNvPr id="356171" name="Picture 1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B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9525</xdr:rowOff>
    </xdr:to>
    <xdr:pic>
      <xdr:nvPicPr>
        <xdr:cNvPr id="356172" name="Picture 1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C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9525</xdr:rowOff>
    </xdr:to>
    <xdr:pic>
      <xdr:nvPicPr>
        <xdr:cNvPr id="356173" name="Picture 2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D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9525</xdr:rowOff>
    </xdr:to>
    <xdr:pic>
      <xdr:nvPicPr>
        <xdr:cNvPr id="356174" name="Picture 2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E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9525</xdr:rowOff>
    </xdr:to>
    <xdr:pic>
      <xdr:nvPicPr>
        <xdr:cNvPr id="356175" name="Picture 2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F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9525</xdr:rowOff>
    </xdr:to>
    <xdr:pic>
      <xdr:nvPicPr>
        <xdr:cNvPr id="356176" name="Picture 2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0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177" name="Picture 2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1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178" name="Picture 2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2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179" name="Picture 2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3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180" name="Picture 2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4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181" name="Picture 2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5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182" name="Picture 2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6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183" name="Picture 3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7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184" name="Picture 3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8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185" name="Picture 3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9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186" name="Picture 3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A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187" name="Picture 3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B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188" name="Picture 3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C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189" name="Picture 3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D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190" name="Picture 3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E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9525</xdr:rowOff>
    </xdr:to>
    <xdr:pic>
      <xdr:nvPicPr>
        <xdr:cNvPr id="356191" name="Picture 3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F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142875</xdr:colOff>
      <xdr:row>0</xdr:row>
      <xdr:rowOff>9525</xdr:rowOff>
    </xdr:to>
    <xdr:pic>
      <xdr:nvPicPr>
        <xdr:cNvPr id="356192" name="Picture 3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0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142875</xdr:colOff>
      <xdr:row>0</xdr:row>
      <xdr:rowOff>9525</xdr:rowOff>
    </xdr:to>
    <xdr:pic>
      <xdr:nvPicPr>
        <xdr:cNvPr id="356193" name="Picture 4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1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142875</xdr:colOff>
      <xdr:row>0</xdr:row>
      <xdr:rowOff>9525</xdr:rowOff>
    </xdr:to>
    <xdr:pic>
      <xdr:nvPicPr>
        <xdr:cNvPr id="356194" name="Picture 4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2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142875</xdr:colOff>
      <xdr:row>0</xdr:row>
      <xdr:rowOff>9525</xdr:rowOff>
    </xdr:to>
    <xdr:pic>
      <xdr:nvPicPr>
        <xdr:cNvPr id="356195" name="Picture 4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3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142875</xdr:colOff>
      <xdr:row>0</xdr:row>
      <xdr:rowOff>9525</xdr:rowOff>
    </xdr:to>
    <xdr:pic>
      <xdr:nvPicPr>
        <xdr:cNvPr id="356196" name="Picture 4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4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142875</xdr:colOff>
      <xdr:row>0</xdr:row>
      <xdr:rowOff>9525</xdr:rowOff>
    </xdr:to>
    <xdr:pic>
      <xdr:nvPicPr>
        <xdr:cNvPr id="356197" name="Picture 4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5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142875</xdr:colOff>
      <xdr:row>0</xdr:row>
      <xdr:rowOff>9525</xdr:rowOff>
    </xdr:to>
    <xdr:pic>
      <xdr:nvPicPr>
        <xdr:cNvPr id="356198" name="Picture 4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6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142875</xdr:colOff>
      <xdr:row>0</xdr:row>
      <xdr:rowOff>9525</xdr:rowOff>
    </xdr:to>
    <xdr:pic>
      <xdr:nvPicPr>
        <xdr:cNvPr id="356199" name="Picture 4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7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142875</xdr:colOff>
      <xdr:row>0</xdr:row>
      <xdr:rowOff>9525</xdr:rowOff>
    </xdr:to>
    <xdr:pic>
      <xdr:nvPicPr>
        <xdr:cNvPr id="356200" name="Picture 4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8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142875</xdr:colOff>
      <xdr:row>0</xdr:row>
      <xdr:rowOff>9525</xdr:rowOff>
    </xdr:to>
    <xdr:pic>
      <xdr:nvPicPr>
        <xdr:cNvPr id="356201" name="Picture 4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9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142875</xdr:colOff>
      <xdr:row>0</xdr:row>
      <xdr:rowOff>9525</xdr:rowOff>
    </xdr:to>
    <xdr:pic>
      <xdr:nvPicPr>
        <xdr:cNvPr id="356202" name="Picture 4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A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142875</xdr:colOff>
      <xdr:row>0</xdr:row>
      <xdr:rowOff>9525</xdr:rowOff>
    </xdr:to>
    <xdr:pic>
      <xdr:nvPicPr>
        <xdr:cNvPr id="356203" name="Picture 5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B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142875</xdr:colOff>
      <xdr:row>0</xdr:row>
      <xdr:rowOff>9525</xdr:rowOff>
    </xdr:to>
    <xdr:pic>
      <xdr:nvPicPr>
        <xdr:cNvPr id="356204" name="Picture 5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C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142875</xdr:colOff>
      <xdr:row>0</xdr:row>
      <xdr:rowOff>9525</xdr:rowOff>
    </xdr:to>
    <xdr:pic>
      <xdr:nvPicPr>
        <xdr:cNvPr id="356205" name="Picture 5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D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206" name="Picture 5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E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207" name="Picture 5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F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208" name="Picture 5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0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209" name="Picture 5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1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210" name="Picture 5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2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211" name="Picture 5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3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212" name="Picture 5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4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213" name="Picture 6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5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214" name="Picture 6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6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215" name="Picture 6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7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216" name="Picture 6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8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217" name="Picture 6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9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218" name="Picture 6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A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219" name="Picture 6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B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220" name="Picture 6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C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221" name="Picture 6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D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222" name="Picture 6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E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223" name="Picture 7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F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224" name="Picture 7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0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225" name="Picture 7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1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226" name="Picture 7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2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227" name="Picture 7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3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228" name="Picture 7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4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9525</xdr:rowOff>
    </xdr:to>
    <xdr:pic>
      <xdr:nvPicPr>
        <xdr:cNvPr id="356229" name="Picture 7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5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9525</xdr:rowOff>
    </xdr:to>
    <xdr:pic>
      <xdr:nvPicPr>
        <xdr:cNvPr id="356230" name="Picture 7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6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142875</xdr:colOff>
      <xdr:row>0</xdr:row>
      <xdr:rowOff>9525</xdr:rowOff>
    </xdr:to>
    <xdr:pic>
      <xdr:nvPicPr>
        <xdr:cNvPr id="356231" name="Picture 7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7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142875</xdr:colOff>
      <xdr:row>0</xdr:row>
      <xdr:rowOff>9525</xdr:rowOff>
    </xdr:to>
    <xdr:pic>
      <xdr:nvPicPr>
        <xdr:cNvPr id="356232" name="Picture 7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8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142875</xdr:colOff>
      <xdr:row>0</xdr:row>
      <xdr:rowOff>9525</xdr:rowOff>
    </xdr:to>
    <xdr:pic>
      <xdr:nvPicPr>
        <xdr:cNvPr id="356233" name="Picture 8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9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142875</xdr:colOff>
      <xdr:row>0</xdr:row>
      <xdr:rowOff>9525</xdr:rowOff>
    </xdr:to>
    <xdr:pic>
      <xdr:nvPicPr>
        <xdr:cNvPr id="356234" name="Picture 8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A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142875</xdr:colOff>
      <xdr:row>0</xdr:row>
      <xdr:rowOff>9525</xdr:rowOff>
    </xdr:to>
    <xdr:pic>
      <xdr:nvPicPr>
        <xdr:cNvPr id="356235" name="Picture 8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B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142875</xdr:colOff>
      <xdr:row>0</xdr:row>
      <xdr:rowOff>9525</xdr:rowOff>
    </xdr:to>
    <xdr:pic>
      <xdr:nvPicPr>
        <xdr:cNvPr id="356236" name="Picture 8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C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142875</xdr:colOff>
      <xdr:row>0</xdr:row>
      <xdr:rowOff>9525</xdr:rowOff>
    </xdr:to>
    <xdr:pic>
      <xdr:nvPicPr>
        <xdr:cNvPr id="356237" name="Picture 8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D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142875</xdr:colOff>
      <xdr:row>0</xdr:row>
      <xdr:rowOff>9525</xdr:rowOff>
    </xdr:to>
    <xdr:pic>
      <xdr:nvPicPr>
        <xdr:cNvPr id="356238" name="Picture 8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E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142875</xdr:colOff>
      <xdr:row>0</xdr:row>
      <xdr:rowOff>9525</xdr:rowOff>
    </xdr:to>
    <xdr:pic>
      <xdr:nvPicPr>
        <xdr:cNvPr id="356239" name="Picture 8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F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142875</xdr:colOff>
      <xdr:row>0</xdr:row>
      <xdr:rowOff>9525</xdr:rowOff>
    </xdr:to>
    <xdr:pic>
      <xdr:nvPicPr>
        <xdr:cNvPr id="356240" name="Picture 8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0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142875</xdr:colOff>
      <xdr:row>0</xdr:row>
      <xdr:rowOff>9525</xdr:rowOff>
    </xdr:to>
    <xdr:pic>
      <xdr:nvPicPr>
        <xdr:cNvPr id="356241" name="Picture 8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1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142875</xdr:colOff>
      <xdr:row>0</xdr:row>
      <xdr:rowOff>9525</xdr:rowOff>
    </xdr:to>
    <xdr:pic>
      <xdr:nvPicPr>
        <xdr:cNvPr id="356242" name="Picture 8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2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142875</xdr:colOff>
      <xdr:row>0</xdr:row>
      <xdr:rowOff>9525</xdr:rowOff>
    </xdr:to>
    <xdr:pic>
      <xdr:nvPicPr>
        <xdr:cNvPr id="356243" name="Picture 9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3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142875</xdr:colOff>
      <xdr:row>0</xdr:row>
      <xdr:rowOff>9525</xdr:rowOff>
    </xdr:to>
    <xdr:pic>
      <xdr:nvPicPr>
        <xdr:cNvPr id="356244" name="Picture 9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4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245" name="Picture 9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5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246" name="Picture 9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6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247" name="Picture 9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7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248" name="Picture 9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8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249" name="Picture 9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9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250" name="Picture 9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A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251" name="Picture 9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B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252" name="Picture 9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C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253" name="Picture 10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D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254" name="Picture 10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E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255" name="Picture 10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F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256" name="Picture 10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0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257" name="Picture 10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1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258" name="Picture 10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2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259" name="Picture 10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3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260" name="Picture 10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4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261" name="Picture 10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5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9525</xdr:rowOff>
    </xdr:to>
    <xdr:pic>
      <xdr:nvPicPr>
        <xdr:cNvPr id="356262" name="Picture 10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6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9525</xdr:rowOff>
    </xdr:to>
    <xdr:pic>
      <xdr:nvPicPr>
        <xdr:cNvPr id="356263" name="Picture 11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7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142875</xdr:colOff>
      <xdr:row>0</xdr:row>
      <xdr:rowOff>9525</xdr:rowOff>
    </xdr:to>
    <xdr:pic>
      <xdr:nvPicPr>
        <xdr:cNvPr id="356264" name="Picture 11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8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142875</xdr:colOff>
      <xdr:row>0</xdr:row>
      <xdr:rowOff>9525</xdr:rowOff>
    </xdr:to>
    <xdr:pic>
      <xdr:nvPicPr>
        <xdr:cNvPr id="356265" name="Picture 11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9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142875</xdr:colOff>
      <xdr:row>0</xdr:row>
      <xdr:rowOff>9525</xdr:rowOff>
    </xdr:to>
    <xdr:pic>
      <xdr:nvPicPr>
        <xdr:cNvPr id="356266" name="Picture 11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A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142875</xdr:colOff>
      <xdr:row>0</xdr:row>
      <xdr:rowOff>9525</xdr:rowOff>
    </xdr:to>
    <xdr:pic>
      <xdr:nvPicPr>
        <xdr:cNvPr id="356267" name="Picture 11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B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142875</xdr:colOff>
      <xdr:row>0</xdr:row>
      <xdr:rowOff>9525</xdr:rowOff>
    </xdr:to>
    <xdr:pic>
      <xdr:nvPicPr>
        <xdr:cNvPr id="356268" name="Picture 11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C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142875</xdr:colOff>
      <xdr:row>0</xdr:row>
      <xdr:rowOff>9525</xdr:rowOff>
    </xdr:to>
    <xdr:pic>
      <xdr:nvPicPr>
        <xdr:cNvPr id="356269" name="Picture 11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D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142875</xdr:colOff>
      <xdr:row>0</xdr:row>
      <xdr:rowOff>9525</xdr:rowOff>
    </xdr:to>
    <xdr:pic>
      <xdr:nvPicPr>
        <xdr:cNvPr id="356270" name="Picture 11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E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142875</xdr:colOff>
      <xdr:row>0</xdr:row>
      <xdr:rowOff>9525</xdr:rowOff>
    </xdr:to>
    <xdr:pic>
      <xdr:nvPicPr>
        <xdr:cNvPr id="356271" name="Picture 11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F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142875</xdr:colOff>
      <xdr:row>0</xdr:row>
      <xdr:rowOff>9525</xdr:rowOff>
    </xdr:to>
    <xdr:pic>
      <xdr:nvPicPr>
        <xdr:cNvPr id="356272" name="Picture 11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0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142875</xdr:colOff>
      <xdr:row>0</xdr:row>
      <xdr:rowOff>9525</xdr:rowOff>
    </xdr:to>
    <xdr:pic>
      <xdr:nvPicPr>
        <xdr:cNvPr id="356273" name="Picture 12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1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142875</xdr:colOff>
      <xdr:row>0</xdr:row>
      <xdr:rowOff>9525</xdr:rowOff>
    </xdr:to>
    <xdr:pic>
      <xdr:nvPicPr>
        <xdr:cNvPr id="356274" name="Picture 12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2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142875</xdr:colOff>
      <xdr:row>0</xdr:row>
      <xdr:rowOff>9525</xdr:rowOff>
    </xdr:to>
    <xdr:pic>
      <xdr:nvPicPr>
        <xdr:cNvPr id="356275" name="Picture 12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3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142875</xdr:colOff>
      <xdr:row>0</xdr:row>
      <xdr:rowOff>9525</xdr:rowOff>
    </xdr:to>
    <xdr:pic>
      <xdr:nvPicPr>
        <xdr:cNvPr id="356276" name="Picture 12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4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142875</xdr:colOff>
      <xdr:row>0</xdr:row>
      <xdr:rowOff>9525</xdr:rowOff>
    </xdr:to>
    <xdr:pic>
      <xdr:nvPicPr>
        <xdr:cNvPr id="356277" name="Picture 12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5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278" name="Picture 12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6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279" name="Picture 12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7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280" name="Picture 12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8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281" name="Picture 12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9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282" name="Picture 12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A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283" name="Picture 13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B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284" name="Picture 13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C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285" name="Picture 13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D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286" name="Picture 13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E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287" name="Picture 13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F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288" name="Picture 13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0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289" name="Picture 13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1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290" name="Picture 13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2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291" name="Picture 13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3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292" name="Picture 13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4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293" name="Picture 14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5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294" name="Picture 14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6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9525</xdr:rowOff>
    </xdr:to>
    <xdr:pic>
      <xdr:nvPicPr>
        <xdr:cNvPr id="356295" name="Picture 14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7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296" name="Picture 14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8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297" name="Picture 14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9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298" name="Picture 14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A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299" name="Picture 14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B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300" name="Picture 14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C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301" name="Picture 14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D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302" name="Picture 14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E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303" name="Picture 15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F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304" name="Picture 15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0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305" name="Picture 15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1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306" name="Picture 15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2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307" name="Picture 15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3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308" name="Picture 15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4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309" name="Picture 15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5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310" name="Picture 15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6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311" name="Picture 15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7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312" name="Picture 15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8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313" name="Picture 16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9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314" name="Picture 16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A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315" name="Picture 16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B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316" name="Picture 16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C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317" name="Picture 16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D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318" name="Picture 16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E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319" name="Picture 16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F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320" name="Picture 16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0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321" name="Picture 16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1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322" name="Picture 16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2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323" name="Picture 17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3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9525</xdr:rowOff>
    </xdr:to>
    <xdr:pic>
      <xdr:nvPicPr>
        <xdr:cNvPr id="356324" name="Picture 17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4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142875</xdr:colOff>
      <xdr:row>0</xdr:row>
      <xdr:rowOff>9525</xdr:rowOff>
    </xdr:to>
    <xdr:pic>
      <xdr:nvPicPr>
        <xdr:cNvPr id="356325" name="Picture 17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5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142875</xdr:colOff>
      <xdr:row>0</xdr:row>
      <xdr:rowOff>9525</xdr:rowOff>
    </xdr:to>
    <xdr:pic>
      <xdr:nvPicPr>
        <xdr:cNvPr id="356326" name="Picture 17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6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142875</xdr:colOff>
      <xdr:row>0</xdr:row>
      <xdr:rowOff>9525</xdr:rowOff>
    </xdr:to>
    <xdr:pic>
      <xdr:nvPicPr>
        <xdr:cNvPr id="356327" name="Picture 17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7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142875</xdr:colOff>
      <xdr:row>0</xdr:row>
      <xdr:rowOff>9525</xdr:rowOff>
    </xdr:to>
    <xdr:pic>
      <xdr:nvPicPr>
        <xdr:cNvPr id="356328" name="Picture 17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8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142875</xdr:colOff>
      <xdr:row>0</xdr:row>
      <xdr:rowOff>9525</xdr:rowOff>
    </xdr:to>
    <xdr:pic>
      <xdr:nvPicPr>
        <xdr:cNvPr id="356329" name="Picture 17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9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142875</xdr:colOff>
      <xdr:row>0</xdr:row>
      <xdr:rowOff>9525</xdr:rowOff>
    </xdr:to>
    <xdr:pic>
      <xdr:nvPicPr>
        <xdr:cNvPr id="356330" name="Picture 17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A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142875</xdr:colOff>
      <xdr:row>0</xdr:row>
      <xdr:rowOff>9525</xdr:rowOff>
    </xdr:to>
    <xdr:pic>
      <xdr:nvPicPr>
        <xdr:cNvPr id="356331" name="Picture 17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B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142875</xdr:colOff>
      <xdr:row>0</xdr:row>
      <xdr:rowOff>9525</xdr:rowOff>
    </xdr:to>
    <xdr:pic>
      <xdr:nvPicPr>
        <xdr:cNvPr id="356332" name="Picture 17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C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142875</xdr:colOff>
      <xdr:row>0</xdr:row>
      <xdr:rowOff>9525</xdr:rowOff>
    </xdr:to>
    <xdr:pic>
      <xdr:nvPicPr>
        <xdr:cNvPr id="356333" name="Picture 18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D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142875</xdr:colOff>
      <xdr:row>0</xdr:row>
      <xdr:rowOff>9525</xdr:rowOff>
    </xdr:to>
    <xdr:pic>
      <xdr:nvPicPr>
        <xdr:cNvPr id="356334" name="Picture 18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E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142875</xdr:colOff>
      <xdr:row>0</xdr:row>
      <xdr:rowOff>9525</xdr:rowOff>
    </xdr:to>
    <xdr:pic>
      <xdr:nvPicPr>
        <xdr:cNvPr id="356335" name="Picture 18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F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142875</xdr:colOff>
      <xdr:row>0</xdr:row>
      <xdr:rowOff>9525</xdr:rowOff>
    </xdr:to>
    <xdr:pic>
      <xdr:nvPicPr>
        <xdr:cNvPr id="356336" name="Picture 18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0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142875</xdr:colOff>
      <xdr:row>0</xdr:row>
      <xdr:rowOff>9525</xdr:rowOff>
    </xdr:to>
    <xdr:pic>
      <xdr:nvPicPr>
        <xdr:cNvPr id="356337" name="Picture 18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1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142875</xdr:colOff>
      <xdr:row>0</xdr:row>
      <xdr:rowOff>9525</xdr:rowOff>
    </xdr:to>
    <xdr:pic>
      <xdr:nvPicPr>
        <xdr:cNvPr id="356338" name="Picture 18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2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339" name="Picture 18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3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0</xdr:row>
      <xdr:rowOff>9525</xdr:rowOff>
    </xdr:to>
    <xdr:pic>
      <xdr:nvPicPr>
        <xdr:cNvPr id="356340" name="Picture 18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4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285750</xdr:colOff>
      <xdr:row>0</xdr:row>
      <xdr:rowOff>9525</xdr:rowOff>
    </xdr:to>
    <xdr:pic>
      <xdr:nvPicPr>
        <xdr:cNvPr id="356341" name="Picture 18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5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285750</xdr:colOff>
      <xdr:row>0</xdr:row>
      <xdr:rowOff>9525</xdr:rowOff>
    </xdr:to>
    <xdr:pic>
      <xdr:nvPicPr>
        <xdr:cNvPr id="356342" name="Picture 18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6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285750</xdr:colOff>
      <xdr:row>0</xdr:row>
      <xdr:rowOff>9525</xdr:rowOff>
    </xdr:to>
    <xdr:pic>
      <xdr:nvPicPr>
        <xdr:cNvPr id="356343" name="Picture 19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7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285750</xdr:colOff>
      <xdr:row>0</xdr:row>
      <xdr:rowOff>9525</xdr:rowOff>
    </xdr:to>
    <xdr:pic>
      <xdr:nvPicPr>
        <xdr:cNvPr id="356344" name="Picture 19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8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285750</xdr:colOff>
      <xdr:row>0</xdr:row>
      <xdr:rowOff>9525</xdr:rowOff>
    </xdr:to>
    <xdr:pic>
      <xdr:nvPicPr>
        <xdr:cNvPr id="356345" name="Picture 19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9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285750</xdr:colOff>
      <xdr:row>0</xdr:row>
      <xdr:rowOff>9525</xdr:rowOff>
    </xdr:to>
    <xdr:pic>
      <xdr:nvPicPr>
        <xdr:cNvPr id="356346" name="Picture 19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A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285750</xdr:colOff>
      <xdr:row>0</xdr:row>
      <xdr:rowOff>9525</xdr:rowOff>
    </xdr:to>
    <xdr:pic>
      <xdr:nvPicPr>
        <xdr:cNvPr id="356347" name="Picture 19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B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285750</xdr:colOff>
      <xdr:row>0</xdr:row>
      <xdr:rowOff>9525</xdr:rowOff>
    </xdr:to>
    <xdr:pic>
      <xdr:nvPicPr>
        <xdr:cNvPr id="356348" name="Picture 19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C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285750</xdr:colOff>
      <xdr:row>0</xdr:row>
      <xdr:rowOff>9525</xdr:rowOff>
    </xdr:to>
    <xdr:pic>
      <xdr:nvPicPr>
        <xdr:cNvPr id="356349" name="Picture 19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D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285750</xdr:colOff>
      <xdr:row>0</xdr:row>
      <xdr:rowOff>9525</xdr:rowOff>
    </xdr:to>
    <xdr:pic>
      <xdr:nvPicPr>
        <xdr:cNvPr id="356350" name="Picture 19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E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285750</xdr:colOff>
      <xdr:row>0</xdr:row>
      <xdr:rowOff>9525</xdr:rowOff>
    </xdr:to>
    <xdr:pic>
      <xdr:nvPicPr>
        <xdr:cNvPr id="356351" name="Picture 19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F6F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285750</xdr:colOff>
      <xdr:row>0</xdr:row>
      <xdr:rowOff>9525</xdr:rowOff>
    </xdr:to>
    <xdr:pic>
      <xdr:nvPicPr>
        <xdr:cNvPr id="356352" name="Picture 19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0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0</xdr:row>
      <xdr:rowOff>9525</xdr:rowOff>
    </xdr:to>
    <xdr:pic>
      <xdr:nvPicPr>
        <xdr:cNvPr id="356353" name="Picture 20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1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354" name="Picture 20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2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355" name="Picture 20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3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356" name="Picture 20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4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357" name="Picture 20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5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358" name="Picture 20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6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359" name="Picture 20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7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360" name="Picture 20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8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361" name="Picture 20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9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362" name="Picture 20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A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363" name="Picture 21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B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364" name="Picture 21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C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365" name="Picture 21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D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366" name="Picture 21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E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367" name="Picture 21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F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368" name="Picture 2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0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369" name="Picture 21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1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370" name="Picture 21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2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0</xdr:row>
      <xdr:rowOff>9525</xdr:rowOff>
    </xdr:to>
    <xdr:pic>
      <xdr:nvPicPr>
        <xdr:cNvPr id="356371" name="Picture 21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3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285750</xdr:colOff>
      <xdr:row>0</xdr:row>
      <xdr:rowOff>9525</xdr:rowOff>
    </xdr:to>
    <xdr:pic>
      <xdr:nvPicPr>
        <xdr:cNvPr id="356372" name="Picture 21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4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285750</xdr:colOff>
      <xdr:row>0</xdr:row>
      <xdr:rowOff>9525</xdr:rowOff>
    </xdr:to>
    <xdr:pic>
      <xdr:nvPicPr>
        <xdr:cNvPr id="356373" name="Picture 22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5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285750</xdr:colOff>
      <xdr:row>0</xdr:row>
      <xdr:rowOff>9525</xdr:rowOff>
    </xdr:to>
    <xdr:pic>
      <xdr:nvPicPr>
        <xdr:cNvPr id="356374" name="Picture 22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6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285750</xdr:colOff>
      <xdr:row>0</xdr:row>
      <xdr:rowOff>9525</xdr:rowOff>
    </xdr:to>
    <xdr:pic>
      <xdr:nvPicPr>
        <xdr:cNvPr id="356375" name="Picture 22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7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285750</xdr:colOff>
      <xdr:row>0</xdr:row>
      <xdr:rowOff>9525</xdr:rowOff>
    </xdr:to>
    <xdr:pic>
      <xdr:nvPicPr>
        <xdr:cNvPr id="356376" name="Picture 22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8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285750</xdr:colOff>
      <xdr:row>0</xdr:row>
      <xdr:rowOff>9525</xdr:rowOff>
    </xdr:to>
    <xdr:pic>
      <xdr:nvPicPr>
        <xdr:cNvPr id="356377" name="Picture 22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9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285750</xdr:colOff>
      <xdr:row>0</xdr:row>
      <xdr:rowOff>9525</xdr:rowOff>
    </xdr:to>
    <xdr:pic>
      <xdr:nvPicPr>
        <xdr:cNvPr id="356378" name="Picture 22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A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285750</xdr:colOff>
      <xdr:row>0</xdr:row>
      <xdr:rowOff>9525</xdr:rowOff>
    </xdr:to>
    <xdr:pic>
      <xdr:nvPicPr>
        <xdr:cNvPr id="356379" name="Picture 22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B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285750</xdr:colOff>
      <xdr:row>0</xdr:row>
      <xdr:rowOff>9525</xdr:rowOff>
    </xdr:to>
    <xdr:pic>
      <xdr:nvPicPr>
        <xdr:cNvPr id="356380" name="Picture 22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C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285750</xdr:colOff>
      <xdr:row>0</xdr:row>
      <xdr:rowOff>9525</xdr:rowOff>
    </xdr:to>
    <xdr:pic>
      <xdr:nvPicPr>
        <xdr:cNvPr id="356381" name="Picture 22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D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285750</xdr:colOff>
      <xdr:row>0</xdr:row>
      <xdr:rowOff>9525</xdr:rowOff>
    </xdr:to>
    <xdr:pic>
      <xdr:nvPicPr>
        <xdr:cNvPr id="356382" name="Picture 22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E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285750</xdr:colOff>
      <xdr:row>0</xdr:row>
      <xdr:rowOff>9525</xdr:rowOff>
    </xdr:to>
    <xdr:pic>
      <xdr:nvPicPr>
        <xdr:cNvPr id="356383" name="Picture 23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F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0</xdr:row>
      <xdr:rowOff>9525</xdr:rowOff>
    </xdr:to>
    <xdr:pic>
      <xdr:nvPicPr>
        <xdr:cNvPr id="356384" name="Picture 23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0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385" name="Picture 23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1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428625</xdr:colOff>
      <xdr:row>0</xdr:row>
      <xdr:rowOff>9525</xdr:rowOff>
    </xdr:to>
    <xdr:pic>
      <xdr:nvPicPr>
        <xdr:cNvPr id="356386" name="Picture 23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2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428625</xdr:colOff>
      <xdr:row>0</xdr:row>
      <xdr:rowOff>9525</xdr:rowOff>
    </xdr:to>
    <xdr:pic>
      <xdr:nvPicPr>
        <xdr:cNvPr id="356387" name="Picture 23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3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428625</xdr:colOff>
      <xdr:row>0</xdr:row>
      <xdr:rowOff>9525</xdr:rowOff>
    </xdr:to>
    <xdr:pic>
      <xdr:nvPicPr>
        <xdr:cNvPr id="356388" name="Picture 23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4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428625</xdr:colOff>
      <xdr:row>0</xdr:row>
      <xdr:rowOff>9525</xdr:rowOff>
    </xdr:to>
    <xdr:pic>
      <xdr:nvPicPr>
        <xdr:cNvPr id="356389" name="Picture 23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5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428625</xdr:colOff>
      <xdr:row>0</xdr:row>
      <xdr:rowOff>9525</xdr:rowOff>
    </xdr:to>
    <xdr:pic>
      <xdr:nvPicPr>
        <xdr:cNvPr id="356390" name="Picture 23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6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56391" name="Picture 23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7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428625</xdr:colOff>
      <xdr:row>0</xdr:row>
      <xdr:rowOff>9525</xdr:rowOff>
    </xdr:to>
    <xdr:pic>
      <xdr:nvPicPr>
        <xdr:cNvPr id="356392" name="Picture 23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8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428625</xdr:colOff>
      <xdr:row>0</xdr:row>
      <xdr:rowOff>9525</xdr:rowOff>
    </xdr:to>
    <xdr:pic>
      <xdr:nvPicPr>
        <xdr:cNvPr id="356393" name="Picture 24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9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428625</xdr:colOff>
      <xdr:row>0</xdr:row>
      <xdr:rowOff>9525</xdr:rowOff>
    </xdr:to>
    <xdr:pic>
      <xdr:nvPicPr>
        <xdr:cNvPr id="356394" name="Picture 24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A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428625</xdr:colOff>
      <xdr:row>0</xdr:row>
      <xdr:rowOff>9525</xdr:rowOff>
    </xdr:to>
    <xdr:pic>
      <xdr:nvPicPr>
        <xdr:cNvPr id="356395" name="Picture 24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B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428625</xdr:colOff>
      <xdr:row>0</xdr:row>
      <xdr:rowOff>9525</xdr:rowOff>
    </xdr:to>
    <xdr:pic>
      <xdr:nvPicPr>
        <xdr:cNvPr id="356396" name="Picture 24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C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428625</xdr:colOff>
      <xdr:row>0</xdr:row>
      <xdr:rowOff>9525</xdr:rowOff>
    </xdr:to>
    <xdr:pic>
      <xdr:nvPicPr>
        <xdr:cNvPr id="356397" name="Picture 24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D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428625</xdr:colOff>
      <xdr:row>0</xdr:row>
      <xdr:rowOff>9525</xdr:rowOff>
    </xdr:to>
    <xdr:pic>
      <xdr:nvPicPr>
        <xdr:cNvPr id="356398" name="Picture 24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E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428625</xdr:colOff>
      <xdr:row>0</xdr:row>
      <xdr:rowOff>9525</xdr:rowOff>
    </xdr:to>
    <xdr:pic>
      <xdr:nvPicPr>
        <xdr:cNvPr id="356399" name="Picture 24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F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00" name="Picture 24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0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01" name="Picture 24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1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02" name="Picture 24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2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03" name="Picture 25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3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04" name="Picture 25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4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405" name="Picture 25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5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406" name="Picture 25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6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407" name="Picture 25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7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408" name="Picture 25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8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409" name="Picture 25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9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410" name="Picture 25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A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411" name="Picture 25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B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412" name="Picture 25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C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413" name="Picture 26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D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414" name="Picture 26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E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415" name="Picture 26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F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416" name="Picture 26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0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417" name="Picture 26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1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418" name="Picture 26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2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419" name="Picture 26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3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420" name="Picture 26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4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428625</xdr:colOff>
      <xdr:row>0</xdr:row>
      <xdr:rowOff>9525</xdr:rowOff>
    </xdr:to>
    <xdr:pic>
      <xdr:nvPicPr>
        <xdr:cNvPr id="356421" name="Picture 26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5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428625</xdr:colOff>
      <xdr:row>0</xdr:row>
      <xdr:rowOff>9525</xdr:rowOff>
    </xdr:to>
    <xdr:pic>
      <xdr:nvPicPr>
        <xdr:cNvPr id="356422" name="Picture 26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6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428625</xdr:colOff>
      <xdr:row>0</xdr:row>
      <xdr:rowOff>9525</xdr:rowOff>
    </xdr:to>
    <xdr:pic>
      <xdr:nvPicPr>
        <xdr:cNvPr id="356423" name="Picture 27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7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428625</xdr:colOff>
      <xdr:row>0</xdr:row>
      <xdr:rowOff>9525</xdr:rowOff>
    </xdr:to>
    <xdr:pic>
      <xdr:nvPicPr>
        <xdr:cNvPr id="356424" name="Picture 27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8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428625</xdr:colOff>
      <xdr:row>0</xdr:row>
      <xdr:rowOff>9525</xdr:rowOff>
    </xdr:to>
    <xdr:pic>
      <xdr:nvPicPr>
        <xdr:cNvPr id="356425" name="Picture 27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9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56426" name="Picture 27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A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428625</xdr:colOff>
      <xdr:row>0</xdr:row>
      <xdr:rowOff>9525</xdr:rowOff>
    </xdr:to>
    <xdr:pic>
      <xdr:nvPicPr>
        <xdr:cNvPr id="356427" name="Picture 27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B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428625</xdr:colOff>
      <xdr:row>0</xdr:row>
      <xdr:rowOff>9525</xdr:rowOff>
    </xdr:to>
    <xdr:pic>
      <xdr:nvPicPr>
        <xdr:cNvPr id="356428" name="Picture 27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C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428625</xdr:colOff>
      <xdr:row>0</xdr:row>
      <xdr:rowOff>9525</xdr:rowOff>
    </xdr:to>
    <xdr:pic>
      <xdr:nvPicPr>
        <xdr:cNvPr id="356429" name="Picture 27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D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428625</xdr:colOff>
      <xdr:row>0</xdr:row>
      <xdr:rowOff>9525</xdr:rowOff>
    </xdr:to>
    <xdr:pic>
      <xdr:nvPicPr>
        <xdr:cNvPr id="356430" name="Picture 27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E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428625</xdr:colOff>
      <xdr:row>0</xdr:row>
      <xdr:rowOff>9525</xdr:rowOff>
    </xdr:to>
    <xdr:pic>
      <xdr:nvPicPr>
        <xdr:cNvPr id="356431" name="Picture 27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F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428625</xdr:colOff>
      <xdr:row>0</xdr:row>
      <xdr:rowOff>9525</xdr:rowOff>
    </xdr:to>
    <xdr:pic>
      <xdr:nvPicPr>
        <xdr:cNvPr id="356432" name="Picture 27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0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428625</xdr:colOff>
      <xdr:row>0</xdr:row>
      <xdr:rowOff>9525</xdr:rowOff>
    </xdr:to>
    <xdr:pic>
      <xdr:nvPicPr>
        <xdr:cNvPr id="356433" name="Picture 28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1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428625</xdr:colOff>
      <xdr:row>0</xdr:row>
      <xdr:rowOff>9525</xdr:rowOff>
    </xdr:to>
    <xdr:pic>
      <xdr:nvPicPr>
        <xdr:cNvPr id="356434" name="Picture 28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2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35" name="Picture 28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3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36" name="Picture 28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4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37" name="Picture 28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5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38" name="Picture 28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6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439" name="Picture 28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7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440" name="Picture 28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8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441" name="Picture 28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9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442" name="Picture 28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A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443" name="Picture 29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B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444" name="Picture 29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C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445" name="Picture 29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D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446" name="Picture 29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E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447" name="Picture 29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F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448" name="Picture 29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0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449" name="Picture 29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1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450" name="Picture 29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2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451" name="Picture 29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3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452" name="Picture 29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4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453" name="Picture 30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5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454" name="Picture 30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6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428625</xdr:colOff>
      <xdr:row>0</xdr:row>
      <xdr:rowOff>9525</xdr:rowOff>
    </xdr:to>
    <xdr:pic>
      <xdr:nvPicPr>
        <xdr:cNvPr id="356455" name="Picture 30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7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428625</xdr:colOff>
      <xdr:row>0</xdr:row>
      <xdr:rowOff>9525</xdr:rowOff>
    </xdr:to>
    <xdr:pic>
      <xdr:nvPicPr>
        <xdr:cNvPr id="356456" name="Picture 30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8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428625</xdr:colOff>
      <xdr:row>0</xdr:row>
      <xdr:rowOff>9525</xdr:rowOff>
    </xdr:to>
    <xdr:pic>
      <xdr:nvPicPr>
        <xdr:cNvPr id="356457" name="Picture 30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9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428625</xdr:colOff>
      <xdr:row>0</xdr:row>
      <xdr:rowOff>9525</xdr:rowOff>
    </xdr:to>
    <xdr:pic>
      <xdr:nvPicPr>
        <xdr:cNvPr id="356458" name="Picture 30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A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428625</xdr:colOff>
      <xdr:row>0</xdr:row>
      <xdr:rowOff>9525</xdr:rowOff>
    </xdr:to>
    <xdr:pic>
      <xdr:nvPicPr>
        <xdr:cNvPr id="356459" name="Picture 30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B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56460" name="Picture 30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C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428625</xdr:colOff>
      <xdr:row>0</xdr:row>
      <xdr:rowOff>9525</xdr:rowOff>
    </xdr:to>
    <xdr:pic>
      <xdr:nvPicPr>
        <xdr:cNvPr id="356461" name="Picture 30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D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428625</xdr:colOff>
      <xdr:row>0</xdr:row>
      <xdr:rowOff>9525</xdr:rowOff>
    </xdr:to>
    <xdr:pic>
      <xdr:nvPicPr>
        <xdr:cNvPr id="356462" name="Picture 30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E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428625</xdr:colOff>
      <xdr:row>0</xdr:row>
      <xdr:rowOff>9525</xdr:rowOff>
    </xdr:to>
    <xdr:pic>
      <xdr:nvPicPr>
        <xdr:cNvPr id="356463" name="Picture 31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F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428625</xdr:colOff>
      <xdr:row>0</xdr:row>
      <xdr:rowOff>9525</xdr:rowOff>
    </xdr:to>
    <xdr:pic>
      <xdr:nvPicPr>
        <xdr:cNvPr id="356464" name="Picture 31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0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428625</xdr:colOff>
      <xdr:row>0</xdr:row>
      <xdr:rowOff>9525</xdr:rowOff>
    </xdr:to>
    <xdr:pic>
      <xdr:nvPicPr>
        <xdr:cNvPr id="356465" name="Picture 31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1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428625</xdr:colOff>
      <xdr:row>0</xdr:row>
      <xdr:rowOff>9525</xdr:rowOff>
    </xdr:to>
    <xdr:pic>
      <xdr:nvPicPr>
        <xdr:cNvPr id="356466" name="Picture 31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2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428625</xdr:colOff>
      <xdr:row>0</xdr:row>
      <xdr:rowOff>9525</xdr:rowOff>
    </xdr:to>
    <xdr:pic>
      <xdr:nvPicPr>
        <xdr:cNvPr id="356467" name="Picture 31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3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428625</xdr:colOff>
      <xdr:row>0</xdr:row>
      <xdr:rowOff>9525</xdr:rowOff>
    </xdr:to>
    <xdr:pic>
      <xdr:nvPicPr>
        <xdr:cNvPr id="356468" name="Picture 31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4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69" name="Picture 31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5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70" name="Picture 31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6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71" name="Picture 31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7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72" name="Picture 31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8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73" name="Picture 32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9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74" name="Picture 32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A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75" name="Picture 32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B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76" name="Picture 32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C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77" name="Picture 32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D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78" name="Picture 32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E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79" name="Picture 32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F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80" name="Picture 32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0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81" name="Picture 32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1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82" name="Picture 32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2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83" name="Picture 33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3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84" name="Picture 33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4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85" name="Picture 33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5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486" name="Picture 33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6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487" name="Picture 33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7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488" name="Picture 33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8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489" name="Picture 33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9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490" name="Picture 33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A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491" name="Picture 33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B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492" name="Picture 33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C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493" name="Picture 34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D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494" name="Picture 34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E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495" name="Picture 34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F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496" name="Picture 34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0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497" name="Picture 34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1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498" name="Picture 34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2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499" name="Picture 34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3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500" name="Picture 34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4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501" name="Picture 34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5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502" name="Picture 34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6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428625</xdr:colOff>
      <xdr:row>0</xdr:row>
      <xdr:rowOff>9525</xdr:rowOff>
    </xdr:to>
    <xdr:pic>
      <xdr:nvPicPr>
        <xdr:cNvPr id="356503" name="Picture 35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7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428625</xdr:colOff>
      <xdr:row>0</xdr:row>
      <xdr:rowOff>9525</xdr:rowOff>
    </xdr:to>
    <xdr:pic>
      <xdr:nvPicPr>
        <xdr:cNvPr id="356504" name="Picture 35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8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428625</xdr:colOff>
      <xdr:row>0</xdr:row>
      <xdr:rowOff>9525</xdr:rowOff>
    </xdr:to>
    <xdr:pic>
      <xdr:nvPicPr>
        <xdr:cNvPr id="356505" name="Picture 35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9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428625</xdr:colOff>
      <xdr:row>0</xdr:row>
      <xdr:rowOff>9525</xdr:rowOff>
    </xdr:to>
    <xdr:pic>
      <xdr:nvPicPr>
        <xdr:cNvPr id="356506" name="Picture 35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A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428625</xdr:colOff>
      <xdr:row>0</xdr:row>
      <xdr:rowOff>9525</xdr:rowOff>
    </xdr:to>
    <xdr:pic>
      <xdr:nvPicPr>
        <xdr:cNvPr id="356507" name="Picture 35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B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56508" name="Picture 35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C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428625</xdr:colOff>
      <xdr:row>0</xdr:row>
      <xdr:rowOff>9525</xdr:rowOff>
    </xdr:to>
    <xdr:pic>
      <xdr:nvPicPr>
        <xdr:cNvPr id="356509" name="Picture 35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D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428625</xdr:colOff>
      <xdr:row>0</xdr:row>
      <xdr:rowOff>9525</xdr:rowOff>
    </xdr:to>
    <xdr:pic>
      <xdr:nvPicPr>
        <xdr:cNvPr id="356510" name="Picture 35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E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428625</xdr:colOff>
      <xdr:row>0</xdr:row>
      <xdr:rowOff>9525</xdr:rowOff>
    </xdr:to>
    <xdr:pic>
      <xdr:nvPicPr>
        <xdr:cNvPr id="356511" name="Picture 35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F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428625</xdr:colOff>
      <xdr:row>0</xdr:row>
      <xdr:rowOff>9525</xdr:rowOff>
    </xdr:to>
    <xdr:pic>
      <xdr:nvPicPr>
        <xdr:cNvPr id="356512" name="Picture 35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0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428625</xdr:colOff>
      <xdr:row>0</xdr:row>
      <xdr:rowOff>9525</xdr:rowOff>
    </xdr:to>
    <xdr:pic>
      <xdr:nvPicPr>
        <xdr:cNvPr id="356513" name="Picture 36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1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428625</xdr:colOff>
      <xdr:row>0</xdr:row>
      <xdr:rowOff>9525</xdr:rowOff>
    </xdr:to>
    <xdr:pic>
      <xdr:nvPicPr>
        <xdr:cNvPr id="356514" name="Picture 36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2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428625</xdr:colOff>
      <xdr:row>0</xdr:row>
      <xdr:rowOff>9525</xdr:rowOff>
    </xdr:to>
    <xdr:pic>
      <xdr:nvPicPr>
        <xdr:cNvPr id="356515" name="Picture 36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3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428625</xdr:colOff>
      <xdr:row>0</xdr:row>
      <xdr:rowOff>9525</xdr:rowOff>
    </xdr:to>
    <xdr:pic>
      <xdr:nvPicPr>
        <xdr:cNvPr id="356516" name="Picture 36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4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517" name="Picture 36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5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518" name="Picture 36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6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519" name="Picture 36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7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520" name="Picture 36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8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521" name="Picture 36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9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522" name="Picture 36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A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523" name="Picture 37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B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524" name="Picture 37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C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525" name="Picture 37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D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526" name="Picture 37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E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527" name="Picture 37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F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528" name="Picture 37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0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529" name="Picture 37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1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530" name="Picture 37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2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531" name="Picture 37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3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532" name="Picture 37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4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533" name="Picture 38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5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534" name="Picture 38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6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535" name="Picture 38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7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536" name="Picture 38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8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428625</xdr:colOff>
      <xdr:row>0</xdr:row>
      <xdr:rowOff>9525</xdr:rowOff>
    </xdr:to>
    <xdr:pic>
      <xdr:nvPicPr>
        <xdr:cNvPr id="356537" name="Picture 38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9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428625</xdr:colOff>
      <xdr:row>0</xdr:row>
      <xdr:rowOff>9525</xdr:rowOff>
    </xdr:to>
    <xdr:pic>
      <xdr:nvPicPr>
        <xdr:cNvPr id="356538" name="Picture 38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A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428625</xdr:colOff>
      <xdr:row>0</xdr:row>
      <xdr:rowOff>9525</xdr:rowOff>
    </xdr:to>
    <xdr:pic>
      <xdr:nvPicPr>
        <xdr:cNvPr id="356539" name="Picture 38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B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428625</xdr:colOff>
      <xdr:row>0</xdr:row>
      <xdr:rowOff>9525</xdr:rowOff>
    </xdr:to>
    <xdr:pic>
      <xdr:nvPicPr>
        <xdr:cNvPr id="356540" name="Picture 38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C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428625</xdr:colOff>
      <xdr:row>0</xdr:row>
      <xdr:rowOff>9525</xdr:rowOff>
    </xdr:to>
    <xdr:pic>
      <xdr:nvPicPr>
        <xdr:cNvPr id="356541" name="Picture 38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D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56542" name="Picture 38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E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428625</xdr:colOff>
      <xdr:row>0</xdr:row>
      <xdr:rowOff>9525</xdr:rowOff>
    </xdr:to>
    <xdr:pic>
      <xdr:nvPicPr>
        <xdr:cNvPr id="356543" name="Picture 39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F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428625</xdr:colOff>
      <xdr:row>0</xdr:row>
      <xdr:rowOff>9525</xdr:rowOff>
    </xdr:to>
    <xdr:pic>
      <xdr:nvPicPr>
        <xdr:cNvPr id="356544" name="Picture 39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0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428625</xdr:colOff>
      <xdr:row>0</xdr:row>
      <xdr:rowOff>9525</xdr:rowOff>
    </xdr:to>
    <xdr:pic>
      <xdr:nvPicPr>
        <xdr:cNvPr id="356545" name="Picture 39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1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428625</xdr:colOff>
      <xdr:row>0</xdr:row>
      <xdr:rowOff>9525</xdr:rowOff>
    </xdr:to>
    <xdr:pic>
      <xdr:nvPicPr>
        <xdr:cNvPr id="356546" name="Picture 39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2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428625</xdr:colOff>
      <xdr:row>0</xdr:row>
      <xdr:rowOff>9525</xdr:rowOff>
    </xdr:to>
    <xdr:pic>
      <xdr:nvPicPr>
        <xdr:cNvPr id="356547" name="Picture 39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3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428625</xdr:colOff>
      <xdr:row>0</xdr:row>
      <xdr:rowOff>9525</xdr:rowOff>
    </xdr:to>
    <xdr:pic>
      <xdr:nvPicPr>
        <xdr:cNvPr id="356548" name="Picture 39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4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428625</xdr:colOff>
      <xdr:row>0</xdr:row>
      <xdr:rowOff>9525</xdr:rowOff>
    </xdr:to>
    <xdr:pic>
      <xdr:nvPicPr>
        <xdr:cNvPr id="356549" name="Picture 39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5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428625</xdr:colOff>
      <xdr:row>0</xdr:row>
      <xdr:rowOff>9525</xdr:rowOff>
    </xdr:to>
    <xdr:pic>
      <xdr:nvPicPr>
        <xdr:cNvPr id="356550" name="Picture 39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6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551" name="Picture 39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7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552" name="Picture 39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8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553" name="Picture 40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9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554" name="Picture 40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A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555" name="Picture 40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B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556" name="Picture 40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C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557" name="Picture 40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D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558" name="Picture 40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E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559" name="Picture 40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F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560" name="Picture 40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0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561" name="Picture 40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1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562" name="Picture 40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2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563" name="Picture 41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3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564" name="Picture 41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4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565" name="Picture 41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5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566" name="Picture 41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6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567" name="Picture 41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D7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568" name="Picture 4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8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569" name="Picture 41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9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570" name="Picture 41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A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571" name="Picture 41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B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572" name="Picture 41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C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573" name="Picture 42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D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574" name="Picture 42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E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575" name="Picture 42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F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576" name="Picture 42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0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577" name="Picture 42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1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578" name="Picture 42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2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579" name="Picture 42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3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580" name="Picture 42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4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581" name="Picture 42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5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582" name="Picture 42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6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583" name="Picture 43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7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0</xdr:row>
      <xdr:rowOff>9525</xdr:rowOff>
    </xdr:to>
    <xdr:pic>
      <xdr:nvPicPr>
        <xdr:cNvPr id="356584" name="Picture 43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8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285750</xdr:colOff>
      <xdr:row>0</xdr:row>
      <xdr:rowOff>9525</xdr:rowOff>
    </xdr:to>
    <xdr:pic>
      <xdr:nvPicPr>
        <xdr:cNvPr id="356585" name="Picture 43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9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285750</xdr:colOff>
      <xdr:row>0</xdr:row>
      <xdr:rowOff>9525</xdr:rowOff>
    </xdr:to>
    <xdr:pic>
      <xdr:nvPicPr>
        <xdr:cNvPr id="356586" name="Picture 43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A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285750</xdr:colOff>
      <xdr:row>0</xdr:row>
      <xdr:rowOff>9525</xdr:rowOff>
    </xdr:to>
    <xdr:pic>
      <xdr:nvPicPr>
        <xdr:cNvPr id="356587" name="Picture 43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B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285750</xdr:colOff>
      <xdr:row>0</xdr:row>
      <xdr:rowOff>9525</xdr:rowOff>
    </xdr:to>
    <xdr:pic>
      <xdr:nvPicPr>
        <xdr:cNvPr id="356588" name="Picture 43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C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285750</xdr:colOff>
      <xdr:row>0</xdr:row>
      <xdr:rowOff>9525</xdr:rowOff>
    </xdr:to>
    <xdr:pic>
      <xdr:nvPicPr>
        <xdr:cNvPr id="356589" name="Picture 43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D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285750</xdr:colOff>
      <xdr:row>0</xdr:row>
      <xdr:rowOff>9525</xdr:rowOff>
    </xdr:to>
    <xdr:pic>
      <xdr:nvPicPr>
        <xdr:cNvPr id="356590" name="Picture 43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E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285750</xdr:colOff>
      <xdr:row>0</xdr:row>
      <xdr:rowOff>9525</xdr:rowOff>
    </xdr:to>
    <xdr:pic>
      <xdr:nvPicPr>
        <xdr:cNvPr id="356591" name="Picture 43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F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285750</xdr:colOff>
      <xdr:row>0</xdr:row>
      <xdr:rowOff>9525</xdr:rowOff>
    </xdr:to>
    <xdr:pic>
      <xdr:nvPicPr>
        <xdr:cNvPr id="356592" name="Picture 43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0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285750</xdr:colOff>
      <xdr:row>0</xdr:row>
      <xdr:rowOff>9525</xdr:rowOff>
    </xdr:to>
    <xdr:pic>
      <xdr:nvPicPr>
        <xdr:cNvPr id="356593" name="Picture 44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1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285750</xdr:colOff>
      <xdr:row>0</xdr:row>
      <xdr:rowOff>9525</xdr:rowOff>
    </xdr:to>
    <xdr:pic>
      <xdr:nvPicPr>
        <xdr:cNvPr id="356594" name="Picture 44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2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285750</xdr:colOff>
      <xdr:row>0</xdr:row>
      <xdr:rowOff>9525</xdr:rowOff>
    </xdr:to>
    <xdr:pic>
      <xdr:nvPicPr>
        <xdr:cNvPr id="356595" name="Picture 44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3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285750</xdr:colOff>
      <xdr:row>0</xdr:row>
      <xdr:rowOff>9525</xdr:rowOff>
    </xdr:to>
    <xdr:pic>
      <xdr:nvPicPr>
        <xdr:cNvPr id="356596" name="Picture 44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4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0</xdr:row>
      <xdr:rowOff>9525</xdr:rowOff>
    </xdr:to>
    <xdr:pic>
      <xdr:nvPicPr>
        <xdr:cNvPr id="356597" name="Picture 44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5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598" name="Picture 44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6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428625</xdr:colOff>
      <xdr:row>0</xdr:row>
      <xdr:rowOff>9525</xdr:rowOff>
    </xdr:to>
    <xdr:pic>
      <xdr:nvPicPr>
        <xdr:cNvPr id="356599" name="Picture 44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7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428625</xdr:colOff>
      <xdr:row>0</xdr:row>
      <xdr:rowOff>9525</xdr:rowOff>
    </xdr:to>
    <xdr:pic>
      <xdr:nvPicPr>
        <xdr:cNvPr id="356600" name="Picture 44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8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428625</xdr:colOff>
      <xdr:row>0</xdr:row>
      <xdr:rowOff>9525</xdr:rowOff>
    </xdr:to>
    <xdr:pic>
      <xdr:nvPicPr>
        <xdr:cNvPr id="356601" name="Picture 44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9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428625</xdr:colOff>
      <xdr:row>0</xdr:row>
      <xdr:rowOff>9525</xdr:rowOff>
    </xdr:to>
    <xdr:pic>
      <xdr:nvPicPr>
        <xdr:cNvPr id="356602" name="Picture 44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A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428625</xdr:colOff>
      <xdr:row>0</xdr:row>
      <xdr:rowOff>9525</xdr:rowOff>
    </xdr:to>
    <xdr:pic>
      <xdr:nvPicPr>
        <xdr:cNvPr id="356603" name="Picture 45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B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56604" name="Picture 45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C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428625</xdr:colOff>
      <xdr:row>0</xdr:row>
      <xdr:rowOff>9525</xdr:rowOff>
    </xdr:to>
    <xdr:pic>
      <xdr:nvPicPr>
        <xdr:cNvPr id="356605" name="Picture 45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D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428625</xdr:colOff>
      <xdr:row>0</xdr:row>
      <xdr:rowOff>9525</xdr:rowOff>
    </xdr:to>
    <xdr:pic>
      <xdr:nvPicPr>
        <xdr:cNvPr id="356606" name="Picture 45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E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428625</xdr:colOff>
      <xdr:row>0</xdr:row>
      <xdr:rowOff>9525</xdr:rowOff>
    </xdr:to>
    <xdr:pic>
      <xdr:nvPicPr>
        <xdr:cNvPr id="356607" name="Picture 45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FF7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428625</xdr:colOff>
      <xdr:row>0</xdr:row>
      <xdr:rowOff>9525</xdr:rowOff>
    </xdr:to>
    <xdr:pic>
      <xdr:nvPicPr>
        <xdr:cNvPr id="356608" name="Picture 45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0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428625</xdr:colOff>
      <xdr:row>0</xdr:row>
      <xdr:rowOff>9525</xdr:rowOff>
    </xdr:to>
    <xdr:pic>
      <xdr:nvPicPr>
        <xdr:cNvPr id="356609" name="Picture 45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1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428625</xdr:colOff>
      <xdr:row>0</xdr:row>
      <xdr:rowOff>9525</xdr:rowOff>
    </xdr:to>
    <xdr:pic>
      <xdr:nvPicPr>
        <xdr:cNvPr id="356610" name="Picture 45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2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428625</xdr:colOff>
      <xdr:row>0</xdr:row>
      <xdr:rowOff>9525</xdr:rowOff>
    </xdr:to>
    <xdr:pic>
      <xdr:nvPicPr>
        <xdr:cNvPr id="356611" name="Picture 45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3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428625</xdr:colOff>
      <xdr:row>0</xdr:row>
      <xdr:rowOff>9525</xdr:rowOff>
    </xdr:to>
    <xdr:pic>
      <xdr:nvPicPr>
        <xdr:cNvPr id="356612" name="Picture 45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4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13" name="Picture 46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5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14" name="Picture 46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6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15" name="Picture 46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16" name="Picture 46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8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17" name="Picture 46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9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18" name="Picture 46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A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19" name="Picture 46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B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20" name="Picture 46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C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21" name="Picture 46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D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22" name="Picture 46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E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23" name="Picture 47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F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24" name="Picture 47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0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625" name="Picture 47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1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626" name="Picture 47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2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627" name="Picture 47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3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628" name="Picture 47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4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629" name="Picture 47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5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630" name="Picture 47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6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631" name="Picture 47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632" name="Picture 47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8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633" name="Picture 48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9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634" name="Picture 48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A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635" name="Picture 48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B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636" name="Picture 48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C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637" name="Picture 48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D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638" name="Picture 48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E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639" name="Picture 48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F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640" name="Picture 48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0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428625</xdr:colOff>
      <xdr:row>0</xdr:row>
      <xdr:rowOff>9525</xdr:rowOff>
    </xdr:to>
    <xdr:pic>
      <xdr:nvPicPr>
        <xdr:cNvPr id="356641" name="Picture 48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1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428625</xdr:colOff>
      <xdr:row>0</xdr:row>
      <xdr:rowOff>9525</xdr:rowOff>
    </xdr:to>
    <xdr:pic>
      <xdr:nvPicPr>
        <xdr:cNvPr id="356642" name="Picture 48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2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428625</xdr:colOff>
      <xdr:row>0</xdr:row>
      <xdr:rowOff>9525</xdr:rowOff>
    </xdr:to>
    <xdr:pic>
      <xdr:nvPicPr>
        <xdr:cNvPr id="356643" name="Picture 49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3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428625</xdr:colOff>
      <xdr:row>0</xdr:row>
      <xdr:rowOff>9525</xdr:rowOff>
    </xdr:to>
    <xdr:pic>
      <xdr:nvPicPr>
        <xdr:cNvPr id="356644" name="Picture 49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4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428625</xdr:colOff>
      <xdr:row>0</xdr:row>
      <xdr:rowOff>9525</xdr:rowOff>
    </xdr:to>
    <xdr:pic>
      <xdr:nvPicPr>
        <xdr:cNvPr id="356645" name="Picture 49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5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56646" name="Picture 49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6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428625</xdr:colOff>
      <xdr:row>0</xdr:row>
      <xdr:rowOff>9525</xdr:rowOff>
    </xdr:to>
    <xdr:pic>
      <xdr:nvPicPr>
        <xdr:cNvPr id="356647" name="Picture 49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428625</xdr:colOff>
      <xdr:row>0</xdr:row>
      <xdr:rowOff>9525</xdr:rowOff>
    </xdr:to>
    <xdr:pic>
      <xdr:nvPicPr>
        <xdr:cNvPr id="356648" name="Picture 49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8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428625</xdr:colOff>
      <xdr:row>0</xdr:row>
      <xdr:rowOff>9525</xdr:rowOff>
    </xdr:to>
    <xdr:pic>
      <xdr:nvPicPr>
        <xdr:cNvPr id="356649" name="Picture 49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9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428625</xdr:colOff>
      <xdr:row>0</xdr:row>
      <xdr:rowOff>9525</xdr:rowOff>
    </xdr:to>
    <xdr:pic>
      <xdr:nvPicPr>
        <xdr:cNvPr id="356650" name="Picture 49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A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428625</xdr:colOff>
      <xdr:row>0</xdr:row>
      <xdr:rowOff>9525</xdr:rowOff>
    </xdr:to>
    <xdr:pic>
      <xdr:nvPicPr>
        <xdr:cNvPr id="356651" name="Picture 49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B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428625</xdr:colOff>
      <xdr:row>0</xdr:row>
      <xdr:rowOff>9525</xdr:rowOff>
    </xdr:to>
    <xdr:pic>
      <xdr:nvPicPr>
        <xdr:cNvPr id="356652" name="Picture 49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C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428625</xdr:colOff>
      <xdr:row>0</xdr:row>
      <xdr:rowOff>9525</xdr:rowOff>
    </xdr:to>
    <xdr:pic>
      <xdr:nvPicPr>
        <xdr:cNvPr id="356653" name="Picture 50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D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428625</xdr:colOff>
      <xdr:row>0</xdr:row>
      <xdr:rowOff>9525</xdr:rowOff>
    </xdr:to>
    <xdr:pic>
      <xdr:nvPicPr>
        <xdr:cNvPr id="356654" name="Picture 50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E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55" name="Picture 50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F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56" name="Picture 50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0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57" name="Picture 50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1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58" name="Picture 50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2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59" name="Picture 50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3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60" name="Picture 50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4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61" name="Picture 50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5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662" name="Picture 50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6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663" name="Picture 51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664" name="Picture 51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8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665" name="Picture 51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9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666" name="Picture 51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A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667" name="Picture 51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B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668" name="Picture 5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C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669" name="Picture 51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D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670" name="Picture 51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E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671" name="Picture 51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F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672" name="Picture 51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0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673" name="Picture 52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1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674" name="Picture 52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2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675" name="Picture 52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3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676" name="Picture 52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4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677" name="Picture 52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5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678" name="Picture 52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6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679" name="Picture 52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680" name="Picture 52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8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681" name="Picture 52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9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682" name="Picture 52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A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683" name="Picture 53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B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684" name="Picture 53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C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685" name="Picture 53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D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686" name="Picture 53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E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687" name="Picture 53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F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688" name="Picture 53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0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689" name="Picture 53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1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690" name="Picture 53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2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691" name="Picture 53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3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692" name="Picture 53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4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0</xdr:row>
      <xdr:rowOff>9525</xdr:rowOff>
    </xdr:to>
    <xdr:pic>
      <xdr:nvPicPr>
        <xdr:cNvPr id="356693" name="Picture 54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5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0</xdr:row>
      <xdr:rowOff>9525</xdr:rowOff>
    </xdr:to>
    <xdr:pic>
      <xdr:nvPicPr>
        <xdr:cNvPr id="356694" name="Picture 54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6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285750</xdr:colOff>
      <xdr:row>0</xdr:row>
      <xdr:rowOff>9525</xdr:rowOff>
    </xdr:to>
    <xdr:pic>
      <xdr:nvPicPr>
        <xdr:cNvPr id="356695" name="Picture 54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285750</xdr:colOff>
      <xdr:row>0</xdr:row>
      <xdr:rowOff>9525</xdr:rowOff>
    </xdr:to>
    <xdr:pic>
      <xdr:nvPicPr>
        <xdr:cNvPr id="356696" name="Picture 54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8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285750</xdr:colOff>
      <xdr:row>0</xdr:row>
      <xdr:rowOff>9525</xdr:rowOff>
    </xdr:to>
    <xdr:pic>
      <xdr:nvPicPr>
        <xdr:cNvPr id="356697" name="Picture 54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9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285750</xdr:colOff>
      <xdr:row>0</xdr:row>
      <xdr:rowOff>9525</xdr:rowOff>
    </xdr:to>
    <xdr:pic>
      <xdr:nvPicPr>
        <xdr:cNvPr id="356698" name="Picture 54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A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285750</xdr:colOff>
      <xdr:row>0</xdr:row>
      <xdr:rowOff>9525</xdr:rowOff>
    </xdr:to>
    <xdr:pic>
      <xdr:nvPicPr>
        <xdr:cNvPr id="356699" name="Picture 54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B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285750</xdr:colOff>
      <xdr:row>0</xdr:row>
      <xdr:rowOff>9525</xdr:rowOff>
    </xdr:to>
    <xdr:pic>
      <xdr:nvPicPr>
        <xdr:cNvPr id="356700" name="Picture 54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C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285750</xdr:colOff>
      <xdr:row>0</xdr:row>
      <xdr:rowOff>9525</xdr:rowOff>
    </xdr:to>
    <xdr:pic>
      <xdr:nvPicPr>
        <xdr:cNvPr id="356701" name="Picture 54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D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285750</xdr:colOff>
      <xdr:row>0</xdr:row>
      <xdr:rowOff>9525</xdr:rowOff>
    </xdr:to>
    <xdr:pic>
      <xdr:nvPicPr>
        <xdr:cNvPr id="356702" name="Picture 54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E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285750</xdr:colOff>
      <xdr:row>0</xdr:row>
      <xdr:rowOff>9525</xdr:rowOff>
    </xdr:to>
    <xdr:pic>
      <xdr:nvPicPr>
        <xdr:cNvPr id="356703" name="Picture 55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F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285750</xdr:colOff>
      <xdr:row>0</xdr:row>
      <xdr:rowOff>9525</xdr:rowOff>
    </xdr:to>
    <xdr:pic>
      <xdr:nvPicPr>
        <xdr:cNvPr id="356704" name="Picture 55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0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285750</xdr:colOff>
      <xdr:row>0</xdr:row>
      <xdr:rowOff>9525</xdr:rowOff>
    </xdr:to>
    <xdr:pic>
      <xdr:nvPicPr>
        <xdr:cNvPr id="356705" name="Picture 55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1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285750</xdr:colOff>
      <xdr:row>0</xdr:row>
      <xdr:rowOff>9525</xdr:rowOff>
    </xdr:to>
    <xdr:pic>
      <xdr:nvPicPr>
        <xdr:cNvPr id="356706" name="Picture 55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2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0</xdr:row>
      <xdr:rowOff>9525</xdr:rowOff>
    </xdr:to>
    <xdr:pic>
      <xdr:nvPicPr>
        <xdr:cNvPr id="356707" name="Picture 55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3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708" name="Picture 55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4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428625</xdr:colOff>
      <xdr:row>0</xdr:row>
      <xdr:rowOff>9525</xdr:rowOff>
    </xdr:to>
    <xdr:pic>
      <xdr:nvPicPr>
        <xdr:cNvPr id="356709" name="Picture 55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5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428625</xdr:colOff>
      <xdr:row>0</xdr:row>
      <xdr:rowOff>9525</xdr:rowOff>
    </xdr:to>
    <xdr:pic>
      <xdr:nvPicPr>
        <xdr:cNvPr id="356710" name="Picture 55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6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428625</xdr:colOff>
      <xdr:row>0</xdr:row>
      <xdr:rowOff>9525</xdr:rowOff>
    </xdr:to>
    <xdr:pic>
      <xdr:nvPicPr>
        <xdr:cNvPr id="356711" name="Picture 55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428625</xdr:colOff>
      <xdr:row>0</xdr:row>
      <xdr:rowOff>9525</xdr:rowOff>
    </xdr:to>
    <xdr:pic>
      <xdr:nvPicPr>
        <xdr:cNvPr id="356712" name="Picture 55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8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428625</xdr:colOff>
      <xdr:row>0</xdr:row>
      <xdr:rowOff>9525</xdr:rowOff>
    </xdr:to>
    <xdr:pic>
      <xdr:nvPicPr>
        <xdr:cNvPr id="356713" name="Picture 56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9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56714" name="Picture 56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A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428625</xdr:colOff>
      <xdr:row>0</xdr:row>
      <xdr:rowOff>9525</xdr:rowOff>
    </xdr:to>
    <xdr:pic>
      <xdr:nvPicPr>
        <xdr:cNvPr id="356715" name="Picture 56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B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428625</xdr:colOff>
      <xdr:row>0</xdr:row>
      <xdr:rowOff>9525</xdr:rowOff>
    </xdr:to>
    <xdr:pic>
      <xdr:nvPicPr>
        <xdr:cNvPr id="356716" name="Picture 56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C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428625</xdr:colOff>
      <xdr:row>0</xdr:row>
      <xdr:rowOff>9525</xdr:rowOff>
    </xdr:to>
    <xdr:pic>
      <xdr:nvPicPr>
        <xdr:cNvPr id="356717" name="Picture 56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D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428625</xdr:colOff>
      <xdr:row>0</xdr:row>
      <xdr:rowOff>9525</xdr:rowOff>
    </xdr:to>
    <xdr:pic>
      <xdr:nvPicPr>
        <xdr:cNvPr id="356718" name="Picture 56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E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428625</xdr:colOff>
      <xdr:row>0</xdr:row>
      <xdr:rowOff>9525</xdr:rowOff>
    </xdr:to>
    <xdr:pic>
      <xdr:nvPicPr>
        <xdr:cNvPr id="356719" name="Picture 56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F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428625</xdr:colOff>
      <xdr:row>0</xdr:row>
      <xdr:rowOff>9525</xdr:rowOff>
    </xdr:to>
    <xdr:pic>
      <xdr:nvPicPr>
        <xdr:cNvPr id="356720" name="Picture 56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0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428625</xdr:colOff>
      <xdr:row>0</xdr:row>
      <xdr:rowOff>9525</xdr:rowOff>
    </xdr:to>
    <xdr:pic>
      <xdr:nvPicPr>
        <xdr:cNvPr id="356721" name="Picture 56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1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428625</xdr:colOff>
      <xdr:row>0</xdr:row>
      <xdr:rowOff>9525</xdr:rowOff>
    </xdr:to>
    <xdr:pic>
      <xdr:nvPicPr>
        <xdr:cNvPr id="356722" name="Picture 56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2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723" name="Picture 57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3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724" name="Picture 57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4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725" name="Picture 57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5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726" name="Picture 57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6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727" name="Picture 57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728" name="Picture 57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8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729" name="Picture 57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9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730" name="Picture 57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A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731" name="Picture 57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B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732" name="Picture 57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C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0</xdr:row>
      <xdr:rowOff>9525</xdr:rowOff>
    </xdr:to>
    <xdr:pic>
      <xdr:nvPicPr>
        <xdr:cNvPr id="356733" name="Picture 58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7D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734" name="Picture 58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E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735" name="Picture 58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F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736" name="Picture 58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0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737" name="Picture 58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1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738" name="Picture 58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2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739" name="Picture 58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3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740" name="Picture 58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4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741" name="Picture 58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5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742" name="Picture 58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6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743" name="Picture 59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744" name="Picture 59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8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745" name="Picture 59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9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746" name="Picture 59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A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747" name="Picture 59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B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0</xdr:row>
      <xdr:rowOff>9525</xdr:rowOff>
    </xdr:to>
    <xdr:pic>
      <xdr:nvPicPr>
        <xdr:cNvPr id="356748" name="Picture 59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C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2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428625</xdr:colOff>
      <xdr:row>0</xdr:row>
      <xdr:rowOff>9525</xdr:rowOff>
    </xdr:to>
    <xdr:pic>
      <xdr:nvPicPr>
        <xdr:cNvPr id="356749" name="Picture 59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D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428625</xdr:colOff>
      <xdr:row>0</xdr:row>
      <xdr:rowOff>9525</xdr:rowOff>
    </xdr:to>
    <xdr:pic>
      <xdr:nvPicPr>
        <xdr:cNvPr id="356750" name="Picture 59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E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428625</xdr:colOff>
      <xdr:row>0</xdr:row>
      <xdr:rowOff>9525</xdr:rowOff>
    </xdr:to>
    <xdr:pic>
      <xdr:nvPicPr>
        <xdr:cNvPr id="356751" name="Picture 59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F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428625</xdr:colOff>
      <xdr:row>0</xdr:row>
      <xdr:rowOff>9525</xdr:rowOff>
    </xdr:to>
    <xdr:pic>
      <xdr:nvPicPr>
        <xdr:cNvPr id="356752" name="Picture 60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0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428625</xdr:colOff>
      <xdr:row>0</xdr:row>
      <xdr:rowOff>9525</xdr:rowOff>
    </xdr:to>
    <xdr:pic>
      <xdr:nvPicPr>
        <xdr:cNvPr id="356753" name="Picture 60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1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56754" name="Picture 60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2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428625</xdr:colOff>
      <xdr:row>0</xdr:row>
      <xdr:rowOff>9525</xdr:rowOff>
    </xdr:to>
    <xdr:pic>
      <xdr:nvPicPr>
        <xdr:cNvPr id="356755" name="Picture 60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3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428625</xdr:colOff>
      <xdr:row>0</xdr:row>
      <xdr:rowOff>9525</xdr:rowOff>
    </xdr:to>
    <xdr:pic>
      <xdr:nvPicPr>
        <xdr:cNvPr id="356756" name="Picture 60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4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428625</xdr:colOff>
      <xdr:row>0</xdr:row>
      <xdr:rowOff>9525</xdr:rowOff>
    </xdr:to>
    <xdr:pic>
      <xdr:nvPicPr>
        <xdr:cNvPr id="356757" name="Picture 60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5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428625</xdr:colOff>
      <xdr:row>0</xdr:row>
      <xdr:rowOff>9525</xdr:rowOff>
    </xdr:to>
    <xdr:pic>
      <xdr:nvPicPr>
        <xdr:cNvPr id="356758" name="Picture 60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6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428625</xdr:colOff>
      <xdr:row>0</xdr:row>
      <xdr:rowOff>9525</xdr:rowOff>
    </xdr:to>
    <xdr:pic>
      <xdr:nvPicPr>
        <xdr:cNvPr id="356759" name="Picture 60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428625</xdr:colOff>
      <xdr:row>0</xdr:row>
      <xdr:rowOff>9525</xdr:rowOff>
    </xdr:to>
    <xdr:pic>
      <xdr:nvPicPr>
        <xdr:cNvPr id="356760" name="Picture 60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8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428625</xdr:colOff>
      <xdr:row>0</xdr:row>
      <xdr:rowOff>9525</xdr:rowOff>
    </xdr:to>
    <xdr:pic>
      <xdr:nvPicPr>
        <xdr:cNvPr id="356761" name="Picture 60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9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428625</xdr:colOff>
      <xdr:row>0</xdr:row>
      <xdr:rowOff>9525</xdr:rowOff>
    </xdr:to>
    <xdr:pic>
      <xdr:nvPicPr>
        <xdr:cNvPr id="356762" name="Picture 61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A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763" name="Picture 62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B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764" name="Picture 62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C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765" name="Picture 62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D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766" name="Picture 62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E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767" name="Picture 62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F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768" name="Picture 62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0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769" name="Picture 62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1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770" name="Picture 63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2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771" name="Picture 63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3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772" name="Picture 63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4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773" name="Picture 63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5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774" name="Picture 63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6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775" name="Picture 63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776" name="Picture 63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8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428625</xdr:colOff>
      <xdr:row>0</xdr:row>
      <xdr:rowOff>9525</xdr:rowOff>
    </xdr:to>
    <xdr:pic>
      <xdr:nvPicPr>
        <xdr:cNvPr id="356777" name="Picture 63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9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428625</xdr:colOff>
      <xdr:row>0</xdr:row>
      <xdr:rowOff>9525</xdr:rowOff>
    </xdr:to>
    <xdr:pic>
      <xdr:nvPicPr>
        <xdr:cNvPr id="356778" name="Picture 64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A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428625</xdr:colOff>
      <xdr:row>0</xdr:row>
      <xdr:rowOff>9525</xdr:rowOff>
    </xdr:to>
    <xdr:pic>
      <xdr:nvPicPr>
        <xdr:cNvPr id="356779" name="Picture 64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B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428625</xdr:colOff>
      <xdr:row>0</xdr:row>
      <xdr:rowOff>9525</xdr:rowOff>
    </xdr:to>
    <xdr:pic>
      <xdr:nvPicPr>
        <xdr:cNvPr id="356780" name="Picture 64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C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428625</xdr:colOff>
      <xdr:row>0</xdr:row>
      <xdr:rowOff>9525</xdr:rowOff>
    </xdr:to>
    <xdr:pic>
      <xdr:nvPicPr>
        <xdr:cNvPr id="356781" name="Picture 64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D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56782" name="Picture 64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E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428625</xdr:colOff>
      <xdr:row>0</xdr:row>
      <xdr:rowOff>9525</xdr:rowOff>
    </xdr:to>
    <xdr:pic>
      <xdr:nvPicPr>
        <xdr:cNvPr id="356783" name="Picture 64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F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428625</xdr:colOff>
      <xdr:row>0</xdr:row>
      <xdr:rowOff>9525</xdr:rowOff>
    </xdr:to>
    <xdr:pic>
      <xdr:nvPicPr>
        <xdr:cNvPr id="356784" name="Picture 64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0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428625</xdr:colOff>
      <xdr:row>0</xdr:row>
      <xdr:rowOff>9525</xdr:rowOff>
    </xdr:to>
    <xdr:pic>
      <xdr:nvPicPr>
        <xdr:cNvPr id="356785" name="Picture 64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1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428625</xdr:colOff>
      <xdr:row>0</xdr:row>
      <xdr:rowOff>9525</xdr:rowOff>
    </xdr:to>
    <xdr:pic>
      <xdr:nvPicPr>
        <xdr:cNvPr id="356786" name="Picture 64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2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428625</xdr:colOff>
      <xdr:row>0</xdr:row>
      <xdr:rowOff>9525</xdr:rowOff>
    </xdr:to>
    <xdr:pic>
      <xdr:nvPicPr>
        <xdr:cNvPr id="356787" name="Picture 64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3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428625</xdr:colOff>
      <xdr:row>0</xdr:row>
      <xdr:rowOff>9525</xdr:rowOff>
    </xdr:to>
    <xdr:pic>
      <xdr:nvPicPr>
        <xdr:cNvPr id="356788" name="Picture 65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4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428625</xdr:colOff>
      <xdr:row>0</xdr:row>
      <xdr:rowOff>9525</xdr:rowOff>
    </xdr:to>
    <xdr:pic>
      <xdr:nvPicPr>
        <xdr:cNvPr id="356789" name="Picture 65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5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428625</xdr:colOff>
      <xdr:row>0</xdr:row>
      <xdr:rowOff>9525</xdr:rowOff>
    </xdr:to>
    <xdr:pic>
      <xdr:nvPicPr>
        <xdr:cNvPr id="356790" name="Picture 65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6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791" name="Picture 65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792" name="Picture 65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8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793" name="Picture 65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9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794" name="Picture 65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A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795" name="Picture 66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B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796" name="Picture 66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C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797" name="Picture 66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D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798" name="Picture 66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E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799" name="Picture 66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F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800" name="Picture 66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0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801" name="Picture 66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1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802" name="Picture 66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2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803" name="Picture 66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3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804" name="Picture 66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4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428625</xdr:colOff>
      <xdr:row>0</xdr:row>
      <xdr:rowOff>9525</xdr:rowOff>
    </xdr:to>
    <xdr:pic>
      <xdr:nvPicPr>
        <xdr:cNvPr id="356805" name="Picture 67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5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428625</xdr:colOff>
      <xdr:row>0</xdr:row>
      <xdr:rowOff>9525</xdr:rowOff>
    </xdr:to>
    <xdr:pic>
      <xdr:nvPicPr>
        <xdr:cNvPr id="356806" name="Picture 67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6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428625</xdr:colOff>
      <xdr:row>0</xdr:row>
      <xdr:rowOff>9525</xdr:rowOff>
    </xdr:to>
    <xdr:pic>
      <xdr:nvPicPr>
        <xdr:cNvPr id="356807" name="Picture 67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428625</xdr:colOff>
      <xdr:row>0</xdr:row>
      <xdr:rowOff>9525</xdr:rowOff>
    </xdr:to>
    <xdr:pic>
      <xdr:nvPicPr>
        <xdr:cNvPr id="356808" name="Picture 67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8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428625</xdr:colOff>
      <xdr:row>0</xdr:row>
      <xdr:rowOff>9525</xdr:rowOff>
    </xdr:to>
    <xdr:pic>
      <xdr:nvPicPr>
        <xdr:cNvPr id="356809" name="Picture 67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9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56810" name="Picture 67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A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428625</xdr:colOff>
      <xdr:row>0</xdr:row>
      <xdr:rowOff>9525</xdr:rowOff>
    </xdr:to>
    <xdr:pic>
      <xdr:nvPicPr>
        <xdr:cNvPr id="356811" name="Picture 67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B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428625</xdr:colOff>
      <xdr:row>0</xdr:row>
      <xdr:rowOff>9525</xdr:rowOff>
    </xdr:to>
    <xdr:pic>
      <xdr:nvPicPr>
        <xdr:cNvPr id="356812" name="Picture 67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C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428625</xdr:colOff>
      <xdr:row>0</xdr:row>
      <xdr:rowOff>9525</xdr:rowOff>
    </xdr:to>
    <xdr:pic>
      <xdr:nvPicPr>
        <xdr:cNvPr id="356813" name="Picture 68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D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428625</xdr:colOff>
      <xdr:row>0</xdr:row>
      <xdr:rowOff>9525</xdr:rowOff>
    </xdr:to>
    <xdr:pic>
      <xdr:nvPicPr>
        <xdr:cNvPr id="356814" name="Picture 68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E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428625</xdr:colOff>
      <xdr:row>0</xdr:row>
      <xdr:rowOff>9525</xdr:rowOff>
    </xdr:to>
    <xdr:pic>
      <xdr:nvPicPr>
        <xdr:cNvPr id="356815" name="Picture 68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CF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428625</xdr:colOff>
      <xdr:row>0</xdr:row>
      <xdr:rowOff>9525</xdr:rowOff>
    </xdr:to>
    <xdr:pic>
      <xdr:nvPicPr>
        <xdr:cNvPr id="356816" name="Picture 68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D0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428625</xdr:colOff>
      <xdr:row>0</xdr:row>
      <xdr:rowOff>9525</xdr:rowOff>
    </xdr:to>
    <xdr:pic>
      <xdr:nvPicPr>
        <xdr:cNvPr id="356817" name="Picture 68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D1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428625</xdr:colOff>
      <xdr:row>0</xdr:row>
      <xdr:rowOff>9525</xdr:rowOff>
    </xdr:to>
    <xdr:pic>
      <xdr:nvPicPr>
        <xdr:cNvPr id="356818" name="Picture 68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D2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819" name="Picture 70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3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820" name="Picture 70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4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821" name="Picture 70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5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822" name="Picture 70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6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823" name="Picture 70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824" name="Picture 70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8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825" name="Picture 70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9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826" name="Picture 71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A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827" name="Picture 71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B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828" name="Picture 71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C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829" name="Picture 71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D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830" name="Picture 71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E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831" name="Picture 7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F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832" name="Picture 71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0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428625</xdr:colOff>
      <xdr:row>0</xdr:row>
      <xdr:rowOff>9525</xdr:rowOff>
    </xdr:to>
    <xdr:pic>
      <xdr:nvPicPr>
        <xdr:cNvPr id="356833" name="Picture 71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1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428625</xdr:colOff>
      <xdr:row>0</xdr:row>
      <xdr:rowOff>9525</xdr:rowOff>
    </xdr:to>
    <xdr:pic>
      <xdr:nvPicPr>
        <xdr:cNvPr id="356834" name="Picture 72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2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428625</xdr:colOff>
      <xdr:row>0</xdr:row>
      <xdr:rowOff>9525</xdr:rowOff>
    </xdr:to>
    <xdr:pic>
      <xdr:nvPicPr>
        <xdr:cNvPr id="356835" name="Picture 72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3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428625</xdr:colOff>
      <xdr:row>0</xdr:row>
      <xdr:rowOff>9525</xdr:rowOff>
    </xdr:to>
    <xdr:pic>
      <xdr:nvPicPr>
        <xdr:cNvPr id="356836" name="Picture 72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4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428625</xdr:colOff>
      <xdr:row>0</xdr:row>
      <xdr:rowOff>9525</xdr:rowOff>
    </xdr:to>
    <xdr:pic>
      <xdr:nvPicPr>
        <xdr:cNvPr id="356837" name="Picture 72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5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428625</xdr:colOff>
      <xdr:row>0</xdr:row>
      <xdr:rowOff>9525</xdr:rowOff>
    </xdr:to>
    <xdr:pic>
      <xdr:nvPicPr>
        <xdr:cNvPr id="356838" name="Picture 72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6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428625</xdr:colOff>
      <xdr:row>0</xdr:row>
      <xdr:rowOff>9525</xdr:rowOff>
    </xdr:to>
    <xdr:pic>
      <xdr:nvPicPr>
        <xdr:cNvPr id="356839" name="Picture 72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428625</xdr:colOff>
      <xdr:row>0</xdr:row>
      <xdr:rowOff>9525</xdr:rowOff>
    </xdr:to>
    <xdr:pic>
      <xdr:nvPicPr>
        <xdr:cNvPr id="356840" name="Picture 72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8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428625</xdr:colOff>
      <xdr:row>0</xdr:row>
      <xdr:rowOff>9525</xdr:rowOff>
    </xdr:to>
    <xdr:pic>
      <xdr:nvPicPr>
        <xdr:cNvPr id="356841" name="Picture 72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9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428625</xdr:colOff>
      <xdr:row>0</xdr:row>
      <xdr:rowOff>9525</xdr:rowOff>
    </xdr:to>
    <xdr:pic>
      <xdr:nvPicPr>
        <xdr:cNvPr id="356842" name="Picture 72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A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428625</xdr:colOff>
      <xdr:row>0</xdr:row>
      <xdr:rowOff>9525</xdr:rowOff>
    </xdr:to>
    <xdr:pic>
      <xdr:nvPicPr>
        <xdr:cNvPr id="356843" name="Picture 72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B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428625</xdr:colOff>
      <xdr:row>0</xdr:row>
      <xdr:rowOff>9525</xdr:rowOff>
    </xdr:to>
    <xdr:pic>
      <xdr:nvPicPr>
        <xdr:cNvPr id="356844" name="Picture 73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C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428625</xdr:colOff>
      <xdr:row>0</xdr:row>
      <xdr:rowOff>9525</xdr:rowOff>
    </xdr:to>
    <xdr:pic>
      <xdr:nvPicPr>
        <xdr:cNvPr id="356845" name="Picture 73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D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428625</xdr:colOff>
      <xdr:row>0</xdr:row>
      <xdr:rowOff>9525</xdr:rowOff>
    </xdr:to>
    <xdr:pic>
      <xdr:nvPicPr>
        <xdr:cNvPr id="356846" name="Picture 73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EE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847" name="Picture 73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F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848" name="Picture 73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0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849" name="Picture 74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1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850" name="Picture 74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2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851" name="Picture 74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3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852" name="Picture 74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4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853" name="Picture 74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5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854" name="Picture 74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6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855" name="Picture 74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7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856" name="Picture 74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8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857" name="Picture 74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9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858" name="Picture 74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A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859" name="Picture 75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B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860" name="Picture 75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C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861" name="Picture 75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D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862" name="Picture 75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E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863" name="Picture 75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F71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864" name="Picture 75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0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865" name="Picture 75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1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866" name="Picture 75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2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867" name="Picture 75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3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868" name="Picture 76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4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869" name="Picture 76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5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870" name="Picture 76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6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871" name="Picture 76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7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872" name="Picture 76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873" name="Picture 76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9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874" name="Picture 76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A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0</xdr:row>
      <xdr:rowOff>9525</xdr:rowOff>
    </xdr:to>
    <xdr:pic>
      <xdr:nvPicPr>
        <xdr:cNvPr id="356875" name="Picture 76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B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285750</xdr:colOff>
      <xdr:row>0</xdr:row>
      <xdr:rowOff>9525</xdr:rowOff>
    </xdr:to>
    <xdr:pic>
      <xdr:nvPicPr>
        <xdr:cNvPr id="356876" name="Picture 77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C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285750</xdr:colOff>
      <xdr:row>0</xdr:row>
      <xdr:rowOff>9525</xdr:rowOff>
    </xdr:to>
    <xdr:pic>
      <xdr:nvPicPr>
        <xdr:cNvPr id="356877" name="Picture 77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D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285750</xdr:colOff>
      <xdr:row>0</xdr:row>
      <xdr:rowOff>9525</xdr:rowOff>
    </xdr:to>
    <xdr:pic>
      <xdr:nvPicPr>
        <xdr:cNvPr id="356878" name="Picture 77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E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285750</xdr:colOff>
      <xdr:row>0</xdr:row>
      <xdr:rowOff>9525</xdr:rowOff>
    </xdr:to>
    <xdr:pic>
      <xdr:nvPicPr>
        <xdr:cNvPr id="356879" name="Picture 77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0F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285750</xdr:colOff>
      <xdr:row>0</xdr:row>
      <xdr:rowOff>9525</xdr:rowOff>
    </xdr:to>
    <xdr:pic>
      <xdr:nvPicPr>
        <xdr:cNvPr id="356880" name="Picture 77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0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285750</xdr:colOff>
      <xdr:row>0</xdr:row>
      <xdr:rowOff>9525</xdr:rowOff>
    </xdr:to>
    <xdr:pic>
      <xdr:nvPicPr>
        <xdr:cNvPr id="356881" name="Picture 77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1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285750</xdr:colOff>
      <xdr:row>0</xdr:row>
      <xdr:rowOff>9525</xdr:rowOff>
    </xdr:to>
    <xdr:pic>
      <xdr:nvPicPr>
        <xdr:cNvPr id="356882" name="Picture 77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2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285750</xdr:colOff>
      <xdr:row>0</xdr:row>
      <xdr:rowOff>9525</xdr:rowOff>
    </xdr:to>
    <xdr:pic>
      <xdr:nvPicPr>
        <xdr:cNvPr id="356883" name="Picture 77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3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285750</xdr:colOff>
      <xdr:row>0</xdr:row>
      <xdr:rowOff>9525</xdr:rowOff>
    </xdr:to>
    <xdr:pic>
      <xdr:nvPicPr>
        <xdr:cNvPr id="356884" name="Picture 77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4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285750</xdr:colOff>
      <xdr:row>0</xdr:row>
      <xdr:rowOff>9525</xdr:rowOff>
    </xdr:to>
    <xdr:pic>
      <xdr:nvPicPr>
        <xdr:cNvPr id="356885" name="Picture 77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5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285750</xdr:colOff>
      <xdr:row>0</xdr:row>
      <xdr:rowOff>9525</xdr:rowOff>
    </xdr:to>
    <xdr:pic>
      <xdr:nvPicPr>
        <xdr:cNvPr id="356886" name="Picture 78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6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285750</xdr:colOff>
      <xdr:row>0</xdr:row>
      <xdr:rowOff>9525</xdr:rowOff>
    </xdr:to>
    <xdr:pic>
      <xdr:nvPicPr>
        <xdr:cNvPr id="356887" name="Picture 78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7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0</xdr:row>
      <xdr:rowOff>9525</xdr:rowOff>
    </xdr:to>
    <xdr:pic>
      <xdr:nvPicPr>
        <xdr:cNvPr id="356888" name="Picture 78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889" name="Picture 78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9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890" name="Picture 78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A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891" name="Picture 79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B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892" name="Picture 79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C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893" name="Picture 79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D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894" name="Picture 79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E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895" name="Picture 79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F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896" name="Picture 79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0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897" name="Picture 79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1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898" name="Picture 79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2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899" name="Picture 79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3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900" name="Picture 79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4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901" name="Picture 80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5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902" name="Picture 80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6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903" name="Picture 80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7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904" name="Picture 80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905" name="Picture 80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9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906" name="Picture 80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A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907" name="Picture 80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B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908" name="Picture 80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C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909" name="Picture 80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D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910" name="Picture 81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E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911" name="Picture 81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F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912" name="Picture 81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0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913" name="Picture 81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1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914" name="Picture 81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2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915" name="Picture 8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3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916" name="Picture 81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4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142875</xdr:colOff>
      <xdr:row>0</xdr:row>
      <xdr:rowOff>9525</xdr:rowOff>
    </xdr:to>
    <xdr:pic>
      <xdr:nvPicPr>
        <xdr:cNvPr id="356917" name="Picture 81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5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142875</xdr:colOff>
      <xdr:row>0</xdr:row>
      <xdr:rowOff>9525</xdr:rowOff>
    </xdr:to>
    <xdr:pic>
      <xdr:nvPicPr>
        <xdr:cNvPr id="356918" name="Picture 82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6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142875</xdr:colOff>
      <xdr:row>0</xdr:row>
      <xdr:rowOff>9525</xdr:rowOff>
    </xdr:to>
    <xdr:pic>
      <xdr:nvPicPr>
        <xdr:cNvPr id="356919" name="Picture 82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7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142875</xdr:colOff>
      <xdr:row>0</xdr:row>
      <xdr:rowOff>9525</xdr:rowOff>
    </xdr:to>
    <xdr:pic>
      <xdr:nvPicPr>
        <xdr:cNvPr id="356920" name="Picture 82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142875</xdr:colOff>
      <xdr:row>0</xdr:row>
      <xdr:rowOff>9525</xdr:rowOff>
    </xdr:to>
    <xdr:pic>
      <xdr:nvPicPr>
        <xdr:cNvPr id="356921" name="Picture 82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9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142875</xdr:colOff>
      <xdr:row>0</xdr:row>
      <xdr:rowOff>9525</xdr:rowOff>
    </xdr:to>
    <xdr:pic>
      <xdr:nvPicPr>
        <xdr:cNvPr id="356922" name="Picture 82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A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142875</xdr:colOff>
      <xdr:row>0</xdr:row>
      <xdr:rowOff>9525</xdr:rowOff>
    </xdr:to>
    <xdr:pic>
      <xdr:nvPicPr>
        <xdr:cNvPr id="356923" name="Picture 82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B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142875</xdr:colOff>
      <xdr:row>0</xdr:row>
      <xdr:rowOff>9525</xdr:rowOff>
    </xdr:to>
    <xdr:pic>
      <xdr:nvPicPr>
        <xdr:cNvPr id="356924" name="Picture 82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C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142875</xdr:colOff>
      <xdr:row>0</xdr:row>
      <xdr:rowOff>9525</xdr:rowOff>
    </xdr:to>
    <xdr:pic>
      <xdr:nvPicPr>
        <xdr:cNvPr id="356925" name="Picture 82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D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142875</xdr:colOff>
      <xdr:row>0</xdr:row>
      <xdr:rowOff>9525</xdr:rowOff>
    </xdr:to>
    <xdr:pic>
      <xdr:nvPicPr>
        <xdr:cNvPr id="356926" name="Picture 82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E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142875</xdr:colOff>
      <xdr:row>0</xdr:row>
      <xdr:rowOff>9525</xdr:rowOff>
    </xdr:to>
    <xdr:pic>
      <xdr:nvPicPr>
        <xdr:cNvPr id="356927" name="Picture 82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F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142875</xdr:colOff>
      <xdr:row>0</xdr:row>
      <xdr:rowOff>9525</xdr:rowOff>
    </xdr:to>
    <xdr:pic>
      <xdr:nvPicPr>
        <xdr:cNvPr id="356928" name="Picture 83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0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142875</xdr:colOff>
      <xdr:row>0</xdr:row>
      <xdr:rowOff>9525</xdr:rowOff>
    </xdr:to>
    <xdr:pic>
      <xdr:nvPicPr>
        <xdr:cNvPr id="356929" name="Picture 83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1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142875</xdr:colOff>
      <xdr:row>0</xdr:row>
      <xdr:rowOff>9525</xdr:rowOff>
    </xdr:to>
    <xdr:pic>
      <xdr:nvPicPr>
        <xdr:cNvPr id="356930" name="Picture 83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2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0</xdr:row>
      <xdr:rowOff>9525</xdr:rowOff>
    </xdr:to>
    <xdr:pic>
      <xdr:nvPicPr>
        <xdr:cNvPr id="356931" name="Picture 83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3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285750</xdr:colOff>
      <xdr:row>0</xdr:row>
      <xdr:rowOff>9525</xdr:rowOff>
    </xdr:to>
    <xdr:pic>
      <xdr:nvPicPr>
        <xdr:cNvPr id="356932" name="Picture 83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4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285750</xdr:colOff>
      <xdr:row>0</xdr:row>
      <xdr:rowOff>9525</xdr:rowOff>
    </xdr:to>
    <xdr:pic>
      <xdr:nvPicPr>
        <xdr:cNvPr id="356933" name="Picture 83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5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285750</xdr:colOff>
      <xdr:row>0</xdr:row>
      <xdr:rowOff>9525</xdr:rowOff>
    </xdr:to>
    <xdr:pic>
      <xdr:nvPicPr>
        <xdr:cNvPr id="356934" name="Picture 83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6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285750</xdr:colOff>
      <xdr:row>0</xdr:row>
      <xdr:rowOff>9525</xdr:rowOff>
    </xdr:to>
    <xdr:pic>
      <xdr:nvPicPr>
        <xdr:cNvPr id="356935" name="Picture 83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7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285750</xdr:colOff>
      <xdr:row>0</xdr:row>
      <xdr:rowOff>9525</xdr:rowOff>
    </xdr:to>
    <xdr:pic>
      <xdr:nvPicPr>
        <xdr:cNvPr id="356936" name="Picture 83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285750</xdr:colOff>
      <xdr:row>0</xdr:row>
      <xdr:rowOff>9525</xdr:rowOff>
    </xdr:to>
    <xdr:pic>
      <xdr:nvPicPr>
        <xdr:cNvPr id="356937" name="Picture 84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9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285750</xdr:colOff>
      <xdr:row>0</xdr:row>
      <xdr:rowOff>9525</xdr:rowOff>
    </xdr:to>
    <xdr:pic>
      <xdr:nvPicPr>
        <xdr:cNvPr id="356938" name="Picture 84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A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285750</xdr:colOff>
      <xdr:row>0</xdr:row>
      <xdr:rowOff>9525</xdr:rowOff>
    </xdr:to>
    <xdr:pic>
      <xdr:nvPicPr>
        <xdr:cNvPr id="356939" name="Picture 84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B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285750</xdr:colOff>
      <xdr:row>0</xdr:row>
      <xdr:rowOff>9525</xdr:rowOff>
    </xdr:to>
    <xdr:pic>
      <xdr:nvPicPr>
        <xdr:cNvPr id="356940" name="Picture 84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C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285750</xdr:colOff>
      <xdr:row>0</xdr:row>
      <xdr:rowOff>9525</xdr:rowOff>
    </xdr:to>
    <xdr:pic>
      <xdr:nvPicPr>
        <xdr:cNvPr id="356941" name="Picture 84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D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285750</xdr:colOff>
      <xdr:row>0</xdr:row>
      <xdr:rowOff>9525</xdr:rowOff>
    </xdr:to>
    <xdr:pic>
      <xdr:nvPicPr>
        <xdr:cNvPr id="356942" name="Picture 84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E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285750</xdr:colOff>
      <xdr:row>0</xdr:row>
      <xdr:rowOff>9525</xdr:rowOff>
    </xdr:to>
    <xdr:pic>
      <xdr:nvPicPr>
        <xdr:cNvPr id="356943" name="Picture 84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F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0</xdr:row>
      <xdr:rowOff>9525</xdr:rowOff>
    </xdr:to>
    <xdr:pic>
      <xdr:nvPicPr>
        <xdr:cNvPr id="356944" name="Picture 84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0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945" name="Picture 85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1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946" name="Picture 85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2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947" name="Picture 85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3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948" name="Picture 85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4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949" name="Picture 85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5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950" name="Picture 85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6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951" name="Picture 85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7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952" name="Picture 85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953" name="Picture 85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9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954" name="Picture 85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A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955" name="Picture 86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B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956" name="Picture 86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C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957" name="Picture 86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D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958" name="Picture 86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E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0</xdr:row>
      <xdr:rowOff>9525</xdr:rowOff>
    </xdr:to>
    <xdr:pic>
      <xdr:nvPicPr>
        <xdr:cNvPr id="356959" name="Picture 86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F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285750</xdr:colOff>
      <xdr:row>0</xdr:row>
      <xdr:rowOff>9525</xdr:rowOff>
    </xdr:to>
    <xdr:pic>
      <xdr:nvPicPr>
        <xdr:cNvPr id="356960" name="Picture 86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0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285750</xdr:colOff>
      <xdr:row>0</xdr:row>
      <xdr:rowOff>9525</xdr:rowOff>
    </xdr:to>
    <xdr:pic>
      <xdr:nvPicPr>
        <xdr:cNvPr id="356961" name="Picture 86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1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285750</xdr:colOff>
      <xdr:row>0</xdr:row>
      <xdr:rowOff>9525</xdr:rowOff>
    </xdr:to>
    <xdr:pic>
      <xdr:nvPicPr>
        <xdr:cNvPr id="356962" name="Picture 86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2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285750</xdr:colOff>
      <xdr:row>0</xdr:row>
      <xdr:rowOff>9525</xdr:rowOff>
    </xdr:to>
    <xdr:pic>
      <xdr:nvPicPr>
        <xdr:cNvPr id="356963" name="Picture 87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3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285750</xdr:colOff>
      <xdr:row>0</xdr:row>
      <xdr:rowOff>9525</xdr:rowOff>
    </xdr:to>
    <xdr:pic>
      <xdr:nvPicPr>
        <xdr:cNvPr id="356964" name="Picture 87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4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285750</xdr:colOff>
      <xdr:row>0</xdr:row>
      <xdr:rowOff>9525</xdr:rowOff>
    </xdr:to>
    <xdr:pic>
      <xdr:nvPicPr>
        <xdr:cNvPr id="356965" name="Picture 87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5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285750</xdr:colOff>
      <xdr:row>0</xdr:row>
      <xdr:rowOff>9525</xdr:rowOff>
    </xdr:to>
    <xdr:pic>
      <xdr:nvPicPr>
        <xdr:cNvPr id="356966" name="Picture 87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6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285750</xdr:colOff>
      <xdr:row>0</xdr:row>
      <xdr:rowOff>9525</xdr:rowOff>
    </xdr:to>
    <xdr:pic>
      <xdr:nvPicPr>
        <xdr:cNvPr id="356967" name="Picture 87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7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285750</xdr:colOff>
      <xdr:row>0</xdr:row>
      <xdr:rowOff>9525</xdr:rowOff>
    </xdr:to>
    <xdr:pic>
      <xdr:nvPicPr>
        <xdr:cNvPr id="356968" name="Picture 87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285750</xdr:colOff>
      <xdr:row>0</xdr:row>
      <xdr:rowOff>9525</xdr:rowOff>
    </xdr:to>
    <xdr:pic>
      <xdr:nvPicPr>
        <xdr:cNvPr id="356969" name="Picture 87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9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285750</xdr:colOff>
      <xdr:row>0</xdr:row>
      <xdr:rowOff>9525</xdr:rowOff>
    </xdr:to>
    <xdr:pic>
      <xdr:nvPicPr>
        <xdr:cNvPr id="356970" name="Picture 87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A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285750</xdr:colOff>
      <xdr:row>0</xdr:row>
      <xdr:rowOff>9525</xdr:rowOff>
    </xdr:to>
    <xdr:pic>
      <xdr:nvPicPr>
        <xdr:cNvPr id="356971" name="Picture 87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B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0</xdr:row>
      <xdr:rowOff>9525</xdr:rowOff>
    </xdr:to>
    <xdr:pic>
      <xdr:nvPicPr>
        <xdr:cNvPr id="356972" name="Picture 87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6C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973" name="Picture 88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D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974" name="Picture 88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E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975" name="Picture 88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F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976" name="Picture 88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0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977" name="Picture 89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1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978" name="Picture 89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2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979" name="Picture 89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3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980" name="Picture 89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4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981" name="Picture 89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5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982" name="Picture 89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6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983" name="Picture 89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7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984" name="Picture 89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985" name="Picture 89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9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6986" name="Picture 89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A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6987" name="Picture 90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B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6988" name="Picture 90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C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6989" name="Picture 90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D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6990" name="Picture 90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E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6991" name="Picture 90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F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6992" name="Picture 90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0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6993" name="Picture 90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1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6994" name="Picture 90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2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6995" name="Picture 90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3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6996" name="Picture 91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4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6997" name="Picture 91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5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6998" name="Picture 91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6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6999" name="Picture 91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7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7000" name="Picture 91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142875</xdr:colOff>
      <xdr:row>0</xdr:row>
      <xdr:rowOff>9525</xdr:rowOff>
    </xdr:to>
    <xdr:pic>
      <xdr:nvPicPr>
        <xdr:cNvPr id="357001" name="Picture 91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9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142875</xdr:colOff>
      <xdr:row>0</xdr:row>
      <xdr:rowOff>9525</xdr:rowOff>
    </xdr:to>
    <xdr:pic>
      <xdr:nvPicPr>
        <xdr:cNvPr id="357002" name="Picture 91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A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142875</xdr:colOff>
      <xdr:row>0</xdr:row>
      <xdr:rowOff>9525</xdr:rowOff>
    </xdr:to>
    <xdr:pic>
      <xdr:nvPicPr>
        <xdr:cNvPr id="357003" name="Picture 91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B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142875</xdr:colOff>
      <xdr:row>0</xdr:row>
      <xdr:rowOff>9525</xdr:rowOff>
    </xdr:to>
    <xdr:pic>
      <xdr:nvPicPr>
        <xdr:cNvPr id="357004" name="Picture 92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C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142875</xdr:colOff>
      <xdr:row>0</xdr:row>
      <xdr:rowOff>9525</xdr:rowOff>
    </xdr:to>
    <xdr:pic>
      <xdr:nvPicPr>
        <xdr:cNvPr id="357005" name="Picture 92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D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142875</xdr:colOff>
      <xdr:row>0</xdr:row>
      <xdr:rowOff>9525</xdr:rowOff>
    </xdr:to>
    <xdr:pic>
      <xdr:nvPicPr>
        <xdr:cNvPr id="357006" name="Picture 92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E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142875</xdr:colOff>
      <xdr:row>0</xdr:row>
      <xdr:rowOff>9525</xdr:rowOff>
    </xdr:to>
    <xdr:pic>
      <xdr:nvPicPr>
        <xdr:cNvPr id="357007" name="Picture 92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F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142875</xdr:colOff>
      <xdr:row>0</xdr:row>
      <xdr:rowOff>9525</xdr:rowOff>
    </xdr:to>
    <xdr:pic>
      <xdr:nvPicPr>
        <xdr:cNvPr id="357008" name="Picture 92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0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142875</xdr:colOff>
      <xdr:row>0</xdr:row>
      <xdr:rowOff>9525</xdr:rowOff>
    </xdr:to>
    <xdr:pic>
      <xdr:nvPicPr>
        <xdr:cNvPr id="357009" name="Picture 92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1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142875</xdr:colOff>
      <xdr:row>0</xdr:row>
      <xdr:rowOff>9525</xdr:rowOff>
    </xdr:to>
    <xdr:pic>
      <xdr:nvPicPr>
        <xdr:cNvPr id="357010" name="Picture 92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2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142875</xdr:colOff>
      <xdr:row>0</xdr:row>
      <xdr:rowOff>9525</xdr:rowOff>
    </xdr:to>
    <xdr:pic>
      <xdr:nvPicPr>
        <xdr:cNvPr id="357011" name="Picture 92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3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142875</xdr:colOff>
      <xdr:row>0</xdr:row>
      <xdr:rowOff>9525</xdr:rowOff>
    </xdr:to>
    <xdr:pic>
      <xdr:nvPicPr>
        <xdr:cNvPr id="357012" name="Picture 92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4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142875</xdr:colOff>
      <xdr:row>0</xdr:row>
      <xdr:rowOff>9525</xdr:rowOff>
    </xdr:to>
    <xdr:pic>
      <xdr:nvPicPr>
        <xdr:cNvPr id="357013" name="Picture 92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5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142875</xdr:colOff>
      <xdr:row>0</xdr:row>
      <xdr:rowOff>9525</xdr:rowOff>
    </xdr:to>
    <xdr:pic>
      <xdr:nvPicPr>
        <xdr:cNvPr id="357014" name="Picture 93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6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0</xdr:row>
      <xdr:rowOff>9525</xdr:rowOff>
    </xdr:to>
    <xdr:pic>
      <xdr:nvPicPr>
        <xdr:cNvPr id="357015" name="Picture 93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7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2669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285750</xdr:colOff>
      <xdr:row>0</xdr:row>
      <xdr:rowOff>9525</xdr:rowOff>
    </xdr:to>
    <xdr:pic>
      <xdr:nvPicPr>
        <xdr:cNvPr id="357016" name="Picture 93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28860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285750</xdr:colOff>
      <xdr:row>0</xdr:row>
      <xdr:rowOff>9525</xdr:rowOff>
    </xdr:to>
    <xdr:pic>
      <xdr:nvPicPr>
        <xdr:cNvPr id="357017" name="Picture 93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9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35052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285750</xdr:colOff>
      <xdr:row>0</xdr:row>
      <xdr:rowOff>9525</xdr:rowOff>
    </xdr:to>
    <xdr:pic>
      <xdr:nvPicPr>
        <xdr:cNvPr id="357018" name="Picture 93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A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1243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285750</xdr:colOff>
      <xdr:row>0</xdr:row>
      <xdr:rowOff>9525</xdr:rowOff>
    </xdr:to>
    <xdr:pic>
      <xdr:nvPicPr>
        <xdr:cNvPr id="357019" name="Picture 93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B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4743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285750</xdr:colOff>
      <xdr:row>0</xdr:row>
      <xdr:rowOff>9525</xdr:rowOff>
    </xdr:to>
    <xdr:pic>
      <xdr:nvPicPr>
        <xdr:cNvPr id="357020" name="Picture 93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C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3625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285750</xdr:colOff>
      <xdr:row>0</xdr:row>
      <xdr:rowOff>9525</xdr:rowOff>
    </xdr:to>
    <xdr:pic>
      <xdr:nvPicPr>
        <xdr:cNvPr id="357021" name="Picture 93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D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9817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285750</xdr:colOff>
      <xdr:row>0</xdr:row>
      <xdr:rowOff>9525</xdr:rowOff>
    </xdr:to>
    <xdr:pic>
      <xdr:nvPicPr>
        <xdr:cNvPr id="357022" name="Picture 93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E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66008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285750</xdr:colOff>
      <xdr:row>0</xdr:row>
      <xdr:rowOff>9525</xdr:rowOff>
    </xdr:to>
    <xdr:pic>
      <xdr:nvPicPr>
        <xdr:cNvPr id="357023" name="Picture 94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F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2199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285750</xdr:colOff>
      <xdr:row>0</xdr:row>
      <xdr:rowOff>9525</xdr:rowOff>
    </xdr:to>
    <xdr:pic>
      <xdr:nvPicPr>
        <xdr:cNvPr id="357024" name="Picture 94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0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783907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285750</xdr:colOff>
      <xdr:row>0</xdr:row>
      <xdr:rowOff>9525</xdr:rowOff>
    </xdr:to>
    <xdr:pic>
      <xdr:nvPicPr>
        <xdr:cNvPr id="357025" name="Picture 94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1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845820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285750</xdr:colOff>
      <xdr:row>0</xdr:row>
      <xdr:rowOff>9525</xdr:rowOff>
    </xdr:to>
    <xdr:pic>
      <xdr:nvPicPr>
        <xdr:cNvPr id="357026" name="Picture 94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2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0773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285750</xdr:colOff>
      <xdr:row>0</xdr:row>
      <xdr:rowOff>9525</xdr:rowOff>
    </xdr:to>
    <xdr:pic>
      <xdr:nvPicPr>
        <xdr:cNvPr id="357027" name="Picture 94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3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96964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285750</xdr:colOff>
      <xdr:row>0</xdr:row>
      <xdr:rowOff>9525</xdr:rowOff>
    </xdr:to>
    <xdr:pic>
      <xdr:nvPicPr>
        <xdr:cNvPr id="357028" name="Picture 94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4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763250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7029" name="Picture 95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5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7030" name="Picture 95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6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7031" name="Picture 95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7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7032" name="Picture 95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7033" name="Picture 95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9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7034" name="Picture 95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A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7035" name="Picture 95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B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7036" name="Picture 95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C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7037" name="Picture 95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D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7038" name="Picture 96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E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7039" name="Picture 96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F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7040" name="Picture 96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0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7041" name="Picture 96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1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7042" name="Picture 96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2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7043" name="Picture 96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3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7044" name="Picture 96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4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7045" name="Picture 96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5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7046" name="Picture 96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6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7047" name="Picture 97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7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7048" name="Picture 97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7049" name="Picture 97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9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7050" name="Picture 97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A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7051" name="Picture 97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B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7052" name="Picture 97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C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7053" name="Picture 97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D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7054" name="Picture 97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E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7055" name="Picture 97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F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7056" name="Picture 97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0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7057" name="Picture 98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1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7058" name="Picture 98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2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7059" name="Picture 98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3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7060" name="Picture 98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4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7061" name="Picture 98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5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7062" name="Picture 98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6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7063" name="Picture 98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7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7064" name="Picture 98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7065" name="Picture 98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9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7066" name="Picture 99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A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7067" name="Picture 99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B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7068" name="Picture 99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C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7069" name="Picture 99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D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7070" name="Picture 99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E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7071" name="Picture 99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F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7072" name="Picture 99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0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7073" name="Picture 99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1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7074" name="Picture 99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2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7075" name="Picture 99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3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7076" name="Picture 100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4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7077" name="Picture 100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5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7078" name="Picture 100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6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7079" name="Picture 100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7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7080" name="Picture 100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7081" name="Picture 100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9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7082" name="Picture 100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A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7083" name="Picture 100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B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7084" name="Picture 100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C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7085" name="Picture 100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D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7086" name="Picture 101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E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7087" name="Picture 101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F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7088" name="Picture 101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0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7089" name="Picture 101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1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7090" name="Picture 101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2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7091" name="Picture 10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3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7092" name="Picture 101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4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7093" name="Picture 101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5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7094" name="Picture 101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6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7095" name="Picture 101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7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7096" name="Picture 102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7097" name="Picture 102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9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7098" name="Picture 102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A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7099" name="Picture 102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B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7100" name="Picture 102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C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7101" name="Picture 102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D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7102" name="Picture 102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E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7103" name="Picture 102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F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7104" name="Picture 102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0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7105" name="Picture 103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1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7106" name="Picture 103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2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7107" name="Picture 103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3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7108" name="Picture 103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4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7109" name="Picture 103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5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7110" name="Picture 103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6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7111" name="Picture 103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7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7112" name="Picture 103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7113" name="Picture 104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9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7114" name="Picture 104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A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7115" name="Picture 104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B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7116" name="Picture 104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C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7117" name="Picture 104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D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7118" name="Picture 104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E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7119" name="Picture 104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F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7120" name="Picture 105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0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7121" name="Picture 105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1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7122" name="Picture 105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2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7123" name="Picture 105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3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7124" name="Picture 105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4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7125" name="Picture 105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5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7126" name="Picture 105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6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485775</xdr:colOff>
      <xdr:row>0</xdr:row>
      <xdr:rowOff>9525</xdr:rowOff>
    </xdr:to>
    <xdr:pic>
      <xdr:nvPicPr>
        <xdr:cNvPr id="357127" name="Picture 105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7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266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485775</xdr:colOff>
      <xdr:row>0</xdr:row>
      <xdr:rowOff>9525</xdr:rowOff>
    </xdr:to>
    <xdr:pic>
      <xdr:nvPicPr>
        <xdr:cNvPr id="357128" name="Picture 105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8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2886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485775</xdr:colOff>
      <xdr:row>0</xdr:row>
      <xdr:rowOff>9525</xdr:rowOff>
    </xdr:to>
    <xdr:pic>
      <xdr:nvPicPr>
        <xdr:cNvPr id="357129" name="Picture 105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9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3505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485775</xdr:colOff>
      <xdr:row>0</xdr:row>
      <xdr:rowOff>9525</xdr:rowOff>
    </xdr:to>
    <xdr:pic>
      <xdr:nvPicPr>
        <xdr:cNvPr id="357130" name="Picture 106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A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124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485775</xdr:colOff>
      <xdr:row>0</xdr:row>
      <xdr:rowOff>9525</xdr:rowOff>
    </xdr:to>
    <xdr:pic>
      <xdr:nvPicPr>
        <xdr:cNvPr id="357131" name="Picture 106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B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743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485775</xdr:colOff>
      <xdr:row>0</xdr:row>
      <xdr:rowOff>9525</xdr:rowOff>
    </xdr:to>
    <xdr:pic>
      <xdr:nvPicPr>
        <xdr:cNvPr id="357132" name="Picture 106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C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3625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485775</xdr:colOff>
      <xdr:row>0</xdr:row>
      <xdr:rowOff>9525</xdr:rowOff>
    </xdr:to>
    <xdr:pic>
      <xdr:nvPicPr>
        <xdr:cNvPr id="357133" name="Picture 106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D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9817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485775</xdr:colOff>
      <xdr:row>0</xdr:row>
      <xdr:rowOff>9525</xdr:rowOff>
    </xdr:to>
    <xdr:pic>
      <xdr:nvPicPr>
        <xdr:cNvPr id="357134" name="Picture 106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E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66008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485775</xdr:colOff>
      <xdr:row>0</xdr:row>
      <xdr:rowOff>9525</xdr:rowOff>
    </xdr:to>
    <xdr:pic>
      <xdr:nvPicPr>
        <xdr:cNvPr id="357135" name="Picture 106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F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2199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485775</xdr:colOff>
      <xdr:row>0</xdr:row>
      <xdr:rowOff>9525</xdr:rowOff>
    </xdr:to>
    <xdr:pic>
      <xdr:nvPicPr>
        <xdr:cNvPr id="357136" name="Picture 106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0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783907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485775</xdr:colOff>
      <xdr:row>0</xdr:row>
      <xdr:rowOff>9525</xdr:rowOff>
    </xdr:to>
    <xdr:pic>
      <xdr:nvPicPr>
        <xdr:cNvPr id="357137" name="Picture 106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1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84582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485775</xdr:colOff>
      <xdr:row>0</xdr:row>
      <xdr:rowOff>9525</xdr:rowOff>
    </xdr:to>
    <xdr:pic>
      <xdr:nvPicPr>
        <xdr:cNvPr id="357138" name="Picture 106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2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0773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485775</xdr:colOff>
      <xdr:row>0</xdr:row>
      <xdr:rowOff>9525</xdr:rowOff>
    </xdr:to>
    <xdr:pic>
      <xdr:nvPicPr>
        <xdr:cNvPr id="357139" name="Picture 106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3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96964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485775</xdr:colOff>
      <xdr:row>0</xdr:row>
      <xdr:rowOff>9525</xdr:rowOff>
    </xdr:to>
    <xdr:pic>
      <xdr:nvPicPr>
        <xdr:cNvPr id="357140" name="Picture 107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4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76325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41" name="Picture 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5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42" name="Picture 3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6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142875</xdr:colOff>
      <xdr:row>0</xdr:row>
      <xdr:rowOff>9525</xdr:rowOff>
    </xdr:to>
    <xdr:pic>
      <xdr:nvPicPr>
        <xdr:cNvPr id="357143" name="Picture 5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7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44" name="Picture 7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8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142875</xdr:colOff>
      <xdr:row>0</xdr:row>
      <xdr:rowOff>9525</xdr:rowOff>
    </xdr:to>
    <xdr:pic>
      <xdr:nvPicPr>
        <xdr:cNvPr id="357145" name="Picture 9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9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46" name="Picture 10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A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142875</xdr:colOff>
      <xdr:row>0</xdr:row>
      <xdr:rowOff>9525</xdr:rowOff>
    </xdr:to>
    <xdr:pic>
      <xdr:nvPicPr>
        <xdr:cNvPr id="357147" name="Picture 12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B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48" name="Picture 14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C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49" name="Picture 15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D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50" name="Picture 16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E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142875</xdr:colOff>
      <xdr:row>0</xdr:row>
      <xdr:rowOff>9525</xdr:rowOff>
    </xdr:to>
    <xdr:pic>
      <xdr:nvPicPr>
        <xdr:cNvPr id="357151" name="Picture 18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F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0</xdr:row>
      <xdr:rowOff>9525</xdr:rowOff>
    </xdr:to>
    <xdr:pic>
      <xdr:nvPicPr>
        <xdr:cNvPr id="357152" name="Picture 19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0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53" name="Picture 21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1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0</xdr:row>
      <xdr:rowOff>9525</xdr:rowOff>
    </xdr:to>
    <xdr:pic>
      <xdr:nvPicPr>
        <xdr:cNvPr id="357154" name="Picture 23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2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428625</xdr:colOff>
      <xdr:row>0</xdr:row>
      <xdr:rowOff>9525</xdr:rowOff>
    </xdr:to>
    <xdr:pic>
      <xdr:nvPicPr>
        <xdr:cNvPr id="357155" name="Picture 24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3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56" name="Picture 26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4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428625</xdr:colOff>
      <xdr:row>0</xdr:row>
      <xdr:rowOff>9525</xdr:rowOff>
    </xdr:to>
    <xdr:pic>
      <xdr:nvPicPr>
        <xdr:cNvPr id="357157" name="Picture 28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5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58" name="Picture 29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6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428625</xdr:colOff>
      <xdr:row>0</xdr:row>
      <xdr:rowOff>9525</xdr:rowOff>
    </xdr:to>
    <xdr:pic>
      <xdr:nvPicPr>
        <xdr:cNvPr id="357159" name="Picture 31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7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60" name="Picture 34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8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428625</xdr:colOff>
      <xdr:row>0</xdr:row>
      <xdr:rowOff>9525</xdr:rowOff>
    </xdr:to>
    <xdr:pic>
      <xdr:nvPicPr>
        <xdr:cNvPr id="357161" name="Picture 36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9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62" name="Picture 38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A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428625</xdr:colOff>
      <xdr:row>0</xdr:row>
      <xdr:rowOff>9525</xdr:rowOff>
    </xdr:to>
    <xdr:pic>
      <xdr:nvPicPr>
        <xdr:cNvPr id="357163" name="Picture 39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B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64" name="Picture 41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C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65" name="Picture 42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D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0</xdr:row>
      <xdr:rowOff>9525</xdr:rowOff>
    </xdr:to>
    <xdr:pic>
      <xdr:nvPicPr>
        <xdr:cNvPr id="357166" name="Picture 44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E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428625</xdr:colOff>
      <xdr:row>0</xdr:row>
      <xdr:rowOff>9525</xdr:rowOff>
    </xdr:to>
    <xdr:pic>
      <xdr:nvPicPr>
        <xdr:cNvPr id="357167" name="Picture 45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F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68" name="Picture 48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0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428625</xdr:colOff>
      <xdr:row>0</xdr:row>
      <xdr:rowOff>9525</xdr:rowOff>
    </xdr:to>
    <xdr:pic>
      <xdr:nvPicPr>
        <xdr:cNvPr id="357169" name="Picture 50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1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70" name="Picture 52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2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71" name="Picture 53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3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0</xdr:row>
      <xdr:rowOff>9525</xdr:rowOff>
    </xdr:to>
    <xdr:pic>
      <xdr:nvPicPr>
        <xdr:cNvPr id="357172" name="Picture 55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4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428625</xdr:colOff>
      <xdr:row>0</xdr:row>
      <xdr:rowOff>9525</xdr:rowOff>
    </xdr:to>
    <xdr:pic>
      <xdr:nvPicPr>
        <xdr:cNvPr id="357173" name="Picture 56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5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74" name="Picture 59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6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428625</xdr:colOff>
      <xdr:row>0</xdr:row>
      <xdr:rowOff>9525</xdr:rowOff>
    </xdr:to>
    <xdr:pic>
      <xdr:nvPicPr>
        <xdr:cNvPr id="357175" name="Picture 60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7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76" name="Picture 63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8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428625</xdr:colOff>
      <xdr:row>0</xdr:row>
      <xdr:rowOff>9525</xdr:rowOff>
    </xdr:to>
    <xdr:pic>
      <xdr:nvPicPr>
        <xdr:cNvPr id="357177" name="Picture 65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9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78" name="Picture 66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A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428625</xdr:colOff>
      <xdr:row>0</xdr:row>
      <xdr:rowOff>9525</xdr:rowOff>
    </xdr:to>
    <xdr:pic>
      <xdr:nvPicPr>
        <xdr:cNvPr id="357179" name="Picture 68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B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80" name="Picture 7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C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428625</xdr:colOff>
      <xdr:row>0</xdr:row>
      <xdr:rowOff>9525</xdr:rowOff>
    </xdr:to>
    <xdr:pic>
      <xdr:nvPicPr>
        <xdr:cNvPr id="357181" name="Picture 73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D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82" name="Picture 75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E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83" name="Picture 76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F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0</xdr:row>
      <xdr:rowOff>9525</xdr:rowOff>
    </xdr:to>
    <xdr:pic>
      <xdr:nvPicPr>
        <xdr:cNvPr id="357184" name="Picture 78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0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85" name="Picture 80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1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86" name="Picture 8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2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142875</xdr:colOff>
      <xdr:row>0</xdr:row>
      <xdr:rowOff>9525</xdr:rowOff>
    </xdr:to>
    <xdr:pic>
      <xdr:nvPicPr>
        <xdr:cNvPr id="357187" name="Picture 83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3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0</xdr:row>
      <xdr:rowOff>9525</xdr:rowOff>
    </xdr:to>
    <xdr:pic>
      <xdr:nvPicPr>
        <xdr:cNvPr id="357188" name="Picture 84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4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89" name="Picture 86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5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0</xdr:row>
      <xdr:rowOff>9525</xdr:rowOff>
    </xdr:to>
    <xdr:pic>
      <xdr:nvPicPr>
        <xdr:cNvPr id="357190" name="Picture 878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6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91" name="Picture 89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7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92" name="Picture 91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8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142875</xdr:colOff>
      <xdr:row>0</xdr:row>
      <xdr:rowOff>9525</xdr:rowOff>
    </xdr:to>
    <xdr:pic>
      <xdr:nvPicPr>
        <xdr:cNvPr id="357193" name="Picture 92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9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285750</xdr:colOff>
      <xdr:row>0</xdr:row>
      <xdr:rowOff>9525</xdr:rowOff>
    </xdr:to>
    <xdr:pic>
      <xdr:nvPicPr>
        <xdr:cNvPr id="357194" name="Picture 94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A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3727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95" name="Picture 96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B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96" name="Picture 97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C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97" name="Picture 99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D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98" name="Picture 100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E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199" name="Picture 102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F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200" name="Picture 103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0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201" name="Picture 105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1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28575</xdr:colOff>
      <xdr:row>0</xdr:row>
      <xdr:rowOff>9525</xdr:rowOff>
    </xdr:to>
    <xdr:pic>
      <xdr:nvPicPr>
        <xdr:cNvPr id="357202" name="Picture 106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273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523875</xdr:colOff>
      <xdr:row>4</xdr:row>
      <xdr:rowOff>0</xdr:rowOff>
    </xdr:to>
    <xdr:pic>
      <xdr:nvPicPr>
        <xdr:cNvPr id="357203" name="Picture 1" descr="WestCorp75.gif">
          <a:extLst>
            <a:ext uri="{FF2B5EF4-FFF2-40B4-BE49-F238E27FC236}">
              <a16:creationId xmlns:a16="http://schemas.microsoft.com/office/drawing/2014/main" xmlns="" id="{00000000-0008-0000-0400-00005373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19100"/>
          <a:ext cx="1076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53" name="Picture 1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54" name="Picture 3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42875" cy="9525"/>
    <xdr:pic>
      <xdr:nvPicPr>
        <xdr:cNvPr id="1055" name="Picture 5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56" name="Picture 7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42875" cy="9525"/>
    <xdr:pic>
      <xdr:nvPicPr>
        <xdr:cNvPr id="1057" name="Picture 9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58" name="Picture 10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42875" cy="9525"/>
    <xdr:pic>
      <xdr:nvPicPr>
        <xdr:cNvPr id="1059" name="Picture 12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60" name="Picture 14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61" name="Picture 15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62" name="Picture 17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42875" cy="9525"/>
    <xdr:pic>
      <xdr:nvPicPr>
        <xdr:cNvPr id="1063" name="Picture 18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285750" cy="9525"/>
    <xdr:pic>
      <xdr:nvPicPr>
        <xdr:cNvPr id="1064" name="Picture 20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65" name="Picture 2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285750" cy="9525"/>
    <xdr:pic>
      <xdr:nvPicPr>
        <xdr:cNvPr id="1066" name="Picture 23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28625" cy="9525"/>
    <xdr:pic>
      <xdr:nvPicPr>
        <xdr:cNvPr id="1067" name="Picture 24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68" name="Picture 26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28625" cy="9525"/>
    <xdr:pic>
      <xdr:nvPicPr>
        <xdr:cNvPr id="1069" name="Picture 28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70" name="Picture 29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28625" cy="9525"/>
    <xdr:pic>
      <xdr:nvPicPr>
        <xdr:cNvPr id="1071" name="Picture 31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72" name="Picture 34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28625" cy="9525"/>
    <xdr:pic>
      <xdr:nvPicPr>
        <xdr:cNvPr id="1073" name="Picture 36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74" name="Picture 38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28625" cy="9525"/>
    <xdr:pic>
      <xdr:nvPicPr>
        <xdr:cNvPr id="1075" name="Picture 39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76" name="Picture 41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77" name="Picture 42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285750" cy="9525"/>
    <xdr:pic>
      <xdr:nvPicPr>
        <xdr:cNvPr id="1078" name="Picture 44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28625" cy="9525"/>
    <xdr:pic>
      <xdr:nvPicPr>
        <xdr:cNvPr id="1079" name="Picture 45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80" name="Picture 48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28625" cy="9525"/>
    <xdr:pic>
      <xdr:nvPicPr>
        <xdr:cNvPr id="1081" name="Picture 50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82" name="Picture 52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83" name="Picture 53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285750" cy="9525"/>
    <xdr:pic>
      <xdr:nvPicPr>
        <xdr:cNvPr id="1084" name="Picture 55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28625" cy="9525"/>
    <xdr:pic>
      <xdr:nvPicPr>
        <xdr:cNvPr id="1085" name="Picture 56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86" name="Picture 59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28625" cy="9525"/>
    <xdr:pic>
      <xdr:nvPicPr>
        <xdr:cNvPr id="1087" name="Picture 61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88" name="Picture 63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28625" cy="9525"/>
    <xdr:pic>
      <xdr:nvPicPr>
        <xdr:cNvPr id="1089" name="Picture 65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90" name="Picture 66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28625" cy="9525"/>
    <xdr:pic>
      <xdr:nvPicPr>
        <xdr:cNvPr id="1091" name="Picture 68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92" name="Picture 71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28625" cy="9525"/>
    <xdr:pic>
      <xdr:nvPicPr>
        <xdr:cNvPr id="1093" name="Picture 73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94" name="Picture 75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95" name="Picture 76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285750" cy="9525"/>
    <xdr:pic>
      <xdr:nvPicPr>
        <xdr:cNvPr id="1096" name="Picture 78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97" name="Picture 80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098" name="Picture 81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42875" cy="9525"/>
    <xdr:pic>
      <xdr:nvPicPr>
        <xdr:cNvPr id="1099" name="Picture 83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285750" cy="9525"/>
    <xdr:pic>
      <xdr:nvPicPr>
        <xdr:cNvPr id="1100" name="Picture 84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101" name="Picture 86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285750" cy="9525"/>
    <xdr:pic>
      <xdr:nvPicPr>
        <xdr:cNvPr id="1102" name="Picture 87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103" name="Picture 89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104" name="Picture 91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142875" cy="9525"/>
    <xdr:pic>
      <xdr:nvPicPr>
        <xdr:cNvPr id="1105" name="Picture 93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285750" cy="9525"/>
    <xdr:pic>
      <xdr:nvPicPr>
        <xdr:cNvPr id="1106" name="Picture 94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107" name="Picture 96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108" name="Picture 97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109" name="Picture 99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110" name="Picture 100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111" name="Picture 102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112" name="Picture 103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113" name="Picture 105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114" name="Picture 107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15" name="Picture 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16" name="Picture 3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17" name="Picture 7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18" name="Picture 10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19" name="Picture 14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20" name="Picture 15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21" name="Picture 16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22" name="Picture 21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23" name="Picture 26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24" name="Picture 29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25" name="Picture 34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26" name="Picture 38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27" name="Picture 41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28" name="Picture 42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29" name="Picture 48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30" name="Picture 52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31" name="Picture 53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32" name="Picture 59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33" name="Picture 63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34" name="Picture 66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35" name="Picture 7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36" name="Picture 75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37" name="Picture 76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38" name="Picture 80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39" name="Picture 8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40" name="Picture 86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41" name="Picture 89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42" name="Picture 91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43" name="Picture 96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44" name="Picture 97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45" name="Picture 99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46" name="Picture 100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47" name="Picture 102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48" name="Picture 103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49" name="Picture 105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485775" cy="9525"/>
    <xdr:pic>
      <xdr:nvPicPr>
        <xdr:cNvPr id="1150" name="Picture 106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51" name="Picture 1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52" name="Picture 3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42875" cy="9525"/>
    <xdr:pic>
      <xdr:nvPicPr>
        <xdr:cNvPr id="1153" name="Picture 5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54" name="Picture 7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42875" cy="9525"/>
    <xdr:pic>
      <xdr:nvPicPr>
        <xdr:cNvPr id="1155" name="Picture 9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56" name="Picture 10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42875" cy="9525"/>
    <xdr:pic>
      <xdr:nvPicPr>
        <xdr:cNvPr id="1157" name="Picture 12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58" name="Picture 14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59" name="Picture 15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60" name="Picture 17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42875" cy="9525"/>
    <xdr:pic>
      <xdr:nvPicPr>
        <xdr:cNvPr id="1161" name="Picture 18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285750" cy="9525"/>
    <xdr:pic>
      <xdr:nvPicPr>
        <xdr:cNvPr id="1162" name="Picture 20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63" name="Picture 2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285750" cy="9525"/>
    <xdr:pic>
      <xdr:nvPicPr>
        <xdr:cNvPr id="1164" name="Picture 23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28625" cy="9525"/>
    <xdr:pic>
      <xdr:nvPicPr>
        <xdr:cNvPr id="1165" name="Picture 246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66" name="Picture 26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28625" cy="9525"/>
    <xdr:pic>
      <xdr:nvPicPr>
        <xdr:cNvPr id="1167" name="Picture 28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68" name="Picture 29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28625" cy="9525"/>
    <xdr:pic>
      <xdr:nvPicPr>
        <xdr:cNvPr id="1169" name="Picture 31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70" name="Picture 34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28625" cy="9525"/>
    <xdr:pic>
      <xdr:nvPicPr>
        <xdr:cNvPr id="1171" name="Picture 363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72" name="Picture 38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28625" cy="9525"/>
    <xdr:pic>
      <xdr:nvPicPr>
        <xdr:cNvPr id="1173" name="Picture 39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74" name="Picture 41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75" name="Picture 42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285750" cy="9525"/>
    <xdr:pic>
      <xdr:nvPicPr>
        <xdr:cNvPr id="1176" name="Picture 44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28625" cy="9525"/>
    <xdr:pic>
      <xdr:nvPicPr>
        <xdr:cNvPr id="1177" name="Picture 45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78" name="Picture 48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28625" cy="9525"/>
    <xdr:pic>
      <xdr:nvPicPr>
        <xdr:cNvPr id="1179" name="Picture 501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80" name="Picture 52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81" name="Picture 53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285750" cy="9525"/>
    <xdr:pic>
      <xdr:nvPicPr>
        <xdr:cNvPr id="1182" name="Picture 554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28625" cy="9525"/>
    <xdr:pic>
      <xdr:nvPicPr>
        <xdr:cNvPr id="1183" name="Picture 56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84" name="Picture 59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28625" cy="9525"/>
    <xdr:pic>
      <xdr:nvPicPr>
        <xdr:cNvPr id="1185" name="Picture 61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86" name="Picture 63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28625" cy="9525"/>
    <xdr:pic>
      <xdr:nvPicPr>
        <xdr:cNvPr id="1187" name="Picture 65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88" name="Picture 66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28625" cy="9525"/>
    <xdr:pic>
      <xdr:nvPicPr>
        <xdr:cNvPr id="1189" name="Picture 68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90" name="Picture 71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28625" cy="9525"/>
    <xdr:pic>
      <xdr:nvPicPr>
        <xdr:cNvPr id="1191" name="Picture 73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428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92" name="Picture 75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93" name="Picture 76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285750" cy="9525"/>
    <xdr:pic>
      <xdr:nvPicPr>
        <xdr:cNvPr id="1194" name="Picture 78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95" name="Picture 80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96" name="Picture 81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42875" cy="9525"/>
    <xdr:pic>
      <xdr:nvPicPr>
        <xdr:cNvPr id="1197" name="Picture 832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285750" cy="9525"/>
    <xdr:pic>
      <xdr:nvPicPr>
        <xdr:cNvPr id="1198" name="Picture 847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199" name="Picture 86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285750" cy="9525"/>
    <xdr:pic>
      <xdr:nvPicPr>
        <xdr:cNvPr id="1200" name="Picture 879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01" name="Picture 89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02" name="Picture 91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142875" cy="9525"/>
    <xdr:pic>
      <xdr:nvPicPr>
        <xdr:cNvPr id="1203" name="Picture 930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142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285750" cy="9525"/>
    <xdr:pic>
      <xdr:nvPicPr>
        <xdr:cNvPr id="1204" name="Picture 945" descr="C:\Documents and Settings\SSeegmiller\Local Settings\Temporary Internet Files\Content.IE5\resources\images\ia-app\misc\trans.gif">
          <a:extLst>
            <a:ext uri="{FF2B5EF4-FFF2-40B4-BE49-F238E27FC236}">
              <a16:creationId xmlns:a16="http://schemas.microsoft.com/office/drawing/2014/main" xmlns="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0829925" y="0"/>
          <a:ext cx="2857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05" name="Picture 96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06" name="Picture 97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07" name="Picture 99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08" name="Picture 100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09" name="Picture 102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10" name="Picture 103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11" name="Picture 105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12" name="Picture 107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13" name="Picture 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14" name="Picture 3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15" name="Picture 7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16" name="Picture 10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17" name="Picture 14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18" name="Picture 15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19" name="Picture 16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20" name="Picture 21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21" name="Picture 26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22" name="Picture 29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23" name="Picture 34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24" name="Picture 38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25" name="Picture 41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26" name="Picture 42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27" name="Picture 48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28" name="Picture 52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29" name="Picture 53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30" name="Picture 59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31" name="Picture 63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32" name="Picture 66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33" name="Picture 7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34" name="Picture 75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35" name="Picture 76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36" name="Picture 80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37" name="Picture 8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38" name="Picture 86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39" name="Picture 89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40" name="Picture 91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41" name="Picture 96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42" name="Picture 97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43" name="Picture 99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44" name="Picture 100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45" name="Picture 102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46" name="Picture 103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47" name="Picture 105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0</xdr:row>
      <xdr:rowOff>0</xdr:rowOff>
    </xdr:from>
    <xdr:ext cx="485775" cy="9525"/>
    <xdr:pic>
      <xdr:nvPicPr>
        <xdr:cNvPr id="1248" name="Picture 106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3727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49" name="Picture 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50" name="Picture 3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51" name="Picture 7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52" name="Picture 10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53" name="Picture 14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54" name="Picture 15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55" name="Picture 16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56" name="Picture 21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57" name="Picture 26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58" name="Picture 29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59" name="Picture 34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60" name="Picture 38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61" name="Picture 41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62" name="Picture 42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63" name="Picture 484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64" name="Picture 52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65" name="Picture 53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66" name="Picture 59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67" name="Picture 63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68" name="Picture 66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69" name="Picture 7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70" name="Picture 75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71" name="Picture 76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72" name="Picture 800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73" name="Picture 81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74" name="Picture 862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75" name="Picture 89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76" name="Picture 91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77" name="Picture 96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78" name="Picture 978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79" name="Picture 993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80" name="Picture 1007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81" name="Picture 1021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82" name="Picture 1036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83" name="Picture 1055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0</xdr:row>
      <xdr:rowOff>0</xdr:rowOff>
    </xdr:from>
    <xdr:ext cx="485775" cy="9525"/>
    <xdr:pic>
      <xdr:nvPicPr>
        <xdr:cNvPr id="1284" name="Picture 1069" descr="C:\Documents and Settings\SSeegmiller\Local Settings\Temporary Internet Files\Content.IE5\resources\images\ia-app\misc\blackpixel.gif">
          <a:extLst>
            <a:ext uri="{FF2B5EF4-FFF2-40B4-BE49-F238E27FC236}">
              <a16:creationId xmlns:a16="http://schemas.microsoft.com/office/drawing/2014/main" xmlns="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10829925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523875</xdr:colOff>
      <xdr:row>4</xdr:row>
      <xdr:rowOff>0</xdr:rowOff>
    </xdr:to>
    <xdr:pic>
      <xdr:nvPicPr>
        <xdr:cNvPr id="157874" name="Picture 1" descr="WestCorp75.gif">
          <a:extLst>
            <a:ext uri="{FF2B5EF4-FFF2-40B4-BE49-F238E27FC236}">
              <a16:creationId xmlns:a16="http://schemas.microsoft.com/office/drawing/2014/main" xmlns="" id="{00000000-0008-0000-0600-0000B268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6700"/>
          <a:ext cx="1076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128587</xdr:rowOff>
    </xdr:from>
    <xdr:to>
      <xdr:col>7</xdr:col>
      <xdr:colOff>361950</xdr:colOff>
      <xdr:row>16</xdr:row>
      <xdr:rowOff>14287</xdr:rowOff>
    </xdr:to>
    <xdr:graphicFrame macro="">
      <xdr:nvGraphicFramePr>
        <xdr:cNvPr id="2" name="Occupancy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128587</xdr:rowOff>
    </xdr:from>
    <xdr:to>
      <xdr:col>15</xdr:col>
      <xdr:colOff>304800</xdr:colOff>
      <xdr:row>16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17</xdr:row>
      <xdr:rowOff>4762</xdr:rowOff>
    </xdr:from>
    <xdr:to>
      <xdr:col>7</xdr:col>
      <xdr:colOff>361950</xdr:colOff>
      <xdr:row>31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9525</xdr:colOff>
      <xdr:row>16</xdr:row>
      <xdr:rowOff>166687</xdr:rowOff>
    </xdr:from>
    <xdr:to>
      <xdr:col>15</xdr:col>
      <xdr:colOff>314325</xdr:colOff>
      <xdr:row>31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20</xdr:col>
      <xdr:colOff>293715</xdr:colOff>
      <xdr:row>44</xdr:row>
      <xdr:rowOff>142215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12485715" cy="5285715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45</xdr:row>
      <xdr:rowOff>152400</xdr:rowOff>
    </xdr:from>
    <xdr:to>
      <xdr:col>7</xdr:col>
      <xdr:colOff>132840</xdr:colOff>
      <xdr:row>64</xdr:row>
      <xdr:rowOff>56710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8724900"/>
          <a:ext cx="4085715" cy="35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47625</xdr:rowOff>
    </xdr:from>
    <xdr:to>
      <xdr:col>18</xdr:col>
      <xdr:colOff>170058</xdr:colOff>
      <xdr:row>87</xdr:row>
      <xdr:rowOff>75792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382625"/>
          <a:ext cx="11142858" cy="32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152400</xdr:rowOff>
    </xdr:from>
    <xdr:to>
      <xdr:col>18</xdr:col>
      <xdr:colOff>112915</xdr:colOff>
      <xdr:row>70</xdr:row>
      <xdr:rowOff>66614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915900"/>
          <a:ext cx="11085715" cy="4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6</xdr:col>
      <xdr:colOff>313829</xdr:colOff>
      <xdr:row>15</xdr:row>
      <xdr:rowOff>18714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90500"/>
          <a:ext cx="3971429" cy="2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18</xdr:col>
      <xdr:colOff>171450</xdr:colOff>
      <xdr:row>132</xdr:row>
      <xdr:rowOff>112655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7335500"/>
          <a:ext cx="11144250" cy="7923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cot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FF7F00"/>
      </a:accent2>
      <a:accent3>
        <a:srgbClr val="FFFF00"/>
      </a:accent3>
      <a:accent4>
        <a:srgbClr val="00FF00"/>
      </a:accent4>
      <a:accent5>
        <a:srgbClr val="0000FF"/>
      </a:accent5>
      <a:accent6>
        <a:srgbClr val="8B00FF"/>
      </a:accent6>
      <a:hlink>
        <a:srgbClr val="00B0F0"/>
      </a:hlink>
      <a:folHlink>
        <a:srgbClr val="0070C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I143"/>
  <sheetViews>
    <sheetView tabSelected="1" workbookViewId="0">
      <selection activeCell="A19" sqref="A19"/>
    </sheetView>
  </sheetViews>
  <sheetFormatPr baseColWidth="10" defaultColWidth="8.83203125" defaultRowHeight="14" x14ac:dyDescent="0"/>
  <cols>
    <col min="1" max="1" width="14.6640625" customWidth="1"/>
    <col min="2" max="2" width="56.83203125" customWidth="1"/>
    <col min="3" max="3" width="10.83203125" customWidth="1"/>
    <col min="4" max="4" width="10.5" customWidth="1"/>
    <col min="5" max="5" width="11" customWidth="1"/>
    <col min="6" max="6" width="11.1640625" bestFit="1" customWidth="1"/>
    <col min="7" max="7" width="10.33203125" customWidth="1"/>
  </cols>
  <sheetData>
    <row r="1" spans="1:5" ht="20">
      <c r="A1" s="536" t="s">
        <v>722</v>
      </c>
    </row>
    <row r="3" spans="1:5">
      <c r="A3" s="52" t="s">
        <v>162</v>
      </c>
      <c r="B3" s="52"/>
    </row>
    <row r="4" spans="1:5">
      <c r="A4" s="481" t="s">
        <v>163</v>
      </c>
      <c r="B4" s="481"/>
    </row>
    <row r="5" spans="1:5">
      <c r="A5" s="97" t="s">
        <v>164</v>
      </c>
      <c r="B5" s="97"/>
    </row>
    <row r="6" spans="1:5">
      <c r="A6" s="384" t="s">
        <v>685</v>
      </c>
      <c r="B6" s="53"/>
    </row>
    <row r="7" spans="1:5">
      <c r="A7" s="385" t="s">
        <v>166</v>
      </c>
      <c r="B7" s="96"/>
    </row>
    <row r="8" spans="1:5">
      <c r="A8" s="214"/>
    </row>
    <row r="9" spans="1:5">
      <c r="A9" s="1" t="s">
        <v>84</v>
      </c>
      <c r="D9" s="24" t="s">
        <v>77</v>
      </c>
      <c r="E9" s="24"/>
    </row>
    <row r="10" spans="1:5">
      <c r="A10" t="s">
        <v>97</v>
      </c>
      <c r="D10" t="s">
        <v>78</v>
      </c>
      <c r="E10" t="s">
        <v>81</v>
      </c>
    </row>
    <row r="11" spans="1:5">
      <c r="B11" s="26"/>
      <c r="D11" t="s">
        <v>79</v>
      </c>
      <c r="E11" t="s">
        <v>82</v>
      </c>
    </row>
    <row r="12" spans="1:5">
      <c r="A12" t="s">
        <v>723</v>
      </c>
      <c r="D12" t="s">
        <v>531</v>
      </c>
      <c r="E12" t="s">
        <v>724</v>
      </c>
    </row>
    <row r="13" spans="1:5">
      <c r="A13" t="s">
        <v>168</v>
      </c>
      <c r="D13" t="s">
        <v>80</v>
      </c>
      <c r="E13" t="s">
        <v>83</v>
      </c>
    </row>
    <row r="14" spans="1:5">
      <c r="A14" t="s">
        <v>169</v>
      </c>
      <c r="D14" s="35">
        <f>+Setup!B9</f>
        <v>2018</v>
      </c>
      <c r="E14" t="s">
        <v>725</v>
      </c>
    </row>
    <row r="15" spans="1:5">
      <c r="A15" t="s">
        <v>107</v>
      </c>
      <c r="D15" s="35">
        <f>+D14-1</f>
        <v>2017</v>
      </c>
      <c r="E15" t="s">
        <v>1297</v>
      </c>
    </row>
    <row r="16" spans="1:5">
      <c r="A16" s="26" t="s">
        <v>179</v>
      </c>
      <c r="D16" s="35">
        <f>+D14-2</f>
        <v>2016</v>
      </c>
      <c r="E16" t="s">
        <v>1298</v>
      </c>
    </row>
    <row r="17" spans="1:9">
      <c r="D17" t="s">
        <v>35</v>
      </c>
      <c r="E17" t="s">
        <v>197</v>
      </c>
    </row>
    <row r="20" spans="1:9">
      <c r="A20" s="1" t="s">
        <v>76</v>
      </c>
    </row>
    <row r="21" spans="1:9">
      <c r="A21" t="s">
        <v>637</v>
      </c>
    </row>
    <row r="22" spans="1:9">
      <c r="A22" t="s">
        <v>108</v>
      </c>
    </row>
    <row r="23" spans="1:9">
      <c r="A23" t="s">
        <v>109</v>
      </c>
    </row>
    <row r="24" spans="1:9">
      <c r="A24" t="s">
        <v>110</v>
      </c>
    </row>
    <row r="25" spans="1:9">
      <c r="A25" t="s">
        <v>132</v>
      </c>
    </row>
    <row r="26" spans="1:9">
      <c r="A26" t="s">
        <v>726</v>
      </c>
    </row>
    <row r="27" spans="1:9">
      <c r="A27" t="s">
        <v>111</v>
      </c>
    </row>
    <row r="28" spans="1:9">
      <c r="A28" t="s">
        <v>133</v>
      </c>
    </row>
    <row r="30" spans="1:9">
      <c r="I30" s="262" t="s">
        <v>620</v>
      </c>
    </row>
    <row r="40" spans="1:8" ht="14.25" customHeight="1"/>
    <row r="41" spans="1:8">
      <c r="A41" t="s">
        <v>581</v>
      </c>
      <c r="C41" s="116"/>
      <c r="D41" s="117"/>
      <c r="E41" s="36"/>
      <c r="F41" s="36"/>
      <c r="G41" s="36"/>
      <c r="H41" s="5"/>
    </row>
    <row r="42" spans="1:8">
      <c r="A42" t="s">
        <v>176</v>
      </c>
      <c r="B42" s="28"/>
      <c r="C42" s="116"/>
      <c r="D42" s="117"/>
      <c r="E42" s="36"/>
      <c r="F42" s="36"/>
      <c r="G42" s="36"/>
      <c r="H42" s="5"/>
    </row>
    <row r="43" spans="1:8">
      <c r="A43" t="s">
        <v>177</v>
      </c>
      <c r="C43" s="116"/>
      <c r="D43" s="117"/>
      <c r="E43" s="36"/>
      <c r="F43" s="36"/>
      <c r="G43" s="36"/>
      <c r="H43" s="5"/>
    </row>
    <row r="44" spans="1:8">
      <c r="A44" t="s">
        <v>178</v>
      </c>
      <c r="C44" s="116"/>
      <c r="D44" s="117"/>
      <c r="E44" s="36"/>
      <c r="F44" s="36"/>
      <c r="G44" s="36"/>
      <c r="H44" s="5"/>
    </row>
    <row r="45" spans="1:8">
      <c r="C45" s="116"/>
      <c r="D45" s="117"/>
      <c r="E45" s="36"/>
      <c r="F45" s="36"/>
      <c r="G45" s="36"/>
      <c r="H45" s="5"/>
    </row>
    <row r="46" spans="1:8">
      <c r="A46" s="1" t="s">
        <v>0</v>
      </c>
      <c r="C46" s="116"/>
      <c r="D46" s="117"/>
      <c r="E46" s="36"/>
      <c r="F46" s="36"/>
      <c r="G46" s="36"/>
      <c r="H46" s="5"/>
    </row>
    <row r="47" spans="1:8">
      <c r="A47" s="28" t="s">
        <v>191</v>
      </c>
      <c r="C47" s="116"/>
      <c r="D47" s="117"/>
      <c r="E47" s="36"/>
      <c r="F47" s="36"/>
      <c r="G47" s="36"/>
      <c r="H47" s="5"/>
    </row>
    <row r="48" spans="1:8">
      <c r="C48" s="5"/>
      <c r="D48" s="5"/>
      <c r="E48" s="5"/>
      <c r="F48" s="5"/>
      <c r="G48" s="5"/>
      <c r="H48" s="5"/>
    </row>
    <row r="49" spans="1:8">
      <c r="A49" s="1" t="s">
        <v>533</v>
      </c>
      <c r="C49" s="5"/>
      <c r="D49" s="5"/>
      <c r="E49" s="5"/>
      <c r="F49" s="5"/>
      <c r="G49" s="5"/>
      <c r="H49" s="5"/>
    </row>
    <row r="50" spans="1:8">
      <c r="A50" s="190" t="s">
        <v>690</v>
      </c>
      <c r="C50" s="5"/>
      <c r="D50" s="5"/>
      <c r="E50" s="5"/>
      <c r="F50" s="5"/>
      <c r="G50" s="5"/>
      <c r="H50" s="5"/>
    </row>
    <row r="51" spans="1:8">
      <c r="A51" s="190" t="s">
        <v>691</v>
      </c>
      <c r="C51" s="5"/>
      <c r="D51" s="5"/>
      <c r="E51" s="5"/>
      <c r="F51" s="5"/>
      <c r="G51" s="5"/>
      <c r="H51" s="5"/>
    </row>
    <row r="52" spans="1:8">
      <c r="A52" t="s">
        <v>692</v>
      </c>
      <c r="C52" s="5"/>
      <c r="D52" s="5"/>
      <c r="E52" s="5"/>
      <c r="F52" s="5"/>
      <c r="G52" s="5"/>
      <c r="H52" s="5"/>
    </row>
    <row r="53" spans="1:8">
      <c r="A53" s="190" t="s">
        <v>693</v>
      </c>
      <c r="C53" s="5"/>
      <c r="D53" s="5"/>
      <c r="E53" s="5"/>
      <c r="F53" s="5"/>
      <c r="G53" s="5"/>
      <c r="H53" s="5"/>
    </row>
    <row r="54" spans="1:8">
      <c r="A54" s="191"/>
      <c r="C54" s="5"/>
      <c r="D54" s="5"/>
      <c r="E54" s="5"/>
      <c r="F54" s="5"/>
      <c r="G54" s="5"/>
      <c r="H54" s="5"/>
    </row>
    <row r="55" spans="1:8">
      <c r="A55" s="191"/>
      <c r="C55" s="5"/>
      <c r="D55" s="5"/>
      <c r="E55" s="5"/>
      <c r="F55" s="5"/>
      <c r="G55" s="5"/>
      <c r="H55" s="5"/>
    </row>
    <row r="56" spans="1:8">
      <c r="A56" s="191"/>
      <c r="C56" s="5"/>
      <c r="D56" s="5"/>
      <c r="E56" s="5"/>
      <c r="F56" s="5"/>
      <c r="G56" s="5"/>
      <c r="H56" s="5"/>
    </row>
    <row r="57" spans="1:8">
      <c r="A57" s="191"/>
      <c r="C57" s="5"/>
      <c r="D57" s="5"/>
      <c r="E57" s="5"/>
      <c r="F57" s="5"/>
      <c r="G57" s="5"/>
      <c r="H57" s="5"/>
    </row>
    <row r="58" spans="1:8">
      <c r="A58" s="191"/>
      <c r="C58" s="5"/>
      <c r="D58" s="5"/>
      <c r="E58" s="5"/>
      <c r="F58" s="5"/>
      <c r="G58" s="5"/>
      <c r="H58" s="5"/>
    </row>
    <row r="59" spans="1:8">
      <c r="A59" s="191"/>
      <c r="C59" s="5"/>
      <c r="D59" s="5"/>
      <c r="E59" s="5"/>
      <c r="F59" s="5"/>
      <c r="G59" s="5"/>
      <c r="H59" s="5"/>
    </row>
    <row r="60" spans="1:8">
      <c r="A60" s="191"/>
      <c r="C60" s="5"/>
      <c r="D60" s="5"/>
      <c r="E60" s="5"/>
      <c r="F60" s="5"/>
      <c r="G60" s="5"/>
      <c r="H60" s="5"/>
    </row>
    <row r="61" spans="1:8">
      <c r="A61" s="191"/>
      <c r="C61" s="5"/>
      <c r="D61" s="5"/>
      <c r="E61" s="5"/>
      <c r="F61" s="5"/>
      <c r="G61" s="5"/>
      <c r="H61" s="5"/>
    </row>
    <row r="62" spans="1:8">
      <c r="A62" s="191"/>
      <c r="C62" s="5"/>
      <c r="D62" s="5"/>
      <c r="E62" s="5"/>
      <c r="F62" s="5"/>
      <c r="G62" s="5"/>
      <c r="H62" s="5"/>
    </row>
    <row r="63" spans="1:8">
      <c r="A63" s="191"/>
      <c r="C63" s="5"/>
      <c r="D63" s="5"/>
      <c r="E63" s="5"/>
      <c r="F63" s="5"/>
      <c r="G63" s="5"/>
      <c r="H63" s="5"/>
    </row>
    <row r="64" spans="1:8">
      <c r="A64" s="191"/>
      <c r="C64" s="5"/>
      <c r="D64" s="5"/>
      <c r="E64" s="5"/>
      <c r="F64" s="5"/>
      <c r="G64" s="5"/>
      <c r="H64" s="5"/>
    </row>
    <row r="65" spans="1:8">
      <c r="A65" s="191"/>
      <c r="C65" s="5"/>
      <c r="D65" s="5"/>
      <c r="E65" s="5"/>
      <c r="F65" s="5"/>
      <c r="G65" s="5"/>
      <c r="H65" s="5"/>
    </row>
    <row r="66" spans="1:8">
      <c r="A66" s="192"/>
      <c r="C66" s="5"/>
      <c r="D66" s="5"/>
      <c r="E66" s="5"/>
      <c r="F66" s="5"/>
      <c r="G66" s="5"/>
      <c r="H66" s="5"/>
    </row>
    <row r="67" spans="1:8">
      <c r="A67" s="191"/>
      <c r="C67" s="5"/>
      <c r="D67" s="5"/>
      <c r="E67" s="5"/>
      <c r="F67" s="5"/>
      <c r="G67" s="5"/>
      <c r="H67" s="5"/>
    </row>
    <row r="68" spans="1:8">
      <c r="C68" s="5"/>
      <c r="D68" s="5"/>
      <c r="E68" s="5"/>
      <c r="F68" s="5"/>
      <c r="G68" s="5"/>
      <c r="H68" s="5"/>
    </row>
    <row r="69" spans="1:8">
      <c r="A69" s="1" t="s">
        <v>43</v>
      </c>
    </row>
    <row r="70" spans="1:8">
      <c r="A70" t="s">
        <v>186</v>
      </c>
    </row>
    <row r="71" spans="1:8">
      <c r="A71" t="s">
        <v>175</v>
      </c>
    </row>
    <row r="73" spans="1:8">
      <c r="A73" s="12" t="s">
        <v>75</v>
      </c>
    </row>
    <row r="74" spans="1:8">
      <c r="A74" t="s">
        <v>112</v>
      </c>
    </row>
    <row r="75" spans="1:8">
      <c r="A75" t="s">
        <v>727</v>
      </c>
    </row>
    <row r="76" spans="1:8">
      <c r="A76" t="s">
        <v>694</v>
      </c>
    </row>
    <row r="77" spans="1:8">
      <c r="A77" t="s">
        <v>695</v>
      </c>
    </row>
    <row r="79" spans="1:8">
      <c r="A79" s="1" t="s">
        <v>62</v>
      </c>
    </row>
    <row r="80" spans="1:8">
      <c r="A80" t="s">
        <v>728</v>
      </c>
    </row>
    <row r="82" spans="1:7">
      <c r="A82" s="1" t="s">
        <v>181</v>
      </c>
    </row>
    <row r="83" spans="1:7">
      <c r="A83" t="s">
        <v>96</v>
      </c>
    </row>
    <row r="85" spans="1:7">
      <c r="A85" s="1" t="s">
        <v>85</v>
      </c>
    </row>
    <row r="86" spans="1:7">
      <c r="A86" t="s">
        <v>582</v>
      </c>
    </row>
    <row r="88" spans="1:7">
      <c r="A88" s="1" t="s">
        <v>113</v>
      </c>
    </row>
    <row r="89" spans="1:7">
      <c r="A89" t="s">
        <v>114</v>
      </c>
    </row>
    <row r="91" spans="1:7">
      <c r="A91" s="1" t="s">
        <v>117</v>
      </c>
    </row>
    <row r="92" spans="1:7" ht="15" thickBot="1">
      <c r="A92" s="30" t="s">
        <v>532</v>
      </c>
    </row>
    <row r="93" spans="1:7" ht="21" thickBot="1">
      <c r="A93" s="30"/>
      <c r="B93" s="513" t="str">
        <f>+Setup!A2</f>
        <v>Budget Master</v>
      </c>
      <c r="C93" s="514"/>
      <c r="D93" s="514"/>
      <c r="E93" s="514"/>
      <c r="F93" s="514"/>
      <c r="G93" s="515"/>
    </row>
    <row r="94" spans="1:7" ht="15" thickBot="1">
      <c r="A94" s="30"/>
      <c r="B94" s="516" t="str">
        <f>+Setup!A1</f>
        <v>Budget Worksheet 2018</v>
      </c>
      <c r="C94" s="517"/>
      <c r="D94" s="517"/>
      <c r="E94" s="517"/>
      <c r="F94" s="517"/>
      <c r="G94" s="518"/>
    </row>
    <row r="95" spans="1:7">
      <c r="A95" s="30"/>
      <c r="B95" s="283"/>
      <c r="C95" s="284" t="s">
        <v>70</v>
      </c>
      <c r="D95" s="284" t="s">
        <v>69</v>
      </c>
      <c r="E95" s="284"/>
      <c r="F95" s="284" t="s">
        <v>69</v>
      </c>
      <c r="G95" s="285"/>
    </row>
    <row r="96" spans="1:7" ht="15" thickBot="1">
      <c r="B96" s="286"/>
      <c r="C96" s="32">
        <f>+Setup!B9</f>
        <v>2018</v>
      </c>
      <c r="D96" s="32">
        <f>+C96-1</f>
        <v>2017</v>
      </c>
      <c r="E96" s="31" t="s">
        <v>118</v>
      </c>
      <c r="F96" s="32">
        <f>+D96-1</f>
        <v>2016</v>
      </c>
      <c r="G96" s="287" t="s">
        <v>118</v>
      </c>
    </row>
    <row r="97" spans="2:7">
      <c r="B97" s="288" t="s">
        <v>546</v>
      </c>
      <c r="C97" s="281">
        <f>+'2017'!O5*1.015</f>
        <v>0.96269173196547575</v>
      </c>
      <c r="D97" s="282">
        <f>+'2016'!K5</f>
        <v>0.95799999999999996</v>
      </c>
      <c r="E97" s="289">
        <f t="shared" ref="E97:E103" si="0">IF(D97=0,0,+(C97-D97)/D97)</f>
        <v>4.897423763544663E-3</v>
      </c>
      <c r="F97" s="282">
        <f>+'2015'!N5</f>
        <v>0.93799999999999994</v>
      </c>
      <c r="G97" s="290">
        <f t="shared" ref="G97:G103" si="1">IF(F97=0,0,+(D97-F97)/F97)</f>
        <v>2.1321961620469104E-2</v>
      </c>
    </row>
    <row r="98" spans="2:7">
      <c r="B98" s="286" t="s">
        <v>49</v>
      </c>
      <c r="C98" s="27">
        <f>+'2017'!O10</f>
        <v>2918653</v>
      </c>
      <c r="D98" s="27">
        <f>SUMIF('2016'!$B$5:$B$232,"    Gross Potential Rent",'2016'!$O$5:$O$232)</f>
        <v>2094186</v>
      </c>
      <c r="E98" s="291">
        <f t="shared" si="0"/>
        <v>0.39369330135909608</v>
      </c>
      <c r="F98" s="27">
        <f>SUMIF('2015'!$B$5:$B$232,"    Gross Potential Rent",'2015'!$O$5:$O$232)</f>
        <v>2030987</v>
      </c>
      <c r="G98" s="292">
        <f t="shared" si="1"/>
        <v>3.1117382829136769E-2</v>
      </c>
    </row>
    <row r="99" spans="2:7">
      <c r="B99" s="293" t="s">
        <v>170</v>
      </c>
      <c r="C99" s="294">
        <f>+'2017'!O22/Setup!$B$12*'2017'!O5/12</f>
        <v>1003.6121727909749</v>
      </c>
      <c r="D99" s="294">
        <f>+SUMIF('2016'!$B$5:$B$232,"    Gross Potential Rent",'2016'!$O$5:$O$232)/Setup!B12*Help!D97/12</f>
        <v>759.93567727272728</v>
      </c>
      <c r="E99" s="289">
        <f t="shared" si="0"/>
        <v>0.32065410640116127</v>
      </c>
      <c r="F99" s="294">
        <f>SUMIF('2015'!$B$5:$B$232,"    Gross Potential Rent",'2015'!$O$5:$O$232)/Setup!B12*Help!F97/12</f>
        <v>721.6158356060605</v>
      </c>
      <c r="G99" s="290">
        <f t="shared" si="1"/>
        <v>5.3102828092018307E-2</v>
      </c>
    </row>
    <row r="100" spans="2:7">
      <c r="B100" s="286" t="s">
        <v>119</v>
      </c>
      <c r="C100" s="27">
        <f>+'2017'!O267</f>
        <v>806579.08654545457</v>
      </c>
      <c r="D100" s="27">
        <f>SUMIF('2016'!$B$5:$B$232,"  Total Expenses",'2016'!$O$5:$O$232)</f>
        <v>866122</v>
      </c>
      <c r="E100" s="291">
        <f t="shared" si="0"/>
        <v>-6.8746566251111765E-2</v>
      </c>
      <c r="F100" s="27">
        <f>SUMIF('2015'!$B$5:$B$235,"  Total Expenses",'2015'!$O$5:$O$235)</f>
        <v>890123</v>
      </c>
      <c r="G100" s="292">
        <f t="shared" si="1"/>
        <v>-2.6963689287884934E-2</v>
      </c>
    </row>
    <row r="101" spans="2:7">
      <c r="B101" s="288" t="s">
        <v>120</v>
      </c>
      <c r="C101" s="295">
        <f>+C100/Setup!$B$12</f>
        <v>3666.2685752066118</v>
      </c>
      <c r="D101" s="295">
        <f>+D100/Setup!$B$12</f>
        <v>3936.9181818181819</v>
      </c>
      <c r="E101" s="289">
        <f t="shared" si="0"/>
        <v>-6.8746566251111765E-2</v>
      </c>
      <c r="F101" s="295">
        <f>+F100/Setup!$B$12</f>
        <v>4046.0136363636366</v>
      </c>
      <c r="G101" s="290">
        <f t="shared" si="1"/>
        <v>-2.6963689287884965E-2</v>
      </c>
    </row>
    <row r="102" spans="2:7">
      <c r="B102" s="286" t="s">
        <v>66</v>
      </c>
      <c r="C102" s="27">
        <f>+'2017'!O269</f>
        <v>2146535.7316363635</v>
      </c>
      <c r="D102" s="27">
        <f>SUMIF('2016'!$B$5:$B$232,"  Net Operating Income",'2016'!$O$5:$O$232)</f>
        <v>1300780</v>
      </c>
      <c r="E102" s="291">
        <f t="shared" si="0"/>
        <v>0.65019121729759344</v>
      </c>
      <c r="F102" s="27">
        <f>SUMIF('2015'!$B$5:$B$235,"  Net Operating Income",'2015'!$O$5:$O$235)</f>
        <v>1196494</v>
      </c>
      <c r="G102" s="292">
        <f t="shared" si="1"/>
        <v>8.715965144831482E-2</v>
      </c>
    </row>
    <row r="103" spans="2:7">
      <c r="B103" s="288" t="s">
        <v>121</v>
      </c>
      <c r="C103" s="296">
        <f>+'2017'!O22/Setup!$B$12/12</f>
        <v>1058.1438705234161</v>
      </c>
      <c r="D103" s="296">
        <f>SUMIF('2016'!$B$5:$B$232,"  Net Operating Income",'2016'!$O$5:$O$232)/Setup!B12/12</f>
        <v>492.719696969697</v>
      </c>
      <c r="E103" s="289">
        <f t="shared" si="0"/>
        <v>1.1475574794983152</v>
      </c>
      <c r="F103" s="296">
        <f>+SUMIF('2015'!$B$5:$B$235,"  Net Operating Income",'2015'!$O$5:$O$235)/Setup!B12/12</f>
        <v>453.21742424242422</v>
      </c>
      <c r="G103" s="290">
        <f t="shared" si="1"/>
        <v>8.7159651448314959E-2</v>
      </c>
    </row>
    <row r="104" spans="2:7">
      <c r="B104" s="286" t="s">
        <v>122</v>
      </c>
      <c r="C104" s="297">
        <f>+'2017'!O22/Setup!$B$13/12</f>
        <v>2.3279165151515153</v>
      </c>
      <c r="D104" s="297">
        <f>SUMIF('2016'!$B$5:$B$232,"  Net Operating Income",'2016'!$O$5:$O$232)/Setup!B13/12</f>
        <v>1.0839833333333333</v>
      </c>
      <c r="E104" s="291"/>
      <c r="F104" s="297">
        <f>+SUMIF('2015'!$B$5:$B$235,"  Net Operating Income",'2015'!$O$5:$O$235)/Setup!B13/12</f>
        <v>0.9970783333333334</v>
      </c>
      <c r="G104" s="298"/>
    </row>
    <row r="105" spans="2:7">
      <c r="B105" s="288" t="s">
        <v>124</v>
      </c>
      <c r="C105" s="299">
        <f>+Setup!C72</f>
        <v>2.7272727272727271</v>
      </c>
      <c r="D105" s="299"/>
      <c r="E105" s="300"/>
      <c r="F105" s="299"/>
      <c r="G105" s="301"/>
    </row>
    <row r="106" spans="2:7">
      <c r="B106" s="286" t="s">
        <v>63</v>
      </c>
      <c r="C106" s="27">
        <f>+'2017'!O257</f>
        <v>129138</v>
      </c>
      <c r="D106" s="27">
        <f>SUMIF('2016'!$B$5:$B$232,"      Taxes",'2016'!$O$5:$O$232)</f>
        <v>129138</v>
      </c>
      <c r="E106" s="291">
        <f>IF(D106=0,0,+(C106-D106)/D106)</f>
        <v>0</v>
      </c>
      <c r="F106" s="27">
        <f>SUMIF('2015'!$B$5:$B$235,"      Taxes",'2015'!$O$5:$O$235)</f>
        <v>127112</v>
      </c>
      <c r="G106" s="292">
        <f>IF(F106=0,0,+(D106-F106)/F106)</f>
        <v>1.5938699729372521E-2</v>
      </c>
    </row>
    <row r="107" spans="2:7">
      <c r="B107" s="288" t="s">
        <v>125</v>
      </c>
      <c r="C107" s="302">
        <f>+C106/Setup!$B$12</f>
        <v>586.9909090909091</v>
      </c>
      <c r="D107" s="302">
        <f>+D106/Setup!$B$12</f>
        <v>586.9909090909091</v>
      </c>
      <c r="E107" s="289"/>
      <c r="F107" s="302">
        <f>+F106/Setup!$B$12</f>
        <v>577.78181818181815</v>
      </c>
      <c r="G107" s="290"/>
    </row>
    <row r="108" spans="2:7">
      <c r="B108" s="286" t="s">
        <v>528</v>
      </c>
      <c r="C108" s="303">
        <f>+C101-C107</f>
        <v>3079.2776661157027</v>
      </c>
      <c r="D108" s="303">
        <f>+D101-D107</f>
        <v>3349.9272727272728</v>
      </c>
      <c r="E108" s="304"/>
      <c r="F108" s="303">
        <f>+F101-F107</f>
        <v>3468.2318181818182</v>
      </c>
      <c r="G108" s="305"/>
    </row>
    <row r="109" spans="2:7">
      <c r="B109" s="288" t="s">
        <v>64</v>
      </c>
      <c r="C109" s="306">
        <f>+'2017'!O263</f>
        <v>28766.000000000004</v>
      </c>
      <c r="D109" s="306">
        <f>SUMIF('2016'!$B$5:$B$232,"      Insurance",'2016'!$O$5:$O$232)</f>
        <v>28766</v>
      </c>
      <c r="E109" s="289">
        <f>IF(F109=0,0,+(C109-F109)/F109)</f>
        <v>4.0839121784356745E-3</v>
      </c>
      <c r="F109" s="306">
        <f>SUMIF('2015'!$B$5:$B$235,"      Insurance",'2015'!$O$5:$O$235)</f>
        <v>28649</v>
      </c>
      <c r="G109" s="290">
        <f>IF(H109=0,0,+(E109-H109)/H109)</f>
        <v>0</v>
      </c>
    </row>
    <row r="110" spans="2:7" ht="15" thickBot="1">
      <c r="B110" s="307" t="s">
        <v>527</v>
      </c>
      <c r="C110" s="308">
        <f>+C109/Setup!$B$12</f>
        <v>130.75454545454548</v>
      </c>
      <c r="D110" s="308">
        <f>+D109/Setup!$B$12</f>
        <v>130.75454545454545</v>
      </c>
      <c r="E110" s="309"/>
      <c r="F110" s="308">
        <f>+F109/Setup!$B$12</f>
        <v>130.22272727272727</v>
      </c>
      <c r="G110" s="310"/>
    </row>
    <row r="112" spans="2:7">
      <c r="B112" t="s">
        <v>1257</v>
      </c>
      <c r="C112" t="s">
        <v>1258</v>
      </c>
    </row>
    <row r="113" spans="1:3">
      <c r="A113" s="1"/>
    </row>
    <row r="115" spans="1:3">
      <c r="C115" s="442">
        <f>+Summary!P25</f>
        <v>402.69911157024779</v>
      </c>
    </row>
    <row r="116" spans="1:3">
      <c r="C116" s="442">
        <f>+Summary!P26+Summary!P27+Summary!P28</f>
        <v>214.45345454545455</v>
      </c>
    </row>
    <row r="117" spans="1:3">
      <c r="C117" s="442">
        <f>+C115+C116</f>
        <v>617.15256611570237</v>
      </c>
    </row>
    <row r="121" spans="1:3">
      <c r="C121" s="442">
        <f>+'2017'!P237+'2017'!P238+'2017'!P239+'2017'!P240</f>
        <v>136.92272727272726</v>
      </c>
    </row>
    <row r="123" spans="1:3">
      <c r="C123" s="442">
        <f>+'2017'!O243+'2017'!O244</f>
        <v>113930</v>
      </c>
    </row>
    <row r="130" spans="3:3">
      <c r="C130" s="442">
        <f>+'2017'!P226+'2017'!P223</f>
        <v>111.66363636363636</v>
      </c>
    </row>
    <row r="131" spans="3:3">
      <c r="C131" s="442">
        <f>+'2017'!P223</f>
        <v>111.66363636363636</v>
      </c>
    </row>
    <row r="132" spans="3:3">
      <c r="C132" s="442">
        <f>+'2017'!P180</f>
        <v>166.45</v>
      </c>
    </row>
    <row r="133" spans="3:3">
      <c r="C133" s="442">
        <f>+Summary!P33+Summary!P34+Summary!P35+Summary!P36</f>
        <v>361.93636363636358</v>
      </c>
    </row>
    <row r="134" spans="3:3">
      <c r="C134" s="442">
        <f>+Summary!P42</f>
        <v>586.9909090909091</v>
      </c>
    </row>
    <row r="136" spans="3:3">
      <c r="C136" s="442">
        <f>+'2017'!P263</f>
        <v>130.75454545454548</v>
      </c>
    </row>
    <row r="137" spans="3:3">
      <c r="C137" s="442">
        <f>+C134+C136</f>
        <v>717.74545454545455</v>
      </c>
    </row>
    <row r="141" spans="3:3">
      <c r="C141" s="442">
        <f>+Summary!P45</f>
        <v>3666.2685752066109</v>
      </c>
    </row>
    <row r="142" spans="3:3">
      <c r="C142" s="442">
        <f>+Summary!P47</f>
        <v>9756.9805983471088</v>
      </c>
    </row>
    <row r="143" spans="3:3">
      <c r="C143" s="442">
        <f>+Summary!P31+Summary!P32</f>
        <v>1269.8205545454546</v>
      </c>
    </row>
  </sheetData>
  <mergeCells count="2">
    <mergeCell ref="B93:G93"/>
    <mergeCell ref="B94:G94"/>
  </mergeCells>
  <phoneticPr fontId="18" type="noConversion"/>
  <printOptions horizontalCentered="1" verticalCentered="1" gridLines="1"/>
  <pageMargins left="0.25" right="0.25" top="0.22" bottom="0.16" header="0.66" footer="0"/>
  <pageSetup scale="99" fitToHeight="4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8.83203125" defaultRowHeight="14" x14ac:dyDescent="0"/>
  <cols>
    <col min="1" max="1" width="18" customWidth="1"/>
    <col min="2" max="2" width="8.5" customWidth="1"/>
    <col min="3" max="13" width="9.1640625" customWidth="1"/>
    <col min="14" max="14" width="8" customWidth="1"/>
  </cols>
  <sheetData>
    <row r="1" spans="1:14">
      <c r="A1" s="216" t="s">
        <v>578</v>
      </c>
      <c r="B1" t="s">
        <v>549</v>
      </c>
      <c r="C1" s="216">
        <v>1</v>
      </c>
      <c r="D1" s="216">
        <v>2</v>
      </c>
      <c r="E1" s="216">
        <v>3</v>
      </c>
      <c r="F1" s="216">
        <v>4</v>
      </c>
      <c r="G1" s="216">
        <v>5</v>
      </c>
      <c r="H1" s="216">
        <v>6</v>
      </c>
      <c r="I1" s="216">
        <v>7</v>
      </c>
      <c r="J1" s="216">
        <v>8</v>
      </c>
      <c r="K1" s="216">
        <v>9</v>
      </c>
      <c r="L1" s="216">
        <v>10</v>
      </c>
      <c r="M1" s="216">
        <v>11</v>
      </c>
      <c r="N1" s="216"/>
    </row>
    <row r="2" spans="1:14" ht="73.5" customHeight="1" thickBot="1">
      <c r="A2" s="31" t="s">
        <v>579</v>
      </c>
      <c r="B2" s="32"/>
      <c r="C2" s="222" t="s">
        <v>611</v>
      </c>
      <c r="D2" s="222" t="s">
        <v>580</v>
      </c>
      <c r="E2" s="222" t="s">
        <v>613</v>
      </c>
      <c r="F2" s="222" t="s">
        <v>608</v>
      </c>
      <c r="G2" s="222" t="s">
        <v>587</v>
      </c>
      <c r="H2" s="222" t="s">
        <v>584</v>
      </c>
      <c r="I2" s="222" t="s">
        <v>592</v>
      </c>
      <c r="J2" s="222" t="s">
        <v>589</v>
      </c>
      <c r="K2" s="222" t="s">
        <v>590</v>
      </c>
      <c r="L2" s="222" t="s">
        <v>591</v>
      </c>
    </row>
    <row r="3" spans="1:14">
      <c r="A3" t="s">
        <v>555</v>
      </c>
      <c r="B3" t="s">
        <v>577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>
      <c r="A4" t="s">
        <v>557</v>
      </c>
      <c r="B4" t="s">
        <v>577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1:14">
      <c r="A5" t="s">
        <v>560</v>
      </c>
      <c r="B5" t="s">
        <v>577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>
      <c r="A6" t="s">
        <v>571</v>
      </c>
      <c r="B6" t="s">
        <v>577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</row>
    <row r="7" spans="1:14">
      <c r="A7" t="s">
        <v>575</v>
      </c>
      <c r="B7" t="s">
        <v>577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</row>
    <row r="8" spans="1:14">
      <c r="A8" t="s">
        <v>550</v>
      </c>
      <c r="B8" t="s">
        <v>576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</row>
    <row r="9" spans="1:14">
      <c r="A9" t="s">
        <v>551</v>
      </c>
      <c r="B9" t="s">
        <v>576</v>
      </c>
      <c r="C9" s="216" t="s">
        <v>618</v>
      </c>
      <c r="D9" s="216" t="s">
        <v>618</v>
      </c>
      <c r="E9" s="216" t="s">
        <v>618</v>
      </c>
      <c r="F9" s="216" t="s">
        <v>618</v>
      </c>
      <c r="G9" s="216" t="s">
        <v>618</v>
      </c>
      <c r="H9" s="216" t="s">
        <v>618</v>
      </c>
      <c r="I9" s="216" t="s">
        <v>618</v>
      </c>
      <c r="J9" s="216" t="s">
        <v>618</v>
      </c>
      <c r="K9" s="216" t="s">
        <v>618</v>
      </c>
      <c r="L9" s="216" t="s">
        <v>618</v>
      </c>
      <c r="M9" s="216"/>
      <c r="N9" s="216"/>
    </row>
    <row r="10" spans="1:14">
      <c r="A10" t="s">
        <v>552</v>
      </c>
      <c r="B10" t="s">
        <v>576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</row>
    <row r="11" spans="1:14">
      <c r="A11" t="s">
        <v>553</v>
      </c>
      <c r="B11" t="s">
        <v>576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</row>
    <row r="12" spans="1:14">
      <c r="A12" t="s">
        <v>554</v>
      </c>
      <c r="B12" t="s">
        <v>576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>
      <c r="A13" t="s">
        <v>556</v>
      </c>
      <c r="B13" t="s">
        <v>576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4">
      <c r="A14" t="s">
        <v>588</v>
      </c>
      <c r="B14" t="s">
        <v>576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</row>
    <row r="15" spans="1:14">
      <c r="A15" t="s">
        <v>558</v>
      </c>
      <c r="B15" t="s">
        <v>576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>
      <c r="A16" t="s">
        <v>559</v>
      </c>
      <c r="B16" t="s">
        <v>576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4">
      <c r="A17" t="s">
        <v>561</v>
      </c>
      <c r="B17" t="s">
        <v>576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</row>
    <row r="18" spans="1:14">
      <c r="A18" t="s">
        <v>562</v>
      </c>
      <c r="B18" t="s">
        <v>576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>
      <c r="A19" t="s">
        <v>563</v>
      </c>
      <c r="B19" t="s">
        <v>576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4">
      <c r="A20" t="s">
        <v>564</v>
      </c>
      <c r="B20" t="s">
        <v>576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</row>
    <row r="21" spans="1:14">
      <c r="A21" t="s">
        <v>593</v>
      </c>
      <c r="B21" t="s">
        <v>576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</row>
    <row r="22" spans="1:14">
      <c r="A22" t="s">
        <v>609</v>
      </c>
      <c r="B22" t="s">
        <v>576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4">
      <c r="A23" t="s">
        <v>565</v>
      </c>
      <c r="B23" t="s">
        <v>576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</row>
    <row r="24" spans="1:14">
      <c r="A24" t="s">
        <v>566</v>
      </c>
      <c r="B24" t="s">
        <v>576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>
      <c r="A25" t="s">
        <v>567</v>
      </c>
      <c r="B25" t="s">
        <v>576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4">
      <c r="A26" t="s">
        <v>568</v>
      </c>
      <c r="B26" t="s">
        <v>576</v>
      </c>
      <c r="C26" s="216" t="s">
        <v>612</v>
      </c>
      <c r="D26" s="216" t="s">
        <v>612</v>
      </c>
      <c r="E26" s="216" t="s">
        <v>612</v>
      </c>
      <c r="F26" s="216" t="s">
        <v>612</v>
      </c>
      <c r="G26" s="216" t="s">
        <v>612</v>
      </c>
      <c r="H26" s="216" t="s">
        <v>612</v>
      </c>
      <c r="I26" s="216" t="s">
        <v>614</v>
      </c>
      <c r="J26" s="216" t="s">
        <v>612</v>
      </c>
      <c r="K26" s="216" t="s">
        <v>612</v>
      </c>
      <c r="L26" s="216" t="s">
        <v>612</v>
      </c>
      <c r="M26" s="216"/>
      <c r="N26" s="216"/>
    </row>
    <row r="27" spans="1:14">
      <c r="A27" t="s">
        <v>594</v>
      </c>
      <c r="B27" t="s">
        <v>576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>
      <c r="A28" t="s">
        <v>569</v>
      </c>
      <c r="B28" t="s">
        <v>576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4">
      <c r="A29" t="s">
        <v>570</v>
      </c>
      <c r="B29" t="s">
        <v>576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</row>
    <row r="30" spans="1:14">
      <c r="A30" t="s">
        <v>617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>
      <c r="A31" t="s">
        <v>572</v>
      </c>
      <c r="B31" t="s">
        <v>576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4">
      <c r="A32" t="s">
        <v>573</v>
      </c>
      <c r="B32" t="s">
        <v>576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</row>
    <row r="33" spans="1:14">
      <c r="A33" t="s">
        <v>574</v>
      </c>
      <c r="B33" t="s">
        <v>576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</sheetData>
  <sortState ref="A4:B64">
    <sortCondition ref="B4:B64"/>
    <sortCondition ref="A4:A64"/>
  </sortState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115"/>
  <sheetViews>
    <sheetView workbookViewId="0">
      <selection activeCell="A89" sqref="A89:XFD116"/>
    </sheetView>
  </sheetViews>
  <sheetFormatPr baseColWidth="10" defaultColWidth="8.83203125" defaultRowHeight="14" x14ac:dyDescent="0"/>
  <sheetData>
    <row r="1" spans="1:1">
      <c r="A1" t="s">
        <v>1313</v>
      </c>
    </row>
    <row r="90" spans="1:1">
      <c r="A90" t="s">
        <v>1314</v>
      </c>
    </row>
    <row r="115" spans="1:1">
      <c r="A115">
        <f>+Setup!J1</f>
        <v>43009</v>
      </c>
    </row>
  </sheetData>
  <pageMargins left="0.7" right="0.7" top="0.75" bottom="0.75" header="0.3" footer="0.3"/>
  <pageSetup scale="58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92D050"/>
    <pageSetUpPr fitToPage="1"/>
  </sheetPr>
  <dimension ref="A1:BD434"/>
  <sheetViews>
    <sheetView workbookViewId="0">
      <pane xSplit="9" ySplit="2" topLeftCell="J104" activePane="bottomRight" state="frozen"/>
      <selection activeCell="H6" sqref="H6"/>
      <selection pane="topRight" activeCell="H6" sqref="H6"/>
      <selection pane="bottomLeft" activeCell="H6" sqref="H6"/>
      <selection pane="bottomRight" activeCell="D119" sqref="D119"/>
    </sheetView>
  </sheetViews>
  <sheetFormatPr baseColWidth="10" defaultColWidth="9.1640625" defaultRowHeight="14" x14ac:dyDescent="0"/>
  <cols>
    <col min="1" max="1" width="17.33203125" style="49" customWidth="1"/>
    <col min="2" max="2" width="19.33203125" style="49" customWidth="1"/>
    <col min="3" max="3" width="8.5" style="49" customWidth="1"/>
    <col min="4" max="4" width="13.33203125" style="49" customWidth="1"/>
    <col min="5" max="5" width="9.6640625" style="49" customWidth="1"/>
    <col min="6" max="6" width="9.5" style="49" customWidth="1"/>
    <col min="7" max="7" width="11" style="49" customWidth="1"/>
    <col min="8" max="8" width="12" style="49" customWidth="1"/>
    <col min="9" max="9" width="10.5" style="49" customWidth="1"/>
    <col min="10" max="24" width="8.83203125" style="49" customWidth="1"/>
    <col min="25" max="16384" width="9.1640625" style="49"/>
  </cols>
  <sheetData>
    <row r="1" spans="1:56">
      <c r="A1" s="49" t="str">
        <f>+"Budget Worksheet "&amp;B9</f>
        <v>Budget Worksheet 2018</v>
      </c>
      <c r="J1" s="441">
        <f>EDATE($B$22,-3)</f>
        <v>43009</v>
      </c>
      <c r="K1" s="441">
        <f>EDATE($B$22,-2)</f>
        <v>43040</v>
      </c>
      <c r="L1" s="441">
        <f>EDATE($B$22,-1)</f>
        <v>43070</v>
      </c>
      <c r="M1" s="50">
        <f>EDATE($B$22,0)</f>
        <v>43101</v>
      </c>
      <c r="N1" s="50">
        <f>EDATE($B$22,1)</f>
        <v>43132</v>
      </c>
      <c r="O1" s="50">
        <f>EDATE($B$22,2)</f>
        <v>43160</v>
      </c>
      <c r="P1" s="50">
        <f>EDATE($B$22,3)</f>
        <v>43191</v>
      </c>
      <c r="Q1" s="50">
        <f>EDATE($B$22,4)</f>
        <v>43221</v>
      </c>
      <c r="R1" s="50">
        <f>EDATE($B$22,5)</f>
        <v>43252</v>
      </c>
      <c r="S1" s="50">
        <f>EDATE($B$22,6)</f>
        <v>43282</v>
      </c>
      <c r="T1" s="50">
        <f>EDATE($B$22,7)</f>
        <v>43313</v>
      </c>
      <c r="U1" s="50">
        <f>EDATE($B$22,8)</f>
        <v>43344</v>
      </c>
      <c r="V1" s="50">
        <f>EDATE($B$22,9)</f>
        <v>43374</v>
      </c>
      <c r="W1" s="50">
        <f>EDATE($B$22,10)</f>
        <v>43405</v>
      </c>
      <c r="X1" s="50">
        <f>EDATE($B$22,11)</f>
        <v>43435</v>
      </c>
    </row>
    <row r="2" spans="1:56">
      <c r="A2" s="51" t="str">
        <f>+B10</f>
        <v>Budget Master</v>
      </c>
    </row>
    <row r="3" spans="1:56">
      <c r="A3" s="49" t="s">
        <v>1289</v>
      </c>
      <c r="B3" s="52" t="s">
        <v>162</v>
      </c>
      <c r="C3" s="52"/>
      <c r="D3" s="52"/>
      <c r="E3" s="186"/>
      <c r="F3" s="186"/>
      <c r="G3" s="84"/>
      <c r="K3" s="148"/>
      <c r="L3" s="148"/>
      <c r="M3" s="84"/>
    </row>
    <row r="4" spans="1:56">
      <c r="A4" s="215">
        <v>42654</v>
      </c>
      <c r="B4" s="473" t="s">
        <v>163</v>
      </c>
      <c r="C4" s="473"/>
      <c r="D4" s="473"/>
      <c r="E4" s="187"/>
      <c r="F4" s="187"/>
      <c r="G4" s="84"/>
      <c r="K4" s="148"/>
      <c r="L4" s="148"/>
      <c r="M4" s="84"/>
    </row>
    <row r="5" spans="1:56">
      <c r="B5" s="97" t="s">
        <v>1296</v>
      </c>
      <c r="C5" s="97"/>
      <c r="D5" s="97"/>
      <c r="E5" s="84"/>
      <c r="F5" s="84"/>
      <c r="G5" s="84"/>
      <c r="K5" s="148"/>
      <c r="L5" s="148"/>
      <c r="M5" s="84"/>
    </row>
    <row r="6" spans="1:56">
      <c r="B6" s="53" t="s">
        <v>165</v>
      </c>
      <c r="C6" s="53"/>
      <c r="D6" s="53"/>
      <c r="E6" s="188"/>
      <c r="F6" s="188"/>
      <c r="G6" s="84"/>
      <c r="K6" s="148"/>
      <c r="L6" s="148"/>
      <c r="M6" s="84"/>
    </row>
    <row r="7" spans="1:56">
      <c r="B7" s="96" t="s">
        <v>166</v>
      </c>
      <c r="C7" s="96"/>
      <c r="D7" s="96"/>
      <c r="E7" s="189"/>
      <c r="F7" s="189"/>
      <c r="G7" s="84"/>
      <c r="K7" s="148"/>
      <c r="L7" s="148"/>
      <c r="M7" s="84"/>
    </row>
    <row r="8" spans="1:56">
      <c r="A8" s="54" t="s">
        <v>86</v>
      </c>
      <c r="D8" s="84"/>
      <c r="E8" s="84"/>
      <c r="F8" s="84"/>
      <c r="G8" s="84"/>
      <c r="K8" s="148"/>
      <c r="L8" s="148"/>
      <c r="M8" s="84"/>
    </row>
    <row r="9" spans="1:56">
      <c r="A9" s="49" t="s">
        <v>71</v>
      </c>
      <c r="B9" s="249">
        <v>2018</v>
      </c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</row>
    <row r="10" spans="1:56">
      <c r="A10" s="49" t="s">
        <v>5</v>
      </c>
      <c r="B10" s="503" t="s">
        <v>1320</v>
      </c>
      <c r="D10" s="31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</row>
    <row r="11" spans="1:56">
      <c r="A11" s="49" t="s">
        <v>6</v>
      </c>
      <c r="B11" s="223"/>
      <c r="D11" s="315"/>
      <c r="E11" s="325"/>
      <c r="F11" s="325"/>
      <c r="G11" s="325"/>
      <c r="H11" s="325"/>
      <c r="I11" s="325"/>
      <c r="J11" s="315"/>
      <c r="K11" s="315"/>
      <c r="L11" s="325"/>
      <c r="M11" s="325"/>
      <c r="N11" s="325"/>
      <c r="O11" s="325"/>
      <c r="P11" s="325"/>
      <c r="Q11" s="315"/>
      <c r="R11" s="315"/>
      <c r="S11" s="315"/>
      <c r="T11" s="325"/>
      <c r="U11" s="325"/>
      <c r="V11" s="325"/>
      <c r="W11" s="315"/>
      <c r="X11" s="315"/>
      <c r="Y11" s="325"/>
      <c r="Z11" s="325"/>
      <c r="AA11" s="325"/>
      <c r="AB11" s="325"/>
      <c r="AC11" s="325"/>
      <c r="AD11" s="315"/>
      <c r="AE11" s="315"/>
      <c r="AF11" s="532"/>
      <c r="AG11" s="532"/>
      <c r="AH11" s="532"/>
      <c r="AI11" s="315"/>
      <c r="AJ11" s="532" t="s">
        <v>632</v>
      </c>
      <c r="AK11" s="532"/>
      <c r="AL11" s="532"/>
      <c r="AM11" s="315"/>
      <c r="AN11" s="315"/>
      <c r="AO11" s="532" t="s">
        <v>633</v>
      </c>
      <c r="AP11" s="532"/>
      <c r="AQ11" s="532"/>
      <c r="AR11" s="532"/>
      <c r="AS11" s="315"/>
      <c r="AT11" s="315"/>
      <c r="AU11" s="531" t="s">
        <v>634</v>
      </c>
      <c r="AV11" s="531"/>
      <c r="AW11" s="531"/>
      <c r="AX11" s="531"/>
      <c r="AY11" s="531" t="s">
        <v>635</v>
      </c>
      <c r="AZ11" s="531"/>
      <c r="BA11" s="531"/>
      <c r="BB11" s="315"/>
      <c r="BC11" s="531" t="s">
        <v>636</v>
      </c>
      <c r="BD11" s="531"/>
    </row>
    <row r="12" spans="1:56">
      <c r="A12" s="49" t="s">
        <v>1</v>
      </c>
      <c r="B12" s="504">
        <v>220</v>
      </c>
      <c r="D12" s="315"/>
      <c r="E12" s="325"/>
      <c r="F12" s="325"/>
      <c r="G12" s="325"/>
      <c r="H12" s="325"/>
      <c r="I12" s="325"/>
      <c r="J12" s="315"/>
      <c r="K12" s="315"/>
      <c r="L12" s="325"/>
      <c r="M12" s="325"/>
      <c r="N12" s="325"/>
      <c r="O12" s="325"/>
      <c r="P12" s="325"/>
      <c r="Q12" s="315"/>
      <c r="R12" s="315"/>
      <c r="S12" s="315"/>
      <c r="T12" s="325"/>
      <c r="U12" s="325"/>
      <c r="V12" s="325"/>
      <c r="W12" s="315"/>
      <c r="X12" s="315"/>
      <c r="Y12" s="325"/>
      <c r="Z12" s="325"/>
      <c r="AA12" s="325"/>
      <c r="AB12" s="325"/>
      <c r="AC12" s="325"/>
      <c r="AD12" s="315"/>
      <c r="AE12" s="315"/>
      <c r="AF12" s="532"/>
      <c r="AG12" s="532"/>
      <c r="AH12" s="532"/>
      <c r="AI12" s="315"/>
      <c r="AJ12" s="532"/>
      <c r="AK12" s="532"/>
      <c r="AL12" s="532"/>
      <c r="AM12" s="315"/>
      <c r="AN12" s="315"/>
      <c r="AO12" s="532"/>
      <c r="AP12" s="532"/>
      <c r="AQ12" s="532"/>
      <c r="AR12" s="532"/>
      <c r="AS12" s="315"/>
      <c r="AT12" s="315"/>
      <c r="AU12" s="531"/>
      <c r="AV12" s="531"/>
      <c r="AW12" s="531"/>
      <c r="AX12" s="531"/>
      <c r="AY12" s="531"/>
      <c r="AZ12" s="531"/>
      <c r="BA12" s="531"/>
      <c r="BB12" s="315"/>
      <c r="BC12" s="531"/>
      <c r="BD12" s="531"/>
    </row>
    <row r="13" spans="1:56">
      <c r="A13" s="49" t="s">
        <v>4</v>
      </c>
      <c r="B13" s="505">
        <v>100000</v>
      </c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</row>
    <row r="14" spans="1:56">
      <c r="A14" s="49" t="s">
        <v>7</v>
      </c>
      <c r="B14" s="224">
        <v>1995</v>
      </c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</row>
    <row r="15" spans="1:56">
      <c r="A15" s="49" t="s">
        <v>8</v>
      </c>
      <c r="B15" s="506" t="s">
        <v>1277</v>
      </c>
      <c r="D15" s="315"/>
      <c r="E15" s="328"/>
      <c r="F15" s="328"/>
      <c r="G15" s="328"/>
      <c r="H15" s="328"/>
      <c r="I15" s="328"/>
      <c r="J15" s="328"/>
      <c r="K15" s="315"/>
      <c r="L15" s="326"/>
      <c r="M15" s="326"/>
      <c r="N15" s="326"/>
      <c r="O15" s="326"/>
      <c r="P15" s="326"/>
      <c r="Q15" s="315"/>
      <c r="R15" s="315"/>
      <c r="S15" s="315"/>
      <c r="T15" s="326"/>
      <c r="U15" s="326"/>
      <c r="V15" s="326"/>
      <c r="W15" s="315"/>
      <c r="X15" s="315"/>
      <c r="Y15" s="327"/>
      <c r="Z15" s="327"/>
      <c r="AA15" s="327"/>
      <c r="AB15" s="327"/>
      <c r="AC15" s="327"/>
      <c r="AD15" s="315"/>
      <c r="AE15" s="315"/>
      <c r="AF15" s="527"/>
      <c r="AG15" s="527"/>
      <c r="AH15" s="527"/>
      <c r="AI15" s="315"/>
      <c r="AJ15" s="527">
        <v>790.43399999999997</v>
      </c>
      <c r="AK15" s="527"/>
      <c r="AL15" s="527"/>
      <c r="AM15" s="315"/>
      <c r="AN15" s="315"/>
      <c r="AO15" s="527">
        <v>1.1623999999999999</v>
      </c>
      <c r="AP15" s="527"/>
      <c r="AQ15" s="527"/>
      <c r="AR15" s="527"/>
      <c r="AS15" s="315"/>
      <c r="AT15" s="315"/>
      <c r="AU15" s="528">
        <v>53</v>
      </c>
      <c r="AV15" s="528"/>
      <c r="AW15" s="528"/>
      <c r="AX15" s="528"/>
      <c r="AY15" s="529">
        <v>94.642800000000008</v>
      </c>
      <c r="AZ15" s="529"/>
      <c r="BA15" s="529"/>
      <c r="BB15" s="315"/>
      <c r="BC15" s="528">
        <v>4</v>
      </c>
      <c r="BD15" s="528"/>
    </row>
    <row r="16" spans="1:56">
      <c r="A16" s="49" t="s">
        <v>87</v>
      </c>
      <c r="B16" s="223" t="s">
        <v>1278</v>
      </c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</row>
    <row r="17" spans="1:56">
      <c r="A17" s="49" t="s">
        <v>194</v>
      </c>
      <c r="B17" s="503" t="s">
        <v>194</v>
      </c>
      <c r="D17" s="315"/>
      <c r="E17" s="328"/>
      <c r="F17" s="328"/>
      <c r="G17" s="328"/>
      <c r="H17" s="328"/>
      <c r="I17" s="328"/>
      <c r="J17" s="328"/>
      <c r="K17" s="315"/>
      <c r="L17" s="326"/>
      <c r="M17" s="326"/>
      <c r="N17" s="326"/>
      <c r="O17" s="326"/>
      <c r="P17" s="326"/>
      <c r="Q17" s="315"/>
      <c r="R17" s="315"/>
      <c r="S17" s="315"/>
      <c r="T17" s="326"/>
      <c r="U17" s="326"/>
      <c r="V17" s="326"/>
      <c r="W17" s="315"/>
      <c r="X17" s="315"/>
      <c r="Y17" s="327"/>
      <c r="Z17" s="327"/>
      <c r="AA17" s="327"/>
      <c r="AB17" s="327"/>
      <c r="AC17" s="327"/>
      <c r="AD17" s="315"/>
      <c r="AE17" s="315"/>
      <c r="AF17" s="527"/>
      <c r="AG17" s="527"/>
      <c r="AH17" s="527"/>
      <c r="AI17" s="315"/>
      <c r="AJ17" s="527">
        <v>841.49020000000007</v>
      </c>
      <c r="AK17" s="527"/>
      <c r="AL17" s="527"/>
      <c r="AM17" s="315"/>
      <c r="AN17" s="315"/>
      <c r="AO17" s="527">
        <v>1.1087</v>
      </c>
      <c r="AP17" s="527"/>
      <c r="AQ17" s="527"/>
      <c r="AR17" s="527"/>
      <c r="AS17" s="315"/>
      <c r="AT17" s="315"/>
      <c r="AU17" s="528">
        <v>51</v>
      </c>
      <c r="AV17" s="528"/>
      <c r="AW17" s="528"/>
      <c r="AX17" s="528"/>
      <c r="AY17" s="529">
        <v>91.071399999999997</v>
      </c>
      <c r="AZ17" s="529"/>
      <c r="BA17" s="529"/>
      <c r="BB17" s="315"/>
      <c r="BC17" s="528">
        <v>12</v>
      </c>
      <c r="BD17" s="528"/>
    </row>
    <row r="18" spans="1:56">
      <c r="A18" s="49" t="s">
        <v>521</v>
      </c>
      <c r="B18" s="506" t="s">
        <v>521</v>
      </c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</row>
    <row r="19" spans="1:56">
      <c r="A19" s="49" t="s">
        <v>39</v>
      </c>
      <c r="B19" s="506" t="s">
        <v>665</v>
      </c>
      <c r="D19" s="315"/>
      <c r="E19" s="328"/>
      <c r="F19" s="328"/>
      <c r="G19" s="328"/>
      <c r="H19" s="328"/>
      <c r="I19" s="328"/>
      <c r="J19" s="328"/>
      <c r="K19" s="315"/>
      <c r="L19" s="326"/>
      <c r="M19" s="326"/>
      <c r="N19" s="326"/>
      <c r="O19" s="326"/>
      <c r="P19" s="326"/>
      <c r="Q19" s="315"/>
      <c r="R19" s="315"/>
      <c r="S19" s="315"/>
      <c r="T19" s="326"/>
      <c r="U19" s="326"/>
      <c r="V19" s="326"/>
      <c r="W19" s="315"/>
      <c r="X19" s="315"/>
      <c r="Y19" s="327"/>
      <c r="Z19" s="327"/>
      <c r="AA19" s="327"/>
      <c r="AB19" s="327"/>
      <c r="AC19" s="327"/>
      <c r="AD19" s="315"/>
      <c r="AE19" s="315"/>
      <c r="AF19" s="527"/>
      <c r="AG19" s="527"/>
      <c r="AH19" s="527"/>
      <c r="AI19" s="315"/>
      <c r="AJ19" s="527">
        <v>964.94</v>
      </c>
      <c r="AK19" s="527"/>
      <c r="AL19" s="527"/>
      <c r="AM19" s="315"/>
      <c r="AN19" s="315"/>
      <c r="AO19" s="527">
        <v>0.95069999999999999</v>
      </c>
      <c r="AP19" s="527"/>
      <c r="AQ19" s="527"/>
      <c r="AR19" s="527"/>
      <c r="AS19" s="315"/>
      <c r="AT19" s="315"/>
      <c r="AU19" s="528">
        <v>50</v>
      </c>
      <c r="AV19" s="528"/>
      <c r="AW19" s="528"/>
      <c r="AX19" s="528"/>
      <c r="AY19" s="529">
        <v>89.285700000000006</v>
      </c>
      <c r="AZ19" s="529"/>
      <c r="BA19" s="529"/>
      <c r="BB19" s="315"/>
      <c r="BC19" s="528">
        <v>7</v>
      </c>
      <c r="BD19" s="528"/>
    </row>
    <row r="20" spans="1:56">
      <c r="A20" s="49" t="s">
        <v>2</v>
      </c>
      <c r="B20" s="223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</row>
    <row r="21" spans="1:56">
      <c r="A21" s="49" t="s">
        <v>115</v>
      </c>
      <c r="B21" s="503" t="s">
        <v>1358</v>
      </c>
      <c r="D21" s="315"/>
      <c r="E21" s="328"/>
      <c r="F21" s="328"/>
      <c r="G21" s="328"/>
      <c r="H21" s="328"/>
      <c r="I21" s="328"/>
      <c r="J21" s="328"/>
      <c r="K21" s="315"/>
      <c r="L21" s="326"/>
      <c r="M21" s="326"/>
      <c r="N21" s="326"/>
      <c r="O21" s="326"/>
      <c r="P21" s="326"/>
      <c r="Q21" s="315"/>
      <c r="R21" s="315"/>
      <c r="S21" s="315"/>
      <c r="T21" s="326"/>
      <c r="U21" s="326"/>
      <c r="V21" s="326"/>
      <c r="W21" s="315"/>
      <c r="X21" s="315"/>
      <c r="Y21" s="327"/>
      <c r="Z21" s="327"/>
      <c r="AA21" s="327"/>
      <c r="AB21" s="327"/>
      <c r="AC21" s="327"/>
      <c r="AD21" s="315"/>
      <c r="AE21" s="315"/>
      <c r="AF21" s="527"/>
      <c r="AG21" s="527"/>
      <c r="AH21" s="527"/>
      <c r="AI21" s="315"/>
      <c r="AJ21" s="527">
        <v>1025.0426</v>
      </c>
      <c r="AK21" s="527"/>
      <c r="AL21" s="527"/>
      <c r="AM21" s="315"/>
      <c r="AN21" s="315"/>
      <c r="AO21" s="527">
        <v>0.92510000000000003</v>
      </c>
      <c r="AP21" s="527"/>
      <c r="AQ21" s="527"/>
      <c r="AR21" s="527"/>
      <c r="AS21" s="315"/>
      <c r="AT21" s="315"/>
      <c r="AU21" s="528">
        <v>47</v>
      </c>
      <c r="AV21" s="528"/>
      <c r="AW21" s="528"/>
      <c r="AX21" s="528"/>
      <c r="AY21" s="529">
        <v>83.9285</v>
      </c>
      <c r="AZ21" s="529"/>
      <c r="BA21" s="529"/>
      <c r="BB21" s="315"/>
      <c r="BC21" s="528">
        <v>13</v>
      </c>
      <c r="BD21" s="528"/>
    </row>
    <row r="22" spans="1:56">
      <c r="A22" s="49" t="s">
        <v>146</v>
      </c>
      <c r="B22" s="250">
        <f>+DATE(B9,1,1)</f>
        <v>43101</v>
      </c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</row>
    <row r="23" spans="1:56">
      <c r="A23" s="54" t="s">
        <v>0</v>
      </c>
      <c r="D23" s="315"/>
      <c r="E23" s="328"/>
      <c r="F23" s="328"/>
      <c r="G23" s="328"/>
      <c r="H23" s="328"/>
      <c r="I23" s="328"/>
      <c r="J23" s="328"/>
      <c r="K23" s="315"/>
      <c r="L23" s="326"/>
      <c r="M23" s="326"/>
      <c r="N23" s="326"/>
      <c r="O23" s="326"/>
      <c r="P23" s="326"/>
      <c r="Q23" s="315"/>
      <c r="R23" s="315"/>
      <c r="S23" s="315"/>
      <c r="T23" s="326"/>
      <c r="U23" s="326"/>
      <c r="V23" s="326"/>
      <c r="W23" s="315"/>
      <c r="X23" s="315"/>
      <c r="Y23" s="327"/>
      <c r="Z23" s="327"/>
      <c r="AA23" s="327"/>
      <c r="AB23" s="327"/>
      <c r="AC23" s="327"/>
      <c r="AD23" s="315"/>
      <c r="AE23" s="315"/>
      <c r="AF23" s="527"/>
      <c r="AG23" s="527"/>
      <c r="AH23" s="527"/>
      <c r="AI23" s="315"/>
      <c r="AJ23" s="527">
        <v>1247.5</v>
      </c>
      <c r="AK23" s="527"/>
      <c r="AL23" s="527"/>
      <c r="AM23" s="315"/>
      <c r="AN23" s="315"/>
      <c r="AO23" s="527">
        <v>0.95810000000000006</v>
      </c>
      <c r="AP23" s="527"/>
      <c r="AQ23" s="527"/>
      <c r="AR23" s="527"/>
      <c r="AS23" s="315"/>
      <c r="AT23" s="315"/>
      <c r="AU23" s="528">
        <v>6</v>
      </c>
      <c r="AV23" s="528"/>
      <c r="AW23" s="528"/>
      <c r="AX23" s="528"/>
      <c r="AY23" s="529">
        <v>75</v>
      </c>
      <c r="AZ23" s="529"/>
      <c r="BA23" s="529"/>
      <c r="BB23" s="315"/>
      <c r="BC23" s="528">
        <v>3</v>
      </c>
      <c r="BD23" s="528"/>
    </row>
    <row r="24" spans="1:56">
      <c r="F24" s="55" t="s">
        <v>2</v>
      </c>
      <c r="G24" s="55" t="s">
        <v>638</v>
      </c>
      <c r="H24" s="55" t="s">
        <v>2</v>
      </c>
      <c r="I24" s="55" t="s">
        <v>639</v>
      </c>
      <c r="J24" s="318" t="s">
        <v>643</v>
      </c>
      <c r="K24" s="319"/>
      <c r="L24" s="319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</row>
    <row r="25" spans="1:56">
      <c r="A25" s="49" t="s">
        <v>198</v>
      </c>
      <c r="B25" s="49" t="s">
        <v>1300</v>
      </c>
      <c r="C25" s="49" t="s">
        <v>1</v>
      </c>
      <c r="D25" s="55" t="s">
        <v>10</v>
      </c>
      <c r="E25" s="55" t="s">
        <v>4</v>
      </c>
      <c r="F25" s="55" t="s">
        <v>640</v>
      </c>
      <c r="G25" s="55" t="s">
        <v>641</v>
      </c>
      <c r="H25" s="470" t="s">
        <v>1299</v>
      </c>
      <c r="I25" s="55" t="s">
        <v>642</v>
      </c>
      <c r="J25" s="476">
        <f>+J1</f>
        <v>43009</v>
      </c>
      <c r="K25" s="476">
        <f t="shared" ref="K25:X25" si="0">+K1</f>
        <v>43040</v>
      </c>
      <c r="L25" s="476">
        <f t="shared" si="0"/>
        <v>43070</v>
      </c>
      <c r="M25" s="50">
        <f t="shared" si="0"/>
        <v>43101</v>
      </c>
      <c r="N25" s="50">
        <f t="shared" si="0"/>
        <v>43132</v>
      </c>
      <c r="O25" s="50">
        <f t="shared" si="0"/>
        <v>43160</v>
      </c>
      <c r="P25" s="50">
        <f t="shared" si="0"/>
        <v>43191</v>
      </c>
      <c r="Q25" s="50">
        <f t="shared" si="0"/>
        <v>43221</v>
      </c>
      <c r="R25" s="50">
        <f t="shared" si="0"/>
        <v>43252</v>
      </c>
      <c r="S25" s="50">
        <f t="shared" si="0"/>
        <v>43282</v>
      </c>
      <c r="T25" s="50">
        <f t="shared" si="0"/>
        <v>43313</v>
      </c>
      <c r="U25" s="50">
        <f t="shared" si="0"/>
        <v>43344</v>
      </c>
      <c r="V25" s="50">
        <f t="shared" si="0"/>
        <v>43374</v>
      </c>
      <c r="W25" s="50">
        <f t="shared" si="0"/>
        <v>43405</v>
      </c>
      <c r="X25" s="50">
        <f t="shared" si="0"/>
        <v>43435</v>
      </c>
      <c r="Y25" s="317"/>
      <c r="Z25" s="317"/>
      <c r="AA25" s="317"/>
      <c r="AB25" s="317"/>
      <c r="AC25" s="317"/>
      <c r="AD25" s="315"/>
      <c r="AE25" s="315"/>
      <c r="AF25" s="526"/>
      <c r="AG25" s="526"/>
      <c r="AH25" s="526"/>
      <c r="AI25" s="315"/>
      <c r="AJ25" s="526">
        <v>911.68118067632838</v>
      </c>
      <c r="AK25" s="526"/>
      <c r="AL25" s="526"/>
      <c r="AM25" s="315"/>
      <c r="AN25" s="315"/>
      <c r="AO25" s="526">
        <v>1.0077280926823269</v>
      </c>
      <c r="AP25" s="526"/>
      <c r="AQ25" s="526"/>
      <c r="AR25" s="526"/>
      <c r="AS25" s="315"/>
      <c r="AT25" s="315"/>
      <c r="AU25" s="525">
        <v>207</v>
      </c>
      <c r="AV25" s="525"/>
      <c r="AW25" s="525"/>
      <c r="AX25" s="525"/>
      <c r="AY25" s="530">
        <v>89.224137931034477</v>
      </c>
      <c r="AZ25" s="530"/>
      <c r="BA25" s="530"/>
      <c r="BB25" s="315"/>
      <c r="BC25" s="525">
        <v>39</v>
      </c>
      <c r="BD25" s="525"/>
    </row>
    <row r="26" spans="1:56" ht="12.75" customHeight="1">
      <c r="A26" s="316" t="s">
        <v>680</v>
      </c>
      <c r="B26" s="56"/>
      <c r="C26" s="56"/>
      <c r="D26" s="224"/>
      <c r="E26" s="224"/>
      <c r="F26" s="225"/>
      <c r="G26" s="226"/>
      <c r="H26" s="225"/>
      <c r="I26" s="226"/>
      <c r="J26" s="471"/>
      <c r="K26" s="471"/>
      <c r="L26" s="472"/>
      <c r="M26" s="472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</row>
    <row r="27" spans="1:56" ht="12.75" customHeight="1">
      <c r="A27" s="507" t="s">
        <v>1360</v>
      </c>
      <c r="B27" s="56" t="s">
        <v>1365</v>
      </c>
      <c r="C27" s="56">
        <v>40</v>
      </c>
      <c r="D27" s="501">
        <v>960</v>
      </c>
      <c r="E27" s="235">
        <v>775</v>
      </c>
      <c r="F27" s="225">
        <f>IF(C27=0,"",+C27*D27)</f>
        <v>38400</v>
      </c>
      <c r="G27" s="226">
        <v>500</v>
      </c>
      <c r="H27" s="225">
        <f>IF(C27=0,"",+F27+G27)</f>
        <v>38900</v>
      </c>
      <c r="I27" s="226">
        <v>300</v>
      </c>
      <c r="J27" s="512">
        <f>+D27</f>
        <v>960</v>
      </c>
      <c r="K27" s="512">
        <f>+J27</f>
        <v>960</v>
      </c>
      <c r="L27" s="512">
        <f t="shared" ref="L27:X27" si="1">+K27</f>
        <v>960</v>
      </c>
      <c r="M27" s="512">
        <f t="shared" si="1"/>
        <v>960</v>
      </c>
      <c r="N27" s="512">
        <f t="shared" si="1"/>
        <v>960</v>
      </c>
      <c r="O27" s="512">
        <f t="shared" si="1"/>
        <v>960</v>
      </c>
      <c r="P27" s="512">
        <f>+O27+25</f>
        <v>985</v>
      </c>
      <c r="Q27" s="512">
        <f t="shared" si="1"/>
        <v>985</v>
      </c>
      <c r="R27" s="512">
        <f t="shared" si="1"/>
        <v>985</v>
      </c>
      <c r="S27" s="512">
        <f t="shared" si="1"/>
        <v>985</v>
      </c>
      <c r="T27" s="512">
        <f t="shared" si="1"/>
        <v>985</v>
      </c>
      <c r="U27" s="512">
        <f>+T27+50</f>
        <v>1035</v>
      </c>
      <c r="V27" s="512">
        <f t="shared" si="1"/>
        <v>1035</v>
      </c>
      <c r="W27" s="512">
        <f t="shared" si="1"/>
        <v>1035</v>
      </c>
      <c r="X27" s="512">
        <f t="shared" si="1"/>
        <v>1035</v>
      </c>
    </row>
    <row r="28" spans="1:56" ht="12.75" customHeight="1">
      <c r="A28" s="56" t="s">
        <v>1361</v>
      </c>
      <c r="B28" s="56" t="s">
        <v>1365</v>
      </c>
      <c r="C28" s="56">
        <v>60</v>
      </c>
      <c r="D28" s="501">
        <v>980</v>
      </c>
      <c r="E28" s="235">
        <v>800</v>
      </c>
      <c r="F28" s="225">
        <f t="shared" ref="F28:F41" si="2">IF(C28=0,"",+C28*D28)</f>
        <v>58800</v>
      </c>
      <c r="G28" s="226">
        <v>300</v>
      </c>
      <c r="H28" s="225">
        <f t="shared" ref="H28:H41" si="3">IF(C28=0,"",+F28+G28)</f>
        <v>59100</v>
      </c>
      <c r="I28" s="226">
        <v>472</v>
      </c>
      <c r="J28" s="512">
        <f t="shared" ref="J28:J31" si="4">+D28</f>
        <v>980</v>
      </c>
      <c r="K28" s="512">
        <f t="shared" ref="K28:X31" si="5">+J28</f>
        <v>980</v>
      </c>
      <c r="L28" s="512">
        <f t="shared" si="5"/>
        <v>980</v>
      </c>
      <c r="M28" s="512">
        <f t="shared" si="5"/>
        <v>980</v>
      </c>
      <c r="N28" s="512">
        <f t="shared" si="5"/>
        <v>980</v>
      </c>
      <c r="O28" s="512">
        <f t="shared" si="5"/>
        <v>980</v>
      </c>
      <c r="P28" s="512">
        <f t="shared" ref="P28:P31" si="6">+O28+25</f>
        <v>1005</v>
      </c>
      <c r="Q28" s="512">
        <f t="shared" si="5"/>
        <v>1005</v>
      </c>
      <c r="R28" s="512">
        <f t="shared" si="5"/>
        <v>1005</v>
      </c>
      <c r="S28" s="512">
        <f t="shared" si="5"/>
        <v>1005</v>
      </c>
      <c r="T28" s="512">
        <f t="shared" si="5"/>
        <v>1005</v>
      </c>
      <c r="U28" s="512">
        <f t="shared" ref="U28:U31" si="7">+T28+50</f>
        <v>1055</v>
      </c>
      <c r="V28" s="512">
        <f t="shared" si="5"/>
        <v>1055</v>
      </c>
      <c r="W28" s="512">
        <f t="shared" si="5"/>
        <v>1055</v>
      </c>
      <c r="X28" s="512">
        <f t="shared" si="5"/>
        <v>1055</v>
      </c>
    </row>
    <row r="29" spans="1:56" ht="12.75" customHeight="1">
      <c r="A29" s="507" t="s">
        <v>1362</v>
      </c>
      <c r="B29" s="56" t="s">
        <v>1366</v>
      </c>
      <c r="C29" s="56">
        <v>50</v>
      </c>
      <c r="D29" s="501">
        <v>1050</v>
      </c>
      <c r="E29" s="235">
        <v>900</v>
      </c>
      <c r="F29" s="225">
        <f t="shared" si="2"/>
        <v>52500</v>
      </c>
      <c r="G29" s="226">
        <v>0</v>
      </c>
      <c r="H29" s="225">
        <f t="shared" si="3"/>
        <v>52500</v>
      </c>
      <c r="I29" s="226">
        <v>255</v>
      </c>
      <c r="J29" s="512">
        <f t="shared" si="4"/>
        <v>1050</v>
      </c>
      <c r="K29" s="512">
        <f t="shared" si="5"/>
        <v>1050</v>
      </c>
      <c r="L29" s="512">
        <f t="shared" si="5"/>
        <v>1050</v>
      </c>
      <c r="M29" s="512">
        <f t="shared" si="5"/>
        <v>1050</v>
      </c>
      <c r="N29" s="512">
        <f t="shared" si="5"/>
        <v>1050</v>
      </c>
      <c r="O29" s="512">
        <f t="shared" si="5"/>
        <v>1050</v>
      </c>
      <c r="P29" s="512">
        <f t="shared" si="6"/>
        <v>1075</v>
      </c>
      <c r="Q29" s="512">
        <f t="shared" si="5"/>
        <v>1075</v>
      </c>
      <c r="R29" s="512">
        <f t="shared" si="5"/>
        <v>1075</v>
      </c>
      <c r="S29" s="512">
        <f t="shared" si="5"/>
        <v>1075</v>
      </c>
      <c r="T29" s="512">
        <f t="shared" si="5"/>
        <v>1075</v>
      </c>
      <c r="U29" s="512">
        <f t="shared" si="7"/>
        <v>1125</v>
      </c>
      <c r="V29" s="512">
        <f t="shared" si="5"/>
        <v>1125</v>
      </c>
      <c r="W29" s="512">
        <f t="shared" si="5"/>
        <v>1125</v>
      </c>
      <c r="X29" s="512">
        <f t="shared" si="5"/>
        <v>1125</v>
      </c>
    </row>
    <row r="30" spans="1:56" ht="12.75" customHeight="1">
      <c r="A30" s="56" t="s">
        <v>1363</v>
      </c>
      <c r="B30" s="56" t="s">
        <v>1366</v>
      </c>
      <c r="C30" s="56">
        <v>50</v>
      </c>
      <c r="D30" s="501">
        <v>1100</v>
      </c>
      <c r="E30" s="235">
        <v>950</v>
      </c>
      <c r="F30" s="225">
        <f t="shared" si="2"/>
        <v>55000</v>
      </c>
      <c r="G30" s="226">
        <v>500</v>
      </c>
      <c r="H30" s="225">
        <f t="shared" si="3"/>
        <v>55500</v>
      </c>
      <c r="I30" s="226">
        <v>1975</v>
      </c>
      <c r="J30" s="512">
        <f t="shared" si="4"/>
        <v>1100</v>
      </c>
      <c r="K30" s="512">
        <f t="shared" si="5"/>
        <v>1100</v>
      </c>
      <c r="L30" s="512">
        <f t="shared" si="5"/>
        <v>1100</v>
      </c>
      <c r="M30" s="512">
        <f t="shared" si="5"/>
        <v>1100</v>
      </c>
      <c r="N30" s="512">
        <f t="shared" si="5"/>
        <v>1100</v>
      </c>
      <c r="O30" s="512">
        <f t="shared" si="5"/>
        <v>1100</v>
      </c>
      <c r="P30" s="512">
        <f t="shared" si="6"/>
        <v>1125</v>
      </c>
      <c r="Q30" s="512">
        <f t="shared" si="5"/>
        <v>1125</v>
      </c>
      <c r="R30" s="512">
        <f t="shared" si="5"/>
        <v>1125</v>
      </c>
      <c r="S30" s="512">
        <f t="shared" si="5"/>
        <v>1125</v>
      </c>
      <c r="T30" s="512">
        <f t="shared" si="5"/>
        <v>1125</v>
      </c>
      <c r="U30" s="512">
        <f t="shared" si="7"/>
        <v>1175</v>
      </c>
      <c r="V30" s="512">
        <f t="shared" si="5"/>
        <v>1175</v>
      </c>
      <c r="W30" s="512">
        <f t="shared" si="5"/>
        <v>1175</v>
      </c>
      <c r="X30" s="512">
        <f t="shared" si="5"/>
        <v>1175</v>
      </c>
    </row>
    <row r="31" spans="1:56" ht="12.75" customHeight="1">
      <c r="A31" s="56" t="s">
        <v>1364</v>
      </c>
      <c r="B31" s="56" t="s">
        <v>1367</v>
      </c>
      <c r="C31" s="56">
        <v>20</v>
      </c>
      <c r="D31" s="501">
        <v>1350</v>
      </c>
      <c r="E31" s="235">
        <v>1200</v>
      </c>
      <c r="F31" s="225">
        <f t="shared" si="2"/>
        <v>27000</v>
      </c>
      <c r="G31" s="226">
        <v>1200</v>
      </c>
      <c r="H31" s="225">
        <f t="shared" si="3"/>
        <v>28200</v>
      </c>
      <c r="I31" s="226">
        <v>154</v>
      </c>
      <c r="J31" s="512">
        <f t="shared" si="4"/>
        <v>1350</v>
      </c>
      <c r="K31" s="512">
        <f t="shared" si="5"/>
        <v>1350</v>
      </c>
      <c r="L31" s="512">
        <f t="shared" si="5"/>
        <v>1350</v>
      </c>
      <c r="M31" s="512">
        <f t="shared" si="5"/>
        <v>1350</v>
      </c>
      <c r="N31" s="512">
        <f t="shared" si="5"/>
        <v>1350</v>
      </c>
      <c r="O31" s="512">
        <f t="shared" si="5"/>
        <v>1350</v>
      </c>
      <c r="P31" s="512">
        <f t="shared" si="6"/>
        <v>1375</v>
      </c>
      <c r="Q31" s="512">
        <f t="shared" si="5"/>
        <v>1375</v>
      </c>
      <c r="R31" s="512">
        <f t="shared" si="5"/>
        <v>1375</v>
      </c>
      <c r="S31" s="512">
        <f t="shared" si="5"/>
        <v>1375</v>
      </c>
      <c r="T31" s="512">
        <f t="shared" si="5"/>
        <v>1375</v>
      </c>
      <c r="U31" s="512">
        <f t="shared" si="7"/>
        <v>1425</v>
      </c>
      <c r="V31" s="512">
        <f t="shared" si="5"/>
        <v>1425</v>
      </c>
      <c r="W31" s="512">
        <f t="shared" si="5"/>
        <v>1425</v>
      </c>
      <c r="X31" s="512">
        <f t="shared" si="5"/>
        <v>1425</v>
      </c>
    </row>
    <row r="32" spans="1:56" ht="12.75" customHeight="1">
      <c r="A32" s="56"/>
      <c r="B32" s="56"/>
      <c r="C32" s="56"/>
      <c r="D32" s="501"/>
      <c r="E32" s="235"/>
      <c r="F32" s="225" t="str">
        <f t="shared" si="2"/>
        <v/>
      </c>
      <c r="G32" s="226"/>
      <c r="H32" s="225" t="str">
        <f t="shared" si="3"/>
        <v/>
      </c>
      <c r="I32" s="226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</row>
    <row r="33" spans="1:24" ht="12.75" customHeight="1">
      <c r="A33" s="56"/>
      <c r="B33" s="400"/>
      <c r="C33" s="56"/>
      <c r="D33" s="501"/>
      <c r="E33" s="235"/>
      <c r="F33" s="225" t="str">
        <f t="shared" si="2"/>
        <v/>
      </c>
      <c r="G33" s="226"/>
      <c r="H33" s="225" t="str">
        <f t="shared" si="3"/>
        <v/>
      </c>
      <c r="I33" s="226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</row>
    <row r="34" spans="1:24" ht="12.75" customHeight="1">
      <c r="A34" s="56"/>
      <c r="B34" s="400"/>
      <c r="C34" s="56"/>
      <c r="D34" s="501"/>
      <c r="E34" s="235"/>
      <c r="F34" s="225" t="str">
        <f t="shared" si="2"/>
        <v/>
      </c>
      <c r="G34" s="226"/>
      <c r="H34" s="225" t="str">
        <f t="shared" si="3"/>
        <v/>
      </c>
      <c r="I34" s="226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</row>
    <row r="35" spans="1:24" ht="12.75" customHeight="1">
      <c r="A35" s="56"/>
      <c r="B35" s="400"/>
      <c r="C35" s="56"/>
      <c r="D35" s="501"/>
      <c r="E35" s="235"/>
      <c r="F35" s="225" t="str">
        <f t="shared" si="2"/>
        <v/>
      </c>
      <c r="G35" s="226"/>
      <c r="H35" s="225" t="str">
        <f t="shared" si="3"/>
        <v/>
      </c>
      <c r="I35" s="226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</row>
    <row r="36" spans="1:24" ht="12.75" customHeight="1">
      <c r="A36" s="56"/>
      <c r="B36" s="56"/>
      <c r="C36" s="56"/>
      <c r="D36" s="501"/>
      <c r="E36" s="224"/>
      <c r="F36" s="225" t="str">
        <f t="shared" si="2"/>
        <v/>
      </c>
      <c r="G36" s="226"/>
      <c r="H36" s="225" t="str">
        <f t="shared" si="3"/>
        <v/>
      </c>
      <c r="I36" s="226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</row>
    <row r="37" spans="1:24" ht="12.75" customHeight="1">
      <c r="A37" s="56"/>
      <c r="B37" s="56"/>
      <c r="C37" s="56"/>
      <c r="D37" s="508"/>
      <c r="E37" s="224"/>
      <c r="F37" s="225" t="str">
        <f t="shared" si="2"/>
        <v/>
      </c>
      <c r="G37" s="226"/>
      <c r="H37" s="225" t="str">
        <f t="shared" si="3"/>
        <v/>
      </c>
      <c r="I37" s="226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</row>
    <row r="38" spans="1:24" ht="12.75" customHeight="1">
      <c r="A38" s="56"/>
      <c r="B38" s="56"/>
      <c r="C38" s="56"/>
      <c r="D38" s="509"/>
      <c r="E38" s="224"/>
      <c r="F38" s="225" t="str">
        <f t="shared" si="2"/>
        <v/>
      </c>
      <c r="G38" s="226"/>
      <c r="H38" s="225" t="str">
        <f t="shared" si="3"/>
        <v/>
      </c>
      <c r="I38" s="226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</row>
    <row r="39" spans="1:24" ht="12.75" customHeight="1">
      <c r="A39" s="56"/>
      <c r="B39" s="56"/>
      <c r="C39" s="56"/>
      <c r="D39" s="501"/>
      <c r="E39" s="224"/>
      <c r="F39" s="225" t="str">
        <f t="shared" si="2"/>
        <v/>
      </c>
      <c r="G39" s="226"/>
      <c r="H39" s="225" t="str">
        <f t="shared" si="3"/>
        <v/>
      </c>
      <c r="I39" s="226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</row>
    <row r="40" spans="1:24">
      <c r="A40" s="56"/>
      <c r="B40" s="56"/>
      <c r="C40" s="56"/>
      <c r="D40" s="509"/>
      <c r="E40" s="224"/>
      <c r="F40" s="225" t="str">
        <f t="shared" si="2"/>
        <v/>
      </c>
      <c r="G40" s="226"/>
      <c r="H40" s="225" t="str">
        <f t="shared" si="3"/>
        <v/>
      </c>
      <c r="I40" s="226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</row>
    <row r="41" spans="1:24">
      <c r="A41" s="56"/>
      <c r="B41" s="56"/>
      <c r="C41" s="224"/>
      <c r="D41" s="261"/>
      <c r="E41" s="224"/>
      <c r="F41" s="225" t="str">
        <f t="shared" si="2"/>
        <v/>
      </c>
      <c r="G41" s="226"/>
      <c r="H41" s="225" t="str">
        <f t="shared" si="3"/>
        <v/>
      </c>
      <c r="I41" s="226"/>
      <c r="J41" s="473"/>
      <c r="K41" s="473"/>
      <c r="L41" s="474"/>
      <c r="M41" s="475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</row>
    <row r="42" spans="1:24" ht="15" thickBot="1">
      <c r="A42" s="58" t="s">
        <v>3</v>
      </c>
      <c r="B42" s="154"/>
      <c r="C42" s="98">
        <f>SUM(C26:C41)</f>
        <v>220</v>
      </c>
      <c r="D42" s="99">
        <f>SUMPRODUCT(C26:C41,D26:D41)</f>
        <v>231700</v>
      </c>
      <c r="E42" s="99">
        <f>SUMPRODUCT(C26:C41,E26:E41)</f>
        <v>195500</v>
      </c>
      <c r="F42" s="100">
        <f>SUM(F26:F41)</f>
        <v>231700</v>
      </c>
      <c r="G42" s="100">
        <f>SUM(G26:G41)</f>
        <v>2500</v>
      </c>
      <c r="H42" s="100">
        <f>SUM(H26:H41)</f>
        <v>234200</v>
      </c>
      <c r="I42" s="100">
        <f>SUM(I26:I41)</f>
        <v>3156</v>
      </c>
      <c r="L42" s="61"/>
      <c r="M42" s="61"/>
    </row>
    <row r="43" spans="1:24" s="84" customFormat="1">
      <c r="C43" s="106"/>
      <c r="D43" s="119"/>
      <c r="E43" s="119"/>
      <c r="F43" s="84" t="s">
        <v>11</v>
      </c>
      <c r="I43" s="185"/>
      <c r="J43" s="84" t="s">
        <v>1312</v>
      </c>
      <c r="L43" s="106"/>
      <c r="M43" s="106"/>
    </row>
    <row r="44" spans="1:24" s="84" customFormat="1">
      <c r="C44" s="106"/>
      <c r="D44" s="119"/>
      <c r="E44" s="119"/>
      <c r="F44" s="84" t="s">
        <v>529</v>
      </c>
      <c r="I44" s="185"/>
      <c r="J44" s="488">
        <v>50</v>
      </c>
      <c r="K44" s="488">
        <v>50</v>
      </c>
      <c r="L44" s="488">
        <v>50</v>
      </c>
      <c r="M44" s="488">
        <v>50</v>
      </c>
      <c r="N44" s="488">
        <v>50</v>
      </c>
      <c r="O44" s="488">
        <v>50</v>
      </c>
      <c r="P44" s="488">
        <v>50</v>
      </c>
      <c r="Q44" s="488">
        <v>50</v>
      </c>
      <c r="R44" s="488">
        <v>50</v>
      </c>
      <c r="S44" s="488">
        <v>50</v>
      </c>
      <c r="T44" s="488">
        <v>50</v>
      </c>
      <c r="U44" s="488">
        <v>50</v>
      </c>
      <c r="V44" s="488">
        <v>50</v>
      </c>
      <c r="W44" s="488">
        <v>50</v>
      </c>
      <c r="X44" s="488">
        <v>50</v>
      </c>
    </row>
    <row r="45" spans="1:24">
      <c r="C45" s="106"/>
      <c r="D45" s="119"/>
      <c r="E45" s="62"/>
      <c r="F45" s="49" t="s">
        <v>530</v>
      </c>
      <c r="J45" s="488">
        <v>25</v>
      </c>
      <c r="K45" s="488">
        <v>25</v>
      </c>
      <c r="L45" s="488">
        <v>25</v>
      </c>
      <c r="M45" s="488">
        <v>25</v>
      </c>
      <c r="N45" s="488">
        <v>25</v>
      </c>
      <c r="O45" s="488">
        <v>25</v>
      </c>
      <c r="P45" s="488">
        <v>25</v>
      </c>
      <c r="Q45" s="488">
        <v>25</v>
      </c>
      <c r="R45" s="488">
        <v>25</v>
      </c>
      <c r="S45" s="488">
        <v>25</v>
      </c>
      <c r="T45" s="488">
        <v>25</v>
      </c>
      <c r="U45" s="488">
        <v>25</v>
      </c>
      <c r="V45" s="488">
        <v>25</v>
      </c>
      <c r="W45" s="488">
        <v>25</v>
      </c>
      <c r="X45" s="488">
        <v>25</v>
      </c>
    </row>
    <row r="46" spans="1:24">
      <c r="C46" s="61"/>
      <c r="D46" s="62"/>
      <c r="E46" s="62"/>
      <c r="F46" s="171">
        <v>411105</v>
      </c>
      <c r="G46" s="49" t="s">
        <v>10</v>
      </c>
      <c r="H46" s="120"/>
      <c r="I46" s="120"/>
      <c r="J46" s="332">
        <f t="shared" ref="J46:X46" si="8">SUMPRODUCT((J26:J41)*($C$26:$C$41))+$G$42</f>
        <v>234200</v>
      </c>
      <c r="K46" s="332">
        <f t="shared" si="8"/>
        <v>234200</v>
      </c>
      <c r="L46" s="332">
        <f t="shared" si="8"/>
        <v>234200</v>
      </c>
      <c r="M46" s="332">
        <f t="shared" si="8"/>
        <v>234200</v>
      </c>
      <c r="N46" s="332">
        <f t="shared" si="8"/>
        <v>234200</v>
      </c>
      <c r="O46" s="332">
        <f t="shared" si="8"/>
        <v>234200</v>
      </c>
      <c r="P46" s="332">
        <f t="shared" si="8"/>
        <v>239700</v>
      </c>
      <c r="Q46" s="332">
        <f t="shared" si="8"/>
        <v>239700</v>
      </c>
      <c r="R46" s="332">
        <f t="shared" si="8"/>
        <v>239700</v>
      </c>
      <c r="S46" s="332">
        <f t="shared" si="8"/>
        <v>239700</v>
      </c>
      <c r="T46" s="332">
        <f t="shared" si="8"/>
        <v>239700</v>
      </c>
      <c r="U46" s="332">
        <f t="shared" si="8"/>
        <v>250700</v>
      </c>
      <c r="V46" s="332">
        <f t="shared" si="8"/>
        <v>250700</v>
      </c>
      <c r="W46" s="332">
        <f t="shared" si="8"/>
        <v>250700</v>
      </c>
      <c r="X46" s="332">
        <f t="shared" si="8"/>
        <v>250700</v>
      </c>
    </row>
    <row r="47" spans="1:24">
      <c r="C47" s="61"/>
      <c r="D47" s="62"/>
      <c r="E47" s="62"/>
      <c r="F47" s="171">
        <v>411110</v>
      </c>
      <c r="G47" s="49" t="s">
        <v>172</v>
      </c>
      <c r="H47" s="84"/>
      <c r="I47" s="120"/>
      <c r="J47" s="333">
        <f>-I42</f>
        <v>-3156</v>
      </c>
      <c r="K47" s="333">
        <f>+J47+(K54*K45)+(K56*K44)+J46-K46</f>
        <v>-1606</v>
      </c>
      <c r="L47" s="334">
        <f t="shared" ref="L47:X47" si="9">+K47+(L54*L45)+(L56*L44)+K46-L46</f>
        <v>-56</v>
      </c>
      <c r="M47" s="334">
        <f t="shared" si="9"/>
        <v>1244</v>
      </c>
      <c r="N47" s="333">
        <f t="shared" si="9"/>
        <v>2544</v>
      </c>
      <c r="O47" s="333">
        <f t="shared" si="9"/>
        <v>3844</v>
      </c>
      <c r="P47" s="333">
        <f t="shared" si="9"/>
        <v>-31</v>
      </c>
      <c r="Q47" s="333">
        <f t="shared" si="9"/>
        <v>1594</v>
      </c>
      <c r="R47" s="333">
        <f t="shared" si="9"/>
        <v>3219</v>
      </c>
      <c r="S47" s="333">
        <f t="shared" si="9"/>
        <v>4769</v>
      </c>
      <c r="T47" s="333">
        <f t="shared" si="9"/>
        <v>6319</v>
      </c>
      <c r="U47" s="333">
        <f t="shared" si="9"/>
        <v>-3631</v>
      </c>
      <c r="V47" s="333">
        <f t="shared" si="9"/>
        <v>-2656</v>
      </c>
      <c r="W47" s="333">
        <f t="shared" si="9"/>
        <v>-1681</v>
      </c>
      <c r="X47" s="333">
        <f t="shared" si="9"/>
        <v>-781</v>
      </c>
    </row>
    <row r="48" spans="1:24">
      <c r="A48" s="64" t="s">
        <v>148</v>
      </c>
      <c r="B48" s="61"/>
      <c r="C48" s="61" t="s">
        <v>158</v>
      </c>
      <c r="D48" s="62"/>
      <c r="E48" s="62"/>
      <c r="F48" s="172"/>
      <c r="G48" s="49" t="s">
        <v>192</v>
      </c>
      <c r="H48" s="84"/>
      <c r="J48" s="332">
        <f>+J46+J47</f>
        <v>231044</v>
      </c>
      <c r="K48" s="332">
        <f t="shared" ref="K48:X48" si="10">+K46+K47</f>
        <v>232594</v>
      </c>
      <c r="L48" s="332">
        <f t="shared" si="10"/>
        <v>234144</v>
      </c>
      <c r="M48" s="332">
        <f t="shared" si="10"/>
        <v>235444</v>
      </c>
      <c r="N48" s="332">
        <f t="shared" si="10"/>
        <v>236744</v>
      </c>
      <c r="O48" s="332">
        <f t="shared" si="10"/>
        <v>238044</v>
      </c>
      <c r="P48" s="332">
        <f t="shared" si="10"/>
        <v>239669</v>
      </c>
      <c r="Q48" s="332">
        <f t="shared" si="10"/>
        <v>241294</v>
      </c>
      <c r="R48" s="332">
        <f t="shared" si="10"/>
        <v>242919</v>
      </c>
      <c r="S48" s="332">
        <f t="shared" si="10"/>
        <v>244469</v>
      </c>
      <c r="T48" s="332">
        <f t="shared" si="10"/>
        <v>246019</v>
      </c>
      <c r="U48" s="332">
        <f t="shared" si="10"/>
        <v>247069</v>
      </c>
      <c r="V48" s="332">
        <f t="shared" si="10"/>
        <v>248044</v>
      </c>
      <c r="W48" s="332">
        <f t="shared" si="10"/>
        <v>249019</v>
      </c>
      <c r="X48" s="332">
        <f t="shared" si="10"/>
        <v>249919</v>
      </c>
    </row>
    <row r="49" spans="1:25" ht="11.25" customHeight="1">
      <c r="A49" s="65" t="s">
        <v>195</v>
      </c>
      <c r="B49" s="65" t="s">
        <v>157</v>
      </c>
      <c r="C49" s="65" t="s">
        <v>159</v>
      </c>
      <c r="D49" s="65" t="s">
        <v>129</v>
      </c>
      <c r="E49" s="65"/>
      <c r="F49" s="171">
        <v>411240</v>
      </c>
      <c r="G49" s="49" t="s">
        <v>12</v>
      </c>
      <c r="H49" s="60"/>
      <c r="I49" s="153"/>
      <c r="J49" s="332">
        <f t="shared" ref="J49:X49" si="11">-(1-AVERAGE(J52,J58)/$B$12)*J46</f>
        <v>-11710.000000000011</v>
      </c>
      <c r="K49" s="332">
        <f t="shared" si="11"/>
        <v>-11710.000000000011</v>
      </c>
      <c r="L49" s="332">
        <f t="shared" si="11"/>
        <v>-11710.000000000011</v>
      </c>
      <c r="M49" s="332">
        <f t="shared" si="11"/>
        <v>-11710.000000000011</v>
      </c>
      <c r="N49" s="332">
        <f t="shared" si="11"/>
        <v>-11710.000000000011</v>
      </c>
      <c r="O49" s="332">
        <f t="shared" si="11"/>
        <v>-11710.000000000011</v>
      </c>
      <c r="P49" s="332">
        <f t="shared" si="11"/>
        <v>-13074.54545454546</v>
      </c>
      <c r="Q49" s="332">
        <f t="shared" si="11"/>
        <v>-14164.090909090906</v>
      </c>
      <c r="R49" s="332">
        <f t="shared" si="11"/>
        <v>-13074.54545454546</v>
      </c>
      <c r="S49" s="332">
        <f t="shared" si="11"/>
        <v>-11440.227272727274</v>
      </c>
      <c r="T49" s="332">
        <f t="shared" si="11"/>
        <v>-10350.681818181825</v>
      </c>
      <c r="U49" s="332">
        <f t="shared" si="11"/>
        <v>-11395.454545454535</v>
      </c>
      <c r="V49" s="332">
        <f t="shared" si="11"/>
        <v>-12535.000000000011</v>
      </c>
      <c r="W49" s="332">
        <f t="shared" si="11"/>
        <v>-13674.54545454546</v>
      </c>
      <c r="X49" s="332">
        <f t="shared" si="11"/>
        <v>-14814.090909090906</v>
      </c>
    </row>
    <row r="50" spans="1:25" ht="11.25" customHeight="1">
      <c r="A50" s="49" t="str">
        <f>+A2</f>
        <v>Budget Master</v>
      </c>
      <c r="B50" s="263">
        <v>0.97399999999999998</v>
      </c>
      <c r="C50" s="264">
        <v>1.1553</v>
      </c>
      <c r="D50" s="265" t="s">
        <v>687</v>
      </c>
      <c r="F50" s="38"/>
      <c r="G50" s="49" t="s">
        <v>193</v>
      </c>
      <c r="H50" s="60"/>
      <c r="I50" s="153"/>
      <c r="J50" s="486">
        <f>+J48+J49</f>
        <v>219334</v>
      </c>
      <c r="K50" s="486">
        <f t="shared" ref="K50:X50" si="12">+K48+K49</f>
        <v>220884</v>
      </c>
      <c r="L50" s="486">
        <f t="shared" si="12"/>
        <v>222434</v>
      </c>
      <c r="M50" s="486">
        <f t="shared" si="12"/>
        <v>223734</v>
      </c>
      <c r="N50" s="486">
        <f t="shared" si="12"/>
        <v>225034</v>
      </c>
      <c r="O50" s="486">
        <f t="shared" si="12"/>
        <v>226334</v>
      </c>
      <c r="P50" s="486">
        <f t="shared" si="12"/>
        <v>226594.45454545453</v>
      </c>
      <c r="Q50" s="486">
        <f t="shared" si="12"/>
        <v>227129.90909090909</v>
      </c>
      <c r="R50" s="486">
        <f t="shared" si="12"/>
        <v>229844.45454545453</v>
      </c>
      <c r="S50" s="486">
        <f t="shared" si="12"/>
        <v>233028.77272727274</v>
      </c>
      <c r="T50" s="486">
        <f t="shared" si="12"/>
        <v>235668.31818181818</v>
      </c>
      <c r="U50" s="486">
        <f t="shared" si="12"/>
        <v>235673.54545454547</v>
      </c>
      <c r="V50" s="486">
        <f t="shared" si="12"/>
        <v>235509</v>
      </c>
      <c r="W50" s="486">
        <f t="shared" si="12"/>
        <v>235344.45454545453</v>
      </c>
      <c r="X50" s="486">
        <f t="shared" si="12"/>
        <v>235104.90909090909</v>
      </c>
    </row>
    <row r="51" spans="1:25" ht="11.25" customHeight="1">
      <c r="A51" s="482"/>
      <c r="B51" s="473"/>
      <c r="C51" s="473"/>
      <c r="D51" s="473"/>
      <c r="E51" s="473"/>
      <c r="G51" s="49" t="s">
        <v>595</v>
      </c>
      <c r="J51" s="335">
        <f>+B12</f>
        <v>220</v>
      </c>
      <c r="K51" s="335">
        <f>+J51</f>
        <v>220</v>
      </c>
      <c r="L51" s="336">
        <f t="shared" ref="L51:X51" si="13">+K51</f>
        <v>220</v>
      </c>
      <c r="M51" s="337">
        <f t="shared" si="13"/>
        <v>220</v>
      </c>
      <c r="N51" s="335">
        <f t="shared" si="13"/>
        <v>220</v>
      </c>
      <c r="O51" s="335">
        <f t="shared" si="13"/>
        <v>220</v>
      </c>
      <c r="P51" s="335">
        <f t="shared" si="13"/>
        <v>220</v>
      </c>
      <c r="Q51" s="335">
        <f t="shared" si="13"/>
        <v>220</v>
      </c>
      <c r="R51" s="335">
        <f t="shared" si="13"/>
        <v>220</v>
      </c>
      <c r="S51" s="335">
        <f t="shared" si="13"/>
        <v>220</v>
      </c>
      <c r="T51" s="335">
        <f t="shared" si="13"/>
        <v>220</v>
      </c>
      <c r="U51" s="335">
        <f t="shared" si="13"/>
        <v>220</v>
      </c>
      <c r="V51" s="335">
        <f t="shared" si="13"/>
        <v>220</v>
      </c>
      <c r="W51" s="335">
        <f t="shared" si="13"/>
        <v>220</v>
      </c>
      <c r="X51" s="335">
        <f t="shared" si="13"/>
        <v>220</v>
      </c>
    </row>
    <row r="52" spans="1:25" ht="11.25" customHeight="1">
      <c r="A52" s="482"/>
      <c r="B52" s="473"/>
      <c r="C52" s="473"/>
      <c r="D52" s="473"/>
      <c r="E52" s="473"/>
      <c r="G52" s="66" t="s">
        <v>149</v>
      </c>
      <c r="I52" s="239">
        <v>0.95</v>
      </c>
      <c r="J52" s="335">
        <f>+J58</f>
        <v>209</v>
      </c>
      <c r="K52" s="335">
        <f>+J58</f>
        <v>209</v>
      </c>
      <c r="L52" s="335">
        <f t="shared" ref="L52:X52" si="14">+K58</f>
        <v>209</v>
      </c>
      <c r="M52" s="335">
        <f t="shared" si="14"/>
        <v>209</v>
      </c>
      <c r="N52" s="335">
        <f t="shared" si="14"/>
        <v>209</v>
      </c>
      <c r="O52" s="335">
        <f t="shared" si="14"/>
        <v>209</v>
      </c>
      <c r="P52" s="335">
        <f t="shared" si="14"/>
        <v>209</v>
      </c>
      <c r="Q52" s="335">
        <f t="shared" si="14"/>
        <v>207</v>
      </c>
      <c r="R52" s="335">
        <f t="shared" si="14"/>
        <v>207</v>
      </c>
      <c r="S52" s="335">
        <f t="shared" si="14"/>
        <v>209</v>
      </c>
      <c r="T52" s="335">
        <f t="shared" si="14"/>
        <v>210</v>
      </c>
      <c r="U52" s="335">
        <f t="shared" si="14"/>
        <v>211</v>
      </c>
      <c r="V52" s="335">
        <f t="shared" si="14"/>
        <v>209</v>
      </c>
      <c r="W52" s="335">
        <f t="shared" si="14"/>
        <v>209</v>
      </c>
      <c r="X52" s="335">
        <f t="shared" si="14"/>
        <v>207</v>
      </c>
    </row>
    <row r="53" spans="1:25" ht="11.25" customHeight="1">
      <c r="A53" s="482"/>
      <c r="B53" s="473"/>
      <c r="C53" s="473"/>
      <c r="D53" s="473"/>
      <c r="E53" s="473"/>
      <c r="F53" s="480" t="s">
        <v>1302</v>
      </c>
      <c r="G53" s="66" t="s">
        <v>150</v>
      </c>
      <c r="I53" s="149"/>
      <c r="J53" s="56">
        <v>20</v>
      </c>
      <c r="K53" s="56">
        <v>20</v>
      </c>
      <c r="L53" s="56">
        <v>20</v>
      </c>
      <c r="M53" s="56">
        <v>20</v>
      </c>
      <c r="N53" s="56">
        <v>20</v>
      </c>
      <c r="O53" s="56">
        <v>20</v>
      </c>
      <c r="P53" s="56">
        <v>25</v>
      </c>
      <c r="Q53" s="56">
        <v>25</v>
      </c>
      <c r="R53" s="56">
        <v>25</v>
      </c>
      <c r="S53" s="56">
        <v>20</v>
      </c>
      <c r="T53" s="56">
        <v>20</v>
      </c>
      <c r="U53" s="56">
        <v>20</v>
      </c>
      <c r="V53" s="56">
        <v>15</v>
      </c>
      <c r="W53" s="56">
        <v>15</v>
      </c>
      <c r="X53" s="56">
        <v>10</v>
      </c>
    </row>
    <row r="54" spans="1:25" ht="11.25" customHeight="1">
      <c r="A54" s="482"/>
      <c r="B54" s="473"/>
      <c r="C54" s="473"/>
      <c r="D54" s="473"/>
      <c r="E54" s="473"/>
      <c r="F54" s="487" t="s">
        <v>1308</v>
      </c>
      <c r="G54" s="66" t="s">
        <v>151</v>
      </c>
      <c r="I54" s="150"/>
      <c r="J54" s="338">
        <f>ROUND(+J53*J55,0)</f>
        <v>12</v>
      </c>
      <c r="K54" s="338">
        <f t="shared" ref="K54:X54" si="15">ROUND(+K53*K55,0)</f>
        <v>12</v>
      </c>
      <c r="L54" s="339">
        <f t="shared" si="15"/>
        <v>12</v>
      </c>
      <c r="M54" s="339">
        <f t="shared" si="15"/>
        <v>12</v>
      </c>
      <c r="N54" s="338">
        <f t="shared" si="15"/>
        <v>12</v>
      </c>
      <c r="O54" s="338">
        <f t="shared" si="15"/>
        <v>12</v>
      </c>
      <c r="P54" s="338">
        <f t="shared" si="15"/>
        <v>15</v>
      </c>
      <c r="Q54" s="338">
        <f t="shared" si="15"/>
        <v>15</v>
      </c>
      <c r="R54" s="338">
        <f t="shared" si="15"/>
        <v>15</v>
      </c>
      <c r="S54" s="338">
        <f t="shared" si="15"/>
        <v>12</v>
      </c>
      <c r="T54" s="338">
        <f t="shared" si="15"/>
        <v>12</v>
      </c>
      <c r="U54" s="338">
        <f t="shared" si="15"/>
        <v>12</v>
      </c>
      <c r="V54" s="338">
        <f t="shared" si="15"/>
        <v>9</v>
      </c>
      <c r="W54" s="338">
        <f t="shared" si="15"/>
        <v>9</v>
      </c>
      <c r="X54" s="338">
        <f t="shared" si="15"/>
        <v>6</v>
      </c>
    </row>
    <row r="55" spans="1:25" ht="11.25" customHeight="1">
      <c r="A55" s="482"/>
      <c r="B55" s="473"/>
      <c r="C55" s="473"/>
      <c r="D55" s="473"/>
      <c r="E55" s="473"/>
      <c r="F55" s="235">
        <v>20</v>
      </c>
      <c r="G55" s="66" t="s">
        <v>154</v>
      </c>
      <c r="I55" s="494">
        <v>0.6</v>
      </c>
      <c r="J55" s="477">
        <f>+I55</f>
        <v>0.6</v>
      </c>
      <c r="K55" s="477">
        <f t="shared" ref="K55:X55" si="16">+J55</f>
        <v>0.6</v>
      </c>
      <c r="L55" s="477">
        <f t="shared" si="16"/>
        <v>0.6</v>
      </c>
      <c r="M55" s="477">
        <f t="shared" si="16"/>
        <v>0.6</v>
      </c>
      <c r="N55" s="477">
        <f t="shared" si="16"/>
        <v>0.6</v>
      </c>
      <c r="O55" s="477">
        <f t="shared" si="16"/>
        <v>0.6</v>
      </c>
      <c r="P55" s="477">
        <f t="shared" si="16"/>
        <v>0.6</v>
      </c>
      <c r="Q55" s="477">
        <f t="shared" si="16"/>
        <v>0.6</v>
      </c>
      <c r="R55" s="477">
        <f t="shared" si="16"/>
        <v>0.6</v>
      </c>
      <c r="S55" s="477">
        <f t="shared" si="16"/>
        <v>0.6</v>
      </c>
      <c r="T55" s="477">
        <f t="shared" si="16"/>
        <v>0.6</v>
      </c>
      <c r="U55" s="477">
        <f t="shared" si="16"/>
        <v>0.6</v>
      </c>
      <c r="V55" s="477">
        <f t="shared" si="16"/>
        <v>0.6</v>
      </c>
      <c r="W55" s="477">
        <f t="shared" si="16"/>
        <v>0.6</v>
      </c>
      <c r="X55" s="477">
        <f t="shared" si="16"/>
        <v>0.6</v>
      </c>
    </row>
    <row r="56" spans="1:25" ht="11.25" customHeight="1">
      <c r="A56" s="57"/>
      <c r="B56" s="57"/>
      <c r="C56" s="57"/>
      <c r="D56" s="57"/>
      <c r="E56" s="57"/>
      <c r="G56" s="66" t="s">
        <v>152</v>
      </c>
      <c r="I56" s="67"/>
      <c r="J56" s="483">
        <v>15</v>
      </c>
      <c r="K56" s="483">
        <v>25</v>
      </c>
      <c r="L56" s="483">
        <v>25</v>
      </c>
      <c r="M56" s="483">
        <v>20</v>
      </c>
      <c r="N56" s="483">
        <v>20</v>
      </c>
      <c r="O56" s="483">
        <v>20</v>
      </c>
      <c r="P56" s="483">
        <v>25</v>
      </c>
      <c r="Q56" s="483">
        <v>25</v>
      </c>
      <c r="R56" s="483">
        <v>25</v>
      </c>
      <c r="S56" s="483">
        <v>25</v>
      </c>
      <c r="T56" s="483">
        <v>25</v>
      </c>
      <c r="U56" s="483">
        <v>15</v>
      </c>
      <c r="V56" s="483">
        <v>15</v>
      </c>
      <c r="W56" s="483">
        <v>15</v>
      </c>
      <c r="X56" s="483">
        <v>15</v>
      </c>
    </row>
    <row r="57" spans="1:25">
      <c r="A57" s="244" t="s">
        <v>1303</v>
      </c>
      <c r="B57" s="93"/>
      <c r="C57" s="93"/>
      <c r="D57" s="245"/>
      <c r="E57" s="245"/>
      <c r="G57" s="66" t="s">
        <v>155</v>
      </c>
      <c r="I57" s="67"/>
      <c r="J57" s="493">
        <f>+J52-J53+J54+J56-J58</f>
        <v>7</v>
      </c>
      <c r="K57" s="493">
        <f t="shared" ref="K57:X57" si="17">+K52-K53+K54+K56-K58</f>
        <v>17</v>
      </c>
      <c r="L57" s="493">
        <f t="shared" si="17"/>
        <v>17</v>
      </c>
      <c r="M57" s="493">
        <f t="shared" si="17"/>
        <v>12</v>
      </c>
      <c r="N57" s="493">
        <f t="shared" si="17"/>
        <v>12</v>
      </c>
      <c r="O57" s="493">
        <f t="shared" si="17"/>
        <v>12</v>
      </c>
      <c r="P57" s="493">
        <f t="shared" si="17"/>
        <v>17</v>
      </c>
      <c r="Q57" s="493">
        <f t="shared" si="17"/>
        <v>15</v>
      </c>
      <c r="R57" s="493">
        <f t="shared" si="17"/>
        <v>13</v>
      </c>
      <c r="S57" s="493">
        <f t="shared" si="17"/>
        <v>16</v>
      </c>
      <c r="T57" s="493">
        <f t="shared" si="17"/>
        <v>16</v>
      </c>
      <c r="U57" s="493">
        <f t="shared" si="17"/>
        <v>9</v>
      </c>
      <c r="V57" s="493">
        <f t="shared" si="17"/>
        <v>9</v>
      </c>
      <c r="W57" s="493">
        <f t="shared" si="17"/>
        <v>11</v>
      </c>
      <c r="X57" s="493">
        <f t="shared" si="17"/>
        <v>11</v>
      </c>
    </row>
    <row r="58" spans="1:25">
      <c r="A58" s="473"/>
      <c r="B58" s="473"/>
      <c r="C58" s="473"/>
      <c r="D58" s="473"/>
      <c r="E58" s="473"/>
      <c r="G58" s="66" t="s">
        <v>153</v>
      </c>
      <c r="I58" s="67"/>
      <c r="J58" s="340">
        <f>ROUND(+J59*$B$12,0)</f>
        <v>209</v>
      </c>
      <c r="K58" s="340">
        <f t="shared" ref="K58:X58" si="18">ROUND(+K59*$B$12,0)</f>
        <v>209</v>
      </c>
      <c r="L58" s="341">
        <f t="shared" si="18"/>
        <v>209</v>
      </c>
      <c r="M58" s="341">
        <f t="shared" si="18"/>
        <v>209</v>
      </c>
      <c r="N58" s="340">
        <f t="shared" si="18"/>
        <v>209</v>
      </c>
      <c r="O58" s="340">
        <f t="shared" si="18"/>
        <v>209</v>
      </c>
      <c r="P58" s="340">
        <f t="shared" si="18"/>
        <v>207</v>
      </c>
      <c r="Q58" s="340">
        <f t="shared" si="18"/>
        <v>207</v>
      </c>
      <c r="R58" s="340">
        <f t="shared" si="18"/>
        <v>209</v>
      </c>
      <c r="S58" s="340">
        <f t="shared" si="18"/>
        <v>210</v>
      </c>
      <c r="T58" s="340">
        <f t="shared" si="18"/>
        <v>211</v>
      </c>
      <c r="U58" s="340">
        <f t="shared" si="18"/>
        <v>209</v>
      </c>
      <c r="V58" s="340">
        <f t="shared" si="18"/>
        <v>209</v>
      </c>
      <c r="W58" s="340">
        <f t="shared" si="18"/>
        <v>207</v>
      </c>
      <c r="X58" s="340">
        <f t="shared" si="18"/>
        <v>207</v>
      </c>
    </row>
    <row r="59" spans="1:25">
      <c r="A59" s="473"/>
      <c r="B59" s="473"/>
      <c r="C59" s="473"/>
      <c r="D59" s="473"/>
      <c r="E59" s="473"/>
      <c r="G59" s="49" t="s">
        <v>156</v>
      </c>
      <c r="J59" s="477">
        <v>0.95</v>
      </c>
      <c r="K59" s="477">
        <v>0.95</v>
      </c>
      <c r="L59" s="477">
        <v>0.95</v>
      </c>
      <c r="M59" s="477">
        <v>0.95</v>
      </c>
      <c r="N59" s="477">
        <v>0.95</v>
      </c>
      <c r="O59" s="477">
        <v>0.95</v>
      </c>
      <c r="P59" s="477">
        <v>0.94</v>
      </c>
      <c r="Q59" s="477">
        <v>0.94</v>
      </c>
      <c r="R59" s="477">
        <v>0.95</v>
      </c>
      <c r="S59" s="477">
        <v>0.95499999999999996</v>
      </c>
      <c r="T59" s="477">
        <v>0.96</v>
      </c>
      <c r="U59" s="477">
        <v>0.95</v>
      </c>
      <c r="V59" s="477">
        <v>0.95</v>
      </c>
      <c r="W59" s="477">
        <v>0.94</v>
      </c>
      <c r="X59" s="477">
        <v>0.94</v>
      </c>
    </row>
    <row r="60" spans="1:25">
      <c r="A60" s="57"/>
      <c r="B60" s="57"/>
      <c r="C60" s="57"/>
      <c r="D60" s="57"/>
      <c r="E60" s="57"/>
      <c r="F60" s="63"/>
      <c r="G60" s="51" t="s">
        <v>129</v>
      </c>
      <c r="H60" s="60"/>
      <c r="I60" s="60"/>
      <c r="J60" s="59"/>
      <c r="K60" s="59"/>
      <c r="L60" s="256"/>
      <c r="M60" s="256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5">
      <c r="A61" s="246" t="s">
        <v>542</v>
      </c>
      <c r="B61" s="247" t="s">
        <v>126</v>
      </c>
      <c r="C61" s="247" t="s">
        <v>127</v>
      </c>
      <c r="D61" s="247" t="s">
        <v>128</v>
      </c>
      <c r="E61" s="57"/>
      <c r="F61" s="63"/>
      <c r="G61" s="61" t="s">
        <v>160</v>
      </c>
      <c r="H61" s="60"/>
      <c r="I61" s="60"/>
      <c r="J61" s="478">
        <v>0</v>
      </c>
      <c r="K61" s="478">
        <v>0</v>
      </c>
      <c r="L61" s="478">
        <v>0</v>
      </c>
      <c r="M61" s="478">
        <v>0</v>
      </c>
      <c r="N61" s="478">
        <v>0</v>
      </c>
      <c r="O61" s="478">
        <v>0</v>
      </c>
      <c r="P61" s="478">
        <v>0</v>
      </c>
      <c r="Q61" s="478">
        <v>0</v>
      </c>
      <c r="R61" s="478">
        <v>0</v>
      </c>
      <c r="S61" s="478">
        <v>0</v>
      </c>
      <c r="T61" s="478">
        <v>0</v>
      </c>
      <c r="U61" s="478">
        <v>0</v>
      </c>
      <c r="V61" s="478">
        <v>0</v>
      </c>
      <c r="W61" s="478">
        <v>0</v>
      </c>
      <c r="X61" s="478">
        <v>0</v>
      </c>
      <c r="Y61" s="84"/>
    </row>
    <row r="62" spans="1:25">
      <c r="A62" s="473" t="s">
        <v>686</v>
      </c>
      <c r="B62" s="483"/>
      <c r="C62" s="473"/>
      <c r="D62" s="473"/>
      <c r="E62" s="173" t="s">
        <v>705</v>
      </c>
      <c r="F62" s="63"/>
      <c r="G62" s="61" t="s">
        <v>147</v>
      </c>
      <c r="H62" s="60"/>
      <c r="I62" s="60"/>
      <c r="J62" s="478">
        <f>+J56*100</f>
        <v>1500</v>
      </c>
      <c r="K62" s="478">
        <f t="shared" ref="K62:X62" si="19">+K56*100</f>
        <v>2500</v>
      </c>
      <c r="L62" s="478">
        <f t="shared" si="19"/>
        <v>2500</v>
      </c>
      <c r="M62" s="478">
        <f t="shared" si="19"/>
        <v>2000</v>
      </c>
      <c r="N62" s="478">
        <f t="shared" si="19"/>
        <v>2000</v>
      </c>
      <c r="O62" s="478">
        <f t="shared" si="19"/>
        <v>2000</v>
      </c>
      <c r="P62" s="478">
        <f t="shared" si="19"/>
        <v>2500</v>
      </c>
      <c r="Q62" s="478">
        <f t="shared" si="19"/>
        <v>2500</v>
      </c>
      <c r="R62" s="478">
        <f t="shared" si="19"/>
        <v>2500</v>
      </c>
      <c r="S62" s="478">
        <f t="shared" si="19"/>
        <v>2500</v>
      </c>
      <c r="T62" s="478">
        <f t="shared" si="19"/>
        <v>2500</v>
      </c>
      <c r="U62" s="478">
        <f t="shared" si="19"/>
        <v>1500</v>
      </c>
      <c r="V62" s="478">
        <f t="shared" si="19"/>
        <v>1500</v>
      </c>
      <c r="W62" s="478">
        <f t="shared" si="19"/>
        <v>1500</v>
      </c>
      <c r="X62" s="478">
        <f t="shared" si="19"/>
        <v>1500</v>
      </c>
      <c r="Y62" s="84"/>
    </row>
    <row r="63" spans="1:25">
      <c r="A63" s="473" t="s">
        <v>686</v>
      </c>
      <c r="B63" s="483"/>
      <c r="C63" s="473"/>
      <c r="D63" s="473"/>
      <c r="E63" s="173" t="s">
        <v>706</v>
      </c>
      <c r="F63" s="63"/>
      <c r="G63" s="173" t="s">
        <v>543</v>
      </c>
      <c r="H63" s="280" t="s">
        <v>1301</v>
      </c>
      <c r="I63" s="60"/>
      <c r="J63" s="479">
        <f t="shared" ref="J63:L63" si="20">+J61+J62</f>
        <v>1500</v>
      </c>
      <c r="K63" s="479">
        <f t="shared" si="20"/>
        <v>2500</v>
      </c>
      <c r="L63" s="479">
        <f t="shared" si="20"/>
        <v>2500</v>
      </c>
      <c r="M63" s="479">
        <f t="shared" ref="M63:X63" si="21">+M61+M62</f>
        <v>2000</v>
      </c>
      <c r="N63" s="479">
        <f t="shared" si="21"/>
        <v>2000</v>
      </c>
      <c r="O63" s="479">
        <f t="shared" si="21"/>
        <v>2000</v>
      </c>
      <c r="P63" s="479">
        <f t="shared" si="21"/>
        <v>2500</v>
      </c>
      <c r="Q63" s="479">
        <f t="shared" si="21"/>
        <v>2500</v>
      </c>
      <c r="R63" s="479">
        <f t="shared" si="21"/>
        <v>2500</v>
      </c>
      <c r="S63" s="479">
        <f t="shared" si="21"/>
        <v>2500</v>
      </c>
      <c r="T63" s="479">
        <f t="shared" si="21"/>
        <v>2500</v>
      </c>
      <c r="U63" s="479">
        <f t="shared" si="21"/>
        <v>1500</v>
      </c>
      <c r="V63" s="479">
        <f t="shared" si="21"/>
        <v>1500</v>
      </c>
      <c r="W63" s="479">
        <f t="shared" si="21"/>
        <v>1500</v>
      </c>
      <c r="X63" s="479">
        <f t="shared" si="21"/>
        <v>1500</v>
      </c>
    </row>
    <row r="64" spans="1:25">
      <c r="A64" s="473"/>
      <c r="B64" s="483"/>
      <c r="C64" s="473"/>
      <c r="D64" s="473"/>
      <c r="E64" s="173" t="s">
        <v>707</v>
      </c>
      <c r="F64" s="63"/>
      <c r="G64" s="60"/>
      <c r="H64" s="60"/>
      <c r="I64" s="60"/>
      <c r="J64" s="256"/>
      <c r="K64" s="256"/>
      <c r="L64" s="256"/>
      <c r="M64" s="256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5">
      <c r="A65" s="473"/>
      <c r="B65" s="483"/>
      <c r="C65" s="473"/>
      <c r="D65" s="473"/>
      <c r="E65" s="245"/>
      <c r="F65" s="63"/>
      <c r="G65" s="485" t="s">
        <v>1307</v>
      </c>
      <c r="H65" s="266"/>
      <c r="I65" s="267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84"/>
    </row>
    <row r="66" spans="1:25">
      <c r="A66" s="173" t="s">
        <v>519</v>
      </c>
      <c r="B66" s="66"/>
      <c r="C66" s="66"/>
      <c r="D66" s="484">
        <f>SUM(D61:D65)</f>
        <v>0</v>
      </c>
      <c r="E66" s="66"/>
      <c r="F66" s="66"/>
      <c r="G66" s="280" t="s">
        <v>1304</v>
      </c>
      <c r="H66" s="120"/>
      <c r="I66" s="267"/>
      <c r="J66" s="56">
        <v>18</v>
      </c>
      <c r="K66" s="56">
        <v>18</v>
      </c>
      <c r="L66" s="56">
        <v>18</v>
      </c>
      <c r="M66" s="56">
        <v>18</v>
      </c>
      <c r="N66" s="56">
        <v>17</v>
      </c>
      <c r="O66" s="56">
        <v>22</v>
      </c>
      <c r="P66" s="56">
        <v>14</v>
      </c>
      <c r="Q66" s="56">
        <v>6</v>
      </c>
      <c r="R66" s="56">
        <v>17</v>
      </c>
      <c r="S66" s="56">
        <v>28</v>
      </c>
      <c r="T66" s="56">
        <v>8</v>
      </c>
      <c r="U66" s="56">
        <v>11</v>
      </c>
      <c r="V66" s="56">
        <v>8</v>
      </c>
      <c r="W66" s="56">
        <v>3</v>
      </c>
      <c r="X66" s="56">
        <v>0</v>
      </c>
      <c r="Y66" s="84"/>
    </row>
    <row r="67" spans="1:25">
      <c r="E67" s="75"/>
      <c r="F67" s="66"/>
      <c r="G67" s="280" t="s">
        <v>1305</v>
      </c>
      <c r="H67" s="266"/>
      <c r="I67" s="267"/>
      <c r="J67" s="255">
        <v>22</v>
      </c>
      <c r="K67" s="255">
        <v>22</v>
      </c>
      <c r="L67" s="255">
        <v>22</v>
      </c>
      <c r="M67" s="255">
        <v>22</v>
      </c>
      <c r="N67" s="56">
        <v>13</v>
      </c>
      <c r="O67" s="56">
        <v>23</v>
      </c>
      <c r="P67" s="56">
        <v>11</v>
      </c>
      <c r="Q67" s="56">
        <v>11</v>
      </c>
      <c r="R67" s="56">
        <v>11</v>
      </c>
      <c r="S67" s="56">
        <v>37</v>
      </c>
      <c r="T67" s="56">
        <v>4</v>
      </c>
      <c r="U67" s="56">
        <v>7</v>
      </c>
      <c r="V67" s="56">
        <v>9</v>
      </c>
      <c r="W67" s="56">
        <v>1</v>
      </c>
      <c r="X67" s="56">
        <v>0</v>
      </c>
      <c r="Y67" s="84"/>
    </row>
    <row r="68" spans="1:25">
      <c r="E68" s="75"/>
      <c r="F68" s="66"/>
      <c r="G68" s="280" t="s">
        <v>1306</v>
      </c>
      <c r="H68" s="120"/>
      <c r="I68" s="267"/>
      <c r="J68" s="331">
        <f t="shared" ref="J68:L68" si="22">+J53</f>
        <v>20</v>
      </c>
      <c r="K68" s="331">
        <f t="shared" si="22"/>
        <v>20</v>
      </c>
      <c r="L68" s="331">
        <f t="shared" si="22"/>
        <v>20</v>
      </c>
      <c r="M68" s="331">
        <f>+M53</f>
        <v>20</v>
      </c>
      <c r="N68" s="331">
        <f t="shared" ref="N68:X68" si="23">+N53</f>
        <v>20</v>
      </c>
      <c r="O68" s="331">
        <f t="shared" si="23"/>
        <v>20</v>
      </c>
      <c r="P68" s="331">
        <f t="shared" si="23"/>
        <v>25</v>
      </c>
      <c r="Q68" s="331">
        <f t="shared" si="23"/>
        <v>25</v>
      </c>
      <c r="R68" s="331">
        <f t="shared" si="23"/>
        <v>25</v>
      </c>
      <c r="S68" s="331">
        <f t="shared" si="23"/>
        <v>20</v>
      </c>
      <c r="T68" s="331">
        <f t="shared" si="23"/>
        <v>20</v>
      </c>
      <c r="U68" s="331">
        <f t="shared" si="23"/>
        <v>20</v>
      </c>
      <c r="V68" s="331">
        <f t="shared" si="23"/>
        <v>15</v>
      </c>
      <c r="W68" s="331">
        <f t="shared" si="23"/>
        <v>15</v>
      </c>
      <c r="X68" s="331">
        <f t="shared" si="23"/>
        <v>10</v>
      </c>
      <c r="Y68" s="84"/>
    </row>
    <row r="69" spans="1:25">
      <c r="E69" s="66"/>
      <c r="F69" s="66"/>
      <c r="G69" s="60"/>
      <c r="H69" s="60"/>
      <c r="I69" s="60"/>
      <c r="J69" s="60"/>
      <c r="K69" s="60"/>
      <c r="L69" s="60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5">
      <c r="E70" s="66"/>
      <c r="F70" s="66"/>
      <c r="G70" s="60"/>
      <c r="H70" s="60"/>
      <c r="I70" s="60"/>
      <c r="J70" s="60"/>
      <c r="K70" s="60"/>
      <c r="L70" s="60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5">
      <c r="E71" s="198"/>
      <c r="F71" s="63"/>
      <c r="G71" s="60"/>
      <c r="H71" s="60"/>
    </row>
    <row r="72" spans="1:25" ht="15" thickBot="1">
      <c r="A72" s="66" t="s">
        <v>102</v>
      </c>
      <c r="B72" s="66"/>
      <c r="C72" s="68">
        <f>COUNT(E74:E93)/B12*100</f>
        <v>2.7272727272727271</v>
      </c>
      <c r="D72" s="66"/>
      <c r="E72" s="197"/>
      <c r="F72" s="66"/>
      <c r="G72" s="69"/>
      <c r="H72" s="70"/>
      <c r="I72" s="70"/>
      <c r="J72" s="71" t="s">
        <v>123</v>
      </c>
      <c r="K72" s="67"/>
      <c r="L72" s="70"/>
      <c r="M72" s="70"/>
      <c r="N72" s="72" t="s">
        <v>98</v>
      </c>
      <c r="O72" s="70"/>
      <c r="P72" s="70"/>
      <c r="Q72" s="70"/>
      <c r="R72" s="70"/>
      <c r="S72" s="70"/>
      <c r="T72" s="330" t="s">
        <v>1253</v>
      </c>
      <c r="U72" s="70"/>
      <c r="V72" s="70"/>
    </row>
    <row r="73" spans="1:25" ht="15" thickBot="1">
      <c r="A73" s="227" t="s">
        <v>43</v>
      </c>
      <c r="B73" s="228" t="s">
        <v>45</v>
      </c>
      <c r="C73" s="73" t="s">
        <v>522</v>
      </c>
      <c r="D73" s="229" t="s">
        <v>46</v>
      </c>
      <c r="E73" s="229" t="s">
        <v>93</v>
      </c>
      <c r="F73" s="230" t="s">
        <v>95</v>
      </c>
      <c r="G73" s="230" t="s">
        <v>94</v>
      </c>
      <c r="H73" s="231" t="s">
        <v>92</v>
      </c>
      <c r="I73" s="231" t="s">
        <v>174</v>
      </c>
      <c r="J73" s="231" t="s">
        <v>44</v>
      </c>
      <c r="K73" s="231" t="s">
        <v>47</v>
      </c>
      <c r="L73" s="231" t="s">
        <v>48</v>
      </c>
      <c r="M73" s="231" t="s">
        <v>161</v>
      </c>
      <c r="N73" s="231" t="s">
        <v>45</v>
      </c>
      <c r="O73" s="231"/>
      <c r="P73" s="231" t="s">
        <v>101</v>
      </c>
      <c r="Q73" s="231" t="s">
        <v>99</v>
      </c>
      <c r="R73" s="231" t="s">
        <v>100</v>
      </c>
    </row>
    <row r="74" spans="1:25" ht="12.75" customHeight="1" thickBot="1">
      <c r="A74" s="232"/>
      <c r="B74" s="52"/>
      <c r="C74" s="239"/>
      <c r="D74" s="52"/>
      <c r="E74" s="233"/>
      <c r="F74" s="234"/>
      <c r="G74" s="240"/>
      <c r="H74" s="235"/>
      <c r="I74" s="366"/>
      <c r="J74" s="473"/>
      <c r="K74" s="473"/>
      <c r="L74" s="473"/>
      <c r="M74" s="248">
        <f t="shared" ref="M74:M75" si="24">+K74*L74</f>
        <v>0</v>
      </c>
      <c r="N74" s="473"/>
      <c r="O74" s="473"/>
      <c r="P74" s="473"/>
      <c r="Q74" s="473"/>
      <c r="R74" s="473"/>
      <c r="T74" s="348" t="s">
        <v>668</v>
      </c>
      <c r="U74" s="348" t="s">
        <v>39</v>
      </c>
      <c r="V74" s="349" t="s">
        <v>660</v>
      </c>
      <c r="W74" s="356" t="s">
        <v>667</v>
      </c>
    </row>
    <row r="75" spans="1:25" ht="12.75" customHeight="1" thickBot="1">
      <c r="A75" s="52">
        <v>513110</v>
      </c>
      <c r="B75" s="52" t="s">
        <v>1290</v>
      </c>
      <c r="C75" s="239">
        <v>2.5000000000000001E-2</v>
      </c>
      <c r="D75" s="52" t="s">
        <v>610</v>
      </c>
      <c r="E75" s="233">
        <v>25</v>
      </c>
      <c r="F75" s="234">
        <v>40</v>
      </c>
      <c r="G75" s="502">
        <f>ROUND((IF(E75&lt;100,+F75*E75*4.3333,+E75))*IF(C75&lt;0.1,(1+C75),IF(E75=0,0,1+(C75/E75))),-1)</f>
        <v>4440</v>
      </c>
      <c r="H75" s="279">
        <v>200</v>
      </c>
      <c r="I75" s="367">
        <f>IF(G75=0,0,SUMPRODUCT(($B$19=$U$79:$U$97)*(A$75=$T$79:$T$97),($W$79:$W$97)))</f>
        <v>1.62</v>
      </c>
      <c r="J75" s="473"/>
      <c r="K75" s="473"/>
      <c r="L75" s="473"/>
      <c r="M75" s="248">
        <f t="shared" si="24"/>
        <v>0</v>
      </c>
      <c r="N75" s="473"/>
      <c r="O75" s="473"/>
      <c r="P75" s="473"/>
      <c r="Q75" s="473"/>
      <c r="R75" s="473"/>
      <c r="T75" s="350" t="s">
        <v>669</v>
      </c>
      <c r="U75" s="350"/>
      <c r="V75" s="351" t="s">
        <v>661</v>
      </c>
      <c r="W75" s="356"/>
    </row>
    <row r="76" spans="1:25" ht="12.75" customHeight="1">
      <c r="A76" s="232">
        <v>513112</v>
      </c>
      <c r="B76" s="52" t="s">
        <v>1291</v>
      </c>
      <c r="C76" s="239">
        <v>2.5000000000000001E-2</v>
      </c>
      <c r="D76" s="52" t="s">
        <v>681</v>
      </c>
      <c r="E76" s="233">
        <v>15</v>
      </c>
      <c r="F76" s="234">
        <v>40</v>
      </c>
      <c r="G76" s="502">
        <f t="shared" ref="G76:G95" si="25">ROUND((IF(E76&lt;100,+F76*E76*4.3333,+E76))*IF(C76&lt;0.1,(1+C76),IF(E76=0,0,1+(C76/E76))),-1)</f>
        <v>2660</v>
      </c>
      <c r="H76" s="279">
        <v>200</v>
      </c>
      <c r="I76" s="367">
        <f>IF(G76=0,0,SUMPRODUCT(($B$19=$U$79:$U$97)*(A$75=$T$79:$T$97),($W$79:$W$97)))</f>
        <v>1.62</v>
      </c>
      <c r="J76" s="473"/>
      <c r="K76" s="473"/>
      <c r="L76" s="473"/>
      <c r="M76" s="248">
        <f t="shared" ref="M76:M85" si="26">+K76*L76</f>
        <v>0</v>
      </c>
      <c r="N76" s="473"/>
      <c r="O76" s="473"/>
      <c r="P76" s="473"/>
      <c r="Q76" s="473"/>
      <c r="R76" s="473"/>
      <c r="T76" s="352"/>
      <c r="U76" s="352"/>
      <c r="V76" s="352"/>
      <c r="W76" s="357"/>
    </row>
    <row r="77" spans="1:25" ht="12.75" customHeight="1">
      <c r="A77" s="232">
        <v>513135</v>
      </c>
      <c r="B77" s="52" t="s">
        <v>1292</v>
      </c>
      <c r="C77" s="239">
        <v>2.5000000000000001E-2</v>
      </c>
      <c r="D77" s="52" t="s">
        <v>713</v>
      </c>
      <c r="E77" s="233">
        <v>20</v>
      </c>
      <c r="F77" s="234">
        <v>40</v>
      </c>
      <c r="G77" s="502">
        <f t="shared" si="25"/>
        <v>3550</v>
      </c>
      <c r="H77" s="279">
        <v>200</v>
      </c>
      <c r="I77" s="367">
        <f t="shared" ref="I77:I95" si="27">IF(G77=0,0,SUMPRODUCT(($B$19=$U$79:$U$97)*(A$77=$T$79:$T$97),($W$79:$W$97)))</f>
        <v>4</v>
      </c>
      <c r="J77" s="473"/>
      <c r="K77" s="473"/>
      <c r="L77" s="473"/>
      <c r="M77" s="248">
        <f t="shared" si="26"/>
        <v>0</v>
      </c>
      <c r="N77" s="473"/>
      <c r="O77" s="473"/>
      <c r="P77" s="473"/>
      <c r="Q77" s="473"/>
      <c r="R77" s="473"/>
      <c r="T77" s="353"/>
      <c r="U77" s="353" t="s">
        <v>662</v>
      </c>
      <c r="V77" s="354"/>
      <c r="W77" s="354" t="s">
        <v>1252</v>
      </c>
    </row>
    <row r="78" spans="1:25" ht="12.75" customHeight="1">
      <c r="A78" s="232">
        <v>513137</v>
      </c>
      <c r="B78" s="52" t="s">
        <v>1293</v>
      </c>
      <c r="C78" s="239">
        <v>2.5000000000000001E-2</v>
      </c>
      <c r="D78" s="52" t="s">
        <v>714</v>
      </c>
      <c r="E78" s="233">
        <v>18</v>
      </c>
      <c r="F78" s="234">
        <v>40</v>
      </c>
      <c r="G78" s="502">
        <f t="shared" si="25"/>
        <v>3200</v>
      </c>
      <c r="H78" s="279">
        <v>200</v>
      </c>
      <c r="I78" s="367">
        <f t="shared" si="27"/>
        <v>4</v>
      </c>
      <c r="J78" s="473"/>
      <c r="K78" s="473"/>
      <c r="L78" s="473"/>
      <c r="M78" s="248">
        <f t="shared" si="26"/>
        <v>0</v>
      </c>
      <c r="N78" s="473"/>
      <c r="O78" s="473"/>
      <c r="P78" s="473"/>
      <c r="Q78" s="473"/>
      <c r="R78" s="473"/>
      <c r="T78" s="354"/>
      <c r="U78" s="354"/>
      <c r="V78" s="355"/>
      <c r="W78" s="358"/>
    </row>
    <row r="79" spans="1:25" ht="12.75" customHeight="1">
      <c r="A79" s="232">
        <v>513138</v>
      </c>
      <c r="B79" s="52" t="s">
        <v>1294</v>
      </c>
      <c r="C79" s="239">
        <v>2.5000000000000001E-2</v>
      </c>
      <c r="D79" s="52" t="s">
        <v>1272</v>
      </c>
      <c r="E79" s="233">
        <v>16</v>
      </c>
      <c r="F79" s="234">
        <v>40</v>
      </c>
      <c r="G79" s="502">
        <f t="shared" si="25"/>
        <v>2840</v>
      </c>
      <c r="H79" s="279">
        <v>200</v>
      </c>
      <c r="I79" s="367">
        <f t="shared" si="27"/>
        <v>4</v>
      </c>
      <c r="J79" s="473"/>
      <c r="K79" s="473"/>
      <c r="L79" s="473"/>
      <c r="M79" s="248">
        <f t="shared" si="26"/>
        <v>0</v>
      </c>
      <c r="N79" s="473"/>
      <c r="O79" s="473"/>
      <c r="P79" s="473"/>
      <c r="Q79" s="473"/>
      <c r="R79" s="473"/>
      <c r="T79" s="354">
        <v>513110</v>
      </c>
      <c r="U79" s="354" t="s">
        <v>663</v>
      </c>
      <c r="V79" s="355">
        <v>9012</v>
      </c>
      <c r="W79" s="359">
        <v>1.61</v>
      </c>
    </row>
    <row r="80" spans="1:25" ht="12.75" customHeight="1">
      <c r="A80" s="232">
        <v>513138</v>
      </c>
      <c r="B80" s="52" t="s">
        <v>1295</v>
      </c>
      <c r="C80" s="239">
        <v>2.5000000000000001E-2</v>
      </c>
      <c r="D80" s="52" t="s">
        <v>715</v>
      </c>
      <c r="E80" s="233">
        <v>12</v>
      </c>
      <c r="F80" s="234">
        <v>40</v>
      </c>
      <c r="G80" s="502">
        <f t="shared" si="25"/>
        <v>2130</v>
      </c>
      <c r="H80" s="279">
        <v>0</v>
      </c>
      <c r="I80" s="367">
        <f t="shared" si="27"/>
        <v>4</v>
      </c>
      <c r="J80" s="473"/>
      <c r="K80" s="473"/>
      <c r="L80" s="473"/>
      <c r="M80" s="248">
        <f t="shared" si="26"/>
        <v>0</v>
      </c>
      <c r="N80" s="473"/>
      <c r="O80" s="473"/>
      <c r="P80" s="473"/>
      <c r="Q80" s="473"/>
      <c r="R80" s="473"/>
      <c r="T80" s="354">
        <v>513135</v>
      </c>
      <c r="U80" s="354" t="s">
        <v>663</v>
      </c>
      <c r="V80" s="355">
        <v>9015</v>
      </c>
      <c r="W80" s="359">
        <v>5.07</v>
      </c>
    </row>
    <row r="81" spans="1:23" ht="12.75" customHeight="1">
      <c r="A81" s="232"/>
      <c r="B81" s="52"/>
      <c r="C81" s="239"/>
      <c r="D81" s="52"/>
      <c r="E81" s="233"/>
      <c r="F81" s="234"/>
      <c r="G81" s="502">
        <f t="shared" si="25"/>
        <v>0</v>
      </c>
      <c r="H81" s="279"/>
      <c r="I81" s="367">
        <f t="shared" si="27"/>
        <v>0</v>
      </c>
      <c r="J81" s="473"/>
      <c r="K81" s="473"/>
      <c r="L81" s="473"/>
      <c r="M81" s="248">
        <f t="shared" si="26"/>
        <v>0</v>
      </c>
      <c r="N81" s="473"/>
      <c r="O81" s="473"/>
      <c r="P81" s="473"/>
      <c r="Q81" s="473"/>
      <c r="R81" s="473"/>
      <c r="T81" s="354"/>
      <c r="U81" s="354"/>
      <c r="V81" s="355"/>
      <c r="W81" s="358"/>
    </row>
    <row r="82" spans="1:23" ht="12.75" customHeight="1">
      <c r="A82" s="232"/>
      <c r="B82" s="52"/>
      <c r="C82" s="239"/>
      <c r="D82" s="52"/>
      <c r="E82" s="233"/>
      <c r="F82" s="234"/>
      <c r="G82" s="502">
        <f t="shared" si="25"/>
        <v>0</v>
      </c>
      <c r="H82" s="279"/>
      <c r="I82" s="367">
        <f t="shared" si="27"/>
        <v>0</v>
      </c>
      <c r="J82" s="473"/>
      <c r="K82" s="473"/>
      <c r="L82" s="473"/>
      <c r="M82" s="248">
        <f t="shared" si="26"/>
        <v>0</v>
      </c>
      <c r="N82" s="473"/>
      <c r="O82" s="473"/>
      <c r="P82" s="473"/>
      <c r="Q82" s="473"/>
      <c r="R82" s="473"/>
      <c r="T82" s="354">
        <v>513110</v>
      </c>
      <c r="U82" s="354" t="s">
        <v>1256</v>
      </c>
      <c r="V82" s="355">
        <v>9012</v>
      </c>
      <c r="W82" s="358">
        <v>1.52</v>
      </c>
    </row>
    <row r="83" spans="1:23" ht="12.75" customHeight="1">
      <c r="A83" s="52"/>
      <c r="B83" s="52"/>
      <c r="C83" s="239"/>
      <c r="D83" s="52"/>
      <c r="E83" s="233"/>
      <c r="F83" s="234"/>
      <c r="G83" s="502">
        <f t="shared" si="25"/>
        <v>0</v>
      </c>
      <c r="H83" s="279"/>
      <c r="I83" s="367">
        <f t="shared" si="27"/>
        <v>0</v>
      </c>
      <c r="J83" s="473"/>
      <c r="K83" s="473"/>
      <c r="L83" s="473"/>
      <c r="M83" s="248">
        <f t="shared" si="26"/>
        <v>0</v>
      </c>
      <c r="N83" s="473"/>
      <c r="O83" s="473"/>
      <c r="P83" s="473"/>
      <c r="Q83" s="473"/>
      <c r="R83" s="473"/>
      <c r="T83" s="354">
        <v>513135</v>
      </c>
      <c r="U83" s="354" t="s">
        <v>1256</v>
      </c>
      <c r="V83" s="355">
        <v>9015</v>
      </c>
      <c r="W83" s="358">
        <v>3.87</v>
      </c>
    </row>
    <row r="84" spans="1:23" ht="12.75" customHeight="1">
      <c r="A84" s="52"/>
      <c r="B84" s="52"/>
      <c r="C84" s="239"/>
      <c r="D84" s="52"/>
      <c r="E84" s="233"/>
      <c r="F84" s="234"/>
      <c r="G84" s="502">
        <f t="shared" si="25"/>
        <v>0</v>
      </c>
      <c r="H84" s="279"/>
      <c r="I84" s="367">
        <f t="shared" si="27"/>
        <v>0</v>
      </c>
      <c r="J84" s="473"/>
      <c r="K84" s="473"/>
      <c r="L84" s="473"/>
      <c r="M84" s="248">
        <f t="shared" si="26"/>
        <v>0</v>
      </c>
      <c r="N84" s="473"/>
      <c r="O84" s="473"/>
      <c r="P84" s="473"/>
      <c r="Q84" s="473"/>
      <c r="R84" s="473"/>
      <c r="T84" s="354"/>
      <c r="U84" s="354"/>
      <c r="V84" s="355"/>
      <c r="W84" s="358"/>
    </row>
    <row r="85" spans="1:23" ht="12.75" customHeight="1">
      <c r="A85" s="52"/>
      <c r="B85" s="52"/>
      <c r="C85" s="239"/>
      <c r="D85" s="52"/>
      <c r="E85" s="233"/>
      <c r="F85" s="234"/>
      <c r="G85" s="502">
        <f t="shared" si="25"/>
        <v>0</v>
      </c>
      <c r="H85" s="279"/>
      <c r="I85" s="367">
        <f t="shared" si="27"/>
        <v>0</v>
      </c>
      <c r="J85" s="473"/>
      <c r="K85" s="473"/>
      <c r="L85" s="473"/>
      <c r="M85" s="248">
        <f t="shared" si="26"/>
        <v>0</v>
      </c>
      <c r="N85" s="473"/>
      <c r="O85" s="473"/>
      <c r="P85" s="473"/>
      <c r="Q85" s="473"/>
      <c r="R85" s="473"/>
      <c r="T85" s="354">
        <v>513110</v>
      </c>
      <c r="U85" s="354" t="s">
        <v>664</v>
      </c>
      <c r="V85" s="355">
        <v>9012</v>
      </c>
      <c r="W85" s="359">
        <v>2.7</v>
      </c>
    </row>
    <row r="86" spans="1:23" ht="12.75" customHeight="1">
      <c r="A86" s="52"/>
      <c r="B86" s="52"/>
      <c r="C86" s="239"/>
      <c r="D86" s="52"/>
      <c r="E86" s="233"/>
      <c r="F86" s="234"/>
      <c r="G86" s="502">
        <f t="shared" si="25"/>
        <v>0</v>
      </c>
      <c r="H86" s="279"/>
      <c r="I86" s="367">
        <f t="shared" si="27"/>
        <v>0</v>
      </c>
      <c r="J86" s="473"/>
      <c r="K86" s="473"/>
      <c r="L86" s="473"/>
      <c r="M86" s="248">
        <f t="shared" ref="M86:M95" si="28">+K86*L86</f>
        <v>0</v>
      </c>
      <c r="N86" s="473"/>
      <c r="O86" s="473"/>
      <c r="P86" s="473"/>
      <c r="Q86" s="473"/>
      <c r="R86" s="473"/>
      <c r="T86" s="354">
        <v>513135</v>
      </c>
      <c r="U86" s="354" t="s">
        <v>664</v>
      </c>
      <c r="V86" s="355">
        <v>9015</v>
      </c>
      <c r="W86" s="359">
        <v>4.18</v>
      </c>
    </row>
    <row r="87" spans="1:23" ht="12.75" customHeight="1">
      <c r="A87" s="52"/>
      <c r="B87" s="52"/>
      <c r="C87" s="239"/>
      <c r="D87" s="52"/>
      <c r="E87" s="233"/>
      <c r="F87" s="234"/>
      <c r="G87" s="502">
        <f t="shared" si="25"/>
        <v>0</v>
      </c>
      <c r="H87" s="279"/>
      <c r="I87" s="367">
        <f t="shared" si="27"/>
        <v>0</v>
      </c>
      <c r="J87" s="473"/>
      <c r="K87" s="473"/>
      <c r="L87" s="473"/>
      <c r="M87" s="248">
        <f t="shared" si="28"/>
        <v>0</v>
      </c>
      <c r="N87" s="473"/>
      <c r="O87" s="473"/>
      <c r="P87" s="473"/>
      <c r="Q87" s="473"/>
      <c r="R87" s="473"/>
      <c r="T87" s="354"/>
      <c r="U87" s="354"/>
      <c r="V87" s="355"/>
      <c r="W87" s="359"/>
    </row>
    <row r="88" spans="1:23" ht="12.75" customHeight="1">
      <c r="A88" s="52"/>
      <c r="B88" s="52"/>
      <c r="C88" s="239"/>
      <c r="D88" s="52"/>
      <c r="E88" s="233"/>
      <c r="F88" s="234"/>
      <c r="G88" s="502">
        <f t="shared" si="25"/>
        <v>0</v>
      </c>
      <c r="H88" s="279"/>
      <c r="I88" s="367">
        <f t="shared" si="27"/>
        <v>0</v>
      </c>
      <c r="J88" s="473"/>
      <c r="K88" s="473"/>
      <c r="L88" s="473"/>
      <c r="M88" s="248">
        <f t="shared" si="28"/>
        <v>0</v>
      </c>
      <c r="N88" s="473"/>
      <c r="O88" s="473"/>
      <c r="P88" s="473"/>
      <c r="Q88" s="473"/>
      <c r="R88" s="473"/>
      <c r="T88" s="354">
        <v>513110</v>
      </c>
      <c r="U88" s="354" t="s">
        <v>665</v>
      </c>
      <c r="V88" s="355">
        <v>9012</v>
      </c>
      <c r="W88" s="359">
        <v>1.62</v>
      </c>
    </row>
    <row r="89" spans="1:23" ht="12.75" customHeight="1">
      <c r="A89" s="52"/>
      <c r="B89" s="52"/>
      <c r="C89" s="239"/>
      <c r="D89" s="52"/>
      <c r="E89" s="233"/>
      <c r="F89" s="234"/>
      <c r="G89" s="502">
        <f t="shared" si="25"/>
        <v>0</v>
      </c>
      <c r="H89" s="235"/>
      <c r="I89" s="367">
        <f t="shared" si="27"/>
        <v>0</v>
      </c>
      <c r="J89" s="473"/>
      <c r="K89" s="473"/>
      <c r="L89" s="473"/>
      <c r="M89" s="248">
        <f t="shared" si="28"/>
        <v>0</v>
      </c>
      <c r="N89" s="473"/>
      <c r="O89" s="473"/>
      <c r="P89" s="473"/>
      <c r="Q89" s="473"/>
      <c r="R89" s="473"/>
      <c r="T89" s="354">
        <v>513135</v>
      </c>
      <c r="U89" s="354" t="s">
        <v>665</v>
      </c>
      <c r="V89" s="355">
        <v>9015</v>
      </c>
      <c r="W89" s="359">
        <v>4</v>
      </c>
    </row>
    <row r="90" spans="1:23" ht="12.75" customHeight="1">
      <c r="A90" s="52"/>
      <c r="B90" s="52"/>
      <c r="C90" s="239"/>
      <c r="D90" s="52"/>
      <c r="E90" s="233"/>
      <c r="F90" s="234"/>
      <c r="G90" s="502">
        <f t="shared" si="25"/>
        <v>0</v>
      </c>
      <c r="H90" s="235"/>
      <c r="I90" s="367">
        <f t="shared" si="27"/>
        <v>0</v>
      </c>
      <c r="J90" s="473"/>
      <c r="K90" s="473"/>
      <c r="L90" s="473"/>
      <c r="M90" s="248">
        <f t="shared" si="28"/>
        <v>0</v>
      </c>
      <c r="N90" s="473"/>
      <c r="O90" s="473"/>
      <c r="P90" s="473"/>
      <c r="Q90" s="473"/>
      <c r="R90" s="473"/>
      <c r="T90" s="354"/>
      <c r="U90" s="354"/>
      <c r="V90" s="355"/>
      <c r="W90" s="359"/>
    </row>
    <row r="91" spans="1:23" ht="12.75" customHeight="1">
      <c r="A91" s="52"/>
      <c r="B91" s="52"/>
      <c r="C91" s="239"/>
      <c r="D91" s="52"/>
      <c r="E91" s="233"/>
      <c r="F91" s="234"/>
      <c r="G91" s="502">
        <f t="shared" si="25"/>
        <v>0</v>
      </c>
      <c r="H91" s="235"/>
      <c r="I91" s="367">
        <f t="shared" si="27"/>
        <v>0</v>
      </c>
      <c r="J91" s="473"/>
      <c r="K91" s="473"/>
      <c r="L91" s="473"/>
      <c r="M91" s="248">
        <f t="shared" si="28"/>
        <v>0</v>
      </c>
      <c r="N91" s="473"/>
      <c r="O91" s="473"/>
      <c r="P91" s="473"/>
      <c r="Q91" s="473"/>
      <c r="R91" s="473"/>
      <c r="T91" s="354">
        <v>513110</v>
      </c>
      <c r="U91" s="354" t="s">
        <v>666</v>
      </c>
      <c r="V91" s="355">
        <v>8742</v>
      </c>
      <c r="W91" s="359">
        <v>0.26</v>
      </c>
    </row>
    <row r="92" spans="1:23" ht="12.75" customHeight="1">
      <c r="A92" s="52"/>
      <c r="B92" s="52"/>
      <c r="C92" s="239"/>
      <c r="D92" s="52"/>
      <c r="E92" s="233"/>
      <c r="F92" s="234"/>
      <c r="G92" s="502">
        <f t="shared" si="25"/>
        <v>0</v>
      </c>
      <c r="H92" s="235"/>
      <c r="I92" s="367">
        <f t="shared" si="27"/>
        <v>0</v>
      </c>
      <c r="J92" s="473"/>
      <c r="K92" s="473"/>
      <c r="L92" s="473"/>
      <c r="M92" s="248">
        <f t="shared" si="28"/>
        <v>0</v>
      </c>
      <c r="N92" s="473"/>
      <c r="O92" s="473"/>
      <c r="P92" s="473"/>
      <c r="Q92" s="473"/>
      <c r="R92" s="473"/>
      <c r="T92" s="354">
        <v>513110</v>
      </c>
      <c r="U92" s="354" t="s">
        <v>666</v>
      </c>
      <c r="V92" s="355">
        <v>8810</v>
      </c>
      <c r="W92" s="359">
        <v>0.15</v>
      </c>
    </row>
    <row r="93" spans="1:23" ht="12.75" customHeight="1">
      <c r="A93" s="232"/>
      <c r="B93" s="52"/>
      <c r="C93" s="239"/>
      <c r="D93" s="52"/>
      <c r="E93" s="233"/>
      <c r="F93" s="234"/>
      <c r="G93" s="502">
        <f t="shared" si="25"/>
        <v>0</v>
      </c>
      <c r="H93" s="235"/>
      <c r="I93" s="367">
        <f t="shared" si="27"/>
        <v>0</v>
      </c>
      <c r="J93" s="473"/>
      <c r="K93" s="473"/>
      <c r="L93" s="473"/>
      <c r="M93" s="248">
        <f t="shared" si="28"/>
        <v>0</v>
      </c>
      <c r="N93" s="473"/>
      <c r="O93" s="473"/>
      <c r="P93" s="473"/>
      <c r="Q93" s="473"/>
      <c r="R93" s="473"/>
      <c r="T93" s="354">
        <v>513135</v>
      </c>
      <c r="U93" s="354" t="s">
        <v>666</v>
      </c>
      <c r="V93" s="355">
        <v>9032</v>
      </c>
      <c r="W93" s="359">
        <v>4.13</v>
      </c>
    </row>
    <row r="94" spans="1:23" ht="12.75" customHeight="1">
      <c r="A94" s="232"/>
      <c r="B94" s="52"/>
      <c r="C94" s="239"/>
      <c r="D94" s="52"/>
      <c r="E94" s="233"/>
      <c r="F94" s="234"/>
      <c r="G94" s="502">
        <f t="shared" si="25"/>
        <v>0</v>
      </c>
      <c r="H94" s="235"/>
      <c r="I94" s="367">
        <f t="shared" si="27"/>
        <v>0</v>
      </c>
      <c r="J94" s="473"/>
      <c r="K94" s="473"/>
      <c r="L94" s="473"/>
      <c r="M94" s="248">
        <f t="shared" si="28"/>
        <v>0</v>
      </c>
      <c r="N94" s="473"/>
      <c r="O94" s="473"/>
      <c r="P94" s="473"/>
      <c r="Q94" s="473"/>
      <c r="R94" s="473"/>
      <c r="T94" s="354"/>
      <c r="U94" s="354"/>
      <c r="V94" s="355"/>
      <c r="W94" s="359"/>
    </row>
    <row r="95" spans="1:23" ht="12.75" customHeight="1">
      <c r="A95" s="232"/>
      <c r="B95" s="52"/>
      <c r="C95" s="239"/>
      <c r="D95" s="52"/>
      <c r="E95" s="233"/>
      <c r="F95" s="234"/>
      <c r="G95" s="502">
        <f t="shared" si="25"/>
        <v>0</v>
      </c>
      <c r="H95" s="235"/>
      <c r="I95" s="367">
        <f t="shared" si="27"/>
        <v>0</v>
      </c>
      <c r="J95" s="473"/>
      <c r="K95" s="473"/>
      <c r="L95" s="473"/>
      <c r="M95" s="248">
        <f t="shared" si="28"/>
        <v>0</v>
      </c>
      <c r="N95" s="473"/>
      <c r="O95" s="473"/>
      <c r="P95" s="473"/>
      <c r="Q95" s="473"/>
      <c r="R95" s="473"/>
      <c r="T95" s="354">
        <v>513110</v>
      </c>
      <c r="U95" s="354" t="s">
        <v>1251</v>
      </c>
      <c r="V95" s="355">
        <v>9012</v>
      </c>
      <c r="W95" s="359">
        <v>1.83</v>
      </c>
    </row>
    <row r="96" spans="1:23">
      <c r="A96" s="236" t="s">
        <v>646</v>
      </c>
      <c r="B96" s="473" t="s">
        <v>534</v>
      </c>
      <c r="C96" s="473"/>
      <c r="D96" s="473"/>
      <c r="E96" s="473">
        <v>500</v>
      </c>
      <c r="F96" s="234"/>
      <c r="G96" s="240"/>
      <c r="H96" s="240"/>
      <c r="I96" s="366"/>
      <c r="J96" s="473"/>
      <c r="K96" s="473"/>
      <c r="L96" s="473"/>
      <c r="M96" s="248">
        <f>+K96*L96</f>
        <v>0</v>
      </c>
      <c r="N96" s="473"/>
      <c r="O96" s="473"/>
      <c r="P96" s="473"/>
      <c r="Q96" s="473"/>
      <c r="R96" s="473"/>
      <c r="T96" s="354">
        <v>513135</v>
      </c>
      <c r="U96" s="354" t="s">
        <v>1251</v>
      </c>
      <c r="V96" s="355">
        <v>9015</v>
      </c>
      <c r="W96" s="359">
        <v>3.84</v>
      </c>
    </row>
    <row r="97" spans="1:26">
      <c r="A97" s="236" t="s">
        <v>647</v>
      </c>
      <c r="B97" s="473" t="s">
        <v>535</v>
      </c>
      <c r="C97" s="473"/>
      <c r="D97" s="473"/>
      <c r="E97" s="473">
        <v>500</v>
      </c>
      <c r="F97" s="234"/>
      <c r="G97" s="240"/>
      <c r="H97" s="240"/>
      <c r="I97" s="366"/>
      <c r="J97" s="473"/>
      <c r="K97" s="473"/>
      <c r="L97" s="473"/>
      <c r="M97" s="248">
        <f>+K97*L97</f>
        <v>0</v>
      </c>
      <c r="N97" s="473"/>
      <c r="O97" s="473"/>
      <c r="P97" s="473"/>
      <c r="Q97" s="473"/>
      <c r="R97" s="473"/>
      <c r="T97" s="354"/>
      <c r="U97" s="354"/>
      <c r="V97" s="355"/>
      <c r="W97" s="359"/>
    </row>
    <row r="98" spans="1:26">
      <c r="A98" s="52"/>
      <c r="B98" s="52" t="s">
        <v>173</v>
      </c>
      <c r="C98" s="52"/>
      <c r="D98" s="52"/>
      <c r="E98" s="233"/>
      <c r="F98" s="234"/>
      <c r="G98" s="240">
        <f>SUM(G74:G97)</f>
        <v>18820</v>
      </c>
      <c r="H98" s="240"/>
      <c r="I98" s="366"/>
      <c r="J98" s="473"/>
      <c r="K98" s="473"/>
      <c r="L98" s="473"/>
      <c r="M98" s="240">
        <f>SUM(M74:M97)</f>
        <v>0</v>
      </c>
      <c r="N98" s="473"/>
      <c r="O98" s="473"/>
      <c r="P98" s="473"/>
      <c r="Q98" s="473"/>
      <c r="R98" s="473">
        <f>SUM(R74:R97)</f>
        <v>0</v>
      </c>
      <c r="T98" s="433"/>
      <c r="U98" s="433"/>
      <c r="V98" s="433"/>
      <c r="W98" s="434"/>
    </row>
    <row r="99" spans="1:26">
      <c r="A99" s="237" t="s">
        <v>648</v>
      </c>
      <c r="B99" s="342" t="s">
        <v>182</v>
      </c>
      <c r="C99" s="342"/>
      <c r="D99" s="342"/>
      <c r="E99" s="343"/>
      <c r="F99" s="344">
        <f>COUNTIF(F74:F95,40)*62.75</f>
        <v>376.5</v>
      </c>
      <c r="G99" s="342"/>
      <c r="H99" s="342"/>
      <c r="I99" s="368"/>
      <c r="J99" s="111"/>
      <c r="K99" s="112"/>
      <c r="L99" s="113"/>
      <c r="M99" s="238"/>
      <c r="N99" s="114"/>
      <c r="O99" s="110"/>
      <c r="P99" s="107"/>
      <c r="Q99" s="110"/>
      <c r="R99" s="115"/>
      <c r="T99" s="439"/>
      <c r="U99" s="435"/>
      <c r="V99" s="436"/>
      <c r="W99" s="437"/>
    </row>
    <row r="100" spans="1:26">
      <c r="A100" s="237" t="s">
        <v>649</v>
      </c>
      <c r="B100" s="342" t="s">
        <v>131</v>
      </c>
      <c r="C100" s="342"/>
      <c r="D100" s="342"/>
      <c r="E100" s="343"/>
      <c r="F100" s="346"/>
      <c r="G100" s="342"/>
      <c r="H100" s="347">
        <f>SUM(H74:H95)</f>
        <v>1000</v>
      </c>
      <c r="I100" s="368"/>
      <c r="J100" s="111"/>
      <c r="K100" s="112"/>
      <c r="L100" s="113"/>
      <c r="M100" s="74"/>
      <c r="N100" s="114"/>
      <c r="O100" s="110"/>
      <c r="P100" s="107"/>
      <c r="Q100" s="110"/>
      <c r="R100" s="115"/>
      <c r="T100" s="439"/>
      <c r="U100" s="435"/>
      <c r="V100" s="436"/>
      <c r="W100" s="437"/>
    </row>
    <row r="101" spans="1:26">
      <c r="A101" s="237" t="s">
        <v>650</v>
      </c>
      <c r="B101" s="342" t="s">
        <v>171</v>
      </c>
      <c r="C101" s="342"/>
      <c r="D101" s="342"/>
      <c r="E101" s="342"/>
      <c r="F101" s="342"/>
      <c r="G101" s="342"/>
      <c r="H101" s="345"/>
      <c r="I101" s="365">
        <f>SUMPRODUCT((G75:G95)*(I75:I95))/100</f>
        <v>583.82000000000005</v>
      </c>
      <c r="J101" s="111"/>
      <c r="K101" s="112"/>
      <c r="L101" s="113"/>
      <c r="M101" s="74"/>
      <c r="N101" s="114"/>
      <c r="O101" s="110"/>
      <c r="P101" s="107"/>
      <c r="Q101" s="110"/>
      <c r="R101" s="115"/>
      <c r="S101" s="84"/>
      <c r="T101" s="440"/>
      <c r="U101" s="440"/>
      <c r="V101" s="440"/>
      <c r="W101" s="438"/>
      <c r="X101" s="84"/>
    </row>
    <row r="102" spans="1:26">
      <c r="A102" s="107"/>
      <c r="B102" s="107"/>
      <c r="C102" s="107"/>
      <c r="D102" s="107"/>
      <c r="E102" s="108"/>
      <c r="F102" s="109"/>
      <c r="G102" s="74"/>
      <c r="H102" s="74"/>
      <c r="I102" s="110"/>
      <c r="J102" s="111"/>
      <c r="K102" s="112"/>
      <c r="L102" s="113"/>
      <c r="M102" s="74"/>
      <c r="N102" s="114"/>
      <c r="O102" s="110"/>
      <c r="P102" s="107"/>
      <c r="Q102" s="110"/>
      <c r="R102" s="115"/>
      <c r="S102" s="84"/>
      <c r="T102" s="439"/>
      <c r="U102" s="435"/>
      <c r="V102" s="436"/>
      <c r="W102" s="437"/>
      <c r="X102" s="84"/>
    </row>
    <row r="103" spans="1:26">
      <c r="A103" s="485" t="s">
        <v>1310</v>
      </c>
      <c r="B103" s="75"/>
      <c r="D103" s="49" t="s">
        <v>545</v>
      </c>
      <c r="E103" s="76"/>
      <c r="F103" s="70"/>
      <c r="G103" s="70"/>
      <c r="H103" s="70"/>
      <c r="I103" s="70"/>
      <c r="J103" s="70"/>
      <c r="T103" s="439"/>
      <c r="U103" s="435"/>
      <c r="V103" s="436"/>
      <c r="W103" s="437"/>
    </row>
    <row r="104" spans="1:26" s="84" customFormat="1" ht="15" thickBot="1">
      <c r="A104" s="66" t="s">
        <v>88</v>
      </c>
      <c r="B104" s="66" t="s">
        <v>89</v>
      </c>
      <c r="C104" s="49"/>
      <c r="D104" s="77" t="s">
        <v>90</v>
      </c>
      <c r="F104" s="330"/>
      <c r="G104" s="330" t="s">
        <v>1311</v>
      </c>
      <c r="H104" s="70"/>
      <c r="I104" s="101" t="s">
        <v>42</v>
      </c>
      <c r="J104" s="268"/>
      <c r="K104" s="268"/>
      <c r="L104" s="268"/>
      <c r="M104" s="269"/>
      <c r="N104" s="269"/>
      <c r="O104" s="269"/>
      <c r="P104" s="269"/>
      <c r="Q104" s="269"/>
      <c r="R104" s="269"/>
      <c r="S104" s="269"/>
      <c r="T104" s="440"/>
      <c r="U104" s="440"/>
      <c r="V104" s="440"/>
      <c r="W104" s="438"/>
      <c r="X104" s="269"/>
    </row>
    <row r="105" spans="1:26" s="84" customFormat="1">
      <c r="A105" s="363"/>
      <c r="B105" s="364" t="s">
        <v>606</v>
      </c>
      <c r="C105" s="363"/>
      <c r="D105" s="363"/>
      <c r="E105" s="363"/>
      <c r="F105" s="363"/>
      <c r="G105" s="363"/>
      <c r="H105" s="363"/>
      <c r="I105" s="251"/>
      <c r="J105" s="270"/>
      <c r="K105" s="271"/>
      <c r="L105" s="272"/>
      <c r="M105" s="272"/>
      <c r="N105" s="272"/>
      <c r="O105" s="272"/>
      <c r="P105" s="272"/>
      <c r="Q105" s="272"/>
      <c r="R105" s="272"/>
      <c r="S105" s="272"/>
      <c r="T105" s="439"/>
      <c r="U105" s="435"/>
      <c r="V105" s="436"/>
      <c r="W105" s="437"/>
      <c r="X105" s="272"/>
    </row>
    <row r="106" spans="1:26" s="84" customFormat="1">
      <c r="A106" s="490">
        <v>421205</v>
      </c>
      <c r="B106" s="481" t="s">
        <v>67</v>
      </c>
      <c r="C106" s="481"/>
      <c r="D106" s="481" t="s">
        <v>717</v>
      </c>
      <c r="E106" s="481"/>
      <c r="F106" s="481"/>
      <c r="G106" s="481"/>
      <c r="H106" s="481"/>
      <c r="I106" s="251"/>
      <c r="J106" s="254"/>
      <c r="K106" s="82"/>
      <c r="L106" s="83"/>
      <c r="M106" s="83"/>
      <c r="N106" s="83"/>
      <c r="O106" s="83"/>
      <c r="P106" s="83"/>
      <c r="Q106" s="83"/>
      <c r="R106" s="83"/>
      <c r="S106" s="83"/>
      <c r="T106" s="439"/>
      <c r="U106" s="435"/>
      <c r="V106" s="436"/>
      <c r="W106" s="437"/>
      <c r="X106" s="83"/>
    </row>
    <row r="107" spans="1:26">
      <c r="A107" s="490">
        <v>421225</v>
      </c>
      <c r="B107" s="481" t="s">
        <v>13</v>
      </c>
      <c r="C107" s="481"/>
      <c r="D107" s="481" t="s">
        <v>708</v>
      </c>
      <c r="E107" s="481"/>
      <c r="F107" s="481"/>
      <c r="G107" s="481"/>
      <c r="H107" s="481"/>
      <c r="I107" s="251"/>
      <c r="J107" s="254"/>
      <c r="K107" s="82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</row>
    <row r="108" spans="1:26" ht="15" thickBot="1">
      <c r="A108" s="490">
        <v>421235</v>
      </c>
      <c r="B108" s="481" t="s">
        <v>14</v>
      </c>
      <c r="C108" s="481"/>
      <c r="D108" s="481" t="s">
        <v>676</v>
      </c>
      <c r="E108" s="481"/>
      <c r="F108" s="481"/>
      <c r="G108" s="481"/>
      <c r="H108" s="481"/>
      <c r="I108" s="251"/>
      <c r="J108" s="254"/>
      <c r="K108" s="82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78"/>
      <c r="Z108" s="84"/>
    </row>
    <row r="109" spans="1:26">
      <c r="A109" s="490">
        <v>421245</v>
      </c>
      <c r="B109" s="481" t="s">
        <v>586</v>
      </c>
      <c r="C109" s="481"/>
      <c r="D109" s="481"/>
      <c r="E109" s="481"/>
      <c r="F109" s="481"/>
      <c r="G109" s="481"/>
      <c r="H109" s="481"/>
      <c r="I109" s="252"/>
      <c r="J109" s="254"/>
      <c r="K109" s="82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4"/>
    </row>
    <row r="110" spans="1:26">
      <c r="A110" s="489"/>
      <c r="B110" s="364" t="s">
        <v>196</v>
      </c>
      <c r="C110" s="363"/>
      <c r="D110" s="363"/>
      <c r="E110" s="363"/>
      <c r="F110" s="363"/>
      <c r="G110" s="363"/>
      <c r="H110" s="363"/>
      <c r="I110" s="251"/>
      <c r="J110" s="254"/>
      <c r="K110" s="82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4"/>
    </row>
    <row r="111" spans="1:26">
      <c r="A111" s="490">
        <v>512105</v>
      </c>
      <c r="B111" s="481" t="s">
        <v>596</v>
      </c>
      <c r="C111" s="481"/>
      <c r="D111" s="481" t="s">
        <v>1259</v>
      </c>
      <c r="E111" s="481"/>
      <c r="F111" s="481"/>
      <c r="G111" s="481"/>
      <c r="H111" s="481"/>
      <c r="I111" s="251"/>
      <c r="J111" s="254"/>
      <c r="K111" s="82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4"/>
    </row>
    <row r="112" spans="1:26">
      <c r="A112" s="490">
        <v>512105</v>
      </c>
      <c r="B112" s="481" t="s">
        <v>596</v>
      </c>
      <c r="C112" s="481"/>
      <c r="D112" s="481" t="s">
        <v>1260</v>
      </c>
      <c r="E112" s="481"/>
      <c r="F112" s="481"/>
      <c r="G112" s="481"/>
      <c r="H112" s="481"/>
      <c r="I112" s="253">
        <v>500</v>
      </c>
      <c r="J112" s="254"/>
      <c r="K112" s="82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4"/>
    </row>
    <row r="113" spans="1:25">
      <c r="A113" s="490">
        <v>512105</v>
      </c>
      <c r="B113" s="481" t="s">
        <v>596</v>
      </c>
      <c r="C113" s="481"/>
      <c r="D113" s="481" t="s">
        <v>709</v>
      </c>
      <c r="E113" s="481"/>
      <c r="F113" s="481"/>
      <c r="G113" s="481"/>
      <c r="H113" s="481"/>
      <c r="I113" s="251"/>
      <c r="J113" s="254"/>
      <c r="K113" s="82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>
      <c r="A114" s="490">
        <v>512105</v>
      </c>
      <c r="B114" s="481" t="s">
        <v>596</v>
      </c>
      <c r="C114" s="481"/>
      <c r="D114" s="481" t="s">
        <v>1261</v>
      </c>
      <c r="E114" s="481"/>
      <c r="F114" s="481"/>
      <c r="G114" s="481"/>
      <c r="H114" s="481"/>
      <c r="I114" s="251">
        <v>800</v>
      </c>
      <c r="J114" s="254"/>
      <c r="K114" s="82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4"/>
    </row>
    <row r="115" spans="1:25">
      <c r="A115" s="490">
        <v>512105</v>
      </c>
      <c r="B115" s="481" t="s">
        <v>596</v>
      </c>
      <c r="C115" s="481"/>
      <c r="D115" s="481" t="s">
        <v>1262</v>
      </c>
      <c r="E115" s="481"/>
      <c r="F115" s="481"/>
      <c r="G115" s="481"/>
      <c r="H115" s="481"/>
      <c r="I115" s="251"/>
      <c r="J115" s="254"/>
      <c r="K115" s="82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4"/>
    </row>
    <row r="116" spans="1:25">
      <c r="A116" s="490">
        <v>512105</v>
      </c>
      <c r="B116" s="481" t="s">
        <v>596</v>
      </c>
      <c r="C116" s="481"/>
      <c r="D116" s="481" t="s">
        <v>1264</v>
      </c>
      <c r="E116" s="481"/>
      <c r="F116" s="481"/>
      <c r="G116" s="481"/>
      <c r="H116" s="481"/>
      <c r="I116" s="251">
        <v>300</v>
      </c>
      <c r="J116" s="254"/>
      <c r="K116" s="82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4"/>
    </row>
    <row r="117" spans="1:25">
      <c r="A117" s="490">
        <v>512105</v>
      </c>
      <c r="B117" s="481" t="s">
        <v>596</v>
      </c>
      <c r="C117" s="481"/>
      <c r="D117" s="481" t="s">
        <v>1263</v>
      </c>
      <c r="E117" s="481"/>
      <c r="F117" s="481"/>
      <c r="G117" s="481"/>
      <c r="H117" s="481"/>
      <c r="I117" s="251"/>
      <c r="J117" s="254"/>
      <c r="K117" s="82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4"/>
    </row>
    <row r="118" spans="1:25">
      <c r="A118" s="490">
        <v>512105</v>
      </c>
      <c r="B118" s="481" t="s">
        <v>596</v>
      </c>
      <c r="C118" s="481"/>
      <c r="D118" s="481" t="s">
        <v>1265</v>
      </c>
      <c r="E118" s="481"/>
      <c r="F118" s="481"/>
      <c r="G118" s="481"/>
      <c r="H118" s="481"/>
      <c r="I118" s="251"/>
      <c r="J118" s="254"/>
      <c r="K118" s="82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4"/>
    </row>
    <row r="119" spans="1:25">
      <c r="A119" s="490">
        <v>512105</v>
      </c>
      <c r="B119" s="481" t="s">
        <v>596</v>
      </c>
      <c r="C119" s="481"/>
      <c r="D119" s="481" t="s">
        <v>1368</v>
      </c>
      <c r="E119" s="481"/>
      <c r="F119" s="481"/>
      <c r="G119" s="481"/>
      <c r="H119" s="481"/>
      <c r="I119" s="251"/>
      <c r="J119" s="254"/>
      <c r="K119" s="82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4"/>
    </row>
    <row r="120" spans="1:25">
      <c r="A120" s="490">
        <v>512110</v>
      </c>
      <c r="B120" s="481" t="s">
        <v>597</v>
      </c>
      <c r="C120" s="481"/>
      <c r="D120" s="481" t="s">
        <v>547</v>
      </c>
      <c r="E120" s="481"/>
      <c r="F120" s="481"/>
      <c r="G120" s="481"/>
      <c r="H120" s="481"/>
      <c r="I120" s="251">
        <v>400</v>
      </c>
      <c r="J120" s="254"/>
      <c r="K120" s="82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4"/>
    </row>
    <row r="121" spans="1:25">
      <c r="A121" s="490">
        <v>512110</v>
      </c>
      <c r="B121" s="481" t="s">
        <v>597</v>
      </c>
      <c r="C121" s="481"/>
      <c r="D121" s="481" t="s">
        <v>598</v>
      </c>
      <c r="E121" s="481"/>
      <c r="F121" s="481"/>
      <c r="G121" s="481"/>
      <c r="H121" s="481"/>
      <c r="I121" s="251"/>
      <c r="J121" s="254"/>
      <c r="K121" s="82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4"/>
    </row>
    <row r="122" spans="1:25" ht="15" thickBot="1">
      <c r="A122" s="66" t="s">
        <v>88</v>
      </c>
      <c r="B122" s="66" t="s">
        <v>89</v>
      </c>
      <c r="D122" s="77" t="s">
        <v>90</v>
      </c>
      <c r="E122" s="84"/>
      <c r="F122" s="330" t="s">
        <v>652</v>
      </c>
      <c r="G122" s="330" t="s">
        <v>653</v>
      </c>
      <c r="H122" s="70"/>
      <c r="I122" s="101"/>
      <c r="J122" s="254" t="s">
        <v>710</v>
      </c>
      <c r="K122" s="82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4"/>
    </row>
    <row r="123" spans="1:25">
      <c r="A123" s="363"/>
      <c r="B123" s="364" t="s">
        <v>1309</v>
      </c>
      <c r="C123" s="363"/>
      <c r="D123" s="363"/>
      <c r="E123" s="363"/>
      <c r="F123" s="363"/>
      <c r="G123" s="363"/>
      <c r="H123" s="369" t="s">
        <v>675</v>
      </c>
      <c r="I123" s="251"/>
      <c r="J123" s="254"/>
      <c r="K123" s="82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4"/>
    </row>
    <row r="124" spans="1:25">
      <c r="A124" s="396">
        <v>512210</v>
      </c>
      <c r="B124" s="396" t="s">
        <v>602</v>
      </c>
      <c r="C124" s="396"/>
      <c r="D124" s="396" t="s">
        <v>703</v>
      </c>
      <c r="E124" s="396"/>
      <c r="F124" s="511">
        <v>4.08</v>
      </c>
      <c r="G124" s="396" t="s">
        <v>1354</v>
      </c>
      <c r="H124" s="397">
        <v>1</v>
      </c>
      <c r="I124" s="399">
        <f>F124*H124</f>
        <v>4.08</v>
      </c>
      <c r="J124" s="254"/>
      <c r="P124" s="83"/>
      <c r="Q124" s="83"/>
      <c r="R124" s="83"/>
      <c r="S124" s="83"/>
      <c r="T124" s="83"/>
      <c r="U124" s="83"/>
      <c r="V124" s="83"/>
      <c r="W124" s="83"/>
      <c r="X124" s="83"/>
      <c r="Y124" s="84"/>
    </row>
    <row r="125" spans="1:25">
      <c r="A125" s="396">
        <v>512210</v>
      </c>
      <c r="B125" s="396" t="s">
        <v>601</v>
      </c>
      <c r="C125" s="396"/>
      <c r="D125" s="396" t="s">
        <v>703</v>
      </c>
      <c r="E125" s="396"/>
      <c r="F125" s="511">
        <v>6.63</v>
      </c>
      <c r="G125" s="396" t="s">
        <v>1354</v>
      </c>
      <c r="H125" s="397">
        <v>0</v>
      </c>
      <c r="I125" s="399">
        <f>F125*H125</f>
        <v>0</v>
      </c>
      <c r="J125" s="254"/>
      <c r="K125" s="82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4"/>
    </row>
    <row r="126" spans="1:25">
      <c r="A126" s="396">
        <v>512210</v>
      </c>
      <c r="B126" s="396" t="s">
        <v>1336</v>
      </c>
      <c r="C126" s="396"/>
      <c r="D126" s="396" t="s">
        <v>703</v>
      </c>
      <c r="E126" s="396"/>
      <c r="F126" s="511">
        <v>13</v>
      </c>
      <c r="G126" s="396" t="s">
        <v>1354</v>
      </c>
      <c r="H126" s="397">
        <v>0</v>
      </c>
      <c r="I126" s="399">
        <f>F126*H126</f>
        <v>0</v>
      </c>
      <c r="J126" s="254"/>
      <c r="P126" s="83"/>
      <c r="Q126" s="83"/>
      <c r="R126" s="83"/>
      <c r="S126" s="83"/>
      <c r="T126" s="83"/>
      <c r="U126" s="83"/>
      <c r="V126" s="83"/>
      <c r="W126" s="83"/>
      <c r="X126" s="83"/>
      <c r="Y126" s="84"/>
    </row>
    <row r="127" spans="1:25">
      <c r="A127" s="396">
        <v>512215</v>
      </c>
      <c r="B127" s="396" t="s">
        <v>603</v>
      </c>
      <c r="C127" s="396"/>
      <c r="D127" s="396" t="s">
        <v>703</v>
      </c>
      <c r="E127" s="396"/>
      <c r="F127" s="511"/>
      <c r="G127" s="396" t="s">
        <v>41</v>
      </c>
      <c r="H127" s="397">
        <v>0</v>
      </c>
      <c r="I127" s="399">
        <f>F127*H127</f>
        <v>0</v>
      </c>
      <c r="J127" s="254"/>
      <c r="P127" s="83"/>
      <c r="Q127" s="83"/>
      <c r="R127" s="83"/>
      <c r="S127" s="83"/>
      <c r="T127" s="83"/>
      <c r="U127" s="83"/>
      <c r="V127" s="83"/>
      <c r="W127" s="83"/>
      <c r="X127" s="83"/>
      <c r="Y127" s="84"/>
    </row>
    <row r="128" spans="1:25">
      <c r="A128" s="396">
        <v>512215</v>
      </c>
      <c r="B128" s="396" t="s">
        <v>631</v>
      </c>
      <c r="C128" s="396"/>
      <c r="D128" s="396" t="s">
        <v>703</v>
      </c>
      <c r="E128" s="396"/>
      <c r="F128" s="511">
        <v>0.10290000000000001</v>
      </c>
      <c r="G128" s="396" t="s">
        <v>41</v>
      </c>
      <c r="H128" s="397">
        <v>0</v>
      </c>
      <c r="I128" s="399">
        <f>$C$42*F128*H128</f>
        <v>0</v>
      </c>
      <c r="J128" s="254"/>
      <c r="K128" s="82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4"/>
    </row>
    <row r="129" spans="1:25">
      <c r="A129" s="396">
        <v>512215</v>
      </c>
      <c r="B129" s="396" t="s">
        <v>600</v>
      </c>
      <c r="C129" s="396"/>
      <c r="D129" s="396" t="s">
        <v>703</v>
      </c>
      <c r="E129" s="396"/>
      <c r="F129" s="511">
        <v>1.8385</v>
      </c>
      <c r="G129" s="396" t="s">
        <v>41</v>
      </c>
      <c r="H129" s="397">
        <v>0</v>
      </c>
      <c r="I129" s="399">
        <f>$C$42*F129*H129</f>
        <v>0</v>
      </c>
      <c r="J129" s="254" t="s">
        <v>712</v>
      </c>
      <c r="P129" s="83"/>
      <c r="Q129" s="83"/>
      <c r="R129" s="83"/>
      <c r="S129" s="83"/>
      <c r="T129" s="83"/>
      <c r="U129" s="83"/>
      <c r="V129" s="83"/>
      <c r="W129" s="83"/>
      <c r="X129" s="83"/>
      <c r="Y129" s="84"/>
    </row>
    <row r="130" spans="1:25">
      <c r="A130" s="396">
        <v>512305</v>
      </c>
      <c r="B130" s="396" t="s">
        <v>103</v>
      </c>
      <c r="C130" s="396"/>
      <c r="D130" s="396" t="s">
        <v>1324</v>
      </c>
      <c r="E130" s="396"/>
      <c r="F130" s="398">
        <v>75</v>
      </c>
      <c r="G130" s="396" t="s">
        <v>674</v>
      </c>
      <c r="H130" s="397">
        <v>0</v>
      </c>
      <c r="I130" s="399">
        <f>F130*H130</f>
        <v>0</v>
      </c>
      <c r="J130" s="254"/>
      <c r="K130" s="105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4"/>
    </row>
    <row r="131" spans="1:25">
      <c r="A131" s="396">
        <v>512305</v>
      </c>
      <c r="B131" s="396" t="s">
        <v>1323</v>
      </c>
      <c r="C131" s="396"/>
      <c r="D131" s="396" t="s">
        <v>703</v>
      </c>
      <c r="E131" s="396"/>
      <c r="F131" s="398">
        <v>90</v>
      </c>
      <c r="G131" s="396" t="s">
        <v>674</v>
      </c>
      <c r="H131" s="397">
        <v>1</v>
      </c>
      <c r="I131" s="399">
        <f>F131*H131</f>
        <v>90</v>
      </c>
      <c r="J131" s="254"/>
      <c r="K131" s="105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4"/>
    </row>
    <row r="132" spans="1:25">
      <c r="A132" s="396">
        <v>512305</v>
      </c>
      <c r="B132" s="396" t="s">
        <v>1350</v>
      </c>
      <c r="C132" s="396"/>
      <c r="D132" s="396" t="s">
        <v>703</v>
      </c>
      <c r="E132" s="396"/>
      <c r="F132" s="398">
        <v>75</v>
      </c>
      <c r="G132" s="396" t="s">
        <v>674</v>
      </c>
      <c r="H132" s="397">
        <v>0</v>
      </c>
      <c r="I132" s="399">
        <f>F132*H132</f>
        <v>0</v>
      </c>
      <c r="J132" s="254"/>
      <c r="K132" s="105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4"/>
    </row>
    <row r="133" spans="1:25">
      <c r="A133" s="396">
        <v>512320</v>
      </c>
      <c r="B133" s="396" t="s">
        <v>1327</v>
      </c>
      <c r="C133" s="396"/>
      <c r="D133" s="396" t="s">
        <v>703</v>
      </c>
      <c r="E133" s="396"/>
      <c r="F133" s="511">
        <v>0.5</v>
      </c>
      <c r="G133" s="396" t="s">
        <v>41</v>
      </c>
      <c r="H133" s="397">
        <v>0</v>
      </c>
      <c r="I133" s="399">
        <f t="shared" ref="I133:I149" si="29">$C$42*F133*H133</f>
        <v>0</v>
      </c>
      <c r="J133" s="254"/>
      <c r="K133" s="105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4"/>
    </row>
    <row r="134" spans="1:25">
      <c r="A134" s="396">
        <v>512320</v>
      </c>
      <c r="B134" s="396" t="s">
        <v>1331</v>
      </c>
      <c r="C134" s="396"/>
      <c r="D134" s="396" t="s">
        <v>703</v>
      </c>
      <c r="E134" s="396"/>
      <c r="F134" s="511">
        <v>0.06</v>
      </c>
      <c r="G134" s="396" t="s">
        <v>41</v>
      </c>
      <c r="H134" s="397">
        <v>1</v>
      </c>
      <c r="I134" s="399">
        <f t="shared" si="29"/>
        <v>13.2</v>
      </c>
      <c r="J134" s="254"/>
      <c r="K134" s="82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4"/>
    </row>
    <row r="135" spans="1:25">
      <c r="A135" s="396">
        <v>512320</v>
      </c>
      <c r="B135" s="396" t="s">
        <v>1332</v>
      </c>
      <c r="C135" s="396"/>
      <c r="D135" s="396" t="s">
        <v>703</v>
      </c>
      <c r="E135" s="396"/>
      <c r="F135" s="511">
        <v>0.4</v>
      </c>
      <c r="G135" s="396" t="s">
        <v>41</v>
      </c>
      <c r="H135" s="397">
        <v>1</v>
      </c>
      <c r="I135" s="399">
        <f t="shared" si="29"/>
        <v>88</v>
      </c>
      <c r="J135" s="254" t="s">
        <v>711</v>
      </c>
      <c r="K135" s="105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4"/>
    </row>
    <row r="136" spans="1:25">
      <c r="A136" s="396">
        <v>512320</v>
      </c>
      <c r="B136" s="396" t="s">
        <v>1326</v>
      </c>
      <c r="C136" s="396"/>
      <c r="D136" s="396" t="s">
        <v>703</v>
      </c>
      <c r="E136" s="396"/>
      <c r="F136" s="511">
        <v>1.25</v>
      </c>
      <c r="G136" s="396" t="s">
        <v>41</v>
      </c>
      <c r="H136" s="397">
        <v>1</v>
      </c>
      <c r="I136" s="399">
        <f t="shared" si="29"/>
        <v>275</v>
      </c>
      <c r="J136" s="254"/>
      <c r="K136" s="105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4"/>
    </row>
    <row r="137" spans="1:25">
      <c r="A137" s="396">
        <v>512320</v>
      </c>
      <c r="B137" s="396" t="s">
        <v>1330</v>
      </c>
      <c r="C137" s="396"/>
      <c r="D137" s="396" t="s">
        <v>703</v>
      </c>
      <c r="E137" s="396"/>
      <c r="F137" s="511">
        <v>0.3</v>
      </c>
      <c r="G137" s="396" t="s">
        <v>41</v>
      </c>
      <c r="H137" s="397">
        <v>1</v>
      </c>
      <c r="I137" s="399">
        <f t="shared" si="29"/>
        <v>66</v>
      </c>
      <c r="J137" s="254"/>
      <c r="K137" s="82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4"/>
    </row>
    <row r="138" spans="1:25">
      <c r="A138" s="396">
        <v>512320</v>
      </c>
      <c r="B138" s="396" t="s">
        <v>1329</v>
      </c>
      <c r="C138" s="396"/>
      <c r="D138" s="396" t="s">
        <v>703</v>
      </c>
      <c r="E138" s="396"/>
      <c r="F138" s="511">
        <v>0.1</v>
      </c>
      <c r="G138" s="396" t="s">
        <v>41</v>
      </c>
      <c r="H138" s="397">
        <v>1</v>
      </c>
      <c r="I138" s="399">
        <f t="shared" si="29"/>
        <v>22</v>
      </c>
      <c r="J138" s="254"/>
      <c r="K138" s="82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4"/>
    </row>
    <row r="139" spans="1:25">
      <c r="A139" s="396">
        <v>512320</v>
      </c>
      <c r="B139" s="396" t="s">
        <v>1328</v>
      </c>
      <c r="C139" s="396"/>
      <c r="D139" s="396" t="s">
        <v>703</v>
      </c>
      <c r="E139" s="396"/>
      <c r="F139" s="511">
        <v>0.09</v>
      </c>
      <c r="G139" s="396" t="s">
        <v>41</v>
      </c>
      <c r="H139" s="397">
        <v>0</v>
      </c>
      <c r="I139" s="399">
        <f t="shared" si="29"/>
        <v>0</v>
      </c>
      <c r="J139" s="254"/>
      <c r="K139" s="105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4"/>
    </row>
    <row r="140" spans="1:25">
      <c r="A140" s="396">
        <v>512320</v>
      </c>
      <c r="B140" s="396" t="s">
        <v>1355</v>
      </c>
      <c r="C140" s="396"/>
      <c r="D140" s="396" t="s">
        <v>703</v>
      </c>
      <c r="E140" s="396"/>
      <c r="F140" s="511">
        <v>0.2</v>
      </c>
      <c r="G140" s="396" t="s">
        <v>41</v>
      </c>
      <c r="H140" s="397">
        <v>0</v>
      </c>
      <c r="I140" s="399">
        <f t="shared" si="29"/>
        <v>0</v>
      </c>
      <c r="J140" s="254"/>
      <c r="K140" s="105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4"/>
    </row>
    <row r="141" spans="1:25">
      <c r="A141" s="396">
        <v>512320</v>
      </c>
      <c r="B141" s="396" t="s">
        <v>1353</v>
      </c>
      <c r="C141" s="396"/>
      <c r="D141" s="396" t="s">
        <v>703</v>
      </c>
      <c r="E141" s="396"/>
      <c r="F141" s="511">
        <v>0.31</v>
      </c>
      <c r="G141" s="396" t="s">
        <v>41</v>
      </c>
      <c r="H141" s="397">
        <v>1</v>
      </c>
      <c r="I141" s="399">
        <f t="shared" si="29"/>
        <v>68.2</v>
      </c>
      <c r="J141" s="254"/>
      <c r="K141" s="82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4"/>
    </row>
    <row r="142" spans="1:25">
      <c r="A142" s="396">
        <v>512320</v>
      </c>
      <c r="B142" s="396" t="s">
        <v>704</v>
      </c>
      <c r="C142" s="396"/>
      <c r="D142" s="396" t="s">
        <v>703</v>
      </c>
      <c r="E142" s="396"/>
      <c r="F142" s="511">
        <v>0.2</v>
      </c>
      <c r="G142" s="396" t="s">
        <v>41</v>
      </c>
      <c r="H142" s="397">
        <v>1</v>
      </c>
      <c r="I142" s="399">
        <f t="shared" si="29"/>
        <v>44</v>
      </c>
      <c r="J142" s="254"/>
      <c r="K142" s="82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4"/>
    </row>
    <row r="143" spans="1:25">
      <c r="A143" s="396">
        <v>512320</v>
      </c>
      <c r="B143" s="396" t="s">
        <v>702</v>
      </c>
      <c r="C143" s="396"/>
      <c r="D143" s="396" t="s">
        <v>703</v>
      </c>
      <c r="E143" s="396"/>
      <c r="F143" s="511">
        <v>0.21</v>
      </c>
      <c r="G143" s="396" t="s">
        <v>41</v>
      </c>
      <c r="H143" s="397">
        <v>0</v>
      </c>
      <c r="I143" s="399">
        <f t="shared" si="29"/>
        <v>0</v>
      </c>
      <c r="J143" s="254"/>
      <c r="K143" s="82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75"/>
    </row>
    <row r="144" spans="1:25">
      <c r="A144" s="396">
        <v>512320</v>
      </c>
      <c r="B144" s="396" t="s">
        <v>1333</v>
      </c>
      <c r="C144" s="396"/>
      <c r="D144" s="396" t="s">
        <v>703</v>
      </c>
      <c r="E144" s="396"/>
      <c r="F144" s="511">
        <v>0.06</v>
      </c>
      <c r="G144" s="396" t="s">
        <v>41</v>
      </c>
      <c r="H144" s="397">
        <v>0</v>
      </c>
      <c r="I144" s="399">
        <f t="shared" si="29"/>
        <v>0</v>
      </c>
      <c r="J144" s="254" t="s">
        <v>711</v>
      </c>
      <c r="K144" s="82"/>
      <c r="P144" s="83"/>
      <c r="Q144" s="83"/>
      <c r="R144" s="83"/>
      <c r="S144" s="83"/>
      <c r="T144" s="83"/>
      <c r="U144" s="83"/>
      <c r="V144" s="83"/>
      <c r="W144" s="83"/>
      <c r="X144" s="83"/>
      <c r="Y144" s="75"/>
    </row>
    <row r="145" spans="1:25">
      <c r="A145" s="396">
        <v>512320</v>
      </c>
      <c r="B145" s="396" t="s">
        <v>1334</v>
      </c>
      <c r="C145" s="396"/>
      <c r="D145" s="396" t="s">
        <v>703</v>
      </c>
      <c r="E145" s="396"/>
      <c r="F145" s="511">
        <v>0</v>
      </c>
      <c r="G145" s="396" t="s">
        <v>41</v>
      </c>
      <c r="H145" s="397">
        <v>1</v>
      </c>
      <c r="I145" s="399">
        <f t="shared" si="29"/>
        <v>0</v>
      </c>
      <c r="J145" s="254"/>
      <c r="K145" s="82"/>
      <c r="P145" s="83"/>
      <c r="Q145" s="83"/>
      <c r="R145" s="83"/>
      <c r="S145" s="83"/>
      <c r="T145" s="83"/>
      <c r="U145" s="83"/>
      <c r="V145" s="83"/>
      <c r="W145" s="83"/>
      <c r="X145" s="83"/>
      <c r="Y145" s="75"/>
    </row>
    <row r="146" spans="1:25">
      <c r="A146" s="396">
        <v>512320</v>
      </c>
      <c r="B146" s="396" t="s">
        <v>1335</v>
      </c>
      <c r="C146" s="396"/>
      <c r="D146" s="396" t="s">
        <v>703</v>
      </c>
      <c r="E146" s="396"/>
      <c r="F146" s="511">
        <v>0</v>
      </c>
      <c r="G146" s="396" t="s">
        <v>41</v>
      </c>
      <c r="H146" s="397">
        <v>0</v>
      </c>
      <c r="I146" s="399">
        <f t="shared" si="29"/>
        <v>0</v>
      </c>
      <c r="J146" s="254"/>
      <c r="K146" s="82"/>
      <c r="P146" s="83"/>
      <c r="Q146" s="83"/>
      <c r="R146" s="83"/>
      <c r="S146" s="83"/>
      <c r="T146" s="83"/>
      <c r="U146" s="83"/>
      <c r="V146" s="83"/>
      <c r="W146" s="83"/>
      <c r="X146" s="83"/>
      <c r="Y146" s="75"/>
    </row>
    <row r="147" spans="1:25">
      <c r="A147" s="396">
        <v>512320</v>
      </c>
      <c r="B147" s="396" t="s">
        <v>615</v>
      </c>
      <c r="C147" s="396"/>
      <c r="D147" s="396" t="s">
        <v>703</v>
      </c>
      <c r="E147" s="396"/>
      <c r="F147" s="511">
        <v>0.2</v>
      </c>
      <c r="G147" s="396" t="s">
        <v>41</v>
      </c>
      <c r="H147" s="397">
        <v>0</v>
      </c>
      <c r="I147" s="399">
        <f t="shared" si="29"/>
        <v>0</v>
      </c>
      <c r="J147" s="254"/>
      <c r="K147" s="82"/>
      <c r="P147" s="83"/>
      <c r="Q147" s="83"/>
      <c r="R147" s="83"/>
      <c r="S147" s="83"/>
      <c r="T147" s="83"/>
      <c r="U147" s="83"/>
      <c r="V147" s="83"/>
      <c r="W147" s="83"/>
      <c r="X147" s="83"/>
      <c r="Y147" s="75"/>
    </row>
    <row r="148" spans="1:25">
      <c r="A148" s="396">
        <v>512320</v>
      </c>
      <c r="B148" s="396" t="s">
        <v>1356</v>
      </c>
      <c r="C148" s="396"/>
      <c r="D148" s="396" t="s">
        <v>703</v>
      </c>
      <c r="E148" s="396"/>
      <c r="F148" s="511">
        <v>7.0000000000000007E-2</v>
      </c>
      <c r="G148" s="396" t="s">
        <v>41</v>
      </c>
      <c r="H148" s="397">
        <v>0</v>
      </c>
      <c r="I148" s="399">
        <f t="shared" si="29"/>
        <v>0</v>
      </c>
      <c r="J148" s="254"/>
      <c r="P148" s="83"/>
      <c r="Q148" s="83"/>
      <c r="R148" s="83"/>
      <c r="S148" s="83"/>
      <c r="T148" s="83"/>
      <c r="U148" s="83"/>
      <c r="V148" s="83"/>
      <c r="W148" s="83"/>
      <c r="X148" s="83"/>
      <c r="Y148" s="84"/>
    </row>
    <row r="149" spans="1:25">
      <c r="A149" s="396">
        <v>512321</v>
      </c>
      <c r="B149" s="396" t="s">
        <v>700</v>
      </c>
      <c r="C149" s="396"/>
      <c r="D149" s="396" t="s">
        <v>599</v>
      </c>
      <c r="E149" s="396"/>
      <c r="F149" s="511">
        <v>0.6</v>
      </c>
      <c r="G149" s="396" t="s">
        <v>41</v>
      </c>
      <c r="H149" s="397">
        <v>0</v>
      </c>
      <c r="I149" s="399">
        <f t="shared" si="29"/>
        <v>0</v>
      </c>
      <c r="J149" s="254"/>
      <c r="K149" s="105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4"/>
    </row>
    <row r="150" spans="1:25">
      <c r="A150" s="396">
        <v>512321</v>
      </c>
      <c r="B150" s="396" t="s">
        <v>1337</v>
      </c>
      <c r="C150" s="396"/>
      <c r="D150" s="396" t="s">
        <v>703</v>
      </c>
      <c r="E150" s="396"/>
      <c r="F150" s="511">
        <v>7</v>
      </c>
      <c r="G150" s="396" t="s">
        <v>1338</v>
      </c>
      <c r="H150" s="397">
        <v>0</v>
      </c>
      <c r="I150" s="399">
        <f>F150*H150</f>
        <v>0</v>
      </c>
      <c r="J150" s="254"/>
      <c r="K150" s="105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4"/>
    </row>
    <row r="151" spans="1:25">
      <c r="A151" s="396">
        <v>512321</v>
      </c>
      <c r="B151" s="396" t="s">
        <v>1325</v>
      </c>
      <c r="C151" s="396"/>
      <c r="D151" s="396" t="s">
        <v>703</v>
      </c>
      <c r="E151" s="396"/>
      <c r="F151" s="511">
        <v>1.1000000000000001</v>
      </c>
      <c r="G151" s="396" t="s">
        <v>41</v>
      </c>
      <c r="H151" s="397">
        <v>0</v>
      </c>
      <c r="I151" s="399">
        <f>$C$42*F151*H151</f>
        <v>0</v>
      </c>
      <c r="J151" s="254"/>
      <c r="K151" s="105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4"/>
    </row>
    <row r="152" spans="1:25">
      <c r="A152" s="396">
        <v>512321</v>
      </c>
      <c r="B152" s="396" t="s">
        <v>1352</v>
      </c>
      <c r="C152" s="396"/>
      <c r="D152" s="396" t="s">
        <v>703</v>
      </c>
      <c r="E152" s="396"/>
      <c r="F152" s="511">
        <v>1244</v>
      </c>
      <c r="G152" s="396" t="s">
        <v>674</v>
      </c>
      <c r="H152" s="397">
        <v>0</v>
      </c>
      <c r="I152" s="399">
        <f>F152*H152</f>
        <v>0</v>
      </c>
      <c r="J152" s="254"/>
      <c r="K152" s="105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4"/>
    </row>
    <row r="153" spans="1:25">
      <c r="A153" s="396">
        <v>512321</v>
      </c>
      <c r="B153" s="396" t="s">
        <v>1351</v>
      </c>
      <c r="C153" s="396"/>
      <c r="D153" s="396" t="s">
        <v>703</v>
      </c>
      <c r="E153" s="396"/>
      <c r="F153" s="511">
        <v>0.55000000000000004</v>
      </c>
      <c r="G153" s="396" t="s">
        <v>41</v>
      </c>
      <c r="H153" s="397">
        <v>0</v>
      </c>
      <c r="I153" s="399">
        <f>$C$42*F153*H153</f>
        <v>0</v>
      </c>
      <c r="J153" s="254"/>
      <c r="K153" s="105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4"/>
    </row>
    <row r="154" spans="1:25">
      <c r="A154" s="396">
        <v>512322</v>
      </c>
      <c r="B154" s="396" t="s">
        <v>604</v>
      </c>
      <c r="C154" s="396"/>
      <c r="D154" s="396" t="s">
        <v>91</v>
      </c>
      <c r="E154" s="396"/>
      <c r="F154" s="511">
        <v>1.75</v>
      </c>
      <c r="G154" s="396" t="s">
        <v>187</v>
      </c>
      <c r="H154" s="397">
        <v>0</v>
      </c>
      <c r="I154" s="399">
        <f>F154*H154</f>
        <v>0</v>
      </c>
      <c r="J154" s="254"/>
      <c r="P154" s="83"/>
      <c r="Q154" s="83"/>
      <c r="R154" s="83"/>
      <c r="S154" s="83"/>
      <c r="T154" s="83"/>
      <c r="U154" s="83"/>
      <c r="V154" s="83"/>
      <c r="W154" s="83"/>
      <c r="X154" s="83"/>
      <c r="Y154" s="84"/>
    </row>
    <row r="155" spans="1:25">
      <c r="A155" s="396">
        <v>512322</v>
      </c>
      <c r="B155" s="396" t="s">
        <v>1346</v>
      </c>
      <c r="C155" s="396"/>
      <c r="D155" s="396" t="s">
        <v>91</v>
      </c>
      <c r="E155" s="396"/>
      <c r="F155" s="511">
        <v>1.2</v>
      </c>
      <c r="G155" s="396" t="s">
        <v>41</v>
      </c>
      <c r="H155" s="397">
        <v>0</v>
      </c>
      <c r="I155" s="399">
        <f t="shared" ref="I155:I164" si="30">$C$42*F155*H155</f>
        <v>0</v>
      </c>
      <c r="J155" s="254"/>
      <c r="K155" s="82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4"/>
    </row>
    <row r="156" spans="1:25">
      <c r="A156" s="396">
        <v>512322</v>
      </c>
      <c r="B156" s="396" t="s">
        <v>1347</v>
      </c>
      <c r="C156" s="396"/>
      <c r="D156" s="396" t="s">
        <v>91</v>
      </c>
      <c r="E156" s="396"/>
      <c r="F156" s="511">
        <v>0.1</v>
      </c>
      <c r="G156" s="396" t="s">
        <v>41</v>
      </c>
      <c r="H156" s="397">
        <v>0</v>
      </c>
      <c r="I156" s="399">
        <f t="shared" si="30"/>
        <v>0</v>
      </c>
      <c r="J156" s="254"/>
      <c r="K156" s="82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4"/>
    </row>
    <row r="157" spans="1:25">
      <c r="A157" s="396">
        <v>512322</v>
      </c>
      <c r="B157" s="396" t="s">
        <v>1348</v>
      </c>
      <c r="C157" s="396"/>
      <c r="D157" s="396" t="s">
        <v>91</v>
      </c>
      <c r="E157" s="396"/>
      <c r="F157" s="511">
        <v>1.75</v>
      </c>
      <c r="G157" s="396" t="s">
        <v>1349</v>
      </c>
      <c r="H157" s="397">
        <v>0</v>
      </c>
      <c r="I157" s="399">
        <f t="shared" si="30"/>
        <v>0</v>
      </c>
      <c r="J157" s="254"/>
      <c r="K157" s="82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4"/>
    </row>
    <row r="158" spans="1:25">
      <c r="A158" s="396">
        <v>512323</v>
      </c>
      <c r="B158" s="396" t="s">
        <v>1321</v>
      </c>
      <c r="C158" s="396"/>
      <c r="D158" s="396" t="s">
        <v>703</v>
      </c>
      <c r="E158" s="396"/>
      <c r="F158" s="511">
        <v>0.30270000000000002</v>
      </c>
      <c r="G158" s="396"/>
      <c r="H158" s="397">
        <v>1</v>
      </c>
      <c r="I158" s="399">
        <f t="shared" si="30"/>
        <v>66.594000000000008</v>
      </c>
      <c r="J158" s="254"/>
      <c r="K158" s="82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4"/>
    </row>
    <row r="159" spans="1:25">
      <c r="A159" s="396">
        <v>512323</v>
      </c>
      <c r="B159" s="396" t="s">
        <v>1269</v>
      </c>
      <c r="C159" s="396"/>
      <c r="D159" s="396" t="s">
        <v>1270</v>
      </c>
      <c r="E159" s="396"/>
      <c r="F159" s="511"/>
      <c r="G159" s="396"/>
      <c r="H159" s="397">
        <v>0</v>
      </c>
      <c r="I159" s="399">
        <f t="shared" si="30"/>
        <v>0</v>
      </c>
      <c r="J159" s="254"/>
      <c r="K159" s="82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4"/>
    </row>
    <row r="160" spans="1:25">
      <c r="A160" s="396">
        <v>512323</v>
      </c>
      <c r="B160" s="396" t="s">
        <v>1271</v>
      </c>
      <c r="C160" s="396"/>
      <c r="D160" s="396" t="s">
        <v>703</v>
      </c>
      <c r="E160" s="396"/>
      <c r="F160" s="511"/>
      <c r="G160" s="396"/>
      <c r="H160" s="397">
        <v>0</v>
      </c>
      <c r="I160" s="399">
        <f t="shared" si="30"/>
        <v>0</v>
      </c>
      <c r="J160" s="254"/>
      <c r="K160" s="82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4"/>
    </row>
    <row r="161" spans="1:25">
      <c r="A161" s="396">
        <v>512340</v>
      </c>
      <c r="B161" s="396" t="s">
        <v>682</v>
      </c>
      <c r="C161" s="396"/>
      <c r="D161" s="396" t="s">
        <v>1268</v>
      </c>
      <c r="E161" s="396"/>
      <c r="F161" s="511"/>
      <c r="G161" s="396"/>
      <c r="H161" s="397">
        <v>0</v>
      </c>
      <c r="I161" s="399">
        <f t="shared" si="30"/>
        <v>0</v>
      </c>
      <c r="J161" s="254"/>
      <c r="K161" s="105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4"/>
    </row>
    <row r="162" spans="1:25">
      <c r="A162" s="396">
        <v>512340</v>
      </c>
      <c r="B162" s="396" t="s">
        <v>682</v>
      </c>
      <c r="C162" s="396"/>
      <c r="D162" s="396" t="s">
        <v>1266</v>
      </c>
      <c r="E162" s="396"/>
      <c r="F162" s="511"/>
      <c r="G162" s="396"/>
      <c r="H162" s="397">
        <v>0</v>
      </c>
      <c r="I162" s="399">
        <f t="shared" si="30"/>
        <v>0</v>
      </c>
      <c r="J162" s="254"/>
      <c r="K162" s="82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4"/>
    </row>
    <row r="163" spans="1:25">
      <c r="A163" s="396">
        <v>512340</v>
      </c>
      <c r="B163" s="396" t="s">
        <v>682</v>
      </c>
      <c r="C163" s="396"/>
      <c r="D163" s="396" t="s">
        <v>1267</v>
      </c>
      <c r="E163" s="396"/>
      <c r="F163" s="511"/>
      <c r="G163" s="396"/>
      <c r="H163" s="397">
        <v>0</v>
      </c>
      <c r="I163" s="399">
        <f t="shared" si="30"/>
        <v>0</v>
      </c>
      <c r="J163" s="254"/>
      <c r="K163" s="82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4"/>
    </row>
    <row r="164" spans="1:25">
      <c r="A164" s="396">
        <v>512340</v>
      </c>
      <c r="B164" s="396" t="s">
        <v>1340</v>
      </c>
      <c r="C164" s="396"/>
      <c r="D164" s="396" t="s">
        <v>683</v>
      </c>
      <c r="E164" s="396"/>
      <c r="F164" s="511">
        <v>0.1789</v>
      </c>
      <c r="G164" s="396" t="s">
        <v>41</v>
      </c>
      <c r="H164" s="397">
        <v>1</v>
      </c>
      <c r="I164" s="399">
        <f t="shared" si="30"/>
        <v>39.358000000000004</v>
      </c>
      <c r="J164" s="254"/>
      <c r="K164" s="105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4"/>
    </row>
    <row r="165" spans="1:25">
      <c r="A165" s="396">
        <v>512340</v>
      </c>
      <c r="B165" s="396" t="s">
        <v>1339</v>
      </c>
      <c r="C165" s="396"/>
      <c r="D165" s="396" t="s">
        <v>683</v>
      </c>
      <c r="E165" s="396"/>
      <c r="F165" s="511">
        <v>45</v>
      </c>
      <c r="G165" s="396" t="s">
        <v>674</v>
      </c>
      <c r="H165" s="397">
        <v>1</v>
      </c>
      <c r="I165" s="399">
        <f>F165*H165</f>
        <v>45</v>
      </c>
      <c r="J165" s="254"/>
      <c r="K165" s="82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4"/>
    </row>
    <row r="166" spans="1:25">
      <c r="A166" s="396">
        <v>512105</v>
      </c>
      <c r="B166" s="396" t="s">
        <v>1344</v>
      </c>
      <c r="C166" s="396"/>
      <c r="D166" s="396" t="s">
        <v>683</v>
      </c>
      <c r="E166" s="396"/>
      <c r="F166" s="511">
        <v>0.26829999999999998</v>
      </c>
      <c r="G166" s="396"/>
      <c r="H166" s="397">
        <v>0</v>
      </c>
      <c r="I166" s="399">
        <f t="shared" ref="I166:I180" si="31">$C$42*F166*H166</f>
        <v>0</v>
      </c>
      <c r="J166" s="254"/>
      <c r="K166" s="82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4"/>
    </row>
    <row r="167" spans="1:25">
      <c r="A167" s="396">
        <v>512340</v>
      </c>
      <c r="B167" s="396" t="s">
        <v>1341</v>
      </c>
      <c r="C167" s="396"/>
      <c r="D167" s="396" t="s">
        <v>683</v>
      </c>
      <c r="E167" s="396"/>
      <c r="F167" s="511">
        <v>0.2477</v>
      </c>
      <c r="G167" s="396" t="s">
        <v>41</v>
      </c>
      <c r="H167" s="397">
        <v>0</v>
      </c>
      <c r="I167" s="399">
        <f t="shared" si="31"/>
        <v>0</v>
      </c>
      <c r="J167" s="254"/>
      <c r="K167" s="82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4"/>
    </row>
    <row r="168" spans="1:25">
      <c r="A168" s="396">
        <v>512340</v>
      </c>
      <c r="B168" s="396" t="s">
        <v>1343</v>
      </c>
      <c r="C168" s="396"/>
      <c r="D168" s="396" t="s">
        <v>683</v>
      </c>
      <c r="E168" s="396"/>
      <c r="F168" s="511">
        <v>0.33029999999999998</v>
      </c>
      <c r="G168" s="396" t="s">
        <v>41</v>
      </c>
      <c r="H168" s="397">
        <v>0</v>
      </c>
      <c r="I168" s="399">
        <f t="shared" si="31"/>
        <v>0</v>
      </c>
      <c r="J168" s="254"/>
      <c r="K168" s="82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4"/>
    </row>
    <row r="169" spans="1:25">
      <c r="A169" s="396">
        <v>512340</v>
      </c>
      <c r="B169" s="396" t="s">
        <v>1345</v>
      </c>
      <c r="C169" s="396"/>
      <c r="D169" s="396" t="s">
        <v>683</v>
      </c>
      <c r="E169" s="396"/>
      <c r="F169" s="511">
        <v>0.12379999999999999</v>
      </c>
      <c r="G169" s="396"/>
      <c r="H169" s="397">
        <v>0</v>
      </c>
      <c r="I169" s="399">
        <f t="shared" si="31"/>
        <v>0</v>
      </c>
      <c r="J169" s="254"/>
      <c r="K169" s="82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4"/>
    </row>
    <row r="170" spans="1:25">
      <c r="A170" s="396">
        <v>512340</v>
      </c>
      <c r="B170" s="396" t="s">
        <v>1359</v>
      </c>
      <c r="C170" s="396"/>
      <c r="D170" s="396" t="s">
        <v>683</v>
      </c>
      <c r="E170" s="396"/>
      <c r="F170" s="511">
        <v>0.33</v>
      </c>
      <c r="G170" s="396"/>
      <c r="H170" s="397">
        <v>0</v>
      </c>
      <c r="I170" s="399">
        <f t="shared" si="31"/>
        <v>0</v>
      </c>
      <c r="J170" s="254"/>
      <c r="K170" s="82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4"/>
    </row>
    <row r="171" spans="1:25">
      <c r="A171" s="396">
        <v>512340</v>
      </c>
      <c r="B171" s="396" t="s">
        <v>1322</v>
      </c>
      <c r="C171" s="396"/>
      <c r="D171" s="396" t="s">
        <v>683</v>
      </c>
      <c r="E171" s="396"/>
      <c r="F171" s="511">
        <v>6.88E-2</v>
      </c>
      <c r="G171" s="396"/>
      <c r="H171" s="397">
        <v>0</v>
      </c>
      <c r="I171" s="399">
        <f t="shared" si="31"/>
        <v>0</v>
      </c>
      <c r="J171" s="254"/>
      <c r="K171" s="82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4"/>
    </row>
    <row r="172" spans="1:25">
      <c r="A172" s="396">
        <v>512340</v>
      </c>
      <c r="B172" s="396" t="s">
        <v>701</v>
      </c>
      <c r="C172" s="396"/>
      <c r="D172" s="396" t="s">
        <v>683</v>
      </c>
      <c r="E172" s="396"/>
      <c r="F172" s="511">
        <v>0.45</v>
      </c>
      <c r="G172" s="396" t="s">
        <v>41</v>
      </c>
      <c r="H172" s="397">
        <v>1</v>
      </c>
      <c r="I172" s="399">
        <f t="shared" si="31"/>
        <v>99</v>
      </c>
      <c r="J172" s="254"/>
      <c r="K172" s="82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4"/>
    </row>
    <row r="173" spans="1:25">
      <c r="A173" s="396">
        <v>512340</v>
      </c>
      <c r="B173" s="396" t="s">
        <v>701</v>
      </c>
      <c r="C173" s="396"/>
      <c r="D173" s="396" t="s">
        <v>1268</v>
      </c>
      <c r="E173" s="396"/>
      <c r="F173" s="511"/>
      <c r="G173" s="396"/>
      <c r="H173" s="397">
        <v>0</v>
      </c>
      <c r="I173" s="399">
        <f t="shared" si="31"/>
        <v>0</v>
      </c>
      <c r="J173" s="254"/>
      <c r="K173" s="82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4"/>
    </row>
    <row r="174" spans="1:25">
      <c r="A174" s="396">
        <v>512340</v>
      </c>
      <c r="B174" s="396" t="s">
        <v>701</v>
      </c>
      <c r="C174" s="396"/>
      <c r="D174" s="396" t="s">
        <v>1266</v>
      </c>
      <c r="E174" s="396"/>
      <c r="F174" s="511"/>
      <c r="G174" s="396"/>
      <c r="H174" s="397">
        <v>0</v>
      </c>
      <c r="I174" s="399">
        <f t="shared" si="31"/>
        <v>0</v>
      </c>
      <c r="J174" s="254"/>
      <c r="K174" s="82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4"/>
    </row>
    <row r="175" spans="1:25">
      <c r="A175" s="396">
        <v>512340</v>
      </c>
      <c r="B175" s="396" t="s">
        <v>701</v>
      </c>
      <c r="C175" s="396"/>
      <c r="D175" s="396" t="s">
        <v>1267</v>
      </c>
      <c r="E175" s="396"/>
      <c r="F175" s="511"/>
      <c r="G175" s="396"/>
      <c r="H175" s="397">
        <v>0</v>
      </c>
      <c r="I175" s="399">
        <f t="shared" si="31"/>
        <v>0</v>
      </c>
      <c r="J175" s="254"/>
      <c r="K175" s="82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4"/>
    </row>
    <row r="176" spans="1:25">
      <c r="A176" s="396">
        <v>512340</v>
      </c>
      <c r="B176" s="396" t="s">
        <v>1342</v>
      </c>
      <c r="C176" s="396"/>
      <c r="D176" s="396" t="s">
        <v>683</v>
      </c>
      <c r="E176" s="396"/>
      <c r="F176" s="511">
        <v>0.30959999999999999</v>
      </c>
      <c r="G176" s="396" t="s">
        <v>41</v>
      </c>
      <c r="H176" s="397">
        <v>0</v>
      </c>
      <c r="I176" s="399">
        <f t="shared" si="31"/>
        <v>0</v>
      </c>
      <c r="J176" s="254"/>
      <c r="K176" s="82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4"/>
    </row>
    <row r="177" spans="1:25">
      <c r="A177" s="396">
        <v>512345</v>
      </c>
      <c r="B177" s="396" t="s">
        <v>673</v>
      </c>
      <c r="C177" s="396"/>
      <c r="D177" s="396" t="s">
        <v>672</v>
      </c>
      <c r="E177" s="396"/>
      <c r="F177" s="511">
        <v>0.25</v>
      </c>
      <c r="G177" s="396" t="s">
        <v>41</v>
      </c>
      <c r="H177" s="397">
        <v>1</v>
      </c>
      <c r="I177" s="399">
        <f t="shared" si="31"/>
        <v>55</v>
      </c>
      <c r="J177" s="254"/>
      <c r="K177" s="82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0"/>
    </row>
    <row r="178" spans="1:25">
      <c r="A178" s="396">
        <v>515145</v>
      </c>
      <c r="B178" s="396" t="s">
        <v>654</v>
      </c>
      <c r="C178" s="396"/>
      <c r="D178" s="396" t="s">
        <v>585</v>
      </c>
      <c r="E178" s="396"/>
      <c r="F178" s="511">
        <v>0.19008264462809918</v>
      </c>
      <c r="G178" s="396" t="s">
        <v>41</v>
      </c>
      <c r="H178" s="397">
        <v>0</v>
      </c>
      <c r="I178" s="399">
        <f t="shared" si="31"/>
        <v>0</v>
      </c>
      <c r="J178" s="254"/>
      <c r="K178" s="82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75"/>
    </row>
    <row r="179" spans="1:25">
      <c r="A179" s="396">
        <v>515145</v>
      </c>
      <c r="B179" s="396" t="s">
        <v>21</v>
      </c>
      <c r="C179" s="396"/>
      <c r="D179" s="396" t="s">
        <v>585</v>
      </c>
      <c r="E179" s="396"/>
      <c r="F179" s="511"/>
      <c r="G179" s="396" t="s">
        <v>616</v>
      </c>
      <c r="H179" s="397">
        <v>0</v>
      </c>
      <c r="I179" s="399">
        <f t="shared" si="31"/>
        <v>0</v>
      </c>
      <c r="J179" s="254"/>
      <c r="K179" s="82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79"/>
    </row>
    <row r="180" spans="1:25">
      <c r="A180" s="396">
        <v>515145</v>
      </c>
      <c r="B180" s="396" t="s">
        <v>21</v>
      </c>
      <c r="C180" s="396"/>
      <c r="D180" s="396" t="s">
        <v>189</v>
      </c>
      <c r="E180" s="396"/>
      <c r="F180" s="511">
        <v>0.65</v>
      </c>
      <c r="G180" s="396" t="s">
        <v>41</v>
      </c>
      <c r="H180" s="397">
        <v>0</v>
      </c>
      <c r="I180" s="399">
        <f t="shared" si="31"/>
        <v>0</v>
      </c>
      <c r="J180" s="254"/>
      <c r="K180" s="82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79"/>
    </row>
    <row r="181" spans="1:25" ht="15" thickBot="1">
      <c r="A181" s="66" t="s">
        <v>88</v>
      </c>
      <c r="B181" s="66" t="s">
        <v>89</v>
      </c>
      <c r="D181" s="77" t="s">
        <v>90</v>
      </c>
      <c r="E181" s="84"/>
      <c r="F181" s="330"/>
      <c r="G181" s="330" t="s">
        <v>1311</v>
      </c>
      <c r="H181" s="70"/>
      <c r="I181" s="101"/>
      <c r="J181" s="254"/>
      <c r="K181" s="82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75"/>
    </row>
    <row r="182" spans="1:25">
      <c r="A182" s="363"/>
      <c r="B182" s="364" t="s">
        <v>183</v>
      </c>
      <c r="C182" s="363"/>
      <c r="D182" s="363"/>
      <c r="E182" s="363"/>
      <c r="F182" s="363"/>
      <c r="G182" s="363"/>
      <c r="H182" s="363"/>
      <c r="I182" s="251"/>
      <c r="J182" s="254"/>
      <c r="K182" s="82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75"/>
    </row>
    <row r="183" spans="1:25">
      <c r="A183" s="490">
        <v>512355</v>
      </c>
      <c r="B183" s="481" t="s">
        <v>605</v>
      </c>
      <c r="C183" s="473"/>
      <c r="D183" s="481"/>
      <c r="E183" s="481"/>
      <c r="F183" s="481"/>
      <c r="G183" s="481"/>
      <c r="H183" s="481"/>
      <c r="I183" s="251">
        <v>200</v>
      </c>
      <c r="J183" s="254"/>
      <c r="K183" s="82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4"/>
    </row>
    <row r="184" spans="1:25">
      <c r="A184" s="490">
        <v>512440</v>
      </c>
      <c r="B184" s="481" t="s">
        <v>104</v>
      </c>
      <c r="C184" s="473"/>
      <c r="D184" s="481" t="s">
        <v>716</v>
      </c>
      <c r="E184" s="481"/>
      <c r="F184" s="481"/>
      <c r="G184" s="481"/>
      <c r="H184" s="481"/>
      <c r="I184" s="251">
        <v>50</v>
      </c>
      <c r="J184" s="254"/>
      <c r="K184" s="82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4"/>
    </row>
    <row r="185" spans="1:25">
      <c r="A185" s="490">
        <v>512450</v>
      </c>
      <c r="B185" s="481" t="s">
        <v>130</v>
      </c>
      <c r="C185" s="473"/>
      <c r="D185" s="481"/>
      <c r="E185" s="481"/>
      <c r="F185" s="481"/>
      <c r="G185" s="481"/>
      <c r="H185" s="481"/>
      <c r="I185" s="251"/>
      <c r="J185" s="254"/>
      <c r="K185" s="82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4"/>
    </row>
    <row r="186" spans="1:25">
      <c r="A186" s="490">
        <v>512450</v>
      </c>
      <c r="B186" s="481" t="s">
        <v>188</v>
      </c>
      <c r="C186" s="473"/>
      <c r="D186" s="481" t="s">
        <v>717</v>
      </c>
      <c r="E186" s="481"/>
      <c r="F186" s="481"/>
      <c r="G186" s="481"/>
      <c r="H186" s="481"/>
      <c r="I186" s="251">
        <v>400</v>
      </c>
      <c r="J186" s="254"/>
      <c r="K186" s="82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4"/>
    </row>
    <row r="187" spans="1:25">
      <c r="A187" s="489"/>
      <c r="B187" s="364" t="s">
        <v>184</v>
      </c>
      <c r="C187" s="363"/>
      <c r="D187" s="363"/>
      <c r="E187" s="363"/>
      <c r="F187" s="363"/>
      <c r="G187" s="363"/>
      <c r="H187" s="363"/>
      <c r="I187" s="251"/>
      <c r="J187" s="254"/>
      <c r="K187" s="82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4"/>
    </row>
    <row r="188" spans="1:25">
      <c r="A188" s="490">
        <v>512445</v>
      </c>
      <c r="B188" s="481" t="s">
        <v>190</v>
      </c>
      <c r="C188" s="473"/>
      <c r="D188" s="481"/>
      <c r="E188" s="481"/>
      <c r="F188" s="481"/>
      <c r="G188" s="481"/>
      <c r="H188" s="481"/>
      <c r="I188" s="251"/>
      <c r="J188" s="254"/>
      <c r="K188" s="82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4"/>
    </row>
    <row r="189" spans="1:25">
      <c r="A189" s="490">
        <v>514247</v>
      </c>
      <c r="B189" s="481" t="s">
        <v>167</v>
      </c>
      <c r="C189" s="473"/>
      <c r="D189" s="481"/>
      <c r="E189" s="481"/>
      <c r="F189" s="481"/>
      <c r="G189" s="481"/>
      <c r="H189" s="481"/>
      <c r="I189" s="251"/>
      <c r="J189" s="254"/>
      <c r="K189" s="82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4"/>
    </row>
    <row r="190" spans="1:25">
      <c r="A190" s="490">
        <v>514505</v>
      </c>
      <c r="B190" s="481" t="s">
        <v>116</v>
      </c>
      <c r="C190" s="473"/>
      <c r="D190" s="481"/>
      <c r="E190" s="481"/>
      <c r="F190" s="481"/>
      <c r="G190" s="481"/>
      <c r="H190" s="481"/>
      <c r="I190" s="251"/>
      <c r="J190" s="254"/>
      <c r="K190" s="82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4"/>
    </row>
    <row r="191" spans="1:25">
      <c r="A191" s="490">
        <v>514525</v>
      </c>
      <c r="B191" s="481" t="s">
        <v>18</v>
      </c>
      <c r="C191" s="473"/>
      <c r="D191" s="481" t="s">
        <v>718</v>
      </c>
      <c r="E191" s="481"/>
      <c r="F191" s="481"/>
      <c r="G191" s="481"/>
      <c r="H191" s="481"/>
      <c r="I191" s="251"/>
      <c r="J191" s="254"/>
      <c r="K191" s="82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4"/>
    </row>
    <row r="192" spans="1:25">
      <c r="A192" s="490">
        <v>514530</v>
      </c>
      <c r="B192" s="481" t="s">
        <v>19</v>
      </c>
      <c r="C192" s="473"/>
      <c r="D192" s="481" t="s">
        <v>719</v>
      </c>
      <c r="E192" s="481"/>
      <c r="F192" s="481"/>
      <c r="G192" s="481" t="s">
        <v>720</v>
      </c>
      <c r="H192" s="481"/>
      <c r="I192" s="251">
        <v>50</v>
      </c>
      <c r="J192" s="254"/>
      <c r="K192" s="82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4"/>
    </row>
    <row r="193" spans="1:26">
      <c r="A193" s="490">
        <v>514535</v>
      </c>
      <c r="B193" s="481" t="s">
        <v>20</v>
      </c>
      <c r="C193" s="473"/>
      <c r="D193" s="481"/>
      <c r="E193" s="481"/>
      <c r="F193" s="481"/>
      <c r="G193" s="481"/>
      <c r="H193" s="481"/>
      <c r="I193" s="251"/>
      <c r="J193" s="254"/>
      <c r="K193" s="82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4"/>
    </row>
    <row r="194" spans="1:26">
      <c r="A194" s="490">
        <v>514545</v>
      </c>
      <c r="B194" s="481" t="s">
        <v>105</v>
      </c>
      <c r="C194" s="473"/>
      <c r="D194" s="481"/>
      <c r="E194" s="481"/>
      <c r="F194" s="481"/>
      <c r="G194" s="481"/>
      <c r="H194" s="481"/>
      <c r="I194" s="251"/>
      <c r="J194" s="254"/>
      <c r="K194" s="82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4"/>
    </row>
    <row r="195" spans="1:26">
      <c r="A195" s="490">
        <v>621110</v>
      </c>
      <c r="B195" s="481" t="s">
        <v>68</v>
      </c>
      <c r="C195" s="473"/>
      <c r="D195" s="481"/>
      <c r="E195" s="481"/>
      <c r="F195" s="481"/>
      <c r="G195" s="481"/>
      <c r="H195" s="481"/>
      <c r="I195" s="251"/>
      <c r="J195" s="254"/>
      <c r="K195" s="82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4"/>
    </row>
    <row r="196" spans="1:26">
      <c r="A196" s="490"/>
      <c r="B196" s="481"/>
      <c r="C196" s="473"/>
      <c r="D196" s="481"/>
      <c r="E196" s="481"/>
      <c r="F196" s="481"/>
      <c r="G196" s="481"/>
      <c r="H196" s="481"/>
      <c r="I196" s="252"/>
      <c r="J196" s="82"/>
      <c r="K196" s="82"/>
      <c r="L196" s="82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4"/>
      <c r="Z196" s="84"/>
    </row>
    <row r="197" spans="1:26">
      <c r="A197" s="85"/>
      <c r="B197" s="85"/>
      <c r="C197" s="85"/>
      <c r="D197" s="85"/>
      <c r="E197" s="85"/>
      <c r="F197" s="85"/>
      <c r="G197" s="85"/>
      <c r="H197" s="85"/>
      <c r="I197" s="86"/>
      <c r="J197" s="55"/>
      <c r="K197" s="55"/>
      <c r="L197" s="55"/>
      <c r="Y197" s="84"/>
      <c r="Z197" s="84"/>
    </row>
    <row r="198" spans="1:26" ht="15" thickBot="1">
      <c r="A198" s="54" t="s">
        <v>181</v>
      </c>
      <c r="H198" s="49" t="str">
        <f>+A2</f>
        <v>Budget Master</v>
      </c>
      <c r="I198" s="55"/>
      <c r="J198" s="87"/>
      <c r="K198" s="87"/>
      <c r="L198" s="87"/>
      <c r="Y198" s="84"/>
      <c r="Z198" s="84"/>
    </row>
    <row r="199" spans="1:26" ht="16" thickTop="1" thickBot="1">
      <c r="A199" s="81" t="s">
        <v>621</v>
      </c>
      <c r="B199" s="81" t="s">
        <v>622</v>
      </c>
      <c r="C199" s="81"/>
      <c r="D199" s="81"/>
      <c r="E199" s="81"/>
      <c r="F199" s="81"/>
      <c r="G199" s="81"/>
      <c r="H199" s="81" t="s">
        <v>623</v>
      </c>
      <c r="I199" s="495" t="s">
        <v>624</v>
      </c>
      <c r="J199" s="87"/>
      <c r="L199" s="87"/>
      <c r="Y199" s="84"/>
      <c r="Z199" s="84"/>
    </row>
    <row r="200" spans="1:26" ht="15" thickTop="1">
      <c r="A200" s="360" t="s">
        <v>520</v>
      </c>
      <c r="B200" s="519" t="s">
        <v>1357</v>
      </c>
      <c r="C200" s="519"/>
      <c r="D200" s="519"/>
      <c r="E200" s="519"/>
      <c r="F200" s="520"/>
      <c r="G200" s="520"/>
      <c r="H200" s="220">
        <v>42990</v>
      </c>
      <c r="I200" s="370"/>
      <c r="J200" s="510"/>
      <c r="L200" s="510"/>
      <c r="Y200" s="84"/>
      <c r="Z200" s="84"/>
    </row>
    <row r="201" spans="1:26">
      <c r="A201" s="360" t="s">
        <v>520</v>
      </c>
      <c r="B201" s="524" t="s">
        <v>1243</v>
      </c>
      <c r="C201" s="524"/>
      <c r="D201" s="524"/>
      <c r="E201" s="524"/>
      <c r="F201" s="522" t="s">
        <v>1280</v>
      </c>
      <c r="G201" s="522"/>
      <c r="H201" s="220">
        <v>42993</v>
      </c>
      <c r="I201" s="370"/>
      <c r="J201" s="87"/>
      <c r="L201" s="87"/>
      <c r="Y201" s="84"/>
      <c r="Z201" s="84"/>
    </row>
    <row r="202" spans="1:26">
      <c r="A202" s="360" t="s">
        <v>583</v>
      </c>
      <c r="B202" s="524" t="s">
        <v>625</v>
      </c>
      <c r="C202" s="524"/>
      <c r="D202" s="524"/>
      <c r="E202" s="524"/>
      <c r="F202" s="522" t="s">
        <v>1288</v>
      </c>
      <c r="G202" s="522"/>
      <c r="H202" s="220">
        <v>42996</v>
      </c>
      <c r="I202" s="370"/>
      <c r="J202" s="314"/>
      <c r="L202" s="87"/>
      <c r="Y202" s="84"/>
      <c r="Z202" s="84"/>
    </row>
    <row r="203" spans="1:26">
      <c r="A203" s="360" t="s">
        <v>1273</v>
      </c>
      <c r="B203" s="521" t="s">
        <v>1274</v>
      </c>
      <c r="C203" s="521"/>
      <c r="D203" s="521"/>
      <c r="E203" s="521"/>
      <c r="F203" s="522" t="s">
        <v>1281</v>
      </c>
      <c r="G203" s="522"/>
      <c r="H203" s="220">
        <f>+H202+5</f>
        <v>43001</v>
      </c>
      <c r="I203" s="370"/>
      <c r="J203" s="314"/>
      <c r="L203" s="87"/>
      <c r="Y203" s="84"/>
      <c r="Z203" s="84"/>
    </row>
    <row r="204" spans="1:26">
      <c r="A204" s="360" t="str">
        <f>+B16</f>
        <v>Regional</v>
      </c>
      <c r="B204" s="521" t="s">
        <v>684</v>
      </c>
      <c r="C204" s="521"/>
      <c r="D204" s="521"/>
      <c r="E204" s="521"/>
      <c r="F204" s="523" t="s">
        <v>1278</v>
      </c>
      <c r="G204" s="523"/>
      <c r="H204" s="220">
        <f t="shared" ref="H204:H206" si="32">+H203+5</f>
        <v>43006</v>
      </c>
      <c r="I204" s="491"/>
      <c r="J204" s="57"/>
      <c r="L204" s="57"/>
      <c r="M204" s="57"/>
    </row>
    <row r="205" spans="1:26">
      <c r="A205" s="360" t="str">
        <f>+B15</f>
        <v>Manager</v>
      </c>
      <c r="B205" s="521" t="s">
        <v>626</v>
      </c>
      <c r="C205" s="521"/>
      <c r="D205" s="521"/>
      <c r="E205" s="521"/>
      <c r="F205" s="523" t="s">
        <v>1277</v>
      </c>
      <c r="G205" s="523"/>
      <c r="H205" s="220">
        <f t="shared" si="32"/>
        <v>43011</v>
      </c>
      <c r="I205" s="491"/>
      <c r="J205" s="57"/>
      <c r="L205" s="57"/>
      <c r="M205" s="57"/>
    </row>
    <row r="206" spans="1:26">
      <c r="A206" s="360" t="str">
        <f>+B16</f>
        <v>Regional</v>
      </c>
      <c r="B206" s="521" t="s">
        <v>1275</v>
      </c>
      <c r="C206" s="521"/>
      <c r="D206" s="521"/>
      <c r="E206" s="521"/>
      <c r="F206" s="523" t="s">
        <v>1278</v>
      </c>
      <c r="G206" s="523"/>
      <c r="H206" s="220">
        <f t="shared" si="32"/>
        <v>43016</v>
      </c>
      <c r="I206" s="491"/>
      <c r="J206" s="57"/>
      <c r="L206" s="57"/>
      <c r="M206" s="57"/>
    </row>
    <row r="207" spans="1:26">
      <c r="A207" s="360" t="s">
        <v>699</v>
      </c>
      <c r="B207" s="521" t="s">
        <v>627</v>
      </c>
      <c r="C207" s="521"/>
      <c r="D207" s="521"/>
      <c r="E207" s="521"/>
      <c r="F207" s="523" t="s">
        <v>1279</v>
      </c>
      <c r="G207" s="523"/>
      <c r="H207" s="151">
        <v>42692</v>
      </c>
      <c r="I207" s="491"/>
      <c r="J207" s="314"/>
      <c r="L207" s="87"/>
      <c r="Y207" s="84"/>
      <c r="Z207" s="84"/>
    </row>
    <row r="208" spans="1:26">
      <c r="A208" s="360" t="str">
        <f>+B17</f>
        <v>Accountant</v>
      </c>
      <c r="B208" s="521" t="s">
        <v>1282</v>
      </c>
      <c r="C208" s="521"/>
      <c r="D208" s="521"/>
      <c r="E208" s="521"/>
      <c r="F208" s="522" t="s">
        <v>194</v>
      </c>
      <c r="G208" s="522"/>
      <c r="H208" s="220">
        <f>+H207+5</f>
        <v>42697</v>
      </c>
      <c r="I208" s="370"/>
      <c r="J208" s="57"/>
      <c r="L208" s="57"/>
      <c r="M208" s="57"/>
    </row>
    <row r="209" spans="1:13">
      <c r="A209" s="360" t="s">
        <v>520</v>
      </c>
      <c r="B209" s="521" t="s">
        <v>651</v>
      </c>
      <c r="C209" s="521"/>
      <c r="D209" s="521"/>
      <c r="E209" s="521"/>
      <c r="F209" s="523" t="s">
        <v>1280</v>
      </c>
      <c r="G209" s="523"/>
      <c r="H209" s="151">
        <v>42719</v>
      </c>
      <c r="I209" s="370"/>
      <c r="J209" s="57"/>
      <c r="L209" s="57"/>
      <c r="M209" s="57"/>
    </row>
    <row r="210" spans="1:13">
      <c r="A210" s="360" t="str">
        <f>+B16</f>
        <v>Regional</v>
      </c>
      <c r="B210" s="521" t="s">
        <v>696</v>
      </c>
      <c r="C210" s="521"/>
      <c r="D210" s="521"/>
      <c r="E210" s="521"/>
      <c r="F210" s="523" t="s">
        <v>1278</v>
      </c>
      <c r="G210" s="523"/>
      <c r="H210" s="151">
        <v>42724</v>
      </c>
      <c r="I210" s="491"/>
      <c r="J210" s="57"/>
      <c r="K210" s="468"/>
      <c r="L210" s="57"/>
      <c r="M210" s="57"/>
    </row>
    <row r="211" spans="1:13" ht="15" thickBot="1">
      <c r="A211" s="496"/>
      <c r="B211" s="497"/>
      <c r="C211" s="497"/>
      <c r="D211" s="498"/>
      <c r="E211" s="498"/>
      <c r="F211" s="498"/>
      <c r="G211" s="498"/>
      <c r="H211" s="499"/>
      <c r="I211" s="500"/>
      <c r="J211" s="57"/>
      <c r="K211" s="57"/>
      <c r="L211" s="57"/>
      <c r="M211" s="57"/>
    </row>
    <row r="212" spans="1:13" ht="15" thickBot="1">
      <c r="A212" s="90" t="s">
        <v>9</v>
      </c>
      <c r="B212" s="57"/>
      <c r="C212" s="90" t="s">
        <v>9</v>
      </c>
      <c r="D212" s="57"/>
      <c r="E212" s="57"/>
      <c r="F212" s="57"/>
      <c r="G212" s="57"/>
      <c r="H212" s="57"/>
      <c r="I212" s="57"/>
      <c r="J212" s="93"/>
      <c r="K212" s="93"/>
      <c r="L212" s="93"/>
      <c r="M212" s="57"/>
    </row>
    <row r="213" spans="1:13" ht="16" thickTop="1" thickBot="1">
      <c r="A213" s="91" t="s">
        <v>621</v>
      </c>
      <c r="B213" s="92" t="s">
        <v>630</v>
      </c>
      <c r="C213" s="92"/>
      <c r="D213" s="92"/>
      <c r="E213" s="92"/>
      <c r="F213" s="92"/>
      <c r="G213" s="92"/>
      <c r="H213" s="92" t="s">
        <v>628</v>
      </c>
      <c r="I213" s="92" t="s">
        <v>629</v>
      </c>
      <c r="J213" s="57"/>
      <c r="K213" s="57"/>
      <c r="L213" s="57"/>
      <c r="M213" s="57"/>
    </row>
    <row r="214" spans="1:13" ht="15" thickTop="1">
      <c r="A214" s="88"/>
      <c r="B214" s="57"/>
      <c r="C214" s="57"/>
      <c r="D214" s="57"/>
      <c r="E214" s="57"/>
      <c r="F214" s="57"/>
      <c r="G214" s="57"/>
      <c r="H214" s="89"/>
      <c r="I214" s="89"/>
      <c r="J214" s="57"/>
      <c r="K214" s="57"/>
      <c r="L214" s="57"/>
      <c r="M214" s="57"/>
    </row>
    <row r="215" spans="1:13">
      <c r="A215" s="88"/>
      <c r="B215" s="57"/>
      <c r="C215" s="57"/>
      <c r="D215" s="57"/>
      <c r="E215" s="57"/>
      <c r="F215" s="57"/>
      <c r="G215" s="57"/>
      <c r="H215" s="89"/>
      <c r="I215" s="89"/>
      <c r="J215" s="57"/>
      <c r="K215" s="57"/>
      <c r="L215" s="57"/>
      <c r="M215" s="57"/>
    </row>
    <row r="216" spans="1:13">
      <c r="A216" s="88"/>
      <c r="B216" s="88"/>
      <c r="C216" s="88"/>
      <c r="D216" s="88"/>
      <c r="E216" s="88"/>
      <c r="F216" s="88"/>
      <c r="G216" s="57"/>
      <c r="H216" s="89"/>
      <c r="I216" s="89"/>
      <c r="J216" s="57"/>
      <c r="K216" s="57"/>
      <c r="L216" s="57"/>
      <c r="M216" s="57"/>
    </row>
    <row r="217" spans="1:13">
      <c r="A217" s="88"/>
      <c r="B217" s="88"/>
      <c r="C217" s="88"/>
      <c r="D217" s="88"/>
      <c r="E217" s="88"/>
      <c r="F217" s="88"/>
      <c r="G217" s="57"/>
      <c r="H217" s="89"/>
      <c r="I217" s="89"/>
      <c r="J217" s="57"/>
      <c r="K217" s="57"/>
      <c r="L217" s="57"/>
      <c r="M217" s="57"/>
    </row>
    <row r="218" spans="1:13">
      <c r="A218" s="88"/>
      <c r="B218" s="88"/>
      <c r="C218" s="88"/>
      <c r="D218" s="88"/>
      <c r="E218" s="88"/>
      <c r="F218" s="88"/>
      <c r="G218" s="57"/>
      <c r="H218" s="88"/>
      <c r="I218" s="89"/>
      <c r="J218" s="57"/>
      <c r="K218" s="57"/>
      <c r="L218" s="57"/>
      <c r="M218" s="57"/>
    </row>
    <row r="219" spans="1:13">
      <c r="A219" s="88"/>
      <c r="B219" s="88"/>
      <c r="C219" s="88"/>
      <c r="D219" s="88"/>
      <c r="E219" s="88"/>
      <c r="F219" s="88"/>
      <c r="G219" s="57"/>
      <c r="H219" s="88"/>
      <c r="I219" s="89"/>
      <c r="J219" s="57"/>
      <c r="K219" s="57"/>
      <c r="L219" s="57"/>
      <c r="M219" s="57"/>
    </row>
    <row r="220" spans="1:13">
      <c r="A220" s="88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</row>
    <row r="221" spans="1:13" ht="12.75" customHeight="1">
      <c r="A221" s="88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</row>
    <row r="222" spans="1:13" ht="12.75" customHeight="1">
      <c r="A222" s="88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</row>
    <row r="223" spans="1:13" ht="12.75" customHeight="1" thickBot="1">
      <c r="A223" s="158" t="s">
        <v>721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</row>
    <row r="224" spans="1:13" ht="12.75" customHeight="1" thickTop="1" thickBot="1">
      <c r="A224" s="91"/>
      <c r="B224" s="92" t="s">
        <v>185</v>
      </c>
      <c r="C224" s="92"/>
      <c r="D224" s="92"/>
      <c r="E224" s="92"/>
      <c r="F224" s="92"/>
      <c r="G224" s="92"/>
      <c r="H224" s="92"/>
      <c r="I224" s="92"/>
      <c r="L224" s="57"/>
      <c r="M224" s="57"/>
    </row>
    <row r="225" spans="1:13" ht="12.75" customHeight="1" thickTop="1">
      <c r="A225" s="386" t="s">
        <v>88</v>
      </c>
      <c r="B225" s="221" t="s">
        <v>678</v>
      </c>
      <c r="C225" s="391"/>
      <c r="D225" s="391" t="s">
        <v>679</v>
      </c>
      <c r="E225" s="221"/>
      <c r="F225" s="389"/>
      <c r="G225" s="389"/>
      <c r="H225" s="389"/>
      <c r="I225" s="389"/>
      <c r="J225" s="57"/>
      <c r="K225" s="57"/>
    </row>
    <row r="226" spans="1:13" ht="12.75" customHeight="1">
      <c r="A226" s="386">
        <v>512340</v>
      </c>
      <c r="B226" s="221" t="s">
        <v>688</v>
      </c>
      <c r="C226" s="391"/>
      <c r="D226" s="391" t="s">
        <v>689</v>
      </c>
      <c r="E226" s="217"/>
      <c r="F226" s="389"/>
      <c r="G226" s="389"/>
      <c r="H226" s="389"/>
      <c r="I226" s="389"/>
      <c r="L226" s="57"/>
      <c r="M226" s="57"/>
    </row>
    <row r="227" spans="1:13">
      <c r="A227" s="386">
        <v>512330</v>
      </c>
      <c r="B227" s="221" t="s">
        <v>697</v>
      </c>
      <c r="C227" s="391"/>
      <c r="D227" s="391" t="s">
        <v>698</v>
      </c>
      <c r="E227" s="217"/>
      <c r="F227" s="389"/>
      <c r="G227" s="389"/>
      <c r="H227" s="389"/>
      <c r="I227" s="389"/>
      <c r="J227" s="57"/>
      <c r="K227" s="57"/>
      <c r="L227" s="57"/>
      <c r="M227" s="57"/>
    </row>
    <row r="228" spans="1:13">
      <c r="A228" s="386"/>
      <c r="B228" s="217"/>
      <c r="C228" s="391"/>
      <c r="D228" s="391"/>
      <c r="E228" s="217"/>
      <c r="F228" s="390"/>
      <c r="G228" s="390"/>
      <c r="H228" s="390"/>
      <c r="I228" s="390"/>
    </row>
    <row r="229" spans="1:13">
      <c r="A229" s="386"/>
      <c r="B229" s="392"/>
      <c r="C229" s="391"/>
      <c r="D229" s="391"/>
      <c r="E229" s="221"/>
      <c r="F229" s="389"/>
      <c r="G229" s="389"/>
      <c r="H229" s="389"/>
      <c r="I229" s="389"/>
      <c r="J229" s="57"/>
      <c r="K229" s="57"/>
    </row>
    <row r="230" spans="1:13">
      <c r="A230" s="386"/>
      <c r="B230" s="217"/>
      <c r="C230" s="391"/>
      <c r="D230" s="391"/>
      <c r="E230" s="217"/>
      <c r="F230" s="390"/>
      <c r="G230" s="390"/>
      <c r="H230" s="390"/>
      <c r="I230" s="390"/>
    </row>
    <row r="231" spans="1:13">
      <c r="A231" s="386"/>
      <c r="B231" s="217"/>
      <c r="C231" s="391"/>
      <c r="D231" s="391"/>
      <c r="E231" s="217"/>
      <c r="F231" s="389"/>
      <c r="G231" s="389"/>
      <c r="H231" s="389"/>
      <c r="I231" s="389"/>
    </row>
    <row r="232" spans="1:13">
      <c r="A232" s="386"/>
      <c r="B232" s="217"/>
      <c r="C232" s="391"/>
      <c r="D232" s="391"/>
      <c r="E232" s="217"/>
      <c r="F232" s="389"/>
      <c r="G232" s="389"/>
      <c r="H232" s="389"/>
      <c r="I232" s="389"/>
    </row>
    <row r="233" spans="1:13">
      <c r="A233" s="386"/>
      <c r="B233" s="217"/>
      <c r="C233" s="391"/>
      <c r="D233" s="391"/>
      <c r="E233" s="217"/>
      <c r="F233" s="389"/>
      <c r="G233" s="389"/>
      <c r="H233" s="389"/>
      <c r="I233" s="389"/>
    </row>
    <row r="234" spans="1:13">
      <c r="A234" s="387"/>
      <c r="B234" s="390"/>
      <c r="C234" s="390"/>
      <c r="D234" s="390"/>
      <c r="E234" s="390"/>
      <c r="F234" s="390"/>
      <c r="G234" s="390"/>
      <c r="H234" s="390"/>
      <c r="I234" s="390"/>
    </row>
    <row r="235" spans="1:13">
      <c r="A235" s="388"/>
      <c r="B235" s="390"/>
      <c r="C235" s="389"/>
      <c r="D235" s="390"/>
      <c r="E235" s="389"/>
      <c r="F235" s="389"/>
      <c r="G235" s="389"/>
      <c r="H235" s="389"/>
      <c r="I235" s="389"/>
    </row>
    <row r="236" spans="1:13">
      <c r="A236" s="387"/>
      <c r="B236" s="390"/>
      <c r="C236" s="390"/>
      <c r="D236" s="390"/>
      <c r="E236" s="390"/>
      <c r="F236" s="390"/>
      <c r="G236" s="390"/>
      <c r="H236" s="390"/>
      <c r="I236" s="390"/>
    </row>
    <row r="237" spans="1:13">
      <c r="A237" s="387"/>
      <c r="B237" s="390"/>
      <c r="C237" s="390"/>
      <c r="D237" s="390"/>
      <c r="E237" s="390"/>
      <c r="F237" s="390"/>
      <c r="G237" s="390"/>
      <c r="H237" s="390"/>
      <c r="I237" s="390"/>
    </row>
    <row r="238" spans="1:13">
      <c r="A238" s="387"/>
      <c r="B238" s="390"/>
      <c r="C238" s="390"/>
      <c r="D238" s="390"/>
      <c r="E238" s="390"/>
      <c r="F238" s="390"/>
      <c r="G238" s="390"/>
      <c r="H238" s="390"/>
      <c r="I238" s="390"/>
    </row>
    <row r="239" spans="1:13">
      <c r="A239" s="387"/>
      <c r="B239" s="390"/>
      <c r="C239" s="390"/>
      <c r="D239" s="390"/>
      <c r="E239" s="390"/>
      <c r="F239" s="390"/>
      <c r="G239" s="390"/>
      <c r="H239" s="390"/>
      <c r="I239" s="390"/>
    </row>
    <row r="240" spans="1:13">
      <c r="A240" s="387"/>
      <c r="B240" s="390"/>
      <c r="C240" s="390"/>
      <c r="D240" s="390"/>
      <c r="E240" s="390"/>
      <c r="F240" s="390"/>
      <c r="G240" s="390"/>
      <c r="H240" s="390"/>
      <c r="I240" s="390"/>
    </row>
    <row r="241" spans="1:13">
      <c r="A241" s="387"/>
      <c r="B241" s="390"/>
      <c r="C241" s="390"/>
      <c r="D241" s="390"/>
      <c r="E241" s="393"/>
      <c r="F241" s="390"/>
      <c r="G241" s="390"/>
      <c r="H241" s="389"/>
      <c r="I241" s="390"/>
    </row>
    <row r="242" spans="1:13">
      <c r="A242" s="387"/>
      <c r="B242" s="390"/>
      <c r="C242" s="390"/>
      <c r="D242" s="390"/>
      <c r="E242" s="390"/>
      <c r="F242" s="390"/>
      <c r="G242" s="390"/>
      <c r="H242" s="390"/>
      <c r="I242" s="390"/>
    </row>
    <row r="243" spans="1:13">
      <c r="A243" s="387"/>
      <c r="B243" s="390"/>
      <c r="C243" s="390"/>
      <c r="D243" s="390"/>
      <c r="E243" s="390"/>
      <c r="F243" s="390"/>
      <c r="G243" s="390"/>
      <c r="H243" s="390"/>
      <c r="I243" s="390"/>
    </row>
    <row r="244" spans="1:13">
      <c r="A244" s="387"/>
      <c r="B244" s="390"/>
      <c r="C244" s="390"/>
      <c r="D244" s="390"/>
      <c r="E244" s="390"/>
      <c r="F244" s="390"/>
      <c r="G244" s="390"/>
      <c r="H244" s="390"/>
      <c r="I244" s="390"/>
    </row>
    <row r="245" spans="1:13">
      <c r="A245" s="387"/>
      <c r="B245" s="390"/>
      <c r="C245" s="390"/>
      <c r="D245" s="390"/>
      <c r="E245" s="390"/>
      <c r="F245" s="390"/>
      <c r="G245" s="390"/>
      <c r="H245" s="390"/>
      <c r="I245" s="390"/>
    </row>
    <row r="246" spans="1:13">
      <c r="A246" s="387"/>
      <c r="B246" s="390"/>
      <c r="C246" s="390"/>
      <c r="D246" s="390"/>
      <c r="E246" s="390"/>
      <c r="F246" s="390"/>
      <c r="G246" s="390"/>
      <c r="H246" s="390"/>
      <c r="I246" s="390"/>
    </row>
    <row r="247" spans="1:13">
      <c r="A247" s="387"/>
      <c r="B247" s="392"/>
      <c r="C247" s="390"/>
      <c r="D247" s="390"/>
      <c r="E247" s="390"/>
      <c r="F247" s="390"/>
      <c r="G247" s="390"/>
      <c r="H247" s="390"/>
      <c r="I247" s="390"/>
    </row>
    <row r="248" spans="1:13">
      <c r="A248" s="387"/>
      <c r="B248" s="390"/>
      <c r="C248" s="390"/>
      <c r="D248" s="390"/>
      <c r="E248" s="390"/>
      <c r="F248" s="390"/>
      <c r="G248" s="390"/>
      <c r="H248" s="390"/>
      <c r="I248" s="390"/>
    </row>
    <row r="249" spans="1:13">
      <c r="A249" s="387"/>
      <c r="B249" s="390"/>
      <c r="C249" s="390"/>
      <c r="D249" s="390"/>
      <c r="E249" s="390"/>
      <c r="F249" s="390"/>
      <c r="G249" s="390"/>
      <c r="H249" s="390"/>
      <c r="I249" s="390"/>
    </row>
    <row r="250" spans="1:13">
      <c r="A250" s="387"/>
      <c r="B250" s="390"/>
      <c r="C250" s="390"/>
      <c r="D250" s="390"/>
      <c r="E250" s="390"/>
      <c r="F250" s="390"/>
      <c r="G250" s="390"/>
      <c r="H250" s="390"/>
      <c r="I250" s="390"/>
    </row>
    <row r="251" spans="1:13">
      <c r="A251" s="387"/>
      <c r="B251" s="390"/>
      <c r="C251" s="390"/>
      <c r="D251" s="390"/>
      <c r="E251" s="390"/>
      <c r="F251" s="390"/>
      <c r="G251" s="390"/>
      <c r="H251" s="390"/>
      <c r="I251" s="390"/>
    </row>
    <row r="252" spans="1:13">
      <c r="A252" s="387"/>
      <c r="B252" s="390"/>
      <c r="C252" s="390"/>
      <c r="D252" s="390"/>
      <c r="E252" s="390"/>
      <c r="F252" s="390"/>
      <c r="G252" s="390"/>
      <c r="H252" s="390"/>
      <c r="I252" s="390"/>
    </row>
    <row r="253" spans="1:13">
      <c r="A253" s="387"/>
      <c r="B253" s="392"/>
      <c r="C253" s="390"/>
      <c r="D253" s="390"/>
      <c r="E253" s="390"/>
      <c r="F253" s="390"/>
      <c r="G253" s="390"/>
      <c r="H253" s="390"/>
      <c r="I253" s="390"/>
    </row>
    <row r="254" spans="1:13">
      <c r="A254" s="387"/>
      <c r="B254" s="392"/>
      <c r="C254" s="390"/>
      <c r="D254" s="390"/>
      <c r="E254" s="390"/>
      <c r="F254" s="390"/>
      <c r="G254" s="390"/>
      <c r="H254" s="390"/>
      <c r="I254" s="390"/>
      <c r="J254" s="57"/>
      <c r="K254" s="57"/>
      <c r="L254" s="57"/>
      <c r="M254" s="57"/>
    </row>
    <row r="255" spans="1:13">
      <c r="A255" s="388"/>
      <c r="B255" s="390"/>
      <c r="C255" s="389"/>
      <c r="D255" s="390"/>
      <c r="E255" s="389"/>
      <c r="F255" s="389"/>
      <c r="G255" s="389"/>
      <c r="H255" s="389"/>
      <c r="I255" s="389"/>
    </row>
    <row r="256" spans="1:13">
      <c r="A256" s="387"/>
      <c r="B256" s="390"/>
      <c r="C256" s="390"/>
      <c r="D256" s="390"/>
      <c r="E256" s="390"/>
      <c r="F256" s="390"/>
      <c r="G256" s="390"/>
      <c r="H256" s="390"/>
      <c r="I256" s="390"/>
    </row>
    <row r="257" spans="1:9">
      <c r="A257" s="387"/>
      <c r="B257" s="390"/>
      <c r="C257" s="390"/>
      <c r="D257" s="390"/>
      <c r="E257" s="390"/>
      <c r="F257" s="390"/>
      <c r="G257" s="390"/>
      <c r="H257" s="390"/>
      <c r="I257" s="390"/>
    </row>
    <row r="258" spans="1:9">
      <c r="A258" s="387"/>
      <c r="B258" s="390"/>
      <c r="C258" s="390"/>
      <c r="D258" s="390"/>
      <c r="E258" s="390"/>
      <c r="F258" s="390"/>
      <c r="G258" s="390"/>
      <c r="H258" s="390"/>
      <c r="I258" s="390"/>
    </row>
    <row r="259" spans="1:9">
      <c r="A259" s="387"/>
      <c r="B259" s="390"/>
      <c r="C259" s="390"/>
      <c r="D259" s="390"/>
      <c r="E259" s="390"/>
      <c r="F259" s="390"/>
      <c r="G259" s="390"/>
      <c r="H259" s="390"/>
      <c r="I259" s="390"/>
    </row>
    <row r="260" spans="1:9">
      <c r="A260" s="387"/>
      <c r="B260" s="390"/>
      <c r="C260" s="390"/>
      <c r="D260" s="390"/>
      <c r="E260" s="390"/>
      <c r="F260" s="390"/>
      <c r="G260" s="390"/>
      <c r="H260" s="390"/>
      <c r="I260" s="390"/>
    </row>
    <row r="261" spans="1:9">
      <c r="A261" s="387"/>
      <c r="B261" s="390"/>
      <c r="C261" s="390"/>
      <c r="D261" s="390"/>
      <c r="E261" s="390"/>
      <c r="F261" s="390"/>
      <c r="G261" s="390"/>
      <c r="H261" s="390"/>
      <c r="I261" s="390"/>
    </row>
    <row r="262" spans="1:9">
      <c r="A262" s="387"/>
      <c r="B262" s="390"/>
      <c r="C262" s="390"/>
      <c r="D262" s="390"/>
      <c r="E262" s="390"/>
      <c r="F262" s="390"/>
      <c r="G262" s="390"/>
      <c r="H262" s="390"/>
      <c r="I262" s="390"/>
    </row>
    <row r="263" spans="1:9">
      <c r="A263" s="387"/>
      <c r="B263" s="390"/>
      <c r="C263" s="390"/>
      <c r="D263" s="390"/>
      <c r="E263" s="390"/>
      <c r="F263" s="390"/>
      <c r="G263" s="390"/>
      <c r="H263" s="390"/>
      <c r="I263" s="390"/>
    </row>
    <row r="264" spans="1:9">
      <c r="A264" s="387"/>
      <c r="B264" s="393"/>
      <c r="C264" s="390"/>
      <c r="D264" s="390"/>
      <c r="E264" s="390"/>
      <c r="F264" s="390"/>
      <c r="G264" s="390"/>
      <c r="H264" s="390"/>
      <c r="I264" s="390"/>
    </row>
    <row r="265" spans="1:9">
      <c r="A265" s="387"/>
      <c r="B265" s="390"/>
      <c r="C265" s="390"/>
      <c r="D265" s="390"/>
      <c r="E265" s="390"/>
      <c r="F265" s="390"/>
      <c r="G265" s="390"/>
      <c r="H265" s="390"/>
      <c r="I265" s="390"/>
    </row>
    <row r="266" spans="1:9">
      <c r="A266" s="387"/>
      <c r="B266" s="393"/>
      <c r="C266" s="390"/>
      <c r="D266" s="390"/>
      <c r="E266" s="390"/>
      <c r="F266" s="390"/>
      <c r="G266" s="390"/>
      <c r="H266" s="390"/>
      <c r="I266" s="390"/>
    </row>
    <row r="267" spans="1:9">
      <c r="A267" s="387"/>
      <c r="B267" s="393"/>
      <c r="C267" s="390"/>
      <c r="D267" s="390"/>
      <c r="E267" s="390"/>
      <c r="F267" s="390"/>
      <c r="G267" s="390"/>
      <c r="H267" s="390"/>
      <c r="I267" s="390"/>
    </row>
    <row r="268" spans="1:9">
      <c r="A268" s="387"/>
      <c r="B268" s="393"/>
      <c r="C268" s="390"/>
      <c r="D268" s="390"/>
      <c r="E268" s="390"/>
      <c r="F268" s="390"/>
      <c r="G268" s="390"/>
      <c r="H268" s="390"/>
      <c r="I268" s="390"/>
    </row>
    <row r="269" spans="1:9">
      <c r="A269" s="387"/>
      <c r="B269" s="393"/>
      <c r="C269" s="390"/>
      <c r="D269" s="390"/>
      <c r="E269" s="390"/>
      <c r="F269" s="390"/>
      <c r="G269" s="390"/>
      <c r="H269" s="390"/>
      <c r="I269" s="390"/>
    </row>
    <row r="270" spans="1:9">
      <c r="A270" s="387"/>
      <c r="B270" s="393"/>
      <c r="C270" s="390"/>
      <c r="D270" s="390"/>
      <c r="E270" s="390"/>
      <c r="F270" s="390"/>
      <c r="G270" s="390"/>
      <c r="H270" s="390"/>
      <c r="I270" s="390"/>
    </row>
    <row r="271" spans="1:9">
      <c r="A271" s="387"/>
      <c r="B271" s="393"/>
      <c r="C271" s="390"/>
      <c r="D271" s="390"/>
      <c r="E271" s="390"/>
      <c r="F271" s="390"/>
      <c r="G271" s="390"/>
      <c r="H271" s="390"/>
      <c r="I271" s="390"/>
    </row>
    <row r="272" spans="1:9">
      <c r="A272" s="387"/>
      <c r="B272" s="393"/>
      <c r="C272" s="390"/>
      <c r="D272" s="390"/>
      <c r="E272" s="390"/>
      <c r="F272" s="390"/>
      <c r="G272" s="390"/>
      <c r="H272" s="390"/>
      <c r="I272" s="390"/>
    </row>
    <row r="273" spans="1:9">
      <c r="A273" s="387"/>
      <c r="B273" s="393"/>
      <c r="C273" s="390"/>
      <c r="D273" s="390"/>
      <c r="E273" s="390"/>
      <c r="F273" s="390"/>
      <c r="G273" s="390"/>
      <c r="H273" s="390"/>
      <c r="I273" s="390"/>
    </row>
    <row r="274" spans="1:9">
      <c r="A274" s="387"/>
      <c r="B274" s="393"/>
      <c r="C274" s="390"/>
      <c r="D274" s="390"/>
      <c r="E274" s="390"/>
      <c r="F274" s="390"/>
      <c r="G274" s="390"/>
      <c r="H274" s="390"/>
      <c r="I274" s="390"/>
    </row>
    <row r="275" spans="1:9">
      <c r="A275" s="387"/>
      <c r="B275" s="393"/>
      <c r="C275" s="390"/>
      <c r="D275" s="390"/>
      <c r="E275" s="390"/>
      <c r="F275" s="390"/>
      <c r="G275" s="390"/>
      <c r="H275" s="390"/>
      <c r="I275" s="390"/>
    </row>
    <row r="276" spans="1:9">
      <c r="A276" s="387"/>
      <c r="B276" s="393"/>
      <c r="C276" s="390"/>
      <c r="D276" s="390"/>
      <c r="E276" s="390"/>
      <c r="F276" s="390"/>
      <c r="G276" s="390"/>
      <c r="H276" s="390"/>
      <c r="I276" s="390"/>
    </row>
    <row r="277" spans="1:9">
      <c r="A277" s="387"/>
      <c r="B277" s="393"/>
      <c r="C277" s="390"/>
      <c r="D277" s="390"/>
      <c r="E277" s="390"/>
      <c r="F277" s="390"/>
      <c r="G277" s="390"/>
      <c r="H277" s="390"/>
      <c r="I277" s="390"/>
    </row>
    <row r="278" spans="1:9">
      <c r="A278" s="387"/>
      <c r="B278" s="393"/>
      <c r="C278" s="390"/>
      <c r="D278" s="390"/>
      <c r="E278" s="390"/>
      <c r="F278" s="390"/>
      <c r="G278" s="390"/>
      <c r="H278" s="390"/>
      <c r="I278" s="390"/>
    </row>
    <row r="279" spans="1:9">
      <c r="A279" s="387"/>
      <c r="B279" s="393"/>
      <c r="C279" s="390"/>
      <c r="D279" s="390"/>
      <c r="E279" s="390"/>
      <c r="F279" s="390"/>
      <c r="G279" s="390"/>
      <c r="H279" s="390"/>
      <c r="I279" s="390"/>
    </row>
    <row r="280" spans="1:9">
      <c r="A280" s="387"/>
      <c r="B280" s="393"/>
      <c r="C280" s="390"/>
      <c r="D280" s="390"/>
      <c r="E280" s="390"/>
      <c r="F280" s="390"/>
      <c r="G280" s="390"/>
      <c r="H280" s="390"/>
      <c r="I280" s="390"/>
    </row>
    <row r="281" spans="1:9">
      <c r="A281" s="387"/>
      <c r="B281" s="393"/>
      <c r="C281" s="390"/>
      <c r="D281" s="390"/>
      <c r="E281" s="390"/>
      <c r="F281" s="390"/>
      <c r="G281" s="390"/>
      <c r="H281" s="390"/>
      <c r="I281" s="390"/>
    </row>
    <row r="282" spans="1:9">
      <c r="A282" s="387"/>
      <c r="B282" s="393"/>
      <c r="C282" s="390"/>
      <c r="D282" s="390"/>
      <c r="E282" s="390"/>
      <c r="F282" s="390"/>
      <c r="G282" s="390"/>
      <c r="H282" s="390"/>
      <c r="I282" s="390"/>
    </row>
    <row r="283" spans="1:9">
      <c r="A283" s="387"/>
      <c r="B283" s="393"/>
      <c r="C283" s="390"/>
      <c r="D283" s="390"/>
      <c r="E283" s="390"/>
      <c r="F283" s="390"/>
      <c r="G283" s="390"/>
      <c r="H283" s="390"/>
      <c r="I283" s="390"/>
    </row>
    <row r="284" spans="1:9">
      <c r="A284" s="387"/>
      <c r="B284" s="393"/>
      <c r="C284" s="390"/>
      <c r="D284" s="390"/>
      <c r="E284" s="390"/>
      <c r="F284" s="390"/>
      <c r="G284" s="390"/>
      <c r="H284" s="390"/>
      <c r="I284" s="390"/>
    </row>
    <row r="285" spans="1:9">
      <c r="A285" s="387"/>
      <c r="B285" s="393"/>
      <c r="C285" s="390"/>
      <c r="D285" s="390"/>
      <c r="E285" s="390"/>
      <c r="F285" s="390"/>
      <c r="G285" s="390"/>
      <c r="H285" s="390"/>
      <c r="I285" s="390"/>
    </row>
    <row r="286" spans="1:9">
      <c r="A286" s="387"/>
      <c r="B286" s="393"/>
      <c r="C286" s="390"/>
      <c r="D286" s="390"/>
      <c r="E286" s="390"/>
      <c r="F286" s="390"/>
      <c r="G286" s="390"/>
      <c r="H286" s="390"/>
      <c r="I286" s="390"/>
    </row>
    <row r="287" spans="1:9">
      <c r="A287" s="387"/>
      <c r="B287" s="393"/>
      <c r="C287" s="390"/>
      <c r="D287" s="390"/>
      <c r="E287" s="390"/>
      <c r="F287" s="390"/>
      <c r="G287" s="390"/>
      <c r="H287" s="390"/>
      <c r="I287" s="390"/>
    </row>
    <row r="288" spans="1:9">
      <c r="A288" s="387"/>
      <c r="B288" s="393"/>
      <c r="C288" s="390"/>
      <c r="D288" s="390"/>
      <c r="E288" s="390"/>
      <c r="F288" s="390"/>
      <c r="G288" s="390"/>
      <c r="H288" s="390"/>
      <c r="I288" s="390"/>
    </row>
    <row r="289" spans="1:9">
      <c r="A289" s="387"/>
      <c r="B289" s="393"/>
      <c r="C289" s="390"/>
      <c r="D289" s="390"/>
      <c r="E289" s="390"/>
      <c r="F289" s="390"/>
      <c r="G289" s="390"/>
      <c r="H289" s="390"/>
      <c r="I289" s="390"/>
    </row>
    <row r="290" spans="1:9">
      <c r="A290" s="387"/>
      <c r="B290" s="390"/>
      <c r="C290" s="390"/>
      <c r="D290" s="390"/>
      <c r="E290" s="390"/>
      <c r="F290" s="390"/>
      <c r="G290" s="390"/>
      <c r="H290" s="390"/>
      <c r="I290" s="390"/>
    </row>
    <row r="291" spans="1:9">
      <c r="A291" s="387"/>
      <c r="B291" s="390"/>
      <c r="C291" s="390"/>
      <c r="D291" s="390"/>
      <c r="E291" s="390"/>
      <c r="F291" s="390"/>
      <c r="G291" s="390"/>
      <c r="H291" s="390"/>
      <c r="I291" s="390"/>
    </row>
    <row r="292" spans="1:9">
      <c r="A292" s="387"/>
      <c r="B292" s="390"/>
      <c r="C292" s="390"/>
      <c r="D292" s="390"/>
      <c r="E292" s="390"/>
      <c r="F292" s="390"/>
      <c r="G292" s="390"/>
      <c r="H292" s="390"/>
      <c r="I292" s="390"/>
    </row>
    <row r="293" spans="1:9">
      <c r="A293" s="387"/>
      <c r="B293" s="390"/>
      <c r="C293" s="390"/>
      <c r="D293" s="390"/>
      <c r="E293" s="390"/>
      <c r="F293" s="390"/>
      <c r="G293" s="390"/>
      <c r="H293" s="390"/>
      <c r="I293" s="390"/>
    </row>
    <row r="294" spans="1:9">
      <c r="A294" s="387"/>
      <c r="B294" s="390"/>
      <c r="C294" s="390"/>
      <c r="D294" s="390"/>
      <c r="E294" s="390"/>
      <c r="F294" s="390"/>
      <c r="G294" s="390"/>
      <c r="H294" s="390"/>
      <c r="I294" s="390"/>
    </row>
    <row r="295" spans="1:9">
      <c r="A295" s="387"/>
      <c r="B295" s="390"/>
      <c r="C295" s="390"/>
      <c r="D295" s="390"/>
      <c r="E295" s="390"/>
      <c r="F295" s="390"/>
      <c r="G295" s="390"/>
      <c r="H295" s="390"/>
      <c r="I295" s="390"/>
    </row>
    <row r="296" spans="1:9">
      <c r="A296" s="387"/>
      <c r="B296" s="390"/>
      <c r="C296" s="390"/>
      <c r="D296" s="390"/>
      <c r="E296" s="390"/>
      <c r="F296" s="390"/>
      <c r="G296" s="390"/>
      <c r="H296" s="390"/>
      <c r="I296" s="390"/>
    </row>
    <row r="297" spans="1:9">
      <c r="A297" s="387"/>
      <c r="B297" s="390"/>
      <c r="C297" s="390"/>
      <c r="D297" s="390"/>
      <c r="E297" s="390"/>
      <c r="F297" s="390"/>
      <c r="G297" s="390"/>
      <c r="H297" s="390"/>
      <c r="I297" s="390"/>
    </row>
    <row r="298" spans="1:9">
      <c r="A298" s="387"/>
      <c r="B298" s="390"/>
      <c r="C298" s="390"/>
      <c r="D298" s="390"/>
      <c r="E298" s="390"/>
      <c r="F298" s="390"/>
      <c r="G298" s="390"/>
      <c r="H298" s="390"/>
      <c r="I298" s="390"/>
    </row>
    <row r="299" spans="1:9">
      <c r="A299" s="387"/>
      <c r="B299" s="393"/>
      <c r="C299" s="390"/>
      <c r="D299" s="390"/>
      <c r="E299" s="390"/>
      <c r="F299" s="390"/>
      <c r="G299" s="390"/>
      <c r="H299" s="390"/>
      <c r="I299" s="390"/>
    </row>
    <row r="300" spans="1:9">
      <c r="A300" s="387"/>
      <c r="B300" s="393"/>
      <c r="C300" s="390"/>
      <c r="D300" s="390"/>
      <c r="E300" s="390"/>
      <c r="F300" s="390"/>
      <c r="G300" s="390"/>
      <c r="H300" s="390"/>
      <c r="I300" s="390"/>
    </row>
    <row r="301" spans="1:9">
      <c r="A301" s="387"/>
      <c r="B301" s="393"/>
      <c r="C301" s="390"/>
      <c r="D301" s="390"/>
      <c r="E301" s="390"/>
      <c r="F301" s="390"/>
      <c r="G301" s="390"/>
      <c r="H301" s="390"/>
      <c r="I301" s="390"/>
    </row>
    <row r="302" spans="1:9">
      <c r="A302" s="387"/>
      <c r="B302" s="393"/>
      <c r="C302" s="390"/>
      <c r="D302" s="390"/>
      <c r="E302" s="390"/>
      <c r="F302" s="390"/>
      <c r="G302" s="390"/>
      <c r="H302" s="390"/>
      <c r="I302" s="390"/>
    </row>
    <row r="303" spans="1:9">
      <c r="A303" s="387"/>
      <c r="B303" s="393"/>
      <c r="C303" s="390"/>
      <c r="D303" s="390"/>
      <c r="E303" s="390"/>
      <c r="F303" s="390"/>
      <c r="G303" s="390"/>
      <c r="H303" s="390"/>
      <c r="I303" s="390"/>
    </row>
    <row r="304" spans="1:9">
      <c r="A304" s="387"/>
      <c r="B304" s="390"/>
      <c r="C304" s="390"/>
      <c r="D304" s="390"/>
      <c r="E304" s="393"/>
      <c r="F304" s="393"/>
      <c r="G304" s="390"/>
      <c r="H304" s="390"/>
      <c r="I304" s="390"/>
    </row>
    <row r="305" spans="1:9">
      <c r="A305" s="387"/>
      <c r="B305" s="390"/>
      <c r="C305" s="390"/>
      <c r="D305" s="390"/>
      <c r="E305" s="393"/>
      <c r="F305" s="393"/>
      <c r="G305" s="390"/>
      <c r="H305" s="390"/>
      <c r="I305" s="390"/>
    </row>
    <row r="306" spans="1:9">
      <c r="A306" s="387"/>
      <c r="B306" s="390"/>
      <c r="C306" s="390"/>
      <c r="D306" s="390"/>
      <c r="E306" s="393"/>
      <c r="F306" s="393"/>
      <c r="G306" s="390"/>
      <c r="H306" s="390"/>
      <c r="I306" s="390"/>
    </row>
    <row r="307" spans="1:9">
      <c r="A307" s="387"/>
      <c r="B307" s="390"/>
      <c r="C307" s="390"/>
      <c r="D307" s="390"/>
      <c r="E307" s="393"/>
      <c r="F307" s="393"/>
      <c r="G307" s="390"/>
      <c r="H307" s="390"/>
      <c r="I307" s="390"/>
    </row>
    <row r="308" spans="1:9">
      <c r="A308" s="387"/>
      <c r="B308" s="390"/>
      <c r="C308" s="390"/>
      <c r="D308" s="390"/>
      <c r="E308" s="393"/>
      <c r="F308" s="393"/>
      <c r="G308" s="390"/>
      <c r="H308" s="390"/>
      <c r="I308" s="390"/>
    </row>
    <row r="309" spans="1:9">
      <c r="A309" s="387"/>
      <c r="B309" s="390"/>
      <c r="C309" s="390"/>
      <c r="D309" s="390"/>
      <c r="E309" s="390"/>
      <c r="F309" s="390"/>
      <c r="G309" s="390"/>
      <c r="H309" s="390"/>
      <c r="I309" s="390"/>
    </row>
    <row r="310" spans="1:9">
      <c r="A310" s="387"/>
      <c r="B310" s="390"/>
      <c r="C310" s="390"/>
      <c r="D310" s="390"/>
      <c r="E310" s="390"/>
      <c r="F310" s="390"/>
      <c r="G310" s="390"/>
      <c r="H310" s="390"/>
      <c r="I310" s="390"/>
    </row>
    <row r="311" spans="1:9">
      <c r="A311" s="387"/>
      <c r="B311" s="390"/>
      <c r="C311" s="390"/>
      <c r="D311" s="390"/>
      <c r="E311" s="390"/>
      <c r="F311" s="390"/>
      <c r="G311" s="390"/>
      <c r="H311" s="390"/>
      <c r="I311" s="390"/>
    </row>
    <row r="312" spans="1:9">
      <c r="A312" s="387"/>
      <c r="B312" s="390"/>
      <c r="C312" s="390"/>
      <c r="D312" s="390"/>
      <c r="E312" s="390"/>
      <c r="F312" s="390"/>
      <c r="G312" s="390"/>
      <c r="H312" s="390"/>
      <c r="I312" s="390"/>
    </row>
    <row r="313" spans="1:9">
      <c r="A313" s="387"/>
      <c r="B313" s="390"/>
      <c r="C313" s="390"/>
      <c r="D313" s="390"/>
      <c r="E313" s="390"/>
      <c r="F313" s="390"/>
      <c r="G313" s="390"/>
      <c r="H313" s="390"/>
      <c r="I313" s="390"/>
    </row>
    <row r="314" spans="1:9">
      <c r="A314" s="387"/>
      <c r="B314" s="390"/>
      <c r="C314" s="390"/>
      <c r="D314" s="390"/>
      <c r="E314" s="390"/>
      <c r="F314" s="390"/>
      <c r="G314" s="390"/>
      <c r="H314" s="390"/>
      <c r="I314" s="390"/>
    </row>
    <row r="315" spans="1:9">
      <c r="A315" s="387"/>
      <c r="B315" s="390"/>
      <c r="C315" s="390"/>
      <c r="D315" s="390"/>
      <c r="E315" s="390"/>
      <c r="F315" s="390"/>
      <c r="G315" s="390"/>
      <c r="H315" s="390"/>
      <c r="I315" s="390"/>
    </row>
    <row r="316" spans="1:9">
      <c r="A316" s="387"/>
      <c r="B316" s="390"/>
      <c r="C316" s="390"/>
      <c r="D316" s="390"/>
      <c r="E316" s="390"/>
      <c r="F316" s="390"/>
      <c r="G316" s="390"/>
      <c r="H316" s="390"/>
      <c r="I316" s="390"/>
    </row>
    <row r="317" spans="1:9">
      <c r="A317" s="387"/>
      <c r="B317" s="390"/>
      <c r="C317" s="390"/>
      <c r="D317" s="390"/>
      <c r="E317" s="390"/>
      <c r="F317" s="390"/>
      <c r="G317" s="390"/>
      <c r="H317" s="390"/>
      <c r="I317" s="390"/>
    </row>
    <row r="318" spans="1:9">
      <c r="A318" s="387"/>
      <c r="B318" s="390"/>
      <c r="C318" s="390"/>
      <c r="D318" s="390"/>
      <c r="E318" s="390"/>
      <c r="F318" s="390"/>
      <c r="G318" s="390"/>
      <c r="H318" s="390"/>
      <c r="I318" s="390"/>
    </row>
    <row r="319" spans="1:9">
      <c r="A319" s="387"/>
      <c r="B319" s="390"/>
      <c r="C319" s="390"/>
      <c r="D319" s="390"/>
      <c r="E319" s="390"/>
      <c r="F319" s="390"/>
      <c r="G319" s="390"/>
      <c r="H319" s="390"/>
      <c r="I319" s="390"/>
    </row>
    <row r="320" spans="1:9">
      <c r="A320" s="387"/>
      <c r="B320" s="390"/>
      <c r="C320" s="390"/>
      <c r="D320" s="390"/>
      <c r="E320" s="390"/>
      <c r="F320" s="390"/>
      <c r="G320" s="390"/>
      <c r="H320" s="390"/>
      <c r="I320" s="390"/>
    </row>
    <row r="321" spans="1:9">
      <c r="A321" s="387"/>
      <c r="B321" s="390"/>
      <c r="C321" s="390"/>
      <c r="D321" s="390"/>
      <c r="E321" s="390"/>
      <c r="F321" s="390"/>
      <c r="G321" s="390"/>
      <c r="H321" s="390"/>
      <c r="I321" s="390"/>
    </row>
    <row r="322" spans="1:9">
      <c r="A322" s="387"/>
      <c r="B322" s="390"/>
      <c r="C322" s="390"/>
      <c r="D322" s="390"/>
      <c r="E322" s="390"/>
      <c r="F322" s="390"/>
      <c r="G322" s="390"/>
      <c r="H322" s="390"/>
      <c r="I322" s="390"/>
    </row>
    <row r="323" spans="1:9">
      <c r="A323" s="387"/>
      <c r="B323" s="390"/>
      <c r="C323" s="390"/>
      <c r="D323" s="390"/>
      <c r="E323" s="390"/>
      <c r="F323" s="390"/>
      <c r="G323" s="390"/>
      <c r="H323" s="390"/>
      <c r="I323" s="390"/>
    </row>
    <row r="324" spans="1:9">
      <c r="A324" s="387"/>
      <c r="B324" s="390"/>
      <c r="C324" s="390"/>
      <c r="D324" s="390"/>
      <c r="E324" s="390"/>
      <c r="F324" s="390"/>
      <c r="G324" s="390"/>
      <c r="H324" s="390"/>
      <c r="I324" s="390"/>
    </row>
    <row r="325" spans="1:9">
      <c r="A325" s="387"/>
      <c r="B325" s="390"/>
      <c r="C325" s="390"/>
      <c r="D325" s="390"/>
      <c r="E325" s="390"/>
      <c r="F325" s="390"/>
      <c r="G325" s="390"/>
      <c r="H325" s="390"/>
      <c r="I325" s="390"/>
    </row>
    <row r="326" spans="1:9">
      <c r="A326" s="387"/>
      <c r="B326" s="390"/>
      <c r="C326" s="390"/>
      <c r="D326" s="390"/>
      <c r="E326" s="390"/>
      <c r="F326" s="390"/>
      <c r="G326" s="390"/>
      <c r="H326" s="390"/>
      <c r="I326" s="390"/>
    </row>
    <row r="327" spans="1:9">
      <c r="A327" s="387"/>
      <c r="B327" s="390"/>
      <c r="C327" s="390"/>
      <c r="D327" s="390"/>
      <c r="E327" s="390"/>
      <c r="F327" s="390"/>
      <c r="G327" s="390"/>
      <c r="H327" s="390"/>
      <c r="I327" s="390"/>
    </row>
    <row r="328" spans="1:9">
      <c r="A328" s="387"/>
      <c r="B328" s="390"/>
      <c r="C328" s="390"/>
      <c r="D328" s="390"/>
      <c r="E328" s="390"/>
      <c r="F328" s="390"/>
      <c r="G328" s="390"/>
      <c r="H328" s="390"/>
      <c r="I328" s="390"/>
    </row>
    <row r="329" spans="1:9">
      <c r="A329" s="387"/>
      <c r="B329" s="390"/>
      <c r="C329" s="390"/>
      <c r="D329" s="390"/>
      <c r="E329" s="390"/>
      <c r="F329" s="390"/>
      <c r="G329" s="390"/>
      <c r="H329" s="390"/>
      <c r="I329" s="390"/>
    </row>
    <row r="330" spans="1:9">
      <c r="A330" s="387"/>
      <c r="B330" s="390"/>
      <c r="C330" s="390"/>
      <c r="D330" s="390"/>
      <c r="E330" s="390"/>
      <c r="F330" s="390"/>
      <c r="G330" s="390"/>
      <c r="H330" s="390"/>
      <c r="I330" s="390"/>
    </row>
    <row r="331" spans="1:9">
      <c r="A331" s="387"/>
      <c r="B331" s="390"/>
      <c r="C331" s="390"/>
      <c r="D331" s="390"/>
      <c r="E331" s="390"/>
      <c r="F331" s="390"/>
      <c r="G331" s="390"/>
      <c r="H331" s="390"/>
      <c r="I331" s="390"/>
    </row>
    <row r="332" spans="1:9">
      <c r="A332" s="387"/>
      <c r="B332" s="390"/>
      <c r="C332" s="390"/>
      <c r="D332" s="390"/>
      <c r="E332" s="390"/>
      <c r="F332" s="390"/>
      <c r="G332" s="390"/>
      <c r="H332" s="390"/>
      <c r="I332" s="390"/>
    </row>
    <row r="333" spans="1:9">
      <c r="A333" s="387"/>
      <c r="B333" s="390"/>
      <c r="C333" s="390"/>
      <c r="D333" s="390"/>
      <c r="E333" s="390"/>
      <c r="F333" s="390"/>
      <c r="G333" s="390"/>
      <c r="H333" s="390"/>
      <c r="I333" s="390"/>
    </row>
    <row r="334" spans="1:9">
      <c r="A334" s="387"/>
      <c r="B334" s="390"/>
      <c r="C334" s="390"/>
      <c r="D334" s="390"/>
      <c r="E334" s="390"/>
      <c r="F334" s="390"/>
      <c r="G334" s="390"/>
      <c r="H334" s="390"/>
      <c r="I334" s="390"/>
    </row>
    <row r="335" spans="1:9">
      <c r="A335" s="387"/>
      <c r="B335" s="390"/>
      <c r="C335" s="390"/>
      <c r="D335" s="390"/>
      <c r="E335" s="390"/>
      <c r="F335" s="390"/>
      <c r="G335" s="390"/>
      <c r="H335" s="390"/>
      <c r="I335" s="390"/>
    </row>
    <row r="336" spans="1:9">
      <c r="A336" s="387"/>
      <c r="B336" s="390"/>
      <c r="C336" s="390"/>
      <c r="D336" s="390"/>
      <c r="E336" s="390"/>
      <c r="F336" s="390"/>
      <c r="G336" s="390"/>
      <c r="H336" s="390"/>
      <c r="I336" s="390"/>
    </row>
    <row r="337" spans="1:9">
      <c r="A337" s="387"/>
      <c r="B337" s="390"/>
      <c r="C337" s="390"/>
      <c r="D337" s="390"/>
      <c r="E337" s="390"/>
      <c r="F337" s="390"/>
      <c r="G337" s="390"/>
      <c r="H337" s="390"/>
      <c r="I337" s="390"/>
    </row>
    <row r="338" spans="1:9">
      <c r="A338" s="387"/>
      <c r="B338" s="390"/>
      <c r="C338" s="390"/>
      <c r="D338" s="390"/>
      <c r="E338" s="390"/>
      <c r="F338" s="390"/>
      <c r="G338" s="390"/>
      <c r="H338" s="390"/>
      <c r="I338" s="390"/>
    </row>
    <row r="339" spans="1:9">
      <c r="A339" s="387"/>
      <c r="B339" s="390"/>
      <c r="C339" s="390"/>
      <c r="D339" s="390"/>
      <c r="E339" s="390"/>
      <c r="F339" s="390"/>
      <c r="G339" s="390"/>
      <c r="H339" s="390"/>
      <c r="I339" s="390"/>
    </row>
    <row r="340" spans="1:9">
      <c r="A340" s="387"/>
      <c r="B340" s="390"/>
      <c r="C340" s="390"/>
      <c r="D340" s="390"/>
      <c r="E340" s="390"/>
      <c r="F340" s="390"/>
      <c r="G340" s="390"/>
      <c r="H340" s="390"/>
      <c r="I340" s="390"/>
    </row>
    <row r="341" spans="1:9">
      <c r="A341" s="387"/>
      <c r="B341" s="390"/>
      <c r="C341" s="390"/>
      <c r="D341" s="390"/>
      <c r="E341" s="390"/>
      <c r="F341" s="390"/>
      <c r="G341" s="390"/>
      <c r="H341" s="390"/>
      <c r="I341" s="390"/>
    </row>
    <row r="342" spans="1:9">
      <c r="A342" s="387"/>
      <c r="B342" s="390"/>
      <c r="C342" s="390"/>
      <c r="D342" s="390"/>
      <c r="E342" s="390"/>
      <c r="F342" s="390"/>
      <c r="G342" s="390"/>
      <c r="H342" s="390"/>
      <c r="I342" s="390"/>
    </row>
    <row r="343" spans="1:9">
      <c r="A343" s="387"/>
      <c r="B343" s="390"/>
      <c r="C343" s="390"/>
      <c r="D343" s="390"/>
      <c r="E343" s="390"/>
      <c r="F343" s="390"/>
      <c r="G343" s="390"/>
      <c r="H343" s="390"/>
      <c r="I343" s="390"/>
    </row>
    <row r="344" spans="1:9">
      <c r="A344" s="387"/>
      <c r="B344" s="390"/>
      <c r="C344" s="390"/>
      <c r="D344" s="390"/>
      <c r="E344" s="390"/>
      <c r="F344" s="390"/>
      <c r="G344" s="390"/>
      <c r="H344" s="390"/>
      <c r="I344" s="390"/>
    </row>
    <row r="345" spans="1:9">
      <c r="A345" s="387"/>
      <c r="B345" s="390"/>
      <c r="C345" s="390"/>
      <c r="D345" s="390"/>
      <c r="E345" s="390"/>
      <c r="F345" s="390"/>
      <c r="G345" s="390"/>
      <c r="H345" s="390"/>
      <c r="I345" s="390"/>
    </row>
    <row r="346" spans="1:9">
      <c r="A346" s="387"/>
      <c r="B346" s="390"/>
      <c r="C346" s="390"/>
      <c r="D346" s="390"/>
      <c r="E346" s="390"/>
      <c r="F346" s="390"/>
      <c r="G346" s="390"/>
      <c r="H346" s="390"/>
      <c r="I346" s="390"/>
    </row>
    <row r="347" spans="1:9">
      <c r="A347" s="387"/>
      <c r="B347" s="390"/>
      <c r="C347" s="390"/>
      <c r="D347" s="390"/>
      <c r="E347" s="390"/>
      <c r="F347" s="390"/>
      <c r="G347" s="390"/>
      <c r="H347" s="390"/>
      <c r="I347" s="390"/>
    </row>
    <row r="348" spans="1:9">
      <c r="A348" s="387"/>
      <c r="B348" s="390"/>
      <c r="C348" s="390"/>
      <c r="D348" s="390"/>
      <c r="E348" s="390"/>
      <c r="F348" s="390"/>
      <c r="G348" s="390"/>
      <c r="H348" s="390"/>
      <c r="I348" s="390"/>
    </row>
    <row r="349" spans="1:9">
      <c r="A349" s="387"/>
      <c r="B349" s="390"/>
      <c r="C349" s="390"/>
      <c r="D349" s="390"/>
      <c r="E349" s="390"/>
      <c r="F349" s="390"/>
      <c r="G349" s="390"/>
      <c r="H349" s="390"/>
      <c r="I349" s="390"/>
    </row>
    <row r="350" spans="1:9">
      <c r="A350" s="387"/>
      <c r="B350" s="390"/>
      <c r="C350" s="390"/>
      <c r="D350" s="390"/>
      <c r="E350" s="390"/>
      <c r="F350" s="390"/>
      <c r="G350" s="390"/>
      <c r="H350" s="390"/>
      <c r="I350" s="390"/>
    </row>
    <row r="351" spans="1:9">
      <c r="A351" s="387"/>
      <c r="B351" s="390"/>
      <c r="C351" s="390"/>
      <c r="D351" s="390"/>
      <c r="E351" s="390"/>
      <c r="F351" s="390"/>
      <c r="G351" s="390"/>
      <c r="H351" s="390"/>
      <c r="I351" s="390"/>
    </row>
    <row r="352" spans="1:9">
      <c r="A352" s="387"/>
      <c r="B352" s="390"/>
      <c r="C352" s="390"/>
      <c r="D352" s="390"/>
      <c r="E352" s="390"/>
      <c r="F352" s="390"/>
      <c r="G352" s="390"/>
      <c r="H352" s="390"/>
      <c r="I352" s="390"/>
    </row>
    <row r="353" spans="1:9">
      <c r="A353" s="387"/>
      <c r="B353" s="390"/>
      <c r="C353" s="390"/>
      <c r="D353" s="390"/>
      <c r="E353" s="390"/>
      <c r="F353" s="390"/>
      <c r="G353" s="390"/>
      <c r="H353" s="390"/>
      <c r="I353" s="390"/>
    </row>
    <row r="354" spans="1:9">
      <c r="A354" s="387"/>
      <c r="B354" s="390"/>
      <c r="C354" s="390"/>
      <c r="D354" s="390"/>
      <c r="E354" s="390"/>
      <c r="F354" s="390"/>
      <c r="G354" s="390"/>
      <c r="H354" s="390"/>
      <c r="I354" s="390"/>
    </row>
    <row r="355" spans="1:9">
      <c r="A355" s="387"/>
      <c r="B355" s="390"/>
      <c r="C355" s="390"/>
      <c r="D355" s="390"/>
      <c r="E355" s="390"/>
      <c r="F355" s="390"/>
      <c r="G355" s="390"/>
      <c r="H355" s="390"/>
      <c r="I355" s="390"/>
    </row>
    <row r="356" spans="1:9">
      <c r="A356" s="387"/>
      <c r="B356" s="390"/>
      <c r="C356" s="390"/>
      <c r="D356" s="390"/>
      <c r="E356" s="390"/>
      <c r="F356" s="390"/>
      <c r="G356" s="390"/>
      <c r="H356" s="390"/>
      <c r="I356" s="390"/>
    </row>
    <row r="357" spans="1:9">
      <c r="A357" s="387"/>
      <c r="B357" s="390"/>
      <c r="C357" s="390"/>
      <c r="D357" s="390"/>
      <c r="E357" s="390"/>
      <c r="F357" s="390"/>
      <c r="G357" s="390"/>
      <c r="H357" s="390"/>
      <c r="I357" s="390"/>
    </row>
    <row r="358" spans="1:9">
      <c r="A358" s="387"/>
      <c r="B358" s="390"/>
      <c r="C358" s="390"/>
      <c r="D358" s="390"/>
      <c r="E358" s="390"/>
      <c r="F358" s="390"/>
      <c r="G358" s="390"/>
      <c r="H358" s="390"/>
      <c r="I358" s="390"/>
    </row>
    <row r="359" spans="1:9">
      <c r="A359" s="387"/>
      <c r="B359" s="390"/>
      <c r="C359" s="390"/>
      <c r="D359" s="390"/>
      <c r="E359" s="390"/>
      <c r="F359" s="390"/>
      <c r="G359" s="390"/>
      <c r="H359" s="390"/>
      <c r="I359" s="390"/>
    </row>
    <row r="360" spans="1:9">
      <c r="A360" s="387"/>
      <c r="B360" s="390"/>
      <c r="C360" s="390"/>
      <c r="D360" s="390"/>
      <c r="E360" s="390"/>
      <c r="F360" s="390"/>
      <c r="G360" s="390"/>
      <c r="H360" s="390"/>
      <c r="I360" s="390"/>
    </row>
    <row r="361" spans="1:9">
      <c r="A361" s="387"/>
      <c r="B361" s="390"/>
      <c r="C361" s="390"/>
      <c r="D361" s="390"/>
      <c r="E361" s="390"/>
      <c r="F361" s="390"/>
      <c r="G361" s="390"/>
      <c r="H361" s="390"/>
      <c r="I361" s="390"/>
    </row>
    <row r="362" spans="1:9">
      <c r="A362" s="387"/>
      <c r="B362" s="390"/>
      <c r="C362" s="390"/>
      <c r="D362" s="390"/>
      <c r="E362" s="390"/>
      <c r="F362" s="390"/>
      <c r="G362" s="390"/>
      <c r="H362" s="390"/>
      <c r="I362" s="390"/>
    </row>
    <row r="363" spans="1:9">
      <c r="A363" s="387"/>
      <c r="B363" s="390"/>
      <c r="C363" s="390"/>
      <c r="D363" s="390"/>
      <c r="E363" s="390"/>
      <c r="F363" s="390"/>
      <c r="G363" s="390"/>
      <c r="H363" s="390"/>
      <c r="I363" s="390"/>
    </row>
    <row r="364" spans="1:9">
      <c r="A364" s="387"/>
      <c r="B364" s="390"/>
      <c r="C364" s="390"/>
      <c r="D364" s="390"/>
      <c r="E364" s="390"/>
      <c r="F364" s="390"/>
      <c r="G364" s="390"/>
      <c r="H364" s="390"/>
      <c r="I364" s="390"/>
    </row>
    <row r="365" spans="1:9">
      <c r="A365" s="387"/>
      <c r="B365" s="390"/>
      <c r="C365" s="390"/>
      <c r="D365" s="390"/>
      <c r="E365" s="390"/>
      <c r="F365" s="390"/>
      <c r="G365" s="390"/>
      <c r="H365" s="390"/>
      <c r="I365" s="390"/>
    </row>
    <row r="366" spans="1:9">
      <c r="A366" s="387"/>
      <c r="B366" s="390"/>
      <c r="C366" s="390"/>
      <c r="D366" s="390"/>
      <c r="E366" s="390"/>
      <c r="F366" s="390"/>
      <c r="G366" s="390"/>
      <c r="H366" s="390"/>
      <c r="I366" s="390"/>
    </row>
    <row r="367" spans="1:9">
      <c r="A367" s="387"/>
      <c r="B367" s="390"/>
      <c r="C367" s="390"/>
      <c r="D367" s="390"/>
      <c r="E367" s="390"/>
      <c r="F367" s="390"/>
      <c r="G367" s="390"/>
      <c r="H367" s="390"/>
      <c r="I367" s="390"/>
    </row>
    <row r="368" spans="1:9">
      <c r="A368" s="387"/>
      <c r="B368" s="390"/>
      <c r="C368" s="390"/>
      <c r="D368" s="390"/>
      <c r="E368" s="390"/>
      <c r="F368" s="390"/>
      <c r="G368" s="390"/>
      <c r="H368" s="390"/>
      <c r="I368" s="390"/>
    </row>
    <row r="369" spans="1:9">
      <c r="A369" s="387"/>
      <c r="B369" s="390"/>
      <c r="C369" s="390"/>
      <c r="D369" s="390"/>
      <c r="E369" s="390"/>
      <c r="F369" s="390"/>
      <c r="G369" s="390"/>
      <c r="H369" s="390"/>
      <c r="I369" s="390"/>
    </row>
    <row r="370" spans="1:9">
      <c r="A370" s="387"/>
      <c r="B370" s="390"/>
      <c r="C370" s="390"/>
      <c r="D370" s="390"/>
      <c r="E370" s="390"/>
      <c r="F370" s="390"/>
      <c r="G370" s="390"/>
      <c r="H370" s="390"/>
      <c r="I370" s="390"/>
    </row>
    <row r="371" spans="1:9">
      <c r="A371" s="387"/>
      <c r="B371" s="390"/>
      <c r="C371" s="390"/>
      <c r="D371" s="390"/>
      <c r="E371" s="390"/>
      <c r="F371" s="390"/>
      <c r="G371" s="390"/>
      <c r="H371" s="390"/>
      <c r="I371" s="390"/>
    </row>
    <row r="372" spans="1:9">
      <c r="A372" s="387"/>
      <c r="B372" s="390"/>
      <c r="C372" s="390"/>
      <c r="D372" s="390"/>
      <c r="E372" s="390"/>
      <c r="F372" s="390"/>
      <c r="G372" s="390"/>
      <c r="H372" s="390"/>
      <c r="I372" s="390"/>
    </row>
    <row r="373" spans="1:9">
      <c r="A373" s="387"/>
      <c r="B373" s="390"/>
      <c r="C373" s="390"/>
      <c r="D373" s="390"/>
      <c r="E373" s="390"/>
      <c r="F373" s="390"/>
      <c r="G373" s="390"/>
      <c r="H373" s="390"/>
      <c r="I373" s="390"/>
    </row>
    <row r="374" spans="1:9">
      <c r="A374" s="387"/>
      <c r="B374" s="390"/>
      <c r="C374" s="390"/>
      <c r="D374" s="390"/>
      <c r="E374" s="390"/>
      <c r="F374" s="390"/>
      <c r="G374" s="390"/>
      <c r="H374" s="390"/>
      <c r="I374" s="390"/>
    </row>
    <row r="375" spans="1:9">
      <c r="A375" s="387"/>
      <c r="B375" s="390"/>
      <c r="C375" s="390"/>
      <c r="D375" s="390"/>
      <c r="E375" s="390"/>
      <c r="F375" s="390"/>
      <c r="G375" s="390"/>
      <c r="H375" s="390"/>
      <c r="I375" s="390"/>
    </row>
    <row r="376" spans="1:9">
      <c r="A376" s="387"/>
      <c r="B376" s="390"/>
      <c r="C376" s="390"/>
      <c r="D376" s="390"/>
      <c r="E376" s="390"/>
      <c r="F376" s="390"/>
      <c r="G376" s="390"/>
      <c r="H376" s="390"/>
      <c r="I376" s="390"/>
    </row>
    <row r="377" spans="1:9">
      <c r="A377" s="387"/>
      <c r="B377" s="390"/>
      <c r="C377" s="390"/>
      <c r="D377" s="390"/>
      <c r="E377" s="390"/>
      <c r="F377" s="390"/>
      <c r="G377" s="390"/>
      <c r="H377" s="390"/>
      <c r="I377" s="390"/>
    </row>
    <row r="378" spans="1:9">
      <c r="A378" s="387"/>
      <c r="B378" s="390"/>
      <c r="C378" s="390"/>
      <c r="D378" s="390"/>
      <c r="E378" s="390"/>
      <c r="F378" s="390"/>
      <c r="G378" s="390"/>
      <c r="H378" s="390"/>
      <c r="I378" s="390"/>
    </row>
    <row r="379" spans="1:9">
      <c r="A379" s="387"/>
      <c r="B379" s="390"/>
      <c r="C379" s="390"/>
      <c r="D379" s="390"/>
      <c r="E379" s="390"/>
      <c r="F379" s="390"/>
      <c r="G379" s="390"/>
      <c r="H379" s="390"/>
      <c r="I379" s="390"/>
    </row>
    <row r="380" spans="1:9">
      <c r="A380" s="387"/>
      <c r="B380" s="390"/>
      <c r="C380" s="390"/>
      <c r="D380" s="390"/>
      <c r="E380" s="390"/>
      <c r="F380" s="390"/>
      <c r="G380" s="390"/>
      <c r="H380" s="390"/>
      <c r="I380" s="390"/>
    </row>
    <row r="381" spans="1:9">
      <c r="A381" s="387"/>
      <c r="B381" s="390"/>
      <c r="C381" s="390"/>
      <c r="D381" s="390"/>
      <c r="E381" s="390"/>
      <c r="F381" s="390"/>
      <c r="G381" s="390"/>
      <c r="H381" s="390"/>
      <c r="I381" s="390"/>
    </row>
    <row r="382" spans="1:9">
      <c r="A382" s="387"/>
      <c r="B382" s="390"/>
      <c r="C382" s="390"/>
      <c r="D382" s="390"/>
      <c r="E382" s="390"/>
      <c r="F382" s="390"/>
      <c r="G382" s="390"/>
      <c r="H382" s="390"/>
      <c r="I382" s="390"/>
    </row>
    <row r="383" spans="1:9">
      <c r="A383" s="387"/>
      <c r="B383" s="390"/>
      <c r="C383" s="390"/>
      <c r="D383" s="390"/>
      <c r="E383" s="390"/>
      <c r="F383" s="390"/>
      <c r="G383" s="390"/>
      <c r="H383" s="390"/>
      <c r="I383" s="390"/>
    </row>
    <row r="384" spans="1:9">
      <c r="A384" s="387"/>
      <c r="B384" s="390"/>
      <c r="C384" s="390"/>
      <c r="D384" s="390"/>
      <c r="E384" s="390"/>
      <c r="F384" s="390"/>
      <c r="G384" s="390"/>
      <c r="H384" s="390"/>
      <c r="I384" s="390"/>
    </row>
    <row r="385" spans="1:9">
      <c r="A385" s="387"/>
      <c r="B385" s="390"/>
      <c r="C385" s="390"/>
      <c r="D385" s="390"/>
      <c r="E385" s="390"/>
      <c r="F385" s="390"/>
      <c r="G385" s="390"/>
      <c r="H385" s="390"/>
      <c r="I385" s="390"/>
    </row>
    <row r="386" spans="1:9">
      <c r="A386" s="387"/>
      <c r="B386" s="390"/>
      <c r="C386" s="390"/>
      <c r="D386" s="390"/>
      <c r="E386" s="390"/>
      <c r="F386" s="390"/>
      <c r="G386" s="390"/>
      <c r="H386" s="390"/>
      <c r="I386" s="390"/>
    </row>
    <row r="387" spans="1:9">
      <c r="A387" s="387"/>
      <c r="B387" s="390"/>
      <c r="C387" s="390"/>
      <c r="D387" s="390"/>
      <c r="E387" s="390"/>
      <c r="F387" s="390"/>
      <c r="G387" s="390"/>
      <c r="H387" s="390"/>
      <c r="I387" s="390"/>
    </row>
    <row r="388" spans="1:9">
      <c r="A388" s="387"/>
      <c r="B388" s="390"/>
      <c r="C388" s="390"/>
      <c r="D388" s="390"/>
      <c r="E388" s="390"/>
      <c r="F388" s="390"/>
      <c r="G388" s="390"/>
      <c r="H388" s="390"/>
      <c r="I388" s="390"/>
    </row>
    <row r="389" spans="1:9">
      <c r="A389" s="387"/>
      <c r="B389" s="390"/>
      <c r="C389" s="390"/>
      <c r="D389" s="390"/>
      <c r="E389" s="390"/>
      <c r="F389" s="390"/>
      <c r="G389" s="390"/>
      <c r="H389" s="390"/>
      <c r="I389" s="390"/>
    </row>
    <row r="390" spans="1:9">
      <c r="A390" s="387"/>
      <c r="B390" s="390"/>
      <c r="C390" s="390"/>
      <c r="D390" s="390"/>
      <c r="E390" s="390"/>
      <c r="F390" s="390"/>
      <c r="G390" s="390"/>
      <c r="H390" s="390"/>
      <c r="I390" s="390"/>
    </row>
    <row r="391" spans="1:9">
      <c r="A391" s="387"/>
      <c r="B391" s="390"/>
      <c r="C391" s="390"/>
      <c r="D391" s="390"/>
      <c r="E391" s="390"/>
      <c r="F391" s="390"/>
      <c r="G391" s="390"/>
      <c r="H391" s="390"/>
      <c r="I391" s="390"/>
    </row>
    <row r="392" spans="1:9">
      <c r="A392" s="387"/>
      <c r="B392" s="390"/>
      <c r="C392" s="390"/>
      <c r="D392" s="390"/>
      <c r="E392" s="390"/>
      <c r="F392" s="390"/>
      <c r="G392" s="390"/>
      <c r="H392" s="390"/>
      <c r="I392" s="390"/>
    </row>
    <row r="393" spans="1:9">
      <c r="A393" s="387"/>
      <c r="B393" s="390"/>
      <c r="C393" s="390"/>
      <c r="D393" s="390"/>
      <c r="E393" s="390"/>
      <c r="F393" s="390"/>
      <c r="G393" s="390"/>
      <c r="H393" s="390"/>
      <c r="I393" s="390"/>
    </row>
    <row r="394" spans="1:9">
      <c r="A394" s="387"/>
      <c r="B394" s="390"/>
      <c r="C394" s="390"/>
      <c r="D394" s="390"/>
      <c r="E394" s="390"/>
      <c r="F394" s="390"/>
      <c r="G394" s="390"/>
      <c r="H394" s="390"/>
      <c r="I394" s="390"/>
    </row>
    <row r="395" spans="1:9">
      <c r="A395" s="387"/>
      <c r="B395" s="390"/>
      <c r="C395" s="390"/>
      <c r="D395" s="390"/>
      <c r="E395" s="390"/>
      <c r="F395" s="390"/>
      <c r="G395" s="390"/>
      <c r="H395" s="390"/>
      <c r="I395" s="390"/>
    </row>
    <row r="396" spans="1:9">
      <c r="A396" s="387"/>
      <c r="B396" s="390"/>
      <c r="C396" s="390"/>
      <c r="D396" s="390"/>
      <c r="E396" s="390"/>
      <c r="F396" s="390"/>
      <c r="G396" s="390"/>
      <c r="H396" s="390"/>
      <c r="I396" s="390"/>
    </row>
    <row r="397" spans="1:9">
      <c r="A397" s="387"/>
      <c r="B397" s="390"/>
      <c r="C397" s="390"/>
      <c r="D397" s="390"/>
      <c r="E397" s="390"/>
      <c r="F397" s="390"/>
      <c r="G397" s="390"/>
      <c r="H397" s="390"/>
      <c r="I397" s="390"/>
    </row>
    <row r="398" spans="1:9">
      <c r="A398" s="387"/>
      <c r="B398" s="390"/>
      <c r="C398" s="390"/>
      <c r="D398" s="390"/>
      <c r="E398" s="390"/>
      <c r="F398" s="390"/>
      <c r="G398" s="390"/>
      <c r="H398" s="390"/>
      <c r="I398" s="390"/>
    </row>
    <row r="399" spans="1:9">
      <c r="A399" s="387"/>
      <c r="B399" s="390"/>
      <c r="C399" s="390"/>
      <c r="D399" s="390"/>
      <c r="E399" s="390"/>
      <c r="F399" s="390"/>
      <c r="G399" s="390"/>
      <c r="H399" s="390"/>
      <c r="I399" s="390"/>
    </row>
    <row r="400" spans="1:9">
      <c r="A400" s="387"/>
      <c r="B400" s="390"/>
      <c r="C400" s="390"/>
      <c r="D400" s="390"/>
      <c r="E400" s="390"/>
      <c r="F400" s="390"/>
      <c r="G400" s="390"/>
      <c r="H400" s="390"/>
      <c r="I400" s="390"/>
    </row>
    <row r="401" spans="1:9">
      <c r="A401" s="387"/>
      <c r="B401" s="390"/>
      <c r="C401" s="390"/>
      <c r="D401" s="390"/>
      <c r="E401" s="390"/>
      <c r="F401" s="390"/>
      <c r="G401" s="390"/>
      <c r="H401" s="390"/>
      <c r="I401" s="390"/>
    </row>
    <row r="402" spans="1:9">
      <c r="A402" s="387"/>
      <c r="B402" s="390"/>
      <c r="C402" s="390"/>
      <c r="D402" s="390"/>
      <c r="E402" s="390"/>
      <c r="F402" s="390"/>
      <c r="G402" s="390"/>
      <c r="H402" s="390"/>
      <c r="I402" s="390"/>
    </row>
    <row r="403" spans="1:9">
      <c r="A403" s="387"/>
      <c r="B403" s="390"/>
      <c r="C403" s="390"/>
      <c r="D403" s="390"/>
      <c r="E403" s="390"/>
      <c r="F403" s="390"/>
      <c r="G403" s="390"/>
      <c r="H403" s="390"/>
      <c r="I403" s="390"/>
    </row>
    <row r="404" spans="1:9">
      <c r="A404" s="387"/>
      <c r="B404" s="390"/>
      <c r="C404" s="390"/>
      <c r="D404" s="390"/>
      <c r="E404" s="390"/>
      <c r="F404" s="390"/>
      <c r="G404" s="390"/>
      <c r="H404" s="390"/>
      <c r="I404" s="390"/>
    </row>
    <row r="405" spans="1:9">
      <c r="A405" s="387"/>
      <c r="B405" s="390"/>
      <c r="C405" s="390"/>
      <c r="D405" s="390"/>
      <c r="E405" s="390"/>
      <c r="F405" s="390"/>
      <c r="G405" s="390"/>
      <c r="H405" s="390"/>
      <c r="I405" s="390"/>
    </row>
    <row r="406" spans="1:9">
      <c r="A406" s="387"/>
      <c r="B406" s="390"/>
      <c r="C406" s="390"/>
      <c r="D406" s="390"/>
      <c r="E406" s="390"/>
      <c r="F406" s="390"/>
      <c r="G406" s="390"/>
      <c r="H406" s="390"/>
      <c r="I406" s="390"/>
    </row>
    <row r="407" spans="1:9">
      <c r="A407" s="387"/>
      <c r="B407" s="390"/>
      <c r="C407" s="390"/>
      <c r="D407" s="390"/>
      <c r="E407" s="390"/>
      <c r="F407" s="390"/>
      <c r="G407" s="390"/>
      <c r="H407" s="390"/>
      <c r="I407" s="390"/>
    </row>
    <row r="408" spans="1:9">
      <c r="A408" s="387"/>
      <c r="B408" s="390"/>
      <c r="C408" s="390"/>
      <c r="D408" s="390"/>
      <c r="E408" s="390"/>
      <c r="F408" s="390"/>
      <c r="G408" s="390"/>
      <c r="H408" s="390"/>
      <c r="I408" s="390"/>
    </row>
    <row r="409" spans="1:9">
      <c r="A409" s="387"/>
      <c r="B409" s="390"/>
      <c r="C409" s="390"/>
      <c r="D409" s="390"/>
      <c r="E409" s="390"/>
      <c r="F409" s="390"/>
      <c r="G409" s="390"/>
      <c r="H409" s="390"/>
      <c r="I409" s="390"/>
    </row>
    <row r="410" spans="1:9">
      <c r="A410" s="387"/>
      <c r="B410" s="390"/>
      <c r="C410" s="390"/>
      <c r="D410" s="390"/>
      <c r="E410" s="390"/>
      <c r="F410" s="390"/>
      <c r="G410" s="390"/>
      <c r="H410" s="390"/>
      <c r="I410" s="390"/>
    </row>
    <row r="411" spans="1:9">
      <c r="A411" s="387"/>
      <c r="B411" s="390"/>
      <c r="C411" s="390"/>
      <c r="D411" s="390"/>
      <c r="E411" s="390"/>
      <c r="F411" s="390"/>
      <c r="G411" s="390"/>
      <c r="H411" s="390"/>
      <c r="I411" s="390"/>
    </row>
    <row r="412" spans="1:9">
      <c r="A412" s="387"/>
      <c r="B412" s="390"/>
      <c r="C412" s="390"/>
      <c r="D412" s="390"/>
      <c r="E412" s="390"/>
      <c r="F412" s="390"/>
      <c r="G412" s="390"/>
      <c r="H412" s="390"/>
      <c r="I412" s="390"/>
    </row>
    <row r="413" spans="1:9">
      <c r="A413" s="387"/>
      <c r="B413" s="390"/>
      <c r="C413" s="390"/>
      <c r="D413" s="390"/>
      <c r="E413" s="390"/>
      <c r="F413" s="390"/>
      <c r="G413" s="390"/>
      <c r="H413" s="390"/>
      <c r="I413" s="390"/>
    </row>
    <row r="414" spans="1:9">
      <c r="A414" s="387"/>
      <c r="B414" s="390"/>
      <c r="C414" s="390"/>
      <c r="D414" s="390"/>
      <c r="E414" s="390"/>
      <c r="F414" s="390"/>
      <c r="G414" s="390"/>
      <c r="H414" s="390"/>
      <c r="I414" s="390"/>
    </row>
    <row r="415" spans="1:9">
      <c r="A415" s="387"/>
      <c r="B415" s="390"/>
      <c r="C415" s="390"/>
      <c r="D415" s="390"/>
      <c r="E415" s="390"/>
      <c r="F415" s="390"/>
      <c r="G415" s="390"/>
      <c r="H415" s="390"/>
      <c r="I415" s="390"/>
    </row>
    <row r="416" spans="1:9">
      <c r="A416" s="387"/>
      <c r="B416" s="390"/>
      <c r="C416" s="390"/>
      <c r="D416" s="390"/>
      <c r="E416" s="390"/>
      <c r="F416" s="390"/>
      <c r="G416" s="390"/>
      <c r="H416" s="390"/>
      <c r="I416" s="390"/>
    </row>
    <row r="417" spans="1:9">
      <c r="A417" s="387"/>
      <c r="B417" s="390"/>
      <c r="C417" s="390"/>
      <c r="D417" s="390"/>
      <c r="E417" s="390"/>
      <c r="F417" s="390"/>
      <c r="G417" s="390"/>
      <c r="H417" s="390"/>
      <c r="I417" s="390"/>
    </row>
    <row r="418" spans="1:9">
      <c r="A418" s="387"/>
      <c r="B418" s="390"/>
      <c r="C418" s="390"/>
      <c r="D418" s="390"/>
      <c r="E418" s="390"/>
      <c r="F418" s="390"/>
      <c r="G418" s="390"/>
      <c r="H418" s="390"/>
      <c r="I418" s="390"/>
    </row>
    <row r="419" spans="1:9">
      <c r="A419" s="387"/>
      <c r="B419" s="390"/>
      <c r="C419" s="390"/>
      <c r="D419" s="390"/>
      <c r="E419" s="390"/>
      <c r="F419" s="390"/>
      <c r="G419" s="390"/>
      <c r="H419" s="390"/>
      <c r="I419" s="390"/>
    </row>
    <row r="420" spans="1:9">
      <c r="A420" s="387"/>
      <c r="B420" s="390"/>
      <c r="C420" s="390"/>
      <c r="D420" s="390"/>
      <c r="E420" s="390"/>
      <c r="F420" s="390"/>
      <c r="G420" s="390"/>
      <c r="H420" s="390"/>
      <c r="I420" s="390"/>
    </row>
    <row r="421" spans="1:9">
      <c r="A421" s="387"/>
      <c r="B421" s="390"/>
      <c r="C421" s="390"/>
      <c r="D421" s="390"/>
      <c r="E421" s="390"/>
      <c r="F421" s="390"/>
      <c r="G421" s="390"/>
      <c r="H421" s="390"/>
      <c r="I421" s="390"/>
    </row>
    <row r="422" spans="1:9">
      <c r="A422" s="387"/>
      <c r="B422" s="390"/>
      <c r="C422" s="390"/>
      <c r="D422" s="390"/>
      <c r="E422" s="390"/>
      <c r="F422" s="390"/>
      <c r="G422" s="390"/>
      <c r="H422" s="390"/>
      <c r="I422" s="390"/>
    </row>
    <row r="423" spans="1:9">
      <c r="A423" s="387"/>
      <c r="B423" s="390"/>
      <c r="C423" s="390"/>
      <c r="D423" s="390"/>
      <c r="E423" s="390"/>
      <c r="F423" s="390"/>
      <c r="G423" s="390"/>
      <c r="H423" s="390"/>
      <c r="I423" s="390"/>
    </row>
    <row r="424" spans="1:9">
      <c r="A424" s="387"/>
      <c r="B424" s="390"/>
      <c r="C424" s="390"/>
      <c r="D424" s="390"/>
      <c r="E424" s="390"/>
      <c r="F424" s="390"/>
      <c r="G424" s="390"/>
      <c r="H424" s="390"/>
      <c r="I424" s="390"/>
    </row>
    <row r="425" spans="1:9">
      <c r="A425" s="387"/>
      <c r="B425" s="390"/>
      <c r="C425" s="390"/>
      <c r="D425" s="390"/>
      <c r="E425" s="390"/>
      <c r="F425" s="390"/>
      <c r="G425" s="390"/>
      <c r="H425" s="390"/>
      <c r="I425" s="390"/>
    </row>
    <row r="426" spans="1:9">
      <c r="A426" s="387"/>
      <c r="B426" s="390"/>
      <c r="C426" s="390"/>
      <c r="D426" s="390"/>
      <c r="E426" s="390"/>
      <c r="F426" s="390"/>
      <c r="G426" s="390"/>
      <c r="H426" s="390"/>
      <c r="I426" s="390"/>
    </row>
    <row r="427" spans="1:9">
      <c r="A427" s="387"/>
      <c r="B427" s="390"/>
      <c r="C427" s="390"/>
      <c r="D427" s="390"/>
      <c r="E427" s="390"/>
      <c r="F427" s="390"/>
      <c r="G427" s="390"/>
      <c r="H427" s="390"/>
      <c r="I427" s="390"/>
    </row>
    <row r="428" spans="1:9">
      <c r="A428" s="387"/>
      <c r="B428" s="390"/>
      <c r="C428" s="390"/>
      <c r="D428" s="390"/>
      <c r="E428" s="390"/>
      <c r="F428" s="390"/>
      <c r="G428" s="390"/>
      <c r="H428" s="390"/>
      <c r="I428" s="390"/>
    </row>
    <row r="429" spans="1:9">
      <c r="A429" s="387"/>
      <c r="B429" s="390"/>
      <c r="C429" s="390"/>
      <c r="D429" s="390"/>
      <c r="E429" s="390"/>
      <c r="F429" s="390"/>
      <c r="G429" s="390"/>
      <c r="H429" s="390"/>
      <c r="I429" s="390"/>
    </row>
    <row r="430" spans="1:9">
      <c r="A430" s="387"/>
      <c r="B430" s="390"/>
      <c r="C430" s="390"/>
      <c r="D430" s="390"/>
      <c r="E430" s="390"/>
      <c r="F430" s="390"/>
      <c r="G430" s="390"/>
      <c r="H430" s="390"/>
      <c r="I430" s="390"/>
    </row>
    <row r="431" spans="1:9">
      <c r="A431" s="387"/>
      <c r="B431" s="390"/>
      <c r="C431" s="390"/>
      <c r="D431" s="390"/>
      <c r="E431" s="390"/>
      <c r="F431" s="390"/>
      <c r="G431" s="390"/>
      <c r="H431" s="390"/>
      <c r="I431" s="390"/>
    </row>
    <row r="432" spans="1:9">
      <c r="A432" s="387"/>
      <c r="B432" s="390"/>
      <c r="C432" s="390"/>
      <c r="D432" s="390"/>
      <c r="E432" s="390"/>
      <c r="F432" s="390"/>
      <c r="G432" s="390"/>
      <c r="H432" s="390"/>
      <c r="I432" s="390"/>
    </row>
    <row r="433" spans="1:9">
      <c r="A433" s="387"/>
      <c r="B433" s="390"/>
      <c r="C433" s="390"/>
      <c r="D433" s="390"/>
      <c r="E433" s="390"/>
      <c r="F433" s="390"/>
      <c r="G433" s="390"/>
      <c r="H433" s="390"/>
      <c r="I433" s="390"/>
    </row>
    <row r="434" spans="1:9">
      <c r="A434" s="390"/>
      <c r="B434" s="390"/>
      <c r="C434" s="390"/>
      <c r="D434" s="390"/>
      <c r="E434" s="390"/>
      <c r="F434" s="390"/>
      <c r="G434" s="390"/>
      <c r="H434" s="390"/>
      <c r="I434" s="390"/>
    </row>
  </sheetData>
  <sheetProtection insertRows="0" deleteRows="0"/>
  <sortState ref="A124:BD180">
    <sortCondition ref="A124:A180"/>
    <sortCondition ref="B124:B180"/>
  </sortState>
  <mergeCells count="64">
    <mergeCell ref="F209:G209"/>
    <mergeCell ref="F210:G210"/>
    <mergeCell ref="AU11:AX12"/>
    <mergeCell ref="AY11:BA12"/>
    <mergeCell ref="BC11:BD12"/>
    <mergeCell ref="AF11:AH12"/>
    <mergeCell ref="AF15:AH15"/>
    <mergeCell ref="AF17:AH17"/>
    <mergeCell ref="AJ15:AL15"/>
    <mergeCell ref="AO15:AR15"/>
    <mergeCell ref="AJ11:AL12"/>
    <mergeCell ref="AO11:AR12"/>
    <mergeCell ref="AF21:AH21"/>
    <mergeCell ref="BC23:BD23"/>
    <mergeCell ref="AU15:AX15"/>
    <mergeCell ref="AY15:BA15"/>
    <mergeCell ref="BC15:BD15"/>
    <mergeCell ref="AF19:AH19"/>
    <mergeCell ref="AJ17:AL17"/>
    <mergeCell ref="AO17:AR17"/>
    <mergeCell ref="AU17:AX17"/>
    <mergeCell ref="AY17:BA17"/>
    <mergeCell ref="BC17:BD17"/>
    <mergeCell ref="AJ19:AL19"/>
    <mergeCell ref="AO19:AR19"/>
    <mergeCell ref="AU19:AX19"/>
    <mergeCell ref="AY19:BA19"/>
    <mergeCell ref="BC19:BD19"/>
    <mergeCell ref="BC25:BD25"/>
    <mergeCell ref="AF25:AH25"/>
    <mergeCell ref="AJ21:AL21"/>
    <mergeCell ref="AO21:AR21"/>
    <mergeCell ref="AU21:AX21"/>
    <mergeCell ref="AY21:BA21"/>
    <mergeCell ref="AJ23:AL23"/>
    <mergeCell ref="AO23:AR23"/>
    <mergeCell ref="AU23:AX23"/>
    <mergeCell ref="AY23:BA23"/>
    <mergeCell ref="AJ25:AL25"/>
    <mergeCell ref="AO25:AR25"/>
    <mergeCell ref="AU25:AX25"/>
    <mergeCell ref="AY25:BA25"/>
    <mergeCell ref="BC21:BD21"/>
    <mergeCell ref="AF23:AH23"/>
    <mergeCell ref="B209:E209"/>
    <mergeCell ref="B210:E210"/>
    <mergeCell ref="B201:E201"/>
    <mergeCell ref="B202:E202"/>
    <mergeCell ref="B203:E203"/>
    <mergeCell ref="B204:E204"/>
    <mergeCell ref="B205:E205"/>
    <mergeCell ref="B200:E200"/>
    <mergeCell ref="F200:G200"/>
    <mergeCell ref="B206:E206"/>
    <mergeCell ref="B207:E207"/>
    <mergeCell ref="B208:E208"/>
    <mergeCell ref="F201:G201"/>
    <mergeCell ref="F202:G202"/>
    <mergeCell ref="F203:G203"/>
    <mergeCell ref="F204:G204"/>
    <mergeCell ref="F205:G205"/>
    <mergeCell ref="F206:G206"/>
    <mergeCell ref="F207:G207"/>
    <mergeCell ref="F208:G208"/>
  </mergeCells>
  <phoneticPr fontId="18" type="noConversion"/>
  <conditionalFormatting sqref="F48 F50">
    <cfRule type="expression" dxfId="9" priority="7">
      <formula>+XFD45="x"</formula>
    </cfRule>
  </conditionalFormatting>
  <printOptions headings="1" gridLines="1"/>
  <pageMargins left="0.25" right="0.25" top="0.25" bottom="0" header="0" footer="0"/>
  <pageSetup scale="24" fitToHeight="0" orientation="landscape"/>
  <rowBreaks count="2" manualBreakCount="2">
    <brk id="71" max="14" man="1"/>
    <brk id="179" max="14" man="1"/>
  </rowBreaks>
  <ignoredErrors>
    <ignoredError sqref="K47:X47 J54:X54 R98 J55:X55" unlockedFormula="1"/>
    <ignoredError sqref="J49:M49 R49:X49 N49:Q49" formula="1"/>
    <ignoredError sqref="C72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FF00"/>
    <pageSetUpPr fitToPage="1"/>
  </sheetPr>
  <dimension ref="A1:V438"/>
  <sheetViews>
    <sheetView workbookViewId="0">
      <pane xSplit="7" ySplit="5" topLeftCell="H108" activePane="bottomRight" state="frozen"/>
      <selection activeCell="H6" sqref="H6"/>
      <selection pane="topRight" activeCell="H6" sqref="H6"/>
      <selection pane="bottomLeft" activeCell="H6" sqref="H6"/>
      <selection pane="bottomRight" activeCell="G423" sqref="G423:G424"/>
    </sheetView>
  </sheetViews>
  <sheetFormatPr baseColWidth="10" defaultColWidth="9.1640625" defaultRowHeight="14" x14ac:dyDescent="0"/>
  <cols>
    <col min="1" max="1" width="2.1640625" style="11" hidden="1" customWidth="1"/>
    <col min="2" max="2" width="6.83203125" style="3" customWidth="1"/>
    <col min="3" max="3" width="24.6640625" style="3" customWidth="1"/>
    <col min="4" max="4" width="9" style="3" customWidth="1"/>
    <col min="5" max="5" width="8.1640625" style="3" customWidth="1"/>
    <col min="6" max="6" width="8.83203125" style="15" customWidth="1"/>
    <col min="7" max="7" width="7.83203125" style="14" customWidth="1"/>
    <col min="8" max="19" width="8.6640625" style="3" customWidth="1"/>
    <col min="20" max="20" width="34.6640625" style="11" customWidth="1"/>
    <col min="21" max="21" width="39.5" style="11" customWidth="1"/>
    <col min="22" max="16384" width="9.1640625" style="11"/>
  </cols>
  <sheetData>
    <row r="1" spans="1:21" s="16" customFormat="1" ht="11.25" customHeight="1" thickBot="1">
      <c r="B1" s="39"/>
      <c r="C1" s="39" t="str">
        <f>+Setup!B10</f>
        <v>Budget Master</v>
      </c>
      <c r="D1" s="39"/>
      <c r="E1" s="39"/>
      <c r="F1" s="39"/>
      <c r="G1" s="40"/>
      <c r="H1" s="41">
        <f>+Setup!M59</f>
        <v>0.95</v>
      </c>
      <c r="I1" s="41">
        <f>+Setup!N59</f>
        <v>0.95</v>
      </c>
      <c r="J1" s="41">
        <f>+Setup!O59</f>
        <v>0.95</v>
      </c>
      <c r="K1" s="41">
        <f>+Setup!P59</f>
        <v>0.94</v>
      </c>
      <c r="L1" s="41">
        <f>+Setup!Q59</f>
        <v>0.94</v>
      </c>
      <c r="M1" s="41">
        <f>+Setup!R59</f>
        <v>0.95</v>
      </c>
      <c r="N1" s="41">
        <f>+Setup!S59</f>
        <v>0.95499999999999996</v>
      </c>
      <c r="O1" s="41">
        <f>+Setup!T59</f>
        <v>0.96</v>
      </c>
      <c r="P1" s="41">
        <f>+Setup!U59</f>
        <v>0.95</v>
      </c>
      <c r="Q1" s="41">
        <f>+Setup!V59</f>
        <v>0.95</v>
      </c>
      <c r="R1" s="41">
        <f>+Setup!W59</f>
        <v>0.94</v>
      </c>
      <c r="S1" s="41">
        <f>+Setup!X59</f>
        <v>0.94</v>
      </c>
      <c r="T1" s="25" t="s">
        <v>42</v>
      </c>
      <c r="U1" s="25" t="s">
        <v>41</v>
      </c>
    </row>
    <row r="2" spans="1:21" s="16" customFormat="1" ht="11.25" customHeight="1" thickBot="1">
      <c r="B2" s="39"/>
      <c r="C2" s="42">
        <f>+Setup!B9</f>
        <v>2018</v>
      </c>
      <c r="D2" s="39"/>
      <c r="E2" s="39"/>
      <c r="F2" s="39"/>
      <c r="G2" s="40"/>
      <c r="H2" s="41">
        <f>1+H11/H7</f>
        <v>0.95</v>
      </c>
      <c r="I2" s="41">
        <f t="shared" ref="I2:S2" si="0">1+I11/I7</f>
        <v>0.95</v>
      </c>
      <c r="J2" s="41">
        <f t="shared" si="0"/>
        <v>0.95</v>
      </c>
      <c r="K2" s="41">
        <f t="shared" si="0"/>
        <v>0.94545454545454544</v>
      </c>
      <c r="L2" s="41">
        <f t="shared" si="0"/>
        <v>0.94090909090909092</v>
      </c>
      <c r="M2" s="41">
        <f t="shared" si="0"/>
        <v>0.94545454545454544</v>
      </c>
      <c r="N2" s="41">
        <f t="shared" si="0"/>
        <v>0.95227272727272727</v>
      </c>
      <c r="O2" s="41">
        <f t="shared" si="0"/>
        <v>0.95681818181818179</v>
      </c>
      <c r="P2" s="41">
        <f t="shared" si="0"/>
        <v>0.95454545454545459</v>
      </c>
      <c r="Q2" s="41">
        <f t="shared" si="0"/>
        <v>0.95</v>
      </c>
      <c r="R2" s="41">
        <f t="shared" si="0"/>
        <v>0.94545454545454544</v>
      </c>
      <c r="S2" s="41">
        <f t="shared" si="0"/>
        <v>0.94090909090909092</v>
      </c>
      <c r="T2" s="25" t="s">
        <v>72</v>
      </c>
      <c r="U2" s="25"/>
    </row>
    <row r="3" spans="1:21" s="16" customFormat="1" ht="11.25" customHeight="1" thickBot="1">
      <c r="B3" s="40"/>
      <c r="C3" s="40"/>
      <c r="D3" s="43">
        <f>+C2-1</f>
        <v>2017</v>
      </c>
      <c r="E3" s="43" t="s">
        <v>70</v>
      </c>
      <c r="F3" s="39" t="s">
        <v>72</v>
      </c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21" s="16" customFormat="1" ht="11.25" customHeight="1" thickBot="1">
      <c r="B4" s="40"/>
      <c r="C4" s="40"/>
      <c r="D4" s="43" t="s">
        <v>69</v>
      </c>
      <c r="E4" s="43" t="s">
        <v>40</v>
      </c>
      <c r="F4" s="39" t="s">
        <v>41</v>
      </c>
      <c r="G4" s="46" t="s">
        <v>42</v>
      </c>
      <c r="H4" s="47">
        <f>+Setup!M1</f>
        <v>43101</v>
      </c>
      <c r="I4" s="47">
        <f>+Setup!N1</f>
        <v>43132</v>
      </c>
      <c r="J4" s="47">
        <f>+Setup!O1</f>
        <v>43160</v>
      </c>
      <c r="K4" s="47">
        <f>+Setup!P1</f>
        <v>43191</v>
      </c>
      <c r="L4" s="47">
        <f>+Setup!Q1</f>
        <v>43221</v>
      </c>
      <c r="M4" s="47">
        <f>+Setup!R1</f>
        <v>43252</v>
      </c>
      <c r="N4" s="47">
        <f>+Setup!S1</f>
        <v>43282</v>
      </c>
      <c r="O4" s="47">
        <f>+Setup!T1</f>
        <v>43313</v>
      </c>
      <c r="P4" s="47">
        <f>+Setup!U1</f>
        <v>43344</v>
      </c>
      <c r="Q4" s="47">
        <f>+Setup!V1</f>
        <v>43374</v>
      </c>
      <c r="R4" s="47">
        <f>+Setup!W1</f>
        <v>43405</v>
      </c>
      <c r="S4" s="47">
        <f>+Setup!X1</f>
        <v>43435</v>
      </c>
      <c r="T4" s="16" t="s">
        <v>74</v>
      </c>
      <c r="U4" s="16" t="s">
        <v>677</v>
      </c>
    </row>
    <row r="5" spans="1:21" s="4" customFormat="1" ht="10.5" customHeight="1">
      <c r="B5" s="37"/>
      <c r="C5" s="37"/>
      <c r="D5" s="21"/>
      <c r="E5" s="19"/>
      <c r="F5" s="20"/>
      <c r="G5" s="13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21" s="4" customFormat="1" ht="10.5" customHeight="1">
      <c r="B6" s="127"/>
      <c r="C6" s="127" t="s">
        <v>15</v>
      </c>
      <c r="D6" s="21"/>
      <c r="E6" s="19"/>
      <c r="F6" s="20"/>
      <c r="G6" s="1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21" s="10" customFormat="1" ht="10.5" customHeight="1">
      <c r="A7" s="10" t="str">
        <f>IF(ISNA(VLOOKUP(B7,Setup!$A$74:$A$197,1,FALSE)),"","X")</f>
        <v/>
      </c>
      <c r="B7" s="161">
        <v>411105</v>
      </c>
      <c r="C7" s="161" t="s">
        <v>203</v>
      </c>
      <c r="D7" s="21">
        <f>SUMIF('2016'!$A:$A,Input!$B7,'2016'!O:O)</f>
        <v>2114520</v>
      </c>
      <c r="E7" s="21">
        <f>IF(+'2017'!O7="","",+'2017'!O7)</f>
        <v>2903900</v>
      </c>
      <c r="F7" s="22">
        <f>IF(+E7="","",IF($F$4="Per Unit",(IF($F$3="Monthly",+E7/Setup!$B$12/12,+E7/Setup!$B$12)),IF($F$3="Monthly",+E7/Setup!$B$13/12,+E7/Setup!$B$13)))</f>
        <v>13199.545454545454</v>
      </c>
      <c r="G7" s="243"/>
      <c r="H7" s="372">
        <f>+Setup!M46</f>
        <v>234200</v>
      </c>
      <c r="I7" s="372">
        <f>+Setup!N46</f>
        <v>234200</v>
      </c>
      <c r="J7" s="372">
        <f>+Setup!O46</f>
        <v>234200</v>
      </c>
      <c r="K7" s="372">
        <f>+Setup!P46</f>
        <v>239700</v>
      </c>
      <c r="L7" s="372">
        <f>+Setup!Q46</f>
        <v>239700</v>
      </c>
      <c r="M7" s="372">
        <f>+Setup!R46</f>
        <v>239700</v>
      </c>
      <c r="N7" s="372">
        <f>+Setup!S46</f>
        <v>239700</v>
      </c>
      <c r="O7" s="372">
        <f>+Setup!T46</f>
        <v>239700</v>
      </c>
      <c r="P7" s="372">
        <f>+Setup!U46</f>
        <v>250700</v>
      </c>
      <c r="Q7" s="372">
        <f>+Setup!V46</f>
        <v>250700</v>
      </c>
      <c r="R7" s="372">
        <f>+Setup!W46</f>
        <v>250700</v>
      </c>
      <c r="S7" s="372">
        <f>+Setup!X46</f>
        <v>250700</v>
      </c>
      <c r="T7" s="492"/>
      <c r="U7" s="383"/>
    </row>
    <row r="8" spans="1:21" s="17" customFormat="1" ht="10.5" customHeight="1">
      <c r="A8" s="10" t="str">
        <f>IF(ISNA(VLOOKUP(B8,Setup!$A$74:$A$197,1,FALSE)),"","X")</f>
        <v/>
      </c>
      <c r="B8" s="161">
        <v>411110</v>
      </c>
      <c r="C8" s="161" t="s">
        <v>204</v>
      </c>
      <c r="D8" s="21">
        <f>SUMIF('2016'!$A:$A,Input!$B8,'2016'!O:O)</f>
        <v>-20335</v>
      </c>
      <c r="E8" s="21">
        <f>IF(+'2017'!O8="","",+'2017'!O8)</f>
        <v>14753</v>
      </c>
      <c r="F8" s="22">
        <f>IF(+E8="","",IF($F$4="Per Unit",(IF($F$3="Monthly",+E8/Setup!$B$12/12,+E8/Setup!$B$12)),IF($F$3="Monthly",+E8/Setup!$B$13/12,+E8/Setup!$B$13)))</f>
        <v>67.059090909090912</v>
      </c>
      <c r="G8" s="243"/>
      <c r="H8" s="372">
        <f>Setup!M47</f>
        <v>1244</v>
      </c>
      <c r="I8" s="372">
        <f>Setup!N47</f>
        <v>2544</v>
      </c>
      <c r="J8" s="372">
        <f>Setup!O47</f>
        <v>3844</v>
      </c>
      <c r="K8" s="372">
        <f>Setup!P47</f>
        <v>-31</v>
      </c>
      <c r="L8" s="372">
        <f>Setup!Q47</f>
        <v>1594</v>
      </c>
      <c r="M8" s="372">
        <f>Setup!R47</f>
        <v>3219</v>
      </c>
      <c r="N8" s="372">
        <f>Setup!S47</f>
        <v>4769</v>
      </c>
      <c r="O8" s="372">
        <f>Setup!T47</f>
        <v>6319</v>
      </c>
      <c r="P8" s="372">
        <f>Setup!U47</f>
        <v>-3631</v>
      </c>
      <c r="Q8" s="372">
        <f>Setup!V47</f>
        <v>-2656</v>
      </c>
      <c r="R8" s="372">
        <f>Setup!W47</f>
        <v>-1681</v>
      </c>
      <c r="S8" s="372">
        <f>Setup!X47</f>
        <v>-781</v>
      </c>
      <c r="T8" s="492"/>
      <c r="U8" s="383"/>
    </row>
    <row r="9" spans="1:21" s="4" customFormat="1" ht="10.5" customHeight="1">
      <c r="A9" s="10" t="str">
        <f>IF(ISNA(VLOOKUP(B9,Setup!$A$74:$A$197,1,FALSE)),"","X")</f>
        <v/>
      </c>
      <c r="B9" s="163"/>
      <c r="C9" s="163"/>
      <c r="D9" s="21"/>
      <c r="E9" s="21" t="str">
        <f>IF(+'2017'!O9="","",+'2017'!O9)</f>
        <v/>
      </c>
      <c r="F9" s="22" t="str">
        <f>IF(+E9="","",IF($F$4="Per Unit",(IF($F$3="Monthly",+E9/Setup!$B$12/12,+E9/Setup!$B$12)),IF($F$3="Monthly",+E9/Setup!$B$13/12,+E9/Setup!$B$13)))</f>
        <v/>
      </c>
      <c r="G9" s="243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492"/>
      <c r="U9" s="383"/>
    </row>
    <row r="10" spans="1:21" s="4" customFormat="1" ht="10.5" customHeight="1">
      <c r="A10" s="10" t="str">
        <f>IF(ISNA(VLOOKUP(B10,Setup!$A$74:$A$197,1,FALSE)),"","X")</f>
        <v/>
      </c>
      <c r="B10" s="159"/>
      <c r="C10" s="161" t="s">
        <v>202</v>
      </c>
      <c r="D10" s="277">
        <f>+D7+D8</f>
        <v>2094185</v>
      </c>
      <c r="E10" s="277">
        <f>IF(+'2017'!O10="","",+'2017'!O10)</f>
        <v>2918653</v>
      </c>
      <c r="F10" s="22">
        <f>IF(+E10="","",IF($F$4="Per Unit",(IF($F$3="Monthly",+E10/Setup!$B$12/12,+E10/Setup!$B$12)),IF($F$3="Monthly",+E10/Setup!$B$13/12,+E10/Setup!$B$13)))</f>
        <v>13266.604545454546</v>
      </c>
      <c r="G10" s="243"/>
      <c r="H10" s="372">
        <f>+H7+H8</f>
        <v>235444</v>
      </c>
      <c r="I10" s="372">
        <f t="shared" ref="I10:S10" si="1">+I7+I8</f>
        <v>236744</v>
      </c>
      <c r="J10" s="372">
        <f t="shared" si="1"/>
        <v>238044</v>
      </c>
      <c r="K10" s="372">
        <f t="shared" si="1"/>
        <v>239669</v>
      </c>
      <c r="L10" s="372">
        <f t="shared" si="1"/>
        <v>241294</v>
      </c>
      <c r="M10" s="372">
        <f t="shared" si="1"/>
        <v>242919</v>
      </c>
      <c r="N10" s="372">
        <f t="shared" si="1"/>
        <v>244469</v>
      </c>
      <c r="O10" s="372">
        <f t="shared" si="1"/>
        <v>246019</v>
      </c>
      <c r="P10" s="372">
        <f t="shared" si="1"/>
        <v>247069</v>
      </c>
      <c r="Q10" s="372">
        <f t="shared" si="1"/>
        <v>248044</v>
      </c>
      <c r="R10" s="372">
        <f t="shared" si="1"/>
        <v>249019</v>
      </c>
      <c r="S10" s="372">
        <f t="shared" si="1"/>
        <v>249919</v>
      </c>
      <c r="T10" s="492"/>
      <c r="U10" s="383"/>
    </row>
    <row r="11" spans="1:21" s="4" customFormat="1" ht="10.5" customHeight="1">
      <c r="A11" s="10" t="str">
        <f>IF(ISNA(VLOOKUP(B11,Setup!$A$74:$A$197,1,FALSE)),"","X")</f>
        <v/>
      </c>
      <c r="B11" s="161">
        <v>411240</v>
      </c>
      <c r="C11" s="161" t="s">
        <v>205</v>
      </c>
      <c r="D11" s="21">
        <f>SUMIF('2016'!$A:$A,Input!$B11,'2016'!O:O)</f>
        <v>-91406</v>
      </c>
      <c r="E11" s="21">
        <f>IF(+'2017'!O11="","",+'2017'!O11)</f>
        <v>-149653.18181818188</v>
      </c>
      <c r="F11" s="22">
        <f>IF(+E11="","",IF($F$4="Per Unit",(IF($F$3="Monthly",+E11/Setup!$B$12/12,+E11/Setup!$B$12)),IF($F$3="Monthly",+E11/Setup!$B$13/12,+E11/Setup!$B$13)))</f>
        <v>-680.24173553719038</v>
      </c>
      <c r="G11" s="243"/>
      <c r="H11" s="373">
        <f>+Setup!M49</f>
        <v>-11710.000000000011</v>
      </c>
      <c r="I11" s="373">
        <f>+Setup!N49</f>
        <v>-11710.000000000011</v>
      </c>
      <c r="J11" s="373">
        <f>+Setup!O49</f>
        <v>-11710.000000000011</v>
      </c>
      <c r="K11" s="373">
        <f>+Setup!P49</f>
        <v>-13074.54545454546</v>
      </c>
      <c r="L11" s="373">
        <f>+Setup!Q49</f>
        <v>-14164.090909090906</v>
      </c>
      <c r="M11" s="373">
        <f>+Setup!R49</f>
        <v>-13074.54545454546</v>
      </c>
      <c r="N11" s="373">
        <f>+Setup!S49</f>
        <v>-11440.227272727274</v>
      </c>
      <c r="O11" s="373">
        <f>+Setup!T49</f>
        <v>-10350.681818181825</v>
      </c>
      <c r="P11" s="373">
        <f>+Setup!U49</f>
        <v>-11395.454545454535</v>
      </c>
      <c r="Q11" s="373">
        <f>+Setup!V49</f>
        <v>-12535.000000000011</v>
      </c>
      <c r="R11" s="373">
        <f>+Setup!W49</f>
        <v>-13674.54545454546</v>
      </c>
      <c r="S11" s="373">
        <f>+Setup!X49</f>
        <v>-14814.090909090906</v>
      </c>
      <c r="T11" s="492"/>
      <c r="U11" s="383"/>
    </row>
    <row r="12" spans="1:21" s="4" customFormat="1" ht="10.5" customHeight="1">
      <c r="A12" s="10"/>
      <c r="B12" s="163"/>
      <c r="C12" s="163"/>
      <c r="D12" s="21"/>
      <c r="E12" s="21" t="str">
        <f>IF(+'2017'!O12="","",+'2017'!O12)</f>
        <v/>
      </c>
      <c r="F12" s="22" t="str">
        <f>IF(+E12="","",IF($F$4="Per Unit",(IF($F$3="Monthly",+E12/Setup!$B$12/12,+E12/Setup!$B$12)),IF($F$3="Monthly",+E12/Setup!$B$13/12,+E12/Setup!$B$13)))</f>
        <v/>
      </c>
      <c r="G12" s="243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492"/>
      <c r="U12" s="383"/>
    </row>
    <row r="13" spans="1:21" s="4" customFormat="1" ht="10.5" customHeight="1">
      <c r="A13" s="10"/>
      <c r="B13" s="159"/>
      <c r="C13" s="159" t="s">
        <v>507</v>
      </c>
      <c r="D13" s="21">
        <f>+D10+D11</f>
        <v>2002779</v>
      </c>
      <c r="E13" s="21">
        <f>IF(+'2017'!O13="","",+'2017'!O13)</f>
        <v>2768999.8181818184</v>
      </c>
      <c r="F13" s="22">
        <f>IF(+E13="","",IF($F$4="Per Unit",(IF($F$3="Monthly",+E13/Setup!$B$12/12,+E13/Setup!$B$12)),IF($F$3="Monthly",+E13/Setup!$B$13/12,+E13/Setup!$B$13)))</f>
        <v>12586.362809917357</v>
      </c>
      <c r="G13" s="243"/>
      <c r="H13" s="373">
        <f t="shared" ref="H13:S13" si="2">+H10+H11</f>
        <v>223734</v>
      </c>
      <c r="I13" s="373">
        <f t="shared" si="2"/>
        <v>225034</v>
      </c>
      <c r="J13" s="373">
        <f t="shared" si="2"/>
        <v>226334</v>
      </c>
      <c r="K13" s="373">
        <f t="shared" si="2"/>
        <v>226594.45454545453</v>
      </c>
      <c r="L13" s="373">
        <f t="shared" si="2"/>
        <v>227129.90909090909</v>
      </c>
      <c r="M13" s="373">
        <f t="shared" si="2"/>
        <v>229844.45454545453</v>
      </c>
      <c r="N13" s="373">
        <f t="shared" si="2"/>
        <v>233028.77272727274</v>
      </c>
      <c r="O13" s="373">
        <f t="shared" si="2"/>
        <v>235668.31818181818</v>
      </c>
      <c r="P13" s="373">
        <f t="shared" si="2"/>
        <v>235673.54545454547</v>
      </c>
      <c r="Q13" s="373">
        <f t="shared" si="2"/>
        <v>235509</v>
      </c>
      <c r="R13" s="373">
        <f t="shared" si="2"/>
        <v>235344.45454545453</v>
      </c>
      <c r="S13" s="373">
        <f t="shared" si="2"/>
        <v>235104.90909090909</v>
      </c>
      <c r="T13" s="492"/>
      <c r="U13" s="383"/>
    </row>
    <row r="14" spans="1:21" s="4" customFormat="1" ht="10.5" customHeight="1">
      <c r="A14" s="10" t="str">
        <f>IF(ISNA(VLOOKUP(B14,Setup!$A$74:$A$197,1,FALSE)),"","X")</f>
        <v/>
      </c>
      <c r="B14" s="161">
        <v>411210</v>
      </c>
      <c r="C14" s="161" t="s">
        <v>206</v>
      </c>
      <c r="D14" s="21">
        <f>SUMIF('2016'!$A:$A,Input!$B14,'2016'!O:O)</f>
        <v>-2623</v>
      </c>
      <c r="E14" s="21">
        <f>IF(+'2017'!O14="","",+'2017'!O14)</f>
        <v>0</v>
      </c>
      <c r="F14" s="22">
        <f>IF(+E14="","",IF($F$4="Per Unit",(IF($F$3="Monthly",+E14/Setup!$B$12/12,+E14/Setup!$B$12)),IF($F$3="Monthly",+E14/Setup!$B$13/12,+E14/Setup!$B$13)))</f>
        <v>0</v>
      </c>
      <c r="G14" s="33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383"/>
    </row>
    <row r="15" spans="1:21" s="4" customFormat="1" ht="10.5" customHeight="1">
      <c r="A15" s="10" t="str">
        <f>IF(ISNA(VLOOKUP(B15,Setup!$A$74:$A$197,1,FALSE)),"","X")</f>
        <v/>
      </c>
      <c r="B15" s="161">
        <v>411215</v>
      </c>
      <c r="C15" s="161" t="s">
        <v>207</v>
      </c>
      <c r="D15" s="21">
        <f>SUMIF('2016'!$A:$A,Input!$B15,'2016'!O:O)</f>
        <v>5951</v>
      </c>
      <c r="E15" s="21">
        <f>IF(+'2017'!O15="","",+'2017'!O15)</f>
        <v>0</v>
      </c>
      <c r="F15" s="22">
        <f>IF(+E15="","",IF($F$4="Per Unit",(IF($F$3="Monthly",+E15/Setup!$B$12/12,+E15/Setup!$B$12)),IF($F$3="Monthly",+E15/Setup!$B$13/12,+E15/Setup!$B$13)))</f>
        <v>0</v>
      </c>
      <c r="G15" s="33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383"/>
    </row>
    <row r="16" spans="1:21" s="4" customFormat="1" ht="10.5" customHeight="1">
      <c r="A16" s="10" t="str">
        <f>IF(ISNA(VLOOKUP(B16,Setup!$A$74:$A$197,1,FALSE)),"","X")</f>
        <v/>
      </c>
      <c r="B16" s="161">
        <v>411220</v>
      </c>
      <c r="C16" s="161" t="s">
        <v>208</v>
      </c>
      <c r="D16" s="21">
        <f>SUMIF('2016'!$A:$A,Input!$B16,'2016'!O:O)</f>
        <v>6060</v>
      </c>
      <c r="E16" s="21">
        <f>IF(+'2017'!O16="","",+'2017'!O16)</f>
        <v>0</v>
      </c>
      <c r="F16" s="22">
        <f>IF(+E16="","",IF($F$4="Per Unit",(IF($F$3="Monthly",+E16/Setup!$B$12/12,+E16/Setup!$B$12)),IF($F$3="Monthly",+E16/Setup!$B$13/12,+E16/Setup!$B$13)))</f>
        <v>0</v>
      </c>
      <c r="G16" s="33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383"/>
    </row>
    <row r="17" spans="1:21" s="4" customFormat="1" ht="10.5" customHeight="1">
      <c r="A17" s="10" t="str">
        <f>IF(ISNA(VLOOKUP(B17,Setup!$A$74:$A$197,1,FALSE)),"","X")</f>
        <v/>
      </c>
      <c r="B17" s="161">
        <v>411225</v>
      </c>
      <c r="C17" s="161" t="s">
        <v>209</v>
      </c>
      <c r="D17" s="21">
        <f>SUMIF('2016'!$A:$A,Input!$B17,'2016'!O:O)</f>
        <v>-19145</v>
      </c>
      <c r="E17" s="21">
        <f>IF(+'2017'!O17="","",+'2017'!O17)</f>
        <v>0</v>
      </c>
      <c r="F17" s="22">
        <f>IF(+E17="","",IF($F$4="Per Unit",(IF($F$3="Monthly",+E17/Setup!$B$12/12,+E17/Setup!$B$12)),IF($F$3="Monthly",+E17/Setup!$B$13/12,+E17/Setup!$B$13)))</f>
        <v>0</v>
      </c>
      <c r="G17" s="241">
        <f>-Setup!D66</f>
        <v>0</v>
      </c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383"/>
    </row>
    <row r="18" spans="1:21" s="4" customFormat="1" ht="10.5" customHeight="1">
      <c r="A18" s="10" t="str">
        <f>IF(ISNA(VLOOKUP(B18,Setup!$A$74:$A$197,1,FALSE)),"","X")</f>
        <v/>
      </c>
      <c r="B18" s="161">
        <v>411230</v>
      </c>
      <c r="C18" s="161" t="s">
        <v>210</v>
      </c>
      <c r="D18" s="21">
        <f>SUMIF('2016'!$A:$A,Input!$B18,'2016'!O:O)</f>
        <v>0</v>
      </c>
      <c r="E18" s="21">
        <f>IF(+'2017'!O18="","",+'2017'!O18)</f>
        <v>24500</v>
      </c>
      <c r="F18" s="22">
        <f>IF(+E18="","",IF($F$4="Per Unit",(IF($F$3="Monthly",+E18/Setup!$B$12/12,+E18/Setup!$B$12)),IF($F$3="Monthly",+E18/Setup!$B$13/12,+E18/Setup!$B$13)))</f>
        <v>111.36363636363636</v>
      </c>
      <c r="G18" s="243"/>
      <c r="H18" s="375">
        <f>+Setup!M63</f>
        <v>2000</v>
      </c>
      <c r="I18" s="375">
        <f>+Setup!N63</f>
        <v>2000</v>
      </c>
      <c r="J18" s="375">
        <f>+Setup!O63</f>
        <v>2000</v>
      </c>
      <c r="K18" s="375">
        <f>+Setup!P63</f>
        <v>2500</v>
      </c>
      <c r="L18" s="375">
        <f>+Setup!Q63</f>
        <v>2500</v>
      </c>
      <c r="M18" s="375">
        <f>+Setup!R63</f>
        <v>2500</v>
      </c>
      <c r="N18" s="375">
        <f>+Setup!S63</f>
        <v>2500</v>
      </c>
      <c r="O18" s="375">
        <f>+Setup!T63</f>
        <v>2500</v>
      </c>
      <c r="P18" s="375">
        <f>+Setup!U63</f>
        <v>1500</v>
      </c>
      <c r="Q18" s="375">
        <f>+Setup!V63</f>
        <v>1500</v>
      </c>
      <c r="R18" s="375">
        <f>+Setup!W63</f>
        <v>1500</v>
      </c>
      <c r="S18" s="375">
        <f>+Setup!X63</f>
        <v>1500</v>
      </c>
      <c r="T18" s="492"/>
      <c r="U18" s="383"/>
    </row>
    <row r="19" spans="1:21" s="4" customFormat="1" ht="10.5" customHeight="1">
      <c r="A19" s="10" t="str">
        <f>IF(ISNA(VLOOKUP(B19,Setup!$A$74:$A$197,1,FALSE)),"","X")</f>
        <v/>
      </c>
      <c r="B19" s="161">
        <v>411235</v>
      </c>
      <c r="C19" s="161" t="s">
        <v>211</v>
      </c>
      <c r="D19" s="21">
        <f>SUMIF('2016'!$A:$A,Input!$B19,'2016'!O:O)</f>
        <v>0</v>
      </c>
      <c r="E19" s="21">
        <f>IF(+'2017'!O19="","",+'2017'!O19)</f>
        <v>0</v>
      </c>
      <c r="F19" s="22">
        <f>IF(+E19="","",IF($F$4="Per Unit",(IF($F$3="Monthly",+E19/Setup!$B$12/12,+E19/Setup!$B$12)),IF($F$3="Monthly",+E19/Setup!$B$13/12,+E19/Setup!$B$13)))</f>
        <v>0</v>
      </c>
      <c r="G19" s="241">
        <f>-Setup!R98-Setup!M98</f>
        <v>0</v>
      </c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383"/>
    </row>
    <row r="20" spans="1:21" s="10" customFormat="1" ht="10.5" customHeight="1">
      <c r="A20" s="10" t="str">
        <f>IF(ISNA(VLOOKUP(B20,Setup!$A$74:$A$197,1,FALSE)),"","X")</f>
        <v/>
      </c>
      <c r="B20" s="161">
        <v>411245</v>
      </c>
      <c r="C20" s="161" t="s">
        <v>212</v>
      </c>
      <c r="D20" s="21">
        <f>SUMIF('2016'!$A:$A,Input!$B20,'2016'!O:O)</f>
        <v>1904</v>
      </c>
      <c r="E20" s="21">
        <f>IF(+'2017'!O20="","",+'2017'!O20)</f>
        <v>0</v>
      </c>
      <c r="F20" s="22">
        <f>IF(+E20="","",IF($F$4="Per Unit",(IF($F$3="Monthly",+E20/Setup!$B$12/12,+E20/Setup!$B$12)),IF($F$3="Monthly",+E20/Setup!$B$13/12,+E20/Setup!$B$13)))</f>
        <v>0</v>
      </c>
      <c r="G20" s="33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61"/>
      <c r="U20" s="361"/>
    </row>
    <row r="21" spans="1:21" s="17" customFormat="1" ht="10.5" customHeight="1">
      <c r="A21" s="10" t="str">
        <f>IF(ISNA(VLOOKUP(B21,Setup!$A$74:$A$197,1,FALSE)),"","X")</f>
        <v/>
      </c>
      <c r="B21" s="163"/>
      <c r="C21" s="163"/>
      <c r="D21" s="21"/>
      <c r="E21" s="21" t="str">
        <f>IF(+'2017'!O21="","",+'2017'!O21)</f>
        <v/>
      </c>
      <c r="F21" s="22" t="str">
        <f>IF(+E21="","",IF($F$4="Per Unit",(IF($F$3="Monthly",+E21/Setup!$B$12/12,+E21/Setup!$B$12)),IF($F$3="Monthly",+E21/Setup!$B$13/12,+E21/Setup!$B$13)))</f>
        <v/>
      </c>
      <c r="G21" s="95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4"/>
      <c r="U21" s="4"/>
    </row>
    <row r="22" spans="1:21" s="4" customFormat="1" ht="10.5" customHeight="1">
      <c r="A22" s="10" t="str">
        <f>IF(ISNA(VLOOKUP(B22,Setup!$A$74:$A$197,1,FALSE)),"","X")</f>
        <v/>
      </c>
      <c r="B22" s="159"/>
      <c r="C22" s="159" t="s">
        <v>50</v>
      </c>
      <c r="D22" s="21">
        <f>SUM(D13:D20)</f>
        <v>1994926</v>
      </c>
      <c r="E22" s="21">
        <f>IF(+'2017'!O22="","",+'2017'!O22)</f>
        <v>2793499.8181818184</v>
      </c>
      <c r="F22" s="22">
        <f>IF(+E22="","",IF($F$4="Per Unit",(IF($F$3="Monthly",+E22/Setup!$B$12/12,+E22/Setup!$B$12)),IF($F$3="Monthly",+E22/Setup!$B$13/12,+E22/Setup!$B$13)))</f>
        <v>12697.726446280993</v>
      </c>
      <c r="G22" s="95"/>
      <c r="H22" s="377">
        <f>'2017'!C22</f>
        <v>225734</v>
      </c>
      <c r="I22" s="377">
        <f>'2017'!D22</f>
        <v>227034</v>
      </c>
      <c r="J22" s="377">
        <f>'2017'!E22</f>
        <v>228334</v>
      </c>
      <c r="K22" s="377">
        <f>'2017'!F22</f>
        <v>229094.45454545453</v>
      </c>
      <c r="L22" s="377">
        <f>'2017'!G22</f>
        <v>229629.90909090909</v>
      </c>
      <c r="M22" s="377">
        <f>'2017'!H22</f>
        <v>232344.45454545453</v>
      </c>
      <c r="N22" s="377">
        <f>'2017'!I22</f>
        <v>235528.77272727274</v>
      </c>
      <c r="O22" s="377">
        <f>'2017'!J22</f>
        <v>238168.31818181818</v>
      </c>
      <c r="P22" s="377">
        <f>'2017'!K22</f>
        <v>237173.54545454547</v>
      </c>
      <c r="Q22" s="377">
        <f>'2017'!L22</f>
        <v>237009</v>
      </c>
      <c r="R22" s="377">
        <f>'2017'!M22</f>
        <v>236844.45454545453</v>
      </c>
      <c r="S22" s="377">
        <f>'2017'!N22</f>
        <v>236604.90909090909</v>
      </c>
    </row>
    <row r="23" spans="1:21" s="17" customFormat="1" ht="10.5" customHeight="1">
      <c r="A23" s="10" t="str">
        <f>IF(ISNA(VLOOKUP(B23,Setup!$A$74:$A$197,1,FALSE)),"","X")</f>
        <v/>
      </c>
      <c r="B23" s="160"/>
      <c r="C23" s="161" t="s">
        <v>16</v>
      </c>
      <c r="D23" s="21"/>
      <c r="E23" s="21" t="str">
        <f>IF(+'2017'!O23="","",+'2017'!O23)</f>
        <v/>
      </c>
      <c r="F23" s="22" t="str">
        <f>IF(+E23="","",IF($F$4="Per Unit",(IF($F$3="Monthly",+E23/Setup!$B$12/12,+E23/Setup!$B$12)),IF($F$3="Monthly",+E23/Setup!$B$13/12,+E23/Setup!$B$13)))</f>
        <v/>
      </c>
      <c r="G23" s="95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4"/>
      <c r="U23" s="4"/>
    </row>
    <row r="24" spans="1:21" s="17" customFormat="1" ht="10.5" customHeight="1">
      <c r="A24" s="10" t="str">
        <f>IF(ISNA(VLOOKUP(B24,Setup!$A$74:$A$197,1,FALSE)),"","X")</f>
        <v/>
      </c>
      <c r="B24" s="161"/>
      <c r="C24" s="161" t="s">
        <v>213</v>
      </c>
      <c r="D24" s="21"/>
      <c r="E24" s="21" t="str">
        <f>IF(+'2017'!O24="","",+'2017'!O24)</f>
        <v/>
      </c>
      <c r="F24" s="22" t="str">
        <f>IF(+E24="","",IF($F$4="Per Unit",(IF($F$3="Monthly",+E24/Setup!$B$12/12,+E24/Setup!$B$12)),IF($F$3="Monthly",+E24/Setup!$B$13/12,+E24/Setup!$B$13)))</f>
        <v/>
      </c>
      <c r="G24" s="95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4"/>
      <c r="U24" s="4"/>
    </row>
    <row r="25" spans="1:21" s="4" customFormat="1" ht="10.5" customHeight="1">
      <c r="A25" s="10" t="str">
        <f>IF(ISNA(VLOOKUP(B25,Setup!$A$74:$A$197,1,FALSE)),"","X")</f>
        <v/>
      </c>
      <c r="B25" s="161">
        <v>421105</v>
      </c>
      <c r="C25" s="161" t="s">
        <v>214</v>
      </c>
      <c r="D25" s="21">
        <f>SUMIF('2016'!$A:$A,Input!$B25,'2016'!O:O)</f>
        <v>6700</v>
      </c>
      <c r="E25" s="21">
        <f>IF(+'2017'!O25="","",+'2017'!O25)</f>
        <v>6699.9999999999991</v>
      </c>
      <c r="F25" s="22">
        <f>IF(+E25="","",IF($F$4="Per Unit",(IF($F$3="Monthly",+E25/Setup!$B$12/12,+E25/Setup!$B$12)),IF($F$3="Monthly",+E25/Setup!$B$13/12,+E25/Setup!$B$13)))</f>
        <v>30.45454545454545</v>
      </c>
      <c r="G25" s="33">
        <f>+D25/12</f>
        <v>558.33333333333337</v>
      </c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383"/>
    </row>
    <row r="26" spans="1:21" s="4" customFormat="1" ht="10.5" customHeight="1">
      <c r="A26" s="10" t="str">
        <f>IF(ISNA(VLOOKUP(B26,Setup!$A$74:$A$197,1,FALSE)),"","X")</f>
        <v/>
      </c>
      <c r="B26" s="161">
        <v>421107</v>
      </c>
      <c r="C26" s="161" t="s">
        <v>215</v>
      </c>
      <c r="D26" s="21">
        <f>SUMIF('2016'!$A:$A,Input!$B26,'2016'!O:O)</f>
        <v>17531</v>
      </c>
      <c r="E26" s="21">
        <f>IF(+'2017'!O26="","",+'2017'!O26)</f>
        <v>17530.999999999996</v>
      </c>
      <c r="F26" s="22">
        <f>IF(+E26="","",IF($F$4="Per Unit",(IF($F$3="Monthly",+E26/Setup!$B$12/12,+E26/Setup!$B$12)),IF($F$3="Monthly",+E26/Setup!$B$13/12,+E26/Setup!$B$13)))</f>
        <v>79.686363636363623</v>
      </c>
      <c r="G26" s="33">
        <f t="shared" ref="G26:G36" si="3">+D26/12</f>
        <v>1460.9166666666667</v>
      </c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383"/>
    </row>
    <row r="27" spans="1:21" s="4" customFormat="1" ht="10.5" customHeight="1">
      <c r="A27" s="10" t="str">
        <f>IF(ISNA(VLOOKUP(B27,Setup!$A$74:$A$197,1,FALSE)),"","X")</f>
        <v/>
      </c>
      <c r="B27" s="161">
        <v>421110</v>
      </c>
      <c r="C27" s="161" t="s">
        <v>216</v>
      </c>
      <c r="D27" s="21">
        <f>SUMIF('2016'!$A:$A,Input!$B27,'2016'!O:O)</f>
        <v>0</v>
      </c>
      <c r="E27" s="21">
        <f>IF(+'2017'!O27="","",+'2017'!O27)</f>
        <v>0</v>
      </c>
      <c r="F27" s="22">
        <f>IF(+E27="","",IF($F$4="Per Unit",(IF($F$3="Monthly",+E27/Setup!$B$12/12,+E27/Setup!$B$12)),IF($F$3="Monthly",+E27/Setup!$B$13/12,+E27/Setup!$B$13)))</f>
        <v>0</v>
      </c>
      <c r="G27" s="33">
        <f t="shared" si="3"/>
        <v>0</v>
      </c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383"/>
    </row>
    <row r="28" spans="1:21" s="4" customFormat="1" ht="10.5" customHeight="1">
      <c r="A28" s="10" t="str">
        <f>IF(ISNA(VLOOKUP(B28,Setup!$A$74:$A$197,1,FALSE)),"","X")</f>
        <v/>
      </c>
      <c r="B28" s="161">
        <v>421112</v>
      </c>
      <c r="C28" s="161" t="s">
        <v>217</v>
      </c>
      <c r="D28" s="21">
        <f>SUMIF('2016'!$A:$A,Input!$B28,'2016'!O:O)</f>
        <v>2797</v>
      </c>
      <c r="E28" s="21">
        <f>IF(+'2017'!O28="","",+'2017'!O28)</f>
        <v>2797.0000000000005</v>
      </c>
      <c r="F28" s="22">
        <f>IF(+E28="","",IF($F$4="Per Unit",(IF($F$3="Monthly",+E28/Setup!$B$12/12,+E28/Setup!$B$12)),IF($F$3="Monthly",+E28/Setup!$B$13/12,+E28/Setup!$B$13)))</f>
        <v>12.713636363636367</v>
      </c>
      <c r="G28" s="33">
        <f t="shared" si="3"/>
        <v>233.08333333333334</v>
      </c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383"/>
    </row>
    <row r="29" spans="1:21" s="4" customFormat="1" ht="10.5" customHeight="1">
      <c r="A29" s="10" t="str">
        <f>IF(ISNA(VLOOKUP(B29,Setup!$A$74:$A$197,1,FALSE)),"","X")</f>
        <v/>
      </c>
      <c r="B29" s="161">
        <v>421115</v>
      </c>
      <c r="C29" s="161" t="s">
        <v>218</v>
      </c>
      <c r="D29" s="21">
        <f>SUMIF('2016'!$A:$A,Input!$B29,'2016'!O:O)</f>
        <v>0</v>
      </c>
      <c r="E29" s="21">
        <f>IF(+'2017'!O29="","",+'2017'!O29)</f>
        <v>0</v>
      </c>
      <c r="F29" s="22">
        <f>IF(+E29="","",IF($F$4="Per Unit",(IF($F$3="Monthly",+E29/Setup!$B$12/12,+E29/Setup!$B$12)),IF($F$3="Monthly",+E29/Setup!$B$13/12,+E29/Setup!$B$13)))</f>
        <v>0</v>
      </c>
      <c r="G29" s="33">
        <f t="shared" si="3"/>
        <v>0</v>
      </c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383"/>
    </row>
    <row r="30" spans="1:21" s="4" customFormat="1" ht="10.5" customHeight="1">
      <c r="A30" s="10" t="str">
        <f>IF(ISNA(VLOOKUP(B30,Setup!$A$74:$A$197,1,FALSE)),"","X")</f>
        <v/>
      </c>
      <c r="B30" s="161">
        <v>421117</v>
      </c>
      <c r="C30" s="161" t="s">
        <v>219</v>
      </c>
      <c r="D30" s="21">
        <f>SUMIF('2016'!$A:$A,Input!$B30,'2016'!O:O)</f>
        <v>335</v>
      </c>
      <c r="E30" s="21">
        <f>IF(+'2017'!O30="","",+'2017'!O30)</f>
        <v>335</v>
      </c>
      <c r="F30" s="22">
        <f>IF(+E30="","",IF($F$4="Per Unit",(IF($F$3="Monthly",+E30/Setup!$B$12/12,+E30/Setup!$B$12)),IF($F$3="Monthly",+E30/Setup!$B$13/12,+E30/Setup!$B$13)))</f>
        <v>1.5227272727272727</v>
      </c>
      <c r="G30" s="33">
        <f t="shared" si="3"/>
        <v>27.916666666666668</v>
      </c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383"/>
    </row>
    <row r="31" spans="1:21" s="4" customFormat="1" ht="10.5" customHeight="1">
      <c r="A31" s="10" t="str">
        <f>IF(ISNA(VLOOKUP(B31,Setup!$A$74:$A$197,1,FALSE)),"","X")</f>
        <v/>
      </c>
      <c r="B31" s="161">
        <v>421120</v>
      </c>
      <c r="C31" s="161" t="s">
        <v>220</v>
      </c>
      <c r="D31" s="21">
        <f>SUMIF('2016'!$A:$A,Input!$B31,'2016'!O:O)</f>
        <v>14610</v>
      </c>
      <c r="E31" s="21">
        <f>IF(+'2017'!O31="","",+'2017'!O31)</f>
        <v>14610</v>
      </c>
      <c r="F31" s="22">
        <f>IF(+E31="","",IF($F$4="Per Unit",(IF($F$3="Monthly",+E31/Setup!$B$12/12,+E31/Setup!$B$12)),IF($F$3="Monthly",+E31/Setup!$B$13/12,+E31/Setup!$B$13)))</f>
        <v>66.409090909090907</v>
      </c>
      <c r="G31" s="33">
        <f t="shared" si="3"/>
        <v>1217.5</v>
      </c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383"/>
    </row>
    <row r="32" spans="1:21" s="4" customFormat="1" ht="10.5" customHeight="1">
      <c r="A32" s="10" t="str">
        <f>IF(ISNA(VLOOKUP(B32,Setup!$A$74:$A$197,1,FALSE)),"","X")</f>
        <v/>
      </c>
      <c r="B32" s="161">
        <v>421125</v>
      </c>
      <c r="C32" s="161" t="s">
        <v>221</v>
      </c>
      <c r="D32" s="21">
        <f>SUMIF('2016'!$A:$A,Input!$B32,'2016'!O:O)</f>
        <v>175</v>
      </c>
      <c r="E32" s="21">
        <f>IF(+'2017'!O32="","",+'2017'!O32)</f>
        <v>175.00000000000003</v>
      </c>
      <c r="F32" s="22">
        <f>IF(+E32="","",IF($F$4="Per Unit",(IF($F$3="Monthly",+E32/Setup!$B$12/12,+E32/Setup!$B$12)),IF($F$3="Monthly",+E32/Setup!$B$13/12,+E32/Setup!$B$13)))</f>
        <v>0.79545454545454564</v>
      </c>
      <c r="G32" s="33">
        <f t="shared" si="3"/>
        <v>14.583333333333334</v>
      </c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383"/>
    </row>
    <row r="33" spans="1:21" s="4" customFormat="1" ht="10.5" customHeight="1">
      <c r="A33" s="10" t="str">
        <f>IF(ISNA(VLOOKUP(B33,Setup!$A$74:$A$197,1,FALSE)),"","X")</f>
        <v/>
      </c>
      <c r="B33" s="161">
        <v>421130</v>
      </c>
      <c r="C33" s="161" t="s">
        <v>222</v>
      </c>
      <c r="D33" s="21">
        <f>SUMIF('2016'!$A:$A,Input!$B33,'2016'!O:O)</f>
        <v>25080</v>
      </c>
      <c r="E33" s="21">
        <f>IF(+'2017'!O33="","",+'2017'!O33)</f>
        <v>25080</v>
      </c>
      <c r="F33" s="22">
        <f>IF(+E33="","",IF($F$4="Per Unit",(IF($F$3="Monthly",+E33/Setup!$B$12/12,+E33/Setup!$B$12)),IF($F$3="Monthly",+E33/Setup!$B$13/12,+E33/Setup!$B$13)))</f>
        <v>114</v>
      </c>
      <c r="G33" s="33">
        <f t="shared" si="3"/>
        <v>2090</v>
      </c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383"/>
    </row>
    <row r="34" spans="1:21" s="4" customFormat="1" ht="10.5" customHeight="1">
      <c r="A34" s="10" t="str">
        <f>IF(ISNA(VLOOKUP(B34,Setup!$A$74:$A$197,1,FALSE)),"","X")</f>
        <v/>
      </c>
      <c r="B34" s="161">
        <v>421135</v>
      </c>
      <c r="C34" s="161" t="s">
        <v>223</v>
      </c>
      <c r="D34" s="21">
        <f>SUMIF('2016'!$A:$A,Input!$B34,'2016'!O:O)</f>
        <v>4719</v>
      </c>
      <c r="E34" s="21">
        <f>IF(+'2017'!O34="","",+'2017'!O34)</f>
        <v>4719</v>
      </c>
      <c r="F34" s="22">
        <f>IF(+E34="","",IF($F$4="Per Unit",(IF($F$3="Monthly",+E34/Setup!$B$12/12,+E34/Setup!$B$12)),IF($F$3="Monthly",+E34/Setup!$B$13/12,+E34/Setup!$B$13)))</f>
        <v>21.45</v>
      </c>
      <c r="G34" s="33">
        <f t="shared" si="3"/>
        <v>393.25</v>
      </c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383"/>
    </row>
    <row r="35" spans="1:21" s="4" customFormat="1" ht="10.5" customHeight="1">
      <c r="A35" s="10" t="str">
        <f>IF(ISNA(VLOOKUP(B35,Setup!$A$74:$A$197,1,FALSE)),"","X")</f>
        <v/>
      </c>
      <c r="B35" s="161">
        <v>421140</v>
      </c>
      <c r="C35" s="161" t="s">
        <v>224</v>
      </c>
      <c r="D35" s="21">
        <f>SUMIF('2016'!$A:$A,Input!$B35,'2016'!O:O)</f>
        <v>11988</v>
      </c>
      <c r="E35" s="21">
        <f>IF(+'2017'!O35="","",+'2017'!O35)</f>
        <v>11988</v>
      </c>
      <c r="F35" s="22">
        <f>IF(+E35="","",IF($F$4="Per Unit",(IF($F$3="Monthly",+E35/Setup!$B$12/12,+E35/Setup!$B$12)),IF($F$3="Monthly",+E35/Setup!$B$13/12,+E35/Setup!$B$13)))</f>
        <v>54.490909090909092</v>
      </c>
      <c r="G35" s="33">
        <f t="shared" si="3"/>
        <v>999</v>
      </c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383"/>
    </row>
    <row r="36" spans="1:21" s="4" customFormat="1" ht="10.5" customHeight="1">
      <c r="A36" s="10" t="str">
        <f>IF(ISNA(VLOOKUP(B36,Setup!$A$74:$A$197,1,FALSE)),"","X")</f>
        <v/>
      </c>
      <c r="B36" s="161">
        <v>421145</v>
      </c>
      <c r="C36" s="161" t="s">
        <v>225</v>
      </c>
      <c r="D36" s="21">
        <f>SUMIF('2016'!$A:$A,Input!$B36,'2016'!O:O)</f>
        <v>0</v>
      </c>
      <c r="E36" s="21">
        <f>IF(+'2017'!O36="","",+'2017'!O36)</f>
        <v>0</v>
      </c>
      <c r="F36" s="22">
        <f>IF(+E36="","",IF($F$4="Per Unit",(IF($F$3="Monthly",+E36/Setup!$B$12/12,+E36/Setup!$B$12)),IF($F$3="Monthly",+E36/Setup!$B$13/12,+E36/Setup!$B$13)))</f>
        <v>0</v>
      </c>
      <c r="G36" s="33">
        <f t="shared" si="3"/>
        <v>0</v>
      </c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383"/>
    </row>
    <row r="37" spans="1:21" s="10" customFormat="1" ht="10.5" customHeight="1">
      <c r="A37" s="10" t="str">
        <f>IF(ISNA(VLOOKUP(B37,Setup!$A$74:$A$197,1,FALSE)),"","X")</f>
        <v/>
      </c>
      <c r="B37" s="163"/>
      <c r="C37" s="163"/>
      <c r="D37" s="21"/>
      <c r="E37" s="21" t="str">
        <f>IF(+'2017'!O37="","",+'2017'!O37)</f>
        <v/>
      </c>
      <c r="F37" s="22" t="str">
        <f>IF(+E37="","",IF($F$4="Per Unit",(IF($F$3="Monthly",+E37/Setup!$B$12/12,+E37/Setup!$B$12)),IF($F$3="Monthly",+E37/Setup!$B$13/12,+E37/Setup!$B$13)))</f>
        <v/>
      </c>
      <c r="G37" s="95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4"/>
      <c r="U37" s="4"/>
    </row>
    <row r="38" spans="1:21" s="17" customFormat="1" ht="10.5" customHeight="1">
      <c r="A38" s="10" t="str">
        <f>IF(ISNA(VLOOKUP(B38,Setup!$A$74:$A$197,1,FALSE)),"","X")</f>
        <v/>
      </c>
      <c r="B38" s="159"/>
      <c r="C38" s="159" t="s">
        <v>213</v>
      </c>
      <c r="D38" s="21">
        <f>SUM(D25:D36)</f>
        <v>83935</v>
      </c>
      <c r="E38" s="21">
        <f>IF(+'2017'!O38="","",+'2017'!O38)</f>
        <v>83935</v>
      </c>
      <c r="F38" s="22">
        <f>IF(+E38="","",IF($F$4="Per Unit",(IF($F$3="Monthly",+E38/Setup!$B$12/12,+E38/Setup!$B$12)),IF($F$3="Monthly",+E38/Setup!$B$13/12,+E38/Setup!$B$13)))</f>
        <v>381.52272727272725</v>
      </c>
      <c r="G38" s="95"/>
      <c r="H38" s="377">
        <f>'2017'!C38</f>
        <v>6994.5833333333339</v>
      </c>
      <c r="I38" s="377">
        <f>'2017'!D38</f>
        <v>6994.5833333333339</v>
      </c>
      <c r="J38" s="377">
        <f>'2017'!E38</f>
        <v>6994.5833333333339</v>
      </c>
      <c r="K38" s="377">
        <f>'2017'!F38</f>
        <v>6994.5833333333339</v>
      </c>
      <c r="L38" s="377">
        <f>'2017'!G38</f>
        <v>6994.5833333333339</v>
      </c>
      <c r="M38" s="377">
        <f>'2017'!H38</f>
        <v>6994.5833333333339</v>
      </c>
      <c r="N38" s="377">
        <f>'2017'!I38</f>
        <v>6994.5833333333339</v>
      </c>
      <c r="O38" s="377">
        <f>'2017'!J38</f>
        <v>6994.5833333333339</v>
      </c>
      <c r="P38" s="377">
        <f>'2017'!K38</f>
        <v>6994.5833333333339</v>
      </c>
      <c r="Q38" s="377">
        <f>'2017'!L38</f>
        <v>6994.5833333333339</v>
      </c>
      <c r="R38" s="377">
        <f>'2017'!M38</f>
        <v>6994.5833333333339</v>
      </c>
      <c r="S38" s="377">
        <f>'2017'!N38</f>
        <v>6994.5833333333339</v>
      </c>
      <c r="T38" s="4"/>
      <c r="U38" s="4"/>
    </row>
    <row r="39" spans="1:21" s="4" customFormat="1" ht="10.5" customHeight="1">
      <c r="A39" s="10" t="str">
        <f>IF(ISNA(VLOOKUP(B39,Setup!$A$74:$A$197,1,FALSE)),"","X")</f>
        <v/>
      </c>
      <c r="B39" s="161"/>
      <c r="C39" s="161" t="s">
        <v>226</v>
      </c>
      <c r="D39" s="21"/>
      <c r="E39" s="21" t="str">
        <f>IF(+'2017'!O39="","",+'2017'!O39)</f>
        <v/>
      </c>
      <c r="F39" s="22" t="str">
        <f>IF(+E39="","",IF($F$4="Per Unit",(IF($F$3="Monthly",+E39/Setup!$B$12/12,+E39/Setup!$B$12)),IF($F$3="Monthly",+E39/Setup!$B$13/12,+E39/Setup!$B$13)))</f>
        <v/>
      </c>
      <c r="G39" s="95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</row>
    <row r="40" spans="1:21" s="17" customFormat="1" ht="10.5" customHeight="1">
      <c r="A40" s="10" t="str">
        <f>IF(ISNA(VLOOKUP(B40,Setup!$A$74:$A$197,1,FALSE)),"","X")</f>
        <v>X</v>
      </c>
      <c r="B40" s="161">
        <v>421205</v>
      </c>
      <c r="C40" s="161" t="s">
        <v>227</v>
      </c>
      <c r="D40" s="21">
        <f>SUMIF('2016'!$A:$A,Input!$B40,'2016'!O:O)</f>
        <v>0</v>
      </c>
      <c r="E40" s="21">
        <f>IF(+'2017'!O40="","",+'2017'!O40)</f>
        <v>0</v>
      </c>
      <c r="F40" s="22">
        <f>IF(+E40="","",IF($F$4="Per Unit",(IF($F$3="Monthly",+E40/Setup!$B$12/12,+E40/Setup!$B$12)),IF($F$3="Monthly",+E40/Setup!$B$13/12,+E40/Setup!$B$13)))</f>
        <v>0</v>
      </c>
      <c r="G40" s="103">
        <f>SUMPRODUCT((B40=Setup!$A$105:$A$196)*(Setup!$I$105:$I$196))</f>
        <v>0</v>
      </c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383"/>
    </row>
    <row r="41" spans="1:21" s="4" customFormat="1" ht="10.5" customHeight="1">
      <c r="A41" s="10" t="str">
        <f>IF(ISNA(VLOOKUP(B41,Setup!$A$74:$A$197,1,FALSE)),"","X")</f>
        <v/>
      </c>
      <c r="B41" s="161">
        <v>421210</v>
      </c>
      <c r="C41" s="161" t="s">
        <v>228</v>
      </c>
      <c r="D41" s="21">
        <f>SUMIF('2016'!$A:$A,Input!$B41,'2016'!O:O)</f>
        <v>0</v>
      </c>
      <c r="E41" s="21">
        <f>IF(+'2017'!O41="","",+'2017'!O41)</f>
        <v>0</v>
      </c>
      <c r="F41" s="22">
        <f>IF(+E41="","",IF($F$4="Per Unit",(IF($F$3="Monthly",+E41/Setup!$B$12/12,+E41/Setup!$B$12)),IF($F$3="Monthly",+E41/Setup!$B$13/12,+E41/Setup!$B$13)))</f>
        <v>0</v>
      </c>
      <c r="G41" s="33">
        <f t="shared" ref="G41:G43" si="4">+D41/12</f>
        <v>0</v>
      </c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383"/>
    </row>
    <row r="42" spans="1:21" s="4" customFormat="1" ht="10.5" customHeight="1">
      <c r="A42" s="10" t="str">
        <f>IF(ISNA(VLOOKUP(B42,Setup!$A$74:$A$197,1,FALSE)),"","X")</f>
        <v/>
      </c>
      <c r="B42" s="161">
        <v>421215</v>
      </c>
      <c r="C42" s="161" t="s">
        <v>229</v>
      </c>
      <c r="D42" s="21">
        <f>SUMIF('2016'!$A:$A,Input!$B42,'2016'!O:O)</f>
        <v>0</v>
      </c>
      <c r="E42" s="21">
        <f>IF(+'2017'!O42="","",+'2017'!O42)</f>
        <v>0</v>
      </c>
      <c r="F42" s="22">
        <f>IF(+E42="","",IF($F$4="Per Unit",(IF($F$3="Monthly",+E42/Setup!$B$12/12,+E42/Setup!$B$12)),IF($F$3="Monthly",+E42/Setup!$B$13/12,+E42/Setup!$B$13)))</f>
        <v>0</v>
      </c>
      <c r="G42" s="33">
        <f t="shared" si="4"/>
        <v>0</v>
      </c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383"/>
    </row>
    <row r="43" spans="1:21" s="4" customFormat="1" ht="10.5" customHeight="1">
      <c r="A43" s="10">
        <v>0</v>
      </c>
      <c r="B43" s="161">
        <v>421220</v>
      </c>
      <c r="C43" s="161" t="s">
        <v>230</v>
      </c>
      <c r="D43" s="21">
        <f>SUMIF('2016'!$A:$A,Input!$B43,'2016'!O:O)</f>
        <v>0</v>
      </c>
      <c r="E43" s="21">
        <f>IF(+'2017'!O43="","",+'2017'!O43)</f>
        <v>0</v>
      </c>
      <c r="F43" s="22">
        <f>IF(+E43="","",IF($F$4="Per Unit",(IF($F$3="Monthly",+E43/Setup!$B$12/12,+E43/Setup!$B$12)),IF($F$3="Monthly",+E43/Setup!$B$13/12,+E43/Setup!$B$13)))</f>
        <v>0</v>
      </c>
      <c r="G43" s="33">
        <f t="shared" si="4"/>
        <v>0</v>
      </c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383"/>
    </row>
    <row r="44" spans="1:21" s="4" customFormat="1" ht="10.5" customHeight="1">
      <c r="A44" s="10" t="str">
        <f>IF(ISNA(VLOOKUP(B44,Setup!$A$74:$A$197,1,FALSE)),"","X")</f>
        <v>X</v>
      </c>
      <c r="B44" s="161">
        <v>421225</v>
      </c>
      <c r="C44" s="161" t="s">
        <v>231</v>
      </c>
      <c r="D44" s="21">
        <f>SUMIF('2016'!$A:$A,Input!$B44,'2016'!O:O)</f>
        <v>0</v>
      </c>
      <c r="E44" s="21">
        <f>IF(+'2017'!O44="","",+'2017'!O44)</f>
        <v>0</v>
      </c>
      <c r="F44" s="22">
        <f>IF(+E44="","",IF($F$4="Per Unit",(IF($F$3="Monthly",+E44/Setup!$B$12/12,+E44/Setup!$B$12)),IF($F$3="Monthly",+E44/Setup!$B$13/12,+E44/Setup!$B$13)))</f>
        <v>0</v>
      </c>
      <c r="G44" s="103">
        <f>SUMPRODUCT((B44=Setup!$A$105:$A$196)*(Setup!$I$105:$I$196))</f>
        <v>0</v>
      </c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383"/>
    </row>
    <row r="45" spans="1:21" s="4" customFormat="1" ht="10.5" customHeight="1">
      <c r="A45" s="10" t="str">
        <f>IF(ISNA(VLOOKUP(B45,Setup!$A$74:$A$197,1,FALSE)),"","X")</f>
        <v/>
      </c>
      <c r="B45" s="161">
        <v>421230</v>
      </c>
      <c r="C45" s="161" t="s">
        <v>232</v>
      </c>
      <c r="D45" s="21">
        <f>SUMIF('2016'!$A:$A,Input!$B45,'2016'!O:O)</f>
        <v>0</v>
      </c>
      <c r="E45" s="21">
        <f>IF(+'2017'!O45="","",+'2017'!O45)</f>
        <v>0</v>
      </c>
      <c r="F45" s="22">
        <f>IF(+E45="","",IF($F$4="Per Unit",(IF($F$3="Monthly",+E45/Setup!$B$12/12,+E45/Setup!$B$12)),IF($F$3="Monthly",+E45/Setup!$B$13/12,+E45/Setup!$B$13)))</f>
        <v>0</v>
      </c>
      <c r="G45" s="33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383"/>
    </row>
    <row r="46" spans="1:21" s="4" customFormat="1" ht="10.5" customHeight="1">
      <c r="A46" s="10" t="str">
        <f>IF(ISNA(VLOOKUP(B46,Setup!$A$74:$A$197,1,FALSE)),"","X")</f>
        <v>X</v>
      </c>
      <c r="B46" s="161">
        <v>421235</v>
      </c>
      <c r="C46" s="161" t="s">
        <v>233</v>
      </c>
      <c r="D46" s="21">
        <f>SUMIF('2016'!$A:$A,Input!$B46,'2016'!O:O)</f>
        <v>12360</v>
      </c>
      <c r="E46" s="21">
        <f>IF(+'2017'!O46="","",+'2017'!O46)</f>
        <v>0</v>
      </c>
      <c r="F46" s="22">
        <f>IF(+E46="","",IF($F$4="Per Unit",(IF($F$3="Monthly",+E46/Setup!$B$12/12,+E46/Setup!$B$12)),IF($F$3="Monthly",+E46/Setup!$B$13/12,+E46/Setup!$B$13)))</f>
        <v>0</v>
      </c>
      <c r="G46" s="103">
        <f>SUMPRODUCT((B46=Setup!$A$105:$A$196)*(Setup!$I$105:$I$196))</f>
        <v>0</v>
      </c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383"/>
    </row>
    <row r="47" spans="1:21" s="4" customFormat="1" ht="10.5" customHeight="1">
      <c r="A47" s="10" t="str">
        <f>IF(ISNA(VLOOKUP(B47,Setup!$A$74:$A$197,1,FALSE)),"","X")</f>
        <v/>
      </c>
      <c r="B47" s="161">
        <v>421240</v>
      </c>
      <c r="C47" s="161" t="s">
        <v>234</v>
      </c>
      <c r="D47" s="21">
        <f>SUMIF('2016'!$A:$A,Input!$B47,'2016'!O:O)</f>
        <v>0</v>
      </c>
      <c r="E47" s="21">
        <f>IF(+'2017'!O47="","",+'2017'!O47)</f>
        <v>0</v>
      </c>
      <c r="F47" s="22">
        <f>IF(+E47="","",IF($F$4="Per Unit",(IF($F$3="Monthly",+E47/Setup!$B$12/12,+E47/Setup!$B$12)),IF($F$3="Monthly",+E47/Setup!$B$13/12,+E47/Setup!$B$13)))</f>
        <v>0</v>
      </c>
      <c r="G47" s="33">
        <f t="shared" ref="G47" si="5">+D47/12</f>
        <v>0</v>
      </c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383"/>
    </row>
    <row r="48" spans="1:21" s="4" customFormat="1" ht="10.5" customHeight="1">
      <c r="A48" s="10" t="str">
        <f>IF(ISNA(VLOOKUP(B48,Setup!$A$74:$A$197,1,FALSE)),"","X")</f>
        <v>X</v>
      </c>
      <c r="B48" s="161">
        <v>421245</v>
      </c>
      <c r="C48" s="161" t="s">
        <v>235</v>
      </c>
      <c r="D48" s="21">
        <f>SUMIF('2016'!$A:$A,Input!$B48,'2016'!O:O)</f>
        <v>0</v>
      </c>
      <c r="E48" s="21">
        <f>IF(+'2017'!O48="","",+'2017'!O48)</f>
        <v>0</v>
      </c>
      <c r="F48" s="22">
        <f>IF(+E48="","",IF($F$4="Per Unit",(IF($F$3="Monthly",+E48/Setup!$B$12/12,+E48/Setup!$B$12)),IF($F$3="Monthly",+E48/Setup!$B$13/12,+E48/Setup!$B$13)))</f>
        <v>0</v>
      </c>
      <c r="G48" s="103">
        <f>SUMPRODUCT((B48=Setup!$A$105:$A$196)*(Setup!$I$105:$I$196))</f>
        <v>0</v>
      </c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383"/>
    </row>
    <row r="49" spans="1:22" s="4" customFormat="1" ht="10.5" customHeight="1">
      <c r="A49" s="10" t="str">
        <f>IF(ISNA(VLOOKUP(B49,Setup!$A$74:$A$197,1,FALSE)),"","X")</f>
        <v/>
      </c>
      <c r="B49" s="161">
        <v>421250</v>
      </c>
      <c r="C49" s="161" t="s">
        <v>236</v>
      </c>
      <c r="D49" s="21">
        <f>SUMIF('2016'!$A:$A,Input!$B49,'2016'!O:O)</f>
        <v>0</v>
      </c>
      <c r="E49" s="21">
        <f>IF(+'2017'!O49="","",+'2017'!O49)</f>
        <v>0</v>
      </c>
      <c r="F49" s="22">
        <f>IF(+E49="","",IF($F$4="Per Unit",(IF($F$3="Monthly",+E49/Setup!$B$12/12,+E49/Setup!$B$12)),IF($F$3="Monthly",+E49/Setup!$B$13/12,+E49/Setup!$B$13)))</f>
        <v>0</v>
      </c>
      <c r="G49" s="33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383"/>
    </row>
    <row r="50" spans="1:22" s="4" customFormat="1" ht="10.5" customHeight="1">
      <c r="A50" s="10" t="str">
        <f>IF(ISNA(VLOOKUP(B50,Setup!$A$74:$A$197,1,FALSE)),"","X")</f>
        <v/>
      </c>
      <c r="B50" s="161"/>
      <c r="C50" s="163"/>
      <c r="D50" s="21"/>
      <c r="E50" s="21" t="str">
        <f>IF(+'2017'!O50="","",+'2017'!O50)</f>
        <v/>
      </c>
      <c r="F50" s="22" t="str">
        <f>IF(+E50="","",IF($F$4="Per Unit",(IF($F$3="Monthly",+E50/Setup!$B$12/12,+E50/Setup!$B$12)),IF($F$3="Monthly",+E50/Setup!$B$13/12,+E50/Setup!$B$13)))</f>
        <v/>
      </c>
      <c r="G50" s="102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V50" s="10"/>
    </row>
    <row r="51" spans="1:22" s="10" customFormat="1" ht="10.5" customHeight="1">
      <c r="A51" s="10" t="str">
        <f>IF(ISNA(VLOOKUP(B51,Setup!$A$74:$A$197,1,FALSE)),"","X")</f>
        <v/>
      </c>
      <c r="B51" s="161"/>
      <c r="C51" s="159" t="s">
        <v>237</v>
      </c>
      <c r="D51" s="21">
        <f>SUM(D40:D49)</f>
        <v>12360</v>
      </c>
      <c r="E51" s="21">
        <f>IF(+'2017'!O51="","",+'2017'!O51)</f>
        <v>0</v>
      </c>
      <c r="F51" s="22">
        <f>IF(+E51="","",IF($F$4="Per Unit",(IF($F$3="Monthly",+E51/Setup!$B$12/12,+E51/Setup!$B$12)),IF($F$3="Monthly",+E51/Setup!$B$13/12,+E51/Setup!$B$13)))</f>
        <v>0</v>
      </c>
      <c r="G51" s="102"/>
      <c r="H51" s="377">
        <f>+'2017'!C51</f>
        <v>0</v>
      </c>
      <c r="I51" s="377">
        <f>+'2017'!D51</f>
        <v>0</v>
      </c>
      <c r="J51" s="377">
        <f>+'2017'!E51</f>
        <v>0</v>
      </c>
      <c r="K51" s="377">
        <f>+'2017'!F51</f>
        <v>0</v>
      </c>
      <c r="L51" s="377">
        <f>+'2017'!G51</f>
        <v>0</v>
      </c>
      <c r="M51" s="377">
        <f>+'2017'!H51</f>
        <v>0</v>
      </c>
      <c r="N51" s="377">
        <f>+'2017'!I51</f>
        <v>0</v>
      </c>
      <c r="O51" s="377">
        <f>+'2017'!J51</f>
        <v>0</v>
      </c>
      <c r="P51" s="377">
        <f>+'2017'!K51</f>
        <v>0</v>
      </c>
      <c r="Q51" s="377">
        <f>+'2017'!L51</f>
        <v>0</v>
      </c>
      <c r="R51" s="377">
        <f>+'2017'!M51</f>
        <v>0</v>
      </c>
      <c r="S51" s="377">
        <f>+'2017'!N51</f>
        <v>0</v>
      </c>
      <c r="T51" s="4"/>
      <c r="U51" s="4"/>
    </row>
    <row r="52" spans="1:22" s="17" customFormat="1" ht="10.5" customHeight="1">
      <c r="A52" s="10" t="str">
        <f>IF(ISNA(VLOOKUP(B52,Setup!$A$74:$A$197,1,FALSE)),"","X")</f>
        <v/>
      </c>
      <c r="B52" s="161"/>
      <c r="C52" s="161" t="s">
        <v>238</v>
      </c>
      <c r="D52" s="21"/>
      <c r="E52" s="21" t="str">
        <f>IF(+'2017'!O52="","",+'2017'!O52)</f>
        <v/>
      </c>
      <c r="F52" s="22" t="str">
        <f>IF(+E52="","",IF($F$4="Per Unit",(IF($F$3="Monthly",+E52/Setup!$B$12/12,+E52/Setup!$B$12)),IF($F$3="Monthly",+E52/Setup!$B$13/12,+E52/Setup!$B$13)))</f>
        <v/>
      </c>
      <c r="G52" s="95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4"/>
      <c r="U52" s="4"/>
    </row>
    <row r="53" spans="1:22" s="4" customFormat="1" ht="10.5" customHeight="1">
      <c r="A53" s="10" t="str">
        <f>IF(ISNA(VLOOKUP(B53,Setup!$A$74:$A$197,1,FALSE)),"","X")</f>
        <v/>
      </c>
      <c r="B53" s="161">
        <v>421305</v>
      </c>
      <c r="C53" s="161" t="s">
        <v>239</v>
      </c>
      <c r="D53" s="21">
        <f>SUMIF('2016'!$A:$A,Input!$B53,'2016'!O:O)</f>
        <v>0</v>
      </c>
      <c r="E53" s="21">
        <f>IF(+'2017'!O53="","",+'2017'!O53)</f>
        <v>0</v>
      </c>
      <c r="F53" s="22">
        <f>IF(+E53="","",IF($F$4="Per Unit",(IF($F$3="Monthly",+E53/Setup!$B$12/12,+E53/Setup!$B$12)),IF($F$3="Monthly",+E53/Setup!$B$13/12,+E53/Setup!$B$13)))</f>
        <v>0</v>
      </c>
      <c r="G53" s="33">
        <f t="shared" ref="G53:G56" si="6">+D53/12</f>
        <v>0</v>
      </c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383"/>
    </row>
    <row r="54" spans="1:22" s="17" customFormat="1" ht="10.5" customHeight="1">
      <c r="A54" s="10" t="str">
        <f>IF(ISNA(VLOOKUP(B54,Setup!$A$74:$A$197,1,FALSE)),"","X")</f>
        <v/>
      </c>
      <c r="B54" s="161">
        <v>421310</v>
      </c>
      <c r="C54" s="161" t="s">
        <v>240</v>
      </c>
      <c r="D54" s="21">
        <f>SUMIF('2016'!$A:$A,Input!$B54,'2016'!O:O)</f>
        <v>0</v>
      </c>
      <c r="E54" s="21">
        <f>IF(+'2017'!O54="","",+'2017'!O54)</f>
        <v>0</v>
      </c>
      <c r="F54" s="22">
        <f>IF(+E54="","",IF($F$4="Per Unit",(IF($F$3="Monthly",+E54/Setup!$B$12/12,+E54/Setup!$B$12)),IF($F$3="Monthly",+E54/Setup!$B$13/12,+E54/Setup!$B$13)))</f>
        <v>0</v>
      </c>
      <c r="G54" s="33">
        <f t="shared" si="6"/>
        <v>0</v>
      </c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383"/>
    </row>
    <row r="55" spans="1:22" s="4" customFormat="1" ht="10.5" customHeight="1">
      <c r="A55" s="10" t="str">
        <f>IF(ISNA(VLOOKUP(B55,Setup!$A$74:$A$197,1,FALSE)),"","X")</f>
        <v/>
      </c>
      <c r="B55" s="161">
        <v>421315</v>
      </c>
      <c r="C55" s="161" t="s">
        <v>241</v>
      </c>
      <c r="D55" s="21">
        <f>SUMIF('2016'!$A:$A,Input!$B55,'2016'!O:O)</f>
        <v>0</v>
      </c>
      <c r="E55" s="21">
        <f>IF(+'2017'!O55="","",+'2017'!O55)</f>
        <v>0</v>
      </c>
      <c r="F55" s="22">
        <f>IF(+E55="","",IF($F$4="Per Unit",(IF($F$3="Monthly",+E55/Setup!$B$12/12,+E55/Setup!$B$12)),IF($F$3="Monthly",+E55/Setup!$B$13/12,+E55/Setup!$B$13)))</f>
        <v>0</v>
      </c>
      <c r="G55" s="33">
        <f t="shared" si="6"/>
        <v>0</v>
      </c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383"/>
    </row>
    <row r="56" spans="1:22" s="4" customFormat="1" ht="10.5" customHeight="1">
      <c r="A56" s="10" t="str">
        <f>IF(ISNA(VLOOKUP(B56,Setup!$A$74:$A$197,1,FALSE)),"","X")</f>
        <v/>
      </c>
      <c r="B56" s="161">
        <v>421320</v>
      </c>
      <c r="C56" s="161" t="s">
        <v>242</v>
      </c>
      <c r="D56" s="21">
        <f>SUMIF('2016'!$A:$A,Input!$B56,'2016'!O:O)</f>
        <v>75680</v>
      </c>
      <c r="E56" s="21">
        <f>IF(+'2017'!O56="","",+'2017'!O56)</f>
        <v>75680</v>
      </c>
      <c r="F56" s="22">
        <f>IF(+E56="","",IF($F$4="Per Unit",(IF($F$3="Monthly",+E56/Setup!$B$12/12,+E56/Setup!$B$12)),IF($F$3="Monthly",+E56/Setup!$B$13/12,+E56/Setup!$B$13)))</f>
        <v>344</v>
      </c>
      <c r="G56" s="33">
        <f t="shared" si="6"/>
        <v>6306.666666666667</v>
      </c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383"/>
    </row>
    <row r="57" spans="1:22" s="4" customFormat="1" ht="10.5" customHeight="1">
      <c r="A57" s="10" t="str">
        <f>IF(ISNA(VLOOKUP(B57,Setup!$A$74:$A$197,1,FALSE)),"","X")</f>
        <v/>
      </c>
      <c r="B57" s="161"/>
      <c r="C57" s="163"/>
      <c r="D57" s="21"/>
      <c r="E57" s="21" t="str">
        <f>IF(+'2017'!O57="","",+'2017'!O57)</f>
        <v/>
      </c>
      <c r="F57" s="22" t="str">
        <f>IF(+E57="","",IF($F$4="Per Unit",(IF($F$3="Monthly",+E57/Setup!$B$12/12,+E57/Setup!$B$12)),IF($F$3="Monthly",+E57/Setup!$B$13/12,+E57/Setup!$B$13)))</f>
        <v/>
      </c>
      <c r="G57" s="95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</row>
    <row r="58" spans="1:22" s="4" customFormat="1" ht="10.5" customHeight="1">
      <c r="A58" s="10" t="str">
        <f>IF(ISNA(VLOOKUP(B58,Setup!$A$74:$A$197,1,FALSE)),"","X")</f>
        <v/>
      </c>
      <c r="B58" s="161"/>
      <c r="C58" s="159" t="s">
        <v>238</v>
      </c>
      <c r="D58" s="21">
        <f>SUM(D53:D56)</f>
        <v>75680</v>
      </c>
      <c r="E58" s="21">
        <f>IF(+'2017'!O58="","",+'2017'!O58)</f>
        <v>75680</v>
      </c>
      <c r="F58" s="22">
        <f>IF(+E58="","",IF($F$4="Per Unit",(IF($F$3="Monthly",+E58/Setup!$B$12/12,+E58/Setup!$B$12)),IF($F$3="Monthly",+E58/Setup!$B$13/12,+E58/Setup!$B$13)))</f>
        <v>344</v>
      </c>
      <c r="G58" s="95"/>
      <c r="H58" s="377">
        <f>'2017'!C58</f>
        <v>6306.666666666667</v>
      </c>
      <c r="I58" s="377">
        <f>'2017'!D58</f>
        <v>6306.666666666667</v>
      </c>
      <c r="J58" s="377">
        <f>'2017'!E58</f>
        <v>6306.666666666667</v>
      </c>
      <c r="K58" s="377">
        <f>'2017'!F58</f>
        <v>6306.666666666667</v>
      </c>
      <c r="L58" s="377">
        <f>'2017'!G58</f>
        <v>6306.666666666667</v>
      </c>
      <c r="M58" s="377">
        <f>'2017'!H58</f>
        <v>6306.666666666667</v>
      </c>
      <c r="N58" s="377">
        <f>'2017'!I58</f>
        <v>6306.666666666667</v>
      </c>
      <c r="O58" s="377">
        <f>'2017'!J58</f>
        <v>6306.666666666667</v>
      </c>
      <c r="P58" s="377">
        <f>'2017'!K58</f>
        <v>6306.666666666667</v>
      </c>
      <c r="Q58" s="377">
        <f>'2017'!L58</f>
        <v>6306.666666666667</v>
      </c>
      <c r="R58" s="377">
        <f>'2017'!M58</f>
        <v>6306.666666666667</v>
      </c>
      <c r="S58" s="377">
        <f>'2017'!N58</f>
        <v>6306.666666666667</v>
      </c>
    </row>
    <row r="59" spans="1:22" s="10" customFormat="1" ht="10.5" customHeight="1">
      <c r="A59" s="10" t="str">
        <f>IF(ISNA(VLOOKUP(B59,Setup!$A$74:$A$197,1,FALSE)),"","X")</f>
        <v/>
      </c>
      <c r="B59" s="161"/>
      <c r="C59" s="163"/>
      <c r="D59" s="21"/>
      <c r="E59" s="21" t="str">
        <f>IF(+'2017'!O59="","",+'2017'!O59)</f>
        <v/>
      </c>
      <c r="F59" s="22" t="str">
        <f>IF(+E59="","",IF($F$4="Per Unit",(IF($F$3="Monthly",+E59/Setup!$B$12/12,+E59/Setup!$B$12)),IF($F$3="Monthly",+E59/Setup!$B$13/12,+E59/Setup!$B$13)))</f>
        <v/>
      </c>
      <c r="G59" s="95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4"/>
      <c r="U59" s="4"/>
    </row>
    <row r="60" spans="1:22" s="17" customFormat="1" ht="10.5" customHeight="1">
      <c r="A60" s="10" t="str">
        <f>IF(ISNA(VLOOKUP(B60,Setup!$A$74:$A$197,1,FALSE)),"","X")</f>
        <v/>
      </c>
      <c r="B60" s="161"/>
      <c r="C60" s="161" t="s">
        <v>16</v>
      </c>
      <c r="D60" s="21">
        <f>+D58+D51+D38</f>
        <v>171975</v>
      </c>
      <c r="E60" s="21">
        <f>IF(+'2017'!O60="","",+'2017'!O60)</f>
        <v>159615</v>
      </c>
      <c r="F60" s="22">
        <f>IF(+E60="","",IF($F$4="Per Unit",(IF($F$3="Monthly",+E60/Setup!$B$12/12,+E60/Setup!$B$12)),IF($F$3="Monthly",+E60/Setup!$B$13/12,+E60/Setup!$B$13)))</f>
        <v>725.52272727272725</v>
      </c>
      <c r="G60" s="95"/>
      <c r="H60" s="377">
        <f>'2017'!C60</f>
        <v>13301.25</v>
      </c>
      <c r="I60" s="377">
        <f>'2017'!D60</f>
        <v>13301.25</v>
      </c>
      <c r="J60" s="377">
        <f>'2017'!E60</f>
        <v>13301.25</v>
      </c>
      <c r="K60" s="377">
        <f>'2017'!F60</f>
        <v>13301.25</v>
      </c>
      <c r="L60" s="377">
        <f>'2017'!G60</f>
        <v>13301.25</v>
      </c>
      <c r="M60" s="377">
        <f>'2017'!H60</f>
        <v>13301.25</v>
      </c>
      <c r="N60" s="377">
        <f>'2017'!I60</f>
        <v>13301.25</v>
      </c>
      <c r="O60" s="377">
        <f>'2017'!J60</f>
        <v>13301.25</v>
      </c>
      <c r="P60" s="377">
        <f>'2017'!K60</f>
        <v>13301.25</v>
      </c>
      <c r="Q60" s="377">
        <f>'2017'!L60</f>
        <v>13301.25</v>
      </c>
      <c r="R60" s="377">
        <f>'2017'!M60</f>
        <v>13301.25</v>
      </c>
      <c r="S60" s="377">
        <f>'2017'!N60</f>
        <v>13301.25</v>
      </c>
      <c r="T60" s="4"/>
      <c r="U60" s="4"/>
    </row>
    <row r="61" spans="1:22" s="18" customFormat="1" ht="10.5" customHeight="1">
      <c r="A61" s="10" t="str">
        <f>IF(ISNA(VLOOKUP(B61,Setup!$A$74:$A$197,1,FALSE)),"","X")</f>
        <v/>
      </c>
      <c r="B61" s="161"/>
      <c r="C61" s="163"/>
      <c r="D61" s="21"/>
      <c r="E61" s="21" t="str">
        <f>IF(+'2017'!O61="","",+'2017'!O61)</f>
        <v/>
      </c>
      <c r="F61" s="22" t="str">
        <f>IF(+E61="","",IF($F$4="Per Unit",(IF($F$3="Monthly",+E61/Setup!$B$12/12,+E61/Setup!$B$12)),IF($F$3="Monthly",+E61/Setup!$B$13/12,+E61/Setup!$B$13)))</f>
        <v/>
      </c>
      <c r="G61" s="95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7"/>
      <c r="T61" s="4"/>
      <c r="U61" s="4"/>
    </row>
    <row r="62" spans="1:22" s="17" customFormat="1" ht="10.5" customHeight="1">
      <c r="A62" s="10" t="str">
        <f>IF(ISNA(VLOOKUP(B62,Setup!$A$74:$A$197,1,FALSE)),"","X")</f>
        <v/>
      </c>
      <c r="B62" s="161"/>
      <c r="C62" s="159" t="s">
        <v>106</v>
      </c>
      <c r="D62" s="21">
        <f>+D60+D22</f>
        <v>2166901</v>
      </c>
      <c r="E62" s="21">
        <f>IF(+'2017'!O62="","",+'2017'!O62)</f>
        <v>2953114.8181818184</v>
      </c>
      <c r="F62" s="22">
        <f>IF(+E62="","",IF($F$4="Per Unit",(IF($F$3="Monthly",+E62/Setup!$B$12/12,+E62/Setup!$B$12)),IF($F$3="Monthly",+E62/Setup!$B$13/12,+E62/Setup!$B$13)))</f>
        <v>13423.249173553721</v>
      </c>
      <c r="G62" s="95"/>
      <c r="H62" s="377">
        <f>'2017'!C62</f>
        <v>239035.25</v>
      </c>
      <c r="I62" s="377">
        <f>'2017'!D62</f>
        <v>240335.25</v>
      </c>
      <c r="J62" s="377">
        <f>'2017'!E62</f>
        <v>241635.25</v>
      </c>
      <c r="K62" s="377">
        <f>'2017'!F62</f>
        <v>242395.70454545453</v>
      </c>
      <c r="L62" s="377">
        <f>'2017'!G62</f>
        <v>242931.15909090909</v>
      </c>
      <c r="M62" s="377">
        <f>'2017'!H62</f>
        <v>245645.70454545453</v>
      </c>
      <c r="N62" s="377">
        <f>'2017'!I62</f>
        <v>248830.02272727274</v>
      </c>
      <c r="O62" s="377">
        <f>'2017'!J62</f>
        <v>251469.56818181818</v>
      </c>
      <c r="P62" s="377">
        <f>'2017'!K62</f>
        <v>250474.79545454547</v>
      </c>
      <c r="Q62" s="377">
        <f>'2017'!L62</f>
        <v>250310.25</v>
      </c>
      <c r="R62" s="377">
        <f>'2017'!M62</f>
        <v>250145.70454545453</v>
      </c>
      <c r="S62" s="377">
        <f>'2017'!N62</f>
        <v>249906.15909090909</v>
      </c>
      <c r="T62" s="4"/>
      <c r="U62" s="4"/>
    </row>
    <row r="63" spans="1:22" s="18" customFormat="1" ht="10.5" customHeight="1">
      <c r="A63" s="10" t="str">
        <f>IF(ISNA(VLOOKUP(B63,Setup!$A$74:$A$197,1,FALSE)),"","X")</f>
        <v/>
      </c>
      <c r="B63" s="161"/>
      <c r="C63" s="160"/>
      <c r="D63" s="21"/>
      <c r="E63" s="21"/>
      <c r="F63" s="22"/>
      <c r="G63" s="95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4"/>
      <c r="U63" s="4"/>
    </row>
    <row r="64" spans="1:22" s="4" customFormat="1" ht="10.5" customHeight="1">
      <c r="A64" s="10" t="str">
        <f>IF(ISNA(VLOOKUP(B64,Setup!$A$74:$A$197,1,FALSE)),"","X")</f>
        <v/>
      </c>
      <c r="B64" s="161"/>
      <c r="C64" s="161" t="s">
        <v>243</v>
      </c>
      <c r="D64" s="21"/>
      <c r="E64" s="21" t="str">
        <f>IF(+'2017'!O64="","",+'2017'!O64)</f>
        <v/>
      </c>
      <c r="F64" s="22" t="str">
        <f>IF(+E64="","",IF($F$4="Per Unit",(IF($F$3="Monthly",+E64/Setup!$B$12/12,+E64/Setup!$B$12)),IF($F$3="Monthly",+E64/Setup!$B$13/12,+E64/Setup!$B$13)))</f>
        <v/>
      </c>
      <c r="G64" s="95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</row>
    <row r="65" spans="1:21" s="17" customFormat="1" ht="10.5" customHeight="1">
      <c r="A65" s="10" t="str">
        <f>IF(ISNA(VLOOKUP(B65,Setup!$A$74:$A$197,1,FALSE)),"","X")</f>
        <v/>
      </c>
      <c r="B65" s="161"/>
      <c r="C65" s="161" t="s">
        <v>244</v>
      </c>
      <c r="D65" s="21"/>
      <c r="E65" s="21" t="str">
        <f>IF(+'2017'!O65="","",+'2017'!O65)</f>
        <v/>
      </c>
      <c r="F65" s="22" t="str">
        <f>IF(+E65="","",IF($F$4="Per Unit",(IF($F$3="Monthly",+E65/Setup!$B$12/12,+E65/Setup!$B$12)),IF($F$3="Monthly",+E65/Setup!$B$13/12,+E65/Setup!$B$13)))</f>
        <v/>
      </c>
      <c r="G65" s="95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7"/>
      <c r="T65" s="4"/>
      <c r="U65" s="4"/>
    </row>
    <row r="66" spans="1:21" s="17" customFormat="1" ht="10.5" customHeight="1">
      <c r="A66" s="10" t="str">
        <f>IF(ISNA(VLOOKUP(B66,Setup!$A$74:$A$197,1,FALSE)),"","X")</f>
        <v/>
      </c>
      <c r="B66" s="161">
        <v>511105</v>
      </c>
      <c r="C66" s="161" t="s">
        <v>244</v>
      </c>
      <c r="D66" s="21">
        <f>SUMIF('2016'!$A:$A,Input!$B66,'2016'!O:O)</f>
        <v>65004</v>
      </c>
      <c r="E66" s="21">
        <f>IF(+'2017'!O66="","",+'2017'!O66)</f>
        <v>88593.804545454521</v>
      </c>
      <c r="F66" s="22">
        <f>IF(+E66="","",IF($F$4="Per Unit",(IF($F$3="Monthly",+E66/Setup!$B$12/12,+E66/Setup!$B$12)),IF($F$3="Monthly",+E66/Setup!$B$13/12,+E66/Setup!$B$13)))</f>
        <v>402.69911157024779</v>
      </c>
      <c r="G66" s="34">
        <v>0.03</v>
      </c>
      <c r="H66" s="373">
        <f>+$G$66*H62</f>
        <v>7171.0574999999999</v>
      </c>
      <c r="I66" s="373">
        <f t="shared" ref="I66:S66" si="7">+$G$66*I62</f>
        <v>7210.0574999999999</v>
      </c>
      <c r="J66" s="373">
        <f t="shared" si="7"/>
        <v>7249.0574999999999</v>
      </c>
      <c r="K66" s="373">
        <f t="shared" si="7"/>
        <v>7271.8711363636357</v>
      </c>
      <c r="L66" s="373">
        <f t="shared" si="7"/>
        <v>7287.9347727272725</v>
      </c>
      <c r="M66" s="373">
        <f t="shared" si="7"/>
        <v>7369.3711363636357</v>
      </c>
      <c r="N66" s="373">
        <f t="shared" si="7"/>
        <v>7464.9006818181815</v>
      </c>
      <c r="O66" s="373">
        <f t="shared" si="7"/>
        <v>7544.0870454545448</v>
      </c>
      <c r="P66" s="373">
        <f t="shared" si="7"/>
        <v>7514.243863636364</v>
      </c>
      <c r="Q66" s="373">
        <f t="shared" si="7"/>
        <v>7509.3074999999999</v>
      </c>
      <c r="R66" s="373">
        <f t="shared" si="7"/>
        <v>7504.3711363636357</v>
      </c>
      <c r="S66" s="373">
        <f t="shared" si="7"/>
        <v>7497.1847727272725</v>
      </c>
      <c r="T66" s="492"/>
      <c r="U66" s="383"/>
    </row>
    <row r="67" spans="1:21" s="17" customFormat="1" ht="10.5" customHeight="1">
      <c r="A67" s="10" t="str">
        <f>IF(ISNA(VLOOKUP(B67,Setup!$A$74:$A$197,1,FALSE)),"","X")</f>
        <v/>
      </c>
      <c r="B67" s="161"/>
      <c r="C67" s="163"/>
      <c r="D67" s="21"/>
      <c r="E67" s="21" t="str">
        <f>IF(+'2017'!O67="","",+'2017'!O67)</f>
        <v/>
      </c>
      <c r="F67" s="22" t="str">
        <f>IF(+E67="","",IF($F$4="Per Unit",(IF($F$3="Monthly",+E67/Setup!$B$12/12,+E67/Setup!$B$12)),IF($F$3="Monthly",+E67/Setup!$B$13/12,+E67/Setup!$B$13)))</f>
        <v/>
      </c>
      <c r="G67" s="95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4"/>
      <c r="U67" s="4"/>
    </row>
    <row r="68" spans="1:21" s="17" customFormat="1" ht="10.5" customHeight="1">
      <c r="A68" s="10" t="str">
        <f>IF(ISNA(VLOOKUP(B68,Setup!$A$74:$A$197,1,FALSE)),"","X")</f>
        <v/>
      </c>
      <c r="B68" s="161"/>
      <c r="C68" s="159" t="s">
        <v>244</v>
      </c>
      <c r="D68" s="21">
        <f>+D66</f>
        <v>65004</v>
      </c>
      <c r="E68" s="21">
        <f>IF(+'2017'!O68="","",+'2017'!O68)</f>
        <v>88593.804545454521</v>
      </c>
      <c r="F68" s="22">
        <f>IF(+E68="","",IF($F$4="Per Unit",(IF($F$3="Monthly",+E68/Setup!$B$12/12,+E68/Setup!$B$12)),IF($F$3="Monthly",+E68/Setup!$B$13/12,+E68/Setup!$B$13)))</f>
        <v>402.69911157024779</v>
      </c>
      <c r="G68" s="95"/>
      <c r="H68" s="377">
        <f>+'2017'!C68</f>
        <v>7171.0874999999996</v>
      </c>
      <c r="I68" s="377">
        <f>+'2017'!D68</f>
        <v>7210.0874999999996</v>
      </c>
      <c r="J68" s="377">
        <f>+'2017'!E68</f>
        <v>7249.0874999999996</v>
      </c>
      <c r="K68" s="377">
        <f>+'2017'!F68</f>
        <v>7271.9011363636355</v>
      </c>
      <c r="L68" s="377">
        <f>+'2017'!G68</f>
        <v>7287.9647727272722</v>
      </c>
      <c r="M68" s="377">
        <f>+'2017'!H68</f>
        <v>7369.4011363636355</v>
      </c>
      <c r="N68" s="377">
        <f>+'2017'!I68</f>
        <v>7464.9306818181813</v>
      </c>
      <c r="O68" s="377">
        <f>+'2017'!J68</f>
        <v>7544.1170454545445</v>
      </c>
      <c r="P68" s="377">
        <f>+'2017'!K68</f>
        <v>7514.2738636363638</v>
      </c>
      <c r="Q68" s="377">
        <f>+'2017'!L68</f>
        <v>7509.3374999999996</v>
      </c>
      <c r="R68" s="377">
        <f>+'2017'!M68</f>
        <v>7504.4011363636355</v>
      </c>
      <c r="S68" s="377">
        <f>+'2017'!N68</f>
        <v>7497.2147727272722</v>
      </c>
      <c r="T68" s="4"/>
      <c r="U68" s="4"/>
    </row>
    <row r="69" spans="1:21" s="17" customFormat="1" ht="10.5" customHeight="1">
      <c r="A69" s="10" t="str">
        <f>IF(ISNA(VLOOKUP(B69,Setup!$A$74:$A$197,1,FALSE)),"","X")</f>
        <v/>
      </c>
      <c r="B69" s="161"/>
      <c r="C69" s="161" t="s">
        <v>245</v>
      </c>
      <c r="D69" s="21"/>
      <c r="E69" s="21" t="str">
        <f>IF(+'2017'!O69="","",+'2017'!O69)</f>
        <v/>
      </c>
      <c r="F69" s="22" t="str">
        <f>IF(+E69="","",IF($F$4="Per Unit",(IF($F$3="Monthly",+E69/Setup!$B$12/12,+E69/Setup!$B$12)),IF($F$3="Monthly",+E69/Setup!$B$13/12,+E69/Setup!$B$13)))</f>
        <v/>
      </c>
      <c r="G69" s="95"/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4"/>
      <c r="U69" s="4"/>
    </row>
    <row r="70" spans="1:21" s="10" customFormat="1" ht="10.5" customHeight="1">
      <c r="A70" s="10" t="str">
        <f>IF(ISNA(VLOOKUP(B70,Setup!$A$74:$A$197,1,FALSE)),"","X")</f>
        <v/>
      </c>
      <c r="B70" s="161"/>
      <c r="C70" s="161" t="s">
        <v>246</v>
      </c>
      <c r="D70" s="21"/>
      <c r="E70" s="21" t="str">
        <f>IF(+'2017'!O70="","",+'2017'!O70)</f>
        <v/>
      </c>
      <c r="F70" s="22" t="str">
        <f>IF(+E70="","",IF($F$4="Per Unit",(IF($F$3="Monthly",+E70/Setup!$B$12/12,+E70/Setup!$B$12)),IF($F$3="Monthly",+E70/Setup!$B$13/12,+E70/Setup!$B$13)))</f>
        <v/>
      </c>
      <c r="G70" s="95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4"/>
      <c r="U70" s="4"/>
    </row>
    <row r="71" spans="1:21" s="17" customFormat="1" ht="10.5" customHeight="1">
      <c r="A71" s="10" t="str">
        <f>IF(ISNA(VLOOKUP(B71,Setup!$A$74:$A$197,1,FALSE)),"","X")</f>
        <v>X</v>
      </c>
      <c r="B71" s="161">
        <v>512105</v>
      </c>
      <c r="C71" s="161" t="s">
        <v>247</v>
      </c>
      <c r="D71" s="21">
        <f>SUMIF('2016'!$A:$A,Input!$B71,'2016'!O:O)</f>
        <v>22103</v>
      </c>
      <c r="E71" s="21">
        <f>IF(+'2017'!O71="","",+'2017'!O71)</f>
        <v>19200</v>
      </c>
      <c r="F71" s="22">
        <f>IF(+E71="","",IF($F$4="Per Unit",(IF($F$3="Monthly",+E71/Setup!$B$12/12,+E71/Setup!$B$12)),IF($F$3="Monthly",+E71/Setup!$B$13/12,+E71/Setup!$B$13)))</f>
        <v>87.272727272727266</v>
      </c>
      <c r="G71" s="103">
        <f>SUMPRODUCT((B71=Setup!$A$105:$A$196)*(Setup!$I$105:$I$196))</f>
        <v>1600</v>
      </c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383"/>
    </row>
    <row r="72" spans="1:21" s="17" customFormat="1" ht="10.5" customHeight="1">
      <c r="A72" s="10" t="str">
        <f>IF(ISNA(VLOOKUP(B72,Setup!$A$74:$A$197,1,FALSE)),"","X")</f>
        <v>X</v>
      </c>
      <c r="B72" s="161">
        <v>512110</v>
      </c>
      <c r="C72" s="161" t="s">
        <v>248</v>
      </c>
      <c r="D72" s="21">
        <f>SUMIF('2016'!$A:$A,Input!$B72,'2016'!O:O)</f>
        <v>1733</v>
      </c>
      <c r="E72" s="21">
        <f>IF(+'2017'!O72="","",+'2017'!O72)</f>
        <v>4800</v>
      </c>
      <c r="F72" s="22">
        <f>IF(+E72="","",IF($F$4="Per Unit",(IF($F$3="Monthly",+E72/Setup!$B$12/12,+E72/Setup!$B$12)),IF($F$3="Monthly",+E72/Setup!$B$13/12,+E72/Setup!$B$13)))</f>
        <v>21.818181818181817</v>
      </c>
      <c r="G72" s="103">
        <f>SUMPRODUCT((B72=Setup!$A$105:$A$196)*(Setup!$I$105:$I$196))</f>
        <v>400</v>
      </c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383"/>
    </row>
    <row r="73" spans="1:21" s="17" customFormat="1" ht="10.5" customHeight="1">
      <c r="A73" s="10" t="str">
        <f>IF(ISNA(VLOOKUP(B73,Setup!$A$74:$A$197,1,FALSE)),"","X")</f>
        <v/>
      </c>
      <c r="B73" s="161">
        <v>512115</v>
      </c>
      <c r="C73" s="161" t="s">
        <v>249</v>
      </c>
      <c r="D73" s="21">
        <f>SUMIF('2016'!$A:$A,Input!$B73,'2016'!O:O)</f>
        <v>0</v>
      </c>
      <c r="E73" s="21">
        <f>IF(+'2017'!O73="","",+'2017'!O73)</f>
        <v>0</v>
      </c>
      <c r="F73" s="22">
        <f>IF(+E73="","",IF($F$4="Per Unit",(IF($F$3="Monthly",+E73/Setup!$B$12/12,+E73/Setup!$B$12)),IF($F$3="Monthly",+E73/Setup!$B$13/12,+E73/Setup!$B$13)))</f>
        <v>0</v>
      </c>
      <c r="G73" s="33">
        <f t="shared" ref="G73:G76" si="8">+D73/12</f>
        <v>0</v>
      </c>
      <c r="H73" s="492"/>
      <c r="I73" s="492"/>
      <c r="J73" s="492"/>
      <c r="K73" s="492"/>
      <c r="L73" s="492"/>
      <c r="M73" s="492"/>
      <c r="N73" s="492"/>
      <c r="O73" s="492"/>
      <c r="P73" s="492"/>
      <c r="Q73" s="492"/>
      <c r="R73" s="492"/>
      <c r="S73" s="492"/>
      <c r="T73" s="492"/>
      <c r="U73" s="383"/>
    </row>
    <row r="74" spans="1:21" s="4" customFormat="1" ht="10.5" customHeight="1">
      <c r="A74" s="10" t="str">
        <f>IF(ISNA(VLOOKUP(B74,Setup!$A$74:$A$197,1,FALSE)),"","X")</f>
        <v/>
      </c>
      <c r="B74" s="161">
        <v>512120</v>
      </c>
      <c r="C74" s="196" t="s">
        <v>250</v>
      </c>
      <c r="D74" s="21">
        <f>SUMIF('2016'!$A:$A,Input!$B74,'2016'!O:O)</f>
        <v>0</v>
      </c>
      <c r="E74" s="21">
        <f>IF(+'2017'!O74="","",+'2017'!O74)</f>
        <v>0</v>
      </c>
      <c r="F74" s="22">
        <f>IF(+E74="","",IF($F$4="Per Unit",(IF($F$3="Monthly",+E74/Setup!$B$12/12,+E74/Setup!$B$12)),IF($F$3="Monthly",+E74/Setup!$B$13/12,+E74/Setup!$B$13)))</f>
        <v>0</v>
      </c>
      <c r="G74" s="33">
        <f t="shared" si="8"/>
        <v>0</v>
      </c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383"/>
    </row>
    <row r="75" spans="1:21" s="4" customFormat="1" ht="10.5" customHeight="1">
      <c r="A75" s="10" t="str">
        <f>IF(ISNA(VLOOKUP(B75,Setup!$A$74:$A$197,1,FALSE)),"","X")</f>
        <v/>
      </c>
      <c r="B75" s="161">
        <v>512125</v>
      </c>
      <c r="C75" s="161" t="s">
        <v>251</v>
      </c>
      <c r="D75" s="21">
        <f>SUMIF('2016'!$A:$A,Input!$B75,'2016'!O:O)</f>
        <v>100</v>
      </c>
      <c r="E75" s="21">
        <f>IF(+'2017'!O75="","",+'2017'!O75)</f>
        <v>99.999999999999986</v>
      </c>
      <c r="F75" s="22">
        <f>IF(+E75="","",IF($F$4="Per Unit",(IF($F$3="Monthly",+E75/Setup!$B$12/12,+E75/Setup!$B$12)),IF($F$3="Monthly",+E75/Setup!$B$13/12,+E75/Setup!$B$13)))</f>
        <v>0.45454545454545447</v>
      </c>
      <c r="G75" s="33">
        <f t="shared" si="8"/>
        <v>8.3333333333333339</v>
      </c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383"/>
    </row>
    <row r="76" spans="1:21" s="4" customFormat="1" ht="10.5" customHeight="1">
      <c r="A76" s="10" t="str">
        <f>IF(ISNA(VLOOKUP(B76,Setup!$A$74:$A$197,1,FALSE)),"","X")</f>
        <v/>
      </c>
      <c r="B76" s="161">
        <v>512130</v>
      </c>
      <c r="C76" s="161" t="s">
        <v>252</v>
      </c>
      <c r="D76" s="21">
        <f>SUMIF('2016'!$A:$A,Input!$B76,'2016'!O:O)</f>
        <v>250</v>
      </c>
      <c r="E76" s="21">
        <f>IF(+'2017'!O76="","",+'2017'!O76)</f>
        <v>250.00000000000003</v>
      </c>
      <c r="F76" s="22">
        <f>IF(+E76="","",IF($F$4="Per Unit",(IF($F$3="Monthly",+E76/Setup!$B$12/12,+E76/Setup!$B$12)),IF($F$3="Monthly",+E76/Setup!$B$13/12,+E76/Setup!$B$13)))</f>
        <v>1.1363636363636365</v>
      </c>
      <c r="G76" s="33">
        <f t="shared" si="8"/>
        <v>20.833333333333332</v>
      </c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383"/>
    </row>
    <row r="77" spans="1:21" s="4" customFormat="1" ht="10.5" customHeight="1">
      <c r="A77" s="10" t="str">
        <f>IF(ISNA(VLOOKUP(B77,Setup!$A$74:$A$197,1,FALSE)),"","X")</f>
        <v/>
      </c>
      <c r="B77" s="161"/>
      <c r="C77" s="163"/>
      <c r="D77" s="21"/>
      <c r="E77" s="21" t="str">
        <f>IF(+'2017'!O77="","",+'2017'!O77)</f>
        <v/>
      </c>
      <c r="F77" s="22" t="str">
        <f>IF(+E77="","",IF($F$4="Per Unit",(IF($F$3="Monthly",+E77/Setup!$B$12/12,+E77/Setup!$B$12)),IF($F$3="Monthly",+E77/Setup!$B$13/12,+E77/Setup!$B$13)))</f>
        <v/>
      </c>
      <c r="G77" s="95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</row>
    <row r="78" spans="1:21" s="4" customFormat="1" ht="10.5" customHeight="1">
      <c r="A78" s="10" t="str">
        <f>IF(ISNA(VLOOKUP(B78,Setup!$A$74:$A$197,1,FALSE)),"","X")</f>
        <v/>
      </c>
      <c r="B78" s="161"/>
      <c r="C78" s="159" t="s">
        <v>246</v>
      </c>
      <c r="D78" s="21">
        <f>SUM(D71:D76)</f>
        <v>24186</v>
      </c>
      <c r="E78" s="21">
        <f>IF(+'2017'!O78="","",+'2017'!O78)</f>
        <v>24350</v>
      </c>
      <c r="F78" s="22">
        <f>IF(+E78="","",IF($F$4="Per Unit",(IF($F$3="Monthly",+E78/Setup!$B$12/12,+E78/Setup!$B$12)),IF($F$3="Monthly",+E78/Setup!$B$13/12,+E78/Setup!$B$13)))</f>
        <v>110.68181818181819</v>
      </c>
      <c r="G78" s="95"/>
      <c r="H78" s="377">
        <f>+'2017'!C78</f>
        <v>2029.1666666666665</v>
      </c>
      <c r="I78" s="377">
        <f>+'2017'!D78</f>
        <v>2029.1666666666665</v>
      </c>
      <c r="J78" s="377">
        <f>+'2017'!E78</f>
        <v>2029.1666666666665</v>
      </c>
      <c r="K78" s="377">
        <f>+'2017'!F78</f>
        <v>2029.1666666666665</v>
      </c>
      <c r="L78" s="377">
        <f>+'2017'!G78</f>
        <v>2029.1666666666665</v>
      </c>
      <c r="M78" s="377">
        <f>+'2017'!H78</f>
        <v>2029.1666666666665</v>
      </c>
      <c r="N78" s="377">
        <f>+'2017'!I78</f>
        <v>2029.1666666666665</v>
      </c>
      <c r="O78" s="377">
        <f>+'2017'!J78</f>
        <v>2029.1666666666665</v>
      </c>
      <c r="P78" s="377">
        <f>+'2017'!K78</f>
        <v>2029.1666666666665</v>
      </c>
      <c r="Q78" s="377">
        <f>+'2017'!L78</f>
        <v>2029.1666666666665</v>
      </c>
      <c r="R78" s="377">
        <f>+'2017'!M78</f>
        <v>2029.1666666666665</v>
      </c>
      <c r="S78" s="377">
        <f>+'2017'!N78</f>
        <v>2029.1666666666665</v>
      </c>
    </row>
    <row r="79" spans="1:21" s="4" customFormat="1" ht="10.5" customHeight="1">
      <c r="A79" s="10" t="str">
        <f>IF(ISNA(VLOOKUP(B79,Setup!$A$74:$A$197,1,FALSE)),"","X")</f>
        <v/>
      </c>
      <c r="B79" s="161"/>
      <c r="C79" s="161" t="s">
        <v>253</v>
      </c>
      <c r="D79" s="21"/>
      <c r="E79" s="21" t="str">
        <f>IF(+'2017'!O79="","",+'2017'!O79)</f>
        <v/>
      </c>
      <c r="F79" s="22" t="str">
        <f>IF(+E79="","",IF($F$4="Per Unit",(IF($F$3="Monthly",+E79/Setup!$B$12/12,+E79/Setup!$B$12)),IF($F$3="Monthly",+E79/Setup!$B$13/12,+E79/Setup!$B$13)))</f>
        <v/>
      </c>
      <c r="G79" s="95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</row>
    <row r="80" spans="1:21" s="10" customFormat="1" ht="10.5" customHeight="1">
      <c r="A80" s="10" t="str">
        <f>IF(ISNA(VLOOKUP(B80,Setup!$A$74:$A$197,1,FALSE)),"","X")</f>
        <v/>
      </c>
      <c r="B80" s="161">
        <v>512205</v>
      </c>
      <c r="C80" s="161" t="s">
        <v>254</v>
      </c>
      <c r="D80" s="21">
        <f>SUMIF('2016'!$A:$A,Input!$B80,'2016'!O:O)</f>
        <v>0</v>
      </c>
      <c r="E80" s="21">
        <f>IF(+'2017'!O80="","",+'2017'!O80)</f>
        <v>0</v>
      </c>
      <c r="F80" s="22">
        <f>IF(+E80="","",IF($F$4="Per Unit",(IF($F$3="Monthly",+E80/Setup!$B$12/12,+E80/Setup!$B$12)),IF($F$3="Monthly",+E80/Setup!$B$13/12,+E80/Setup!$B$13)))</f>
        <v>0</v>
      </c>
      <c r="G80" s="33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383"/>
    </row>
    <row r="81" spans="1:21" s="17" customFormat="1" ht="10.5" customHeight="1">
      <c r="A81" s="10" t="str">
        <f>IF(ISNA(VLOOKUP(B81,Setup!$A$74:$A$197,1,FALSE)),"","X")</f>
        <v>X</v>
      </c>
      <c r="B81" s="161">
        <v>512210</v>
      </c>
      <c r="C81" s="161" t="s">
        <v>255</v>
      </c>
      <c r="D81" s="21">
        <f>SUMIF('2016'!$A:$A,Input!$B81,'2016'!O:O)</f>
        <v>1745</v>
      </c>
      <c r="E81" s="21">
        <f>IF(+'2017'!O81="","",+'2017'!O81)</f>
        <v>48.959999999999987</v>
      </c>
      <c r="F81" s="22">
        <f>IF(+E81="","",IF($F$4="Per Unit",(IF($F$3="Monthly",+E81/Setup!$B$12/12,+E81/Setup!$B$12)),IF($F$3="Monthly",+E81/Setup!$B$13/12,+E81/Setup!$B$13)))</f>
        <v>0.22254545454545449</v>
      </c>
      <c r="G81" s="103">
        <f>SUMPRODUCT((B81=Setup!$A$105:$A$196)*(Setup!$I$105:$I$196))</f>
        <v>4.08</v>
      </c>
      <c r="H81" s="381"/>
      <c r="I81" s="381"/>
      <c r="J81" s="381"/>
      <c r="K81" s="381"/>
      <c r="L81" s="381"/>
      <c r="M81" s="381"/>
      <c r="N81" s="381"/>
      <c r="O81" s="381"/>
      <c r="P81" s="381"/>
      <c r="Q81" s="381"/>
      <c r="R81" s="381"/>
      <c r="S81" s="381"/>
      <c r="T81" s="362"/>
      <c r="U81" s="383"/>
    </row>
    <row r="82" spans="1:21" s="17" customFormat="1" ht="10.5" customHeight="1">
      <c r="A82" s="10" t="str">
        <f>IF(ISNA(VLOOKUP(B82,Setup!$A$74:$A$197,1,FALSE)),"","X")</f>
        <v>X</v>
      </c>
      <c r="B82" s="161">
        <v>512215</v>
      </c>
      <c r="C82" s="213" t="s">
        <v>548</v>
      </c>
      <c r="D82" s="21">
        <f>SUMIF('2016'!$A:$A,Input!$B82,'2016'!O:O)</f>
        <v>4817</v>
      </c>
      <c r="E82" s="21">
        <f>IF(+'2017'!O82="","",+'2017'!O82)</f>
        <v>0</v>
      </c>
      <c r="F82" s="22">
        <f>IF(+E82="","",IF($F$4="Per Unit",(IF($F$3="Monthly",+E82/Setup!$B$12/12,+E82/Setup!$B$12)),IF($F$3="Monthly",+E82/Setup!$B$13/12,+E82/Setup!$B$13)))</f>
        <v>0</v>
      </c>
      <c r="G82" s="103">
        <f>SUMPRODUCT((B82=Setup!$A$105:$A$196)*(Setup!$I$105:$I$196))</f>
        <v>0</v>
      </c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  <c r="T82" s="362"/>
      <c r="U82" s="383"/>
    </row>
    <row r="83" spans="1:21" s="4" customFormat="1" ht="10.5" customHeight="1">
      <c r="A83" s="10" t="str">
        <f>IF(ISNA(VLOOKUP(B83,Setup!$A$74:$A$197,1,FALSE)),"","X")</f>
        <v/>
      </c>
      <c r="B83" s="161">
        <v>512220</v>
      </c>
      <c r="C83" s="161" t="s">
        <v>256</v>
      </c>
      <c r="D83" s="21">
        <f>SUMIF('2016'!$A:$A,Input!$B83,'2016'!O:O)</f>
        <v>3275</v>
      </c>
      <c r="E83" s="21">
        <f>IF(+'2017'!O83="","",+'2017'!O83)</f>
        <v>3274.9999999999995</v>
      </c>
      <c r="F83" s="22">
        <f>IF(+E83="","",IF($F$4="Per Unit",(IF($F$3="Monthly",+E83/Setup!$B$12/12,+E83/Setup!$B$12)),IF($F$3="Monthly",+E83/Setup!$B$13/12,+E83/Setup!$B$13)))</f>
        <v>14.886363636363635</v>
      </c>
      <c r="G83" s="33">
        <f t="shared" ref="G83:G85" si="9">+D83/12</f>
        <v>272.91666666666669</v>
      </c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383"/>
    </row>
    <row r="84" spans="1:21" s="4" customFormat="1" ht="10.5" customHeight="1">
      <c r="A84" s="10"/>
      <c r="B84" s="161">
        <v>512225</v>
      </c>
      <c r="C84" s="4" t="s">
        <v>1244</v>
      </c>
      <c r="D84" s="21">
        <f>SUMIF('2016'!$A:$A,Input!$B84,'2016'!O:O)</f>
        <v>0</v>
      </c>
      <c r="E84" s="21">
        <f>IF(+'2017'!O84="","",+'2017'!O84)</f>
        <v>0</v>
      </c>
      <c r="F84" s="22">
        <f>IF(+E84="","",IF($F$4="Per Unit",(IF($F$3="Monthly",+E84/Setup!$B$12/12,+E84/Setup!$B$12)),IF($F$3="Monthly",+E84/Setup!$B$13/12,+E84/Setup!$B$13)))</f>
        <v>0</v>
      </c>
      <c r="G84" s="33">
        <f t="shared" si="9"/>
        <v>0</v>
      </c>
      <c r="H84" s="492"/>
      <c r="I84" s="492"/>
      <c r="J84" s="492"/>
      <c r="K84" s="492"/>
      <c r="L84" s="492"/>
      <c r="M84" s="492"/>
      <c r="N84" s="492"/>
      <c r="O84" s="492"/>
      <c r="P84" s="492"/>
      <c r="Q84" s="492"/>
      <c r="R84" s="492"/>
      <c r="S84" s="492"/>
      <c r="T84" s="492"/>
      <c r="U84" s="383"/>
    </row>
    <row r="85" spans="1:21" s="4" customFormat="1" ht="10.5" customHeight="1">
      <c r="A85" s="10" t="str">
        <f>IF(ISNA(VLOOKUP(B85,Setup!$A$74:$A$197,1,FALSE)),"","X")</f>
        <v/>
      </c>
      <c r="B85" s="161">
        <v>512230</v>
      </c>
      <c r="C85" s="161" t="s">
        <v>257</v>
      </c>
      <c r="D85" s="21">
        <f>SUMIF('2016'!$A:$A,Input!$B85,'2016'!O:O)</f>
        <v>0</v>
      </c>
      <c r="E85" s="21">
        <f>IF(+'2017'!O85="","",+'2017'!O85)</f>
        <v>0</v>
      </c>
      <c r="F85" s="22">
        <f>IF(+E85="","",IF($F$4="Per Unit",(IF($F$3="Monthly",+E85/Setup!$B$12/12,+E85/Setup!$B$12)),IF($F$3="Monthly",+E85/Setup!$B$13/12,+E85/Setup!$B$13)))</f>
        <v>0</v>
      </c>
      <c r="G85" s="33">
        <f t="shared" si="9"/>
        <v>0</v>
      </c>
      <c r="H85" s="492"/>
      <c r="I85" s="492"/>
      <c r="J85" s="492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383"/>
    </row>
    <row r="86" spans="1:21" s="4" customFormat="1" ht="10.5" customHeight="1">
      <c r="A86" s="10" t="str">
        <f>IF(ISNA(VLOOKUP(B86,Setup!$A$74:$A$197,1,FALSE)),"","X")</f>
        <v/>
      </c>
      <c r="B86" s="161"/>
      <c r="C86" s="163"/>
      <c r="D86" s="21"/>
      <c r="E86" s="21" t="str">
        <f>IF(+'2017'!O86="","",+'2017'!O86)</f>
        <v/>
      </c>
      <c r="F86" s="22" t="str">
        <f>IF(+E86="","",IF($F$4="Per Unit",(IF($F$3="Monthly",+E86/Setup!$B$12/12,+E86/Setup!$B$12)),IF($F$3="Monthly",+E86/Setup!$B$13/12,+E86/Setup!$B$13)))</f>
        <v/>
      </c>
      <c r="G86" s="95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</row>
    <row r="87" spans="1:21" s="4" customFormat="1" ht="10.5" customHeight="1">
      <c r="A87" s="10" t="str">
        <f>IF(ISNA(VLOOKUP(B87,Setup!$A$74:$A$197,1,FALSE)),"","X")</f>
        <v/>
      </c>
      <c r="B87" s="161"/>
      <c r="C87" s="159" t="s">
        <v>253</v>
      </c>
      <c r="D87" s="21">
        <f>SUM(D80:D85)</f>
        <v>9837</v>
      </c>
      <c r="E87" s="21">
        <f>IF(+'2017'!O87="","",+'2017'!O87)</f>
        <v>3323.9600000000009</v>
      </c>
      <c r="F87" s="22">
        <f>IF(+E87="","",IF($F$4="Per Unit",(IF($F$3="Monthly",+E87/Setup!$B$12/12,+E87/Setup!$B$12)),IF($F$3="Monthly",+E87/Setup!$B$13/12,+E87/Setup!$B$13)))</f>
        <v>15.108909090909096</v>
      </c>
      <c r="G87" s="95"/>
      <c r="H87" s="377">
        <f>+'2017'!C87</f>
        <v>276.99666666666667</v>
      </c>
      <c r="I87" s="377">
        <f>+'2017'!D87</f>
        <v>276.99666666666667</v>
      </c>
      <c r="J87" s="377">
        <f>+'2017'!E87</f>
        <v>276.99666666666667</v>
      </c>
      <c r="K87" s="377">
        <f>+'2017'!F87</f>
        <v>276.99666666666667</v>
      </c>
      <c r="L87" s="377">
        <f>+'2017'!G87</f>
        <v>276.99666666666667</v>
      </c>
      <c r="M87" s="377">
        <f>+'2017'!H87</f>
        <v>276.99666666666667</v>
      </c>
      <c r="N87" s="377">
        <f>+'2017'!I87</f>
        <v>276.99666666666667</v>
      </c>
      <c r="O87" s="377">
        <f>+'2017'!J87</f>
        <v>276.99666666666667</v>
      </c>
      <c r="P87" s="377">
        <f>+'2017'!K87</f>
        <v>276.99666666666667</v>
      </c>
      <c r="Q87" s="377">
        <f>+'2017'!L87</f>
        <v>276.99666666666667</v>
      </c>
      <c r="R87" s="377">
        <f>+'2017'!M87</f>
        <v>276.99666666666667</v>
      </c>
      <c r="S87" s="377">
        <f>+'2017'!N87</f>
        <v>276.99666666666667</v>
      </c>
    </row>
    <row r="88" spans="1:21" s="4" customFormat="1" ht="10.5" customHeight="1">
      <c r="A88" s="10" t="str">
        <f>IF(ISNA(VLOOKUP(B88,Setup!$A$74:$A$197,1,FALSE)),"","X")</f>
        <v/>
      </c>
      <c r="B88" s="161"/>
      <c r="C88" s="161" t="s">
        <v>258</v>
      </c>
      <c r="D88" s="21"/>
      <c r="E88" s="21" t="str">
        <f>IF(+'2017'!O88="","",+'2017'!O88)</f>
        <v/>
      </c>
      <c r="F88" s="22" t="str">
        <f>IF(+E88="","",IF($F$4="Per Unit",(IF($F$3="Monthly",+E88/Setup!$B$12/12,+E88/Setup!$B$12)),IF($F$3="Monthly",+E88/Setup!$B$13/12,+E88/Setup!$B$13)))</f>
        <v/>
      </c>
      <c r="G88" s="95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</row>
    <row r="89" spans="1:21" s="10" customFormat="1" ht="10.5" customHeight="1">
      <c r="A89" s="10" t="str">
        <f>IF(ISNA(VLOOKUP(B89,Setup!$A$74:$A$197,1,FALSE)),"","X")</f>
        <v>X</v>
      </c>
      <c r="B89" s="161">
        <v>512305</v>
      </c>
      <c r="C89" s="4" t="s">
        <v>671</v>
      </c>
      <c r="D89" s="21">
        <f>SUMIF('2016'!$A:$A,Input!$B89,'2016'!O:O)</f>
        <v>950</v>
      </c>
      <c r="E89" s="21">
        <f>IF(+'2017'!O89="","",+'2017'!O89)</f>
        <v>1080</v>
      </c>
      <c r="F89" s="22">
        <f>IF(+E89="","",IF($F$4="Per Unit",(IF($F$3="Monthly",+E89/Setup!$B$12/12,+E89/Setup!$B$12)),IF($F$3="Monthly",+E89/Setup!$B$13/12,+E89/Setup!$B$13)))</f>
        <v>4.9090909090909092</v>
      </c>
      <c r="G89" s="103">
        <f>SUMPRODUCT((B89=Setup!$A$105:$A$196)*(Setup!$I$105:$I$196))</f>
        <v>90</v>
      </c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62"/>
      <c r="U89" s="383"/>
    </row>
    <row r="90" spans="1:21" s="17" customFormat="1" ht="10.5" customHeight="1">
      <c r="A90" s="10" t="str">
        <f>IF(ISNA(VLOOKUP(B90,Setup!$A$74:$A$197,1,FALSE)),"","X")</f>
        <v/>
      </c>
      <c r="B90" s="161">
        <v>512310</v>
      </c>
      <c r="C90" s="161" t="s">
        <v>260</v>
      </c>
      <c r="D90" s="21">
        <f>SUMIF('2016'!$A:$A,Input!$B90,'2016'!O:O)</f>
        <v>0</v>
      </c>
      <c r="E90" s="21">
        <f>IF(+'2017'!O90="","",+'2017'!O90)</f>
        <v>0</v>
      </c>
      <c r="F90" s="22">
        <f>IF(+E90="","",IF($F$4="Per Unit",(IF($F$3="Monthly",+E90/Setup!$B$12/12,+E90/Setup!$B$12)),IF($F$3="Monthly",+E90/Setup!$B$13/12,+E90/Setup!$B$13)))</f>
        <v>0</v>
      </c>
      <c r="G90" s="33"/>
      <c r="H90" s="492"/>
      <c r="I90" s="492"/>
      <c r="J90" s="492"/>
      <c r="K90" s="492"/>
      <c r="L90" s="492"/>
      <c r="M90" s="492"/>
      <c r="N90" s="492"/>
      <c r="O90" s="492"/>
      <c r="P90" s="492"/>
      <c r="Q90" s="492"/>
      <c r="R90" s="492"/>
      <c r="S90" s="492"/>
      <c r="T90" s="492"/>
      <c r="U90" s="383"/>
    </row>
    <row r="91" spans="1:21" s="17" customFormat="1" ht="10.5" customHeight="1">
      <c r="A91" s="10" t="str">
        <f>IF(ISNA(VLOOKUP(B91,Setup!$A$74:$A$197,1,FALSE)),"","X")</f>
        <v/>
      </c>
      <c r="B91" s="161">
        <v>512315</v>
      </c>
      <c r="C91" s="161" t="s">
        <v>261</v>
      </c>
      <c r="D91" s="21">
        <f>SUMIF('2016'!$A:$A,Input!$B91,'2016'!O:O)</f>
        <v>1868</v>
      </c>
      <c r="E91" s="21">
        <f>IF(+'2017'!O91="","",+'2017'!O91)</f>
        <v>0</v>
      </c>
      <c r="F91" s="22">
        <f>IF(+E91="","",IF($F$4="Per Unit",(IF($F$3="Monthly",+E91/Setup!$B$12/12,+E91/Setup!$B$12)),IF($F$3="Monthly",+E91/Setup!$B$13/12,+E91/Setup!$B$13)))</f>
        <v>0</v>
      </c>
      <c r="G91" s="33"/>
      <c r="H91" s="381"/>
      <c r="I91" s="381"/>
      <c r="J91" s="381"/>
      <c r="K91" s="381"/>
      <c r="L91" s="381"/>
      <c r="M91" s="381"/>
      <c r="N91" s="381"/>
      <c r="O91" s="381"/>
      <c r="P91" s="381"/>
      <c r="Q91" s="381"/>
      <c r="R91" s="381"/>
      <c r="S91" s="381"/>
      <c r="T91" s="362"/>
      <c r="U91" s="383"/>
    </row>
    <row r="92" spans="1:21" s="4" customFormat="1" ht="10.5" customHeight="1">
      <c r="A92" s="10" t="str">
        <f>IF(ISNA(VLOOKUP(B92,Setup!$A$74:$A$197,1,FALSE)),"","X")</f>
        <v>X</v>
      </c>
      <c r="B92" s="161">
        <v>512320</v>
      </c>
      <c r="C92" s="161" t="s">
        <v>262</v>
      </c>
      <c r="D92" s="21">
        <f>SUMIF('2016'!$A:$A,Input!$B92,'2016'!O:O)</f>
        <v>3870</v>
      </c>
      <c r="E92" s="21">
        <f>IF(+'2017'!O92="","",+'2017'!O92)</f>
        <v>6916.7999999999984</v>
      </c>
      <c r="F92" s="22">
        <f>IF(+E92="","",IF($F$4="Per Unit",(IF($F$3="Monthly",+E92/Setup!$B$12/12,+E92/Setup!$B$12)),IF($F$3="Monthly",+E92/Setup!$B$13/12,+E92/Setup!$B$13)))</f>
        <v>31.439999999999994</v>
      </c>
      <c r="G92" s="103">
        <f>SUMPRODUCT((B92=Setup!$A$105:$A$196)*(Setup!$I$105:$I$196))</f>
        <v>576.4</v>
      </c>
      <c r="H92" s="381"/>
      <c r="I92" s="381"/>
      <c r="J92" s="381"/>
      <c r="K92" s="381"/>
      <c r="L92" s="381"/>
      <c r="M92" s="381"/>
      <c r="N92" s="381"/>
      <c r="O92" s="381"/>
      <c r="P92" s="381"/>
      <c r="Q92" s="381"/>
      <c r="R92" s="381"/>
      <c r="S92" s="381"/>
      <c r="T92" s="362"/>
      <c r="U92" s="383"/>
    </row>
    <row r="93" spans="1:21" s="4" customFormat="1" ht="10.5" customHeight="1">
      <c r="A93" s="10" t="str">
        <f>IF(ISNA(VLOOKUP(B93,Setup!$A$74:$A$197,1,FALSE)),"","X")</f>
        <v>X</v>
      </c>
      <c r="B93" s="161">
        <v>512321</v>
      </c>
      <c r="C93" s="4" t="s">
        <v>619</v>
      </c>
      <c r="D93" s="21">
        <f>SUMIF('2016'!$A:$A,Input!$B93,'2016'!O:O)</f>
        <v>4675</v>
      </c>
      <c r="E93" s="21">
        <f>IF(+'2017'!O93="","",+'2017'!O93)</f>
        <v>0</v>
      </c>
      <c r="F93" s="22">
        <f>IF(+E93="","",IF($F$4="Per Unit",(IF($F$3="Monthly",+E93/Setup!$B$12/12,+E93/Setup!$B$12)),IF($F$3="Monthly",+E93/Setup!$B$13/12,+E93/Setup!$B$13)))</f>
        <v>0</v>
      </c>
      <c r="G93" s="103">
        <f>SUMPRODUCT((B93=Setup!$A$105:$A$196)*(Setup!$I$105:$I$196))</f>
        <v>0</v>
      </c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381"/>
      <c r="S93" s="381"/>
      <c r="T93" s="362"/>
      <c r="U93" s="383"/>
    </row>
    <row r="94" spans="1:21" s="4" customFormat="1" ht="10.5" customHeight="1">
      <c r="A94" s="10" t="str">
        <f>IF(ISNA(VLOOKUP(B94,Setup!$A$74:$A$197,1,FALSE)),"","X")</f>
        <v>X</v>
      </c>
      <c r="B94" s="161">
        <v>512322</v>
      </c>
      <c r="C94" s="4" t="s">
        <v>670</v>
      </c>
      <c r="D94" s="21">
        <f>SUMIF('2016'!$A:$A,Input!$B94,'2016'!O:O)</f>
        <v>0</v>
      </c>
      <c r="E94" s="21">
        <f>IF(+'2017'!O94="","",+'2017'!O94)</f>
        <v>0</v>
      </c>
      <c r="F94" s="22">
        <f>IF(+E94="","",IF($F$4="Per Unit",(IF($F$3="Monthly",+E94/Setup!$B$12/12,+E94/Setup!$B$12)),IF($F$3="Monthly",+E94/Setup!$B$13/12,+E94/Setup!$B$13)))</f>
        <v>0</v>
      </c>
      <c r="G94" s="103">
        <f>SUMPRODUCT((B94=Setup!$A$105:$A$196)*(Setup!$I$105:$I$196))</f>
        <v>0</v>
      </c>
      <c r="H94" s="381"/>
      <c r="I94" s="381"/>
      <c r="J94" s="381"/>
      <c r="K94" s="381"/>
      <c r="L94" s="381"/>
      <c r="M94" s="381"/>
      <c r="N94" s="381"/>
      <c r="O94" s="381"/>
      <c r="P94" s="381"/>
      <c r="Q94" s="381"/>
      <c r="R94" s="381"/>
      <c r="S94" s="381"/>
      <c r="T94" s="362"/>
      <c r="U94" s="383"/>
    </row>
    <row r="95" spans="1:21" s="4" customFormat="1" ht="10.5" customHeight="1">
      <c r="A95" s="10"/>
      <c r="B95" s="161">
        <v>512323</v>
      </c>
      <c r="C95" s="4" t="s">
        <v>1315</v>
      </c>
      <c r="D95" s="21">
        <f>SUMIF('2016'!$A:$A,Input!$B95,'2016'!O:O)</f>
        <v>0</v>
      </c>
      <c r="E95" s="21">
        <f>IF(+'2017'!O96="","",+'2017'!O96)</f>
        <v>0</v>
      </c>
      <c r="F95" s="22">
        <f>IF(+E95="","",IF($F$4="Per Unit",(IF($F$3="Monthly",+E95/Setup!$B$12/12,+E95/Setup!$B$12)),IF($F$3="Monthly",+E95/Setup!$B$13/12,+E95/Setup!$B$13)))</f>
        <v>0</v>
      </c>
      <c r="G95" s="103">
        <f>SUMPRODUCT((B95=Setup!$A$105:$A$196)*(Setup!$I$105:$I$196))</f>
        <v>66.594000000000008</v>
      </c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62"/>
      <c r="U95" s="383"/>
    </row>
    <row r="96" spans="1:21" s="4" customFormat="1" ht="10.5" customHeight="1">
      <c r="A96" s="10" t="str">
        <f>IF(ISNA(VLOOKUP(B96,Setup!$A$74:$A$197,1,FALSE)),"","X")</f>
        <v/>
      </c>
      <c r="B96" s="161">
        <v>512330</v>
      </c>
      <c r="C96" s="4" t="s">
        <v>1286</v>
      </c>
      <c r="D96" s="21">
        <f>SUMIF('2016'!$A:$A,Input!$B96,'2016'!O:O)</f>
        <v>0</v>
      </c>
      <c r="E96" s="21">
        <f>IF(+'2017'!O96="","",+'2017'!O96)</f>
        <v>0</v>
      </c>
      <c r="F96" s="22">
        <f>IF(+E96="","",IF($F$4="Per Unit",(IF($F$3="Monthly",+E96/Setup!$B$12/12,+E96/Setup!$B$12)),IF($F$3="Monthly",+E96/Setup!$B$13/12,+E96/Setup!$B$13)))</f>
        <v>0</v>
      </c>
      <c r="G96" s="33">
        <f t="shared" ref="G96:G97" si="10">+D96/12</f>
        <v>0</v>
      </c>
      <c r="H96" s="492"/>
      <c r="I96" s="492"/>
      <c r="J96" s="492"/>
      <c r="K96" s="492"/>
      <c r="L96" s="492"/>
      <c r="M96" s="492"/>
      <c r="N96" s="492"/>
      <c r="O96" s="492"/>
      <c r="P96" s="492"/>
      <c r="Q96" s="492"/>
      <c r="R96" s="492"/>
      <c r="S96" s="492"/>
      <c r="T96" s="492"/>
      <c r="U96" s="383"/>
    </row>
    <row r="97" spans="1:21" s="4" customFormat="1" ht="10.5" customHeight="1">
      <c r="A97" s="10" t="str">
        <f>IF(ISNA(VLOOKUP(B97,Setup!$A$74:$A$197,1,FALSE)),"","X")</f>
        <v/>
      </c>
      <c r="B97" s="161">
        <v>512335</v>
      </c>
      <c r="C97" s="161" t="s">
        <v>266</v>
      </c>
      <c r="D97" s="21">
        <f>SUMIF('2016'!$A:$A,Input!$B97,'2016'!O:O)</f>
        <v>0</v>
      </c>
      <c r="E97" s="21">
        <f>IF(+'2017'!O97="","",+'2017'!O97)</f>
        <v>0</v>
      </c>
      <c r="F97" s="22">
        <f>IF(+E97="","",IF($F$4="Per Unit",(IF($F$3="Monthly",+E97/Setup!$B$12/12,+E97/Setup!$B$12)),IF($F$3="Monthly",+E97/Setup!$B$13/12,+E97/Setup!$B$13)))</f>
        <v>0</v>
      </c>
      <c r="G97" s="33">
        <f t="shared" si="10"/>
        <v>0</v>
      </c>
      <c r="H97" s="492"/>
      <c r="I97" s="492"/>
      <c r="J97" s="492"/>
      <c r="K97" s="492"/>
      <c r="L97" s="492"/>
      <c r="M97" s="492"/>
      <c r="N97" s="492"/>
      <c r="O97" s="492"/>
      <c r="P97" s="492"/>
      <c r="Q97" s="492"/>
      <c r="R97" s="492"/>
      <c r="S97" s="492"/>
      <c r="T97" s="492"/>
      <c r="U97" s="383"/>
    </row>
    <row r="98" spans="1:21" s="4" customFormat="1" ht="10.5" customHeight="1">
      <c r="A98" s="10" t="str">
        <f>IF(ISNA(VLOOKUP(B98,Setup!$A$74:$A$197,1,FALSE)),"","X")</f>
        <v>X</v>
      </c>
      <c r="B98" s="161">
        <v>512340</v>
      </c>
      <c r="C98" s="4" t="s">
        <v>1283</v>
      </c>
      <c r="D98" s="21">
        <f>SUMIF('2016'!$A:$A,Input!$B98,'2016'!O:O)</f>
        <v>2771</v>
      </c>
      <c r="E98" s="21">
        <f>IF(+'2017'!O98="","",+'2017'!O98)</f>
        <v>0</v>
      </c>
      <c r="F98" s="22">
        <f>IF(+E98="","",IF($F$4="Per Unit",(IF($F$3="Monthly",+E98/Setup!$B$12/12,+E98/Setup!$B$12)),IF($F$3="Monthly",+E98/Setup!$B$13/12,+E98/Setup!$B$13)))</f>
        <v>0</v>
      </c>
      <c r="G98" s="33"/>
      <c r="H98" s="492"/>
      <c r="I98" s="492"/>
      <c r="J98" s="492"/>
      <c r="K98" s="492"/>
      <c r="L98" s="492"/>
      <c r="M98" s="492"/>
      <c r="N98" s="492"/>
      <c r="O98" s="492"/>
      <c r="P98" s="492"/>
      <c r="Q98" s="492"/>
      <c r="R98" s="492"/>
      <c r="S98" s="492"/>
      <c r="T98" s="492"/>
      <c r="U98" s="383"/>
    </row>
    <row r="99" spans="1:21" s="4" customFormat="1" ht="10.5" customHeight="1">
      <c r="A99" s="10" t="str">
        <f>IF(ISNA(VLOOKUP(B99,Setup!$A$74:$A$197,1,FALSE)),"","X")</f>
        <v>X</v>
      </c>
      <c r="B99" s="161">
        <v>512345</v>
      </c>
      <c r="C99" s="161" t="s">
        <v>267</v>
      </c>
      <c r="D99" s="21">
        <f>SUMIF('2016'!$A:$A,Input!$B99,'2016'!O:O)</f>
        <v>743</v>
      </c>
      <c r="E99" s="21">
        <f>IF(+'2017'!O99="","",+'2017'!O99)</f>
        <v>660</v>
      </c>
      <c r="F99" s="22">
        <f>IF(+E99="","",IF($F$4="Per Unit",(IF($F$3="Monthly",+E99/Setup!$B$12/12,+E99/Setup!$B$12)),IF($F$3="Monthly",+E99/Setup!$B$13/12,+E99/Setup!$B$13)))</f>
        <v>3</v>
      </c>
      <c r="G99" s="103">
        <f>SUMPRODUCT((B99=Setup!$A$105:$A$196)*(Setup!$I$105:$I$196))</f>
        <v>55</v>
      </c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383"/>
    </row>
    <row r="100" spans="1:21" s="4" customFormat="1" ht="10.5" customHeight="1">
      <c r="A100" s="10" t="str">
        <f>IF(ISNA(VLOOKUP(B100,Setup!$A$74:$A$197,1,FALSE)),"","X")</f>
        <v/>
      </c>
      <c r="B100" s="161">
        <v>512350</v>
      </c>
      <c r="C100" s="196" t="s">
        <v>268</v>
      </c>
      <c r="D100" s="21">
        <f>SUMIF('2016'!$A:$A,Input!$B100,'2016'!O:O)</f>
        <v>327</v>
      </c>
      <c r="E100" s="21">
        <f>IF(+'2017'!O100="","",+'2017'!O100)</f>
        <v>0</v>
      </c>
      <c r="F100" s="22">
        <f>IF(+E100="","",IF($F$4="Per Unit",(IF($F$3="Monthly",+E100/Setup!$B$12/12,+E100/Setup!$B$12)),IF($F$3="Monthly",+E100/Setup!$B$13/12,+E100/Setup!$B$13)))</f>
        <v>0</v>
      </c>
      <c r="G100" s="33"/>
      <c r="H100" s="492"/>
      <c r="I100" s="492"/>
      <c r="J100" s="492"/>
      <c r="K100" s="492"/>
      <c r="L100" s="492"/>
      <c r="M100" s="492"/>
      <c r="N100" s="492"/>
      <c r="O100" s="492"/>
      <c r="P100" s="492"/>
      <c r="Q100" s="492"/>
      <c r="R100" s="492"/>
      <c r="S100" s="492"/>
      <c r="T100" s="492"/>
      <c r="U100" s="383"/>
    </row>
    <row r="101" spans="1:21" s="4" customFormat="1" ht="10.5" customHeight="1">
      <c r="A101" s="10" t="str">
        <f>IF(ISNA(VLOOKUP(B101,Setup!$A$74:$A$197,1,FALSE)),"","X")</f>
        <v>X</v>
      </c>
      <c r="B101" s="161">
        <v>512355</v>
      </c>
      <c r="C101" s="196" t="s">
        <v>269</v>
      </c>
      <c r="D101" s="21">
        <f>SUMIF('2016'!$A:$A,Input!$B101,'2016'!O:O)</f>
        <v>146</v>
      </c>
      <c r="E101" s="21">
        <f>IF(+'2017'!O101="","",+'2017'!O101)</f>
        <v>2400</v>
      </c>
      <c r="F101" s="22">
        <f>IF(+E101="","",IF($F$4="Per Unit",(IF($F$3="Monthly",+E101/Setup!$B$12/12,+E101/Setup!$B$12)),IF($F$3="Monthly",+E101/Setup!$B$13/12,+E101/Setup!$B$13)))</f>
        <v>10.909090909090908</v>
      </c>
      <c r="G101" s="103">
        <f>SUMPRODUCT((B101=Setup!$A$105:$A$196)*(Setup!$I$105:$I$196))</f>
        <v>200</v>
      </c>
      <c r="H101" s="492"/>
      <c r="I101" s="492"/>
      <c r="J101" s="492"/>
      <c r="K101" s="492"/>
      <c r="L101" s="492"/>
      <c r="M101" s="492"/>
      <c r="N101" s="492"/>
      <c r="O101" s="492"/>
      <c r="P101" s="492"/>
      <c r="Q101" s="492"/>
      <c r="R101" s="492"/>
      <c r="S101" s="492"/>
      <c r="T101" s="492"/>
      <c r="U101" s="383"/>
    </row>
    <row r="102" spans="1:21" s="4" customFormat="1" ht="10.5" customHeight="1">
      <c r="A102" s="10" t="str">
        <f>IF(ISNA(VLOOKUP(B102,Setup!$A$74:$A$197,1,FALSE)),"","X")</f>
        <v/>
      </c>
      <c r="B102" s="161">
        <v>512360</v>
      </c>
      <c r="C102" s="161" t="s">
        <v>270</v>
      </c>
      <c r="D102" s="21">
        <f>SUMIF('2016'!$A:$A,Input!$B102,'2016'!O:O)</f>
        <v>0</v>
      </c>
      <c r="E102" s="21">
        <f>IF(+'2017'!O102="","",+'2017'!O102)</f>
        <v>0</v>
      </c>
      <c r="F102" s="22">
        <f>IF(+E102="","",IF($F$4="Per Unit",(IF($F$3="Monthly",+E102/Setup!$B$12/12,+E102/Setup!$B$12)),IF($F$3="Monthly",+E102/Setup!$B$13/12,+E102/Setup!$B$13)))</f>
        <v>0</v>
      </c>
      <c r="G102" s="33">
        <f t="shared" ref="G102:G108" si="11">+D102/12</f>
        <v>0</v>
      </c>
      <c r="H102" s="492"/>
      <c r="I102" s="492"/>
      <c r="J102" s="492"/>
      <c r="K102" s="492"/>
      <c r="L102" s="492"/>
      <c r="M102" s="492"/>
      <c r="N102" s="492"/>
      <c r="O102" s="492"/>
      <c r="P102" s="492"/>
      <c r="Q102" s="492"/>
      <c r="R102" s="492"/>
      <c r="S102" s="492"/>
      <c r="T102" s="492"/>
      <c r="U102" s="383"/>
    </row>
    <row r="103" spans="1:21" s="4" customFormat="1" ht="10.5" customHeight="1">
      <c r="A103" s="10" t="str">
        <f>IF(ISNA(VLOOKUP(B103,Setup!$A$74:$A$197,1,FALSE)),"","X")</f>
        <v/>
      </c>
      <c r="B103" s="161">
        <v>512365</v>
      </c>
      <c r="C103" s="161" t="s">
        <v>271</v>
      </c>
      <c r="D103" s="21">
        <f>SUMIF('2016'!$A:$A,Input!$B103,'2016'!O:O)</f>
        <v>1431</v>
      </c>
      <c r="E103" s="21">
        <f>IF(+'2017'!O103="","",+'2017'!O103)</f>
        <v>1431</v>
      </c>
      <c r="F103" s="22">
        <f>IF(+E103="","",IF($F$4="Per Unit",(IF($F$3="Monthly",+E103/Setup!$B$12/12,+E103/Setup!$B$12)),IF($F$3="Monthly",+E103/Setup!$B$13/12,+E103/Setup!$B$13)))</f>
        <v>6.5045454545454549</v>
      </c>
      <c r="G103" s="33">
        <f t="shared" si="11"/>
        <v>119.25</v>
      </c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383"/>
    </row>
    <row r="104" spans="1:21" s="4" customFormat="1" ht="10.5" customHeight="1">
      <c r="A104" s="10" t="str">
        <f>IF(ISNA(VLOOKUP(B104,Setup!$A$74:$A$197,1,FALSE)),"","X")</f>
        <v/>
      </c>
      <c r="B104" s="161">
        <v>512375</v>
      </c>
      <c r="C104" s="161" t="s">
        <v>272</v>
      </c>
      <c r="D104" s="21">
        <f>SUMIF('2016'!$A:$A,Input!$B104,'2016'!O:O)</f>
        <v>0</v>
      </c>
      <c r="E104" s="21">
        <f>IF(+'2017'!O104="","",+'2017'!O104)</f>
        <v>0</v>
      </c>
      <c r="F104" s="22">
        <f>IF(+E104="","",IF($F$4="Per Unit",(IF($F$3="Monthly",+E104/Setup!$B$12/12,+E104/Setup!$B$12)),IF($F$3="Monthly",+E104/Setup!$B$13/12,+E104/Setup!$B$13)))</f>
        <v>0</v>
      </c>
      <c r="G104" s="33">
        <f t="shared" si="11"/>
        <v>0</v>
      </c>
      <c r="H104" s="492"/>
      <c r="I104" s="492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383"/>
    </row>
    <row r="105" spans="1:21" s="4" customFormat="1" ht="10.5" customHeight="1">
      <c r="A105" s="10" t="str">
        <f>IF(ISNA(VLOOKUP(B105,Setup!$A$74:$A$197,1,FALSE)),"","X")</f>
        <v/>
      </c>
      <c r="B105" s="161">
        <v>512385</v>
      </c>
      <c r="C105" s="161" t="s">
        <v>273</v>
      </c>
      <c r="D105" s="21">
        <f>SUMIF('2016'!$A:$A,Input!$B105,'2016'!O:O)</f>
        <v>0</v>
      </c>
      <c r="E105" s="21">
        <f>IF(+'2017'!O105="","",+'2017'!O105)</f>
        <v>0</v>
      </c>
      <c r="F105" s="22">
        <f>IF(+E105="","",IF($F$4="Per Unit",(IF($F$3="Monthly",+E105/Setup!$B$12/12,+E105/Setup!$B$12)),IF($F$3="Monthly",+E105/Setup!$B$13/12,+E105/Setup!$B$13)))</f>
        <v>0</v>
      </c>
      <c r="G105" s="33">
        <f t="shared" si="11"/>
        <v>0</v>
      </c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383"/>
    </row>
    <row r="106" spans="1:21" s="4" customFormat="1" ht="10.5" customHeight="1">
      <c r="A106" s="10" t="str">
        <f>IF(ISNA(VLOOKUP(B106,Setup!$A$74:$A$197,1,FALSE)),"","X")</f>
        <v/>
      </c>
      <c r="B106" s="161">
        <v>512395</v>
      </c>
      <c r="C106" s="161" t="s">
        <v>274</v>
      </c>
      <c r="D106" s="21">
        <f>SUMIF('2016'!$A:$A,Input!$B106,'2016'!O:O)</f>
        <v>0</v>
      </c>
      <c r="E106" s="21">
        <f>IF(+'2017'!O106="","",+'2017'!O106)</f>
        <v>0</v>
      </c>
      <c r="F106" s="22">
        <f>IF(+E106="","",IF($F$4="Per Unit",(IF($F$3="Monthly",+E106/Setup!$B$12/12,+E106/Setup!$B$12)),IF($F$3="Monthly",+E106/Setup!$B$13/12,+E106/Setup!$B$13)))</f>
        <v>0</v>
      </c>
      <c r="G106" s="33">
        <f t="shared" si="11"/>
        <v>0</v>
      </c>
      <c r="H106" s="492"/>
      <c r="I106" s="492"/>
      <c r="J106" s="492"/>
      <c r="K106" s="492"/>
      <c r="L106" s="492"/>
      <c r="M106" s="492"/>
      <c r="N106" s="492"/>
      <c r="O106" s="492"/>
      <c r="P106" s="492"/>
      <c r="Q106" s="492"/>
      <c r="R106" s="492"/>
      <c r="S106" s="492"/>
      <c r="T106" s="492"/>
      <c r="U106" s="383"/>
    </row>
    <row r="107" spans="1:21" s="4" customFormat="1" ht="10.5" customHeight="1">
      <c r="A107" s="10" t="str">
        <f>IF(ISNA(VLOOKUP(B107,Setup!$A$74:$A$197,1,FALSE)),"","X")</f>
        <v/>
      </c>
      <c r="B107" s="161">
        <v>512400</v>
      </c>
      <c r="C107" s="161" t="s">
        <v>275</v>
      </c>
      <c r="D107" s="21">
        <f>SUMIF('2016'!$A:$A,Input!$B107,'2016'!O:O)</f>
        <v>0</v>
      </c>
      <c r="E107" s="21">
        <f>IF(+'2017'!O107="","",+'2017'!O107)</f>
        <v>0</v>
      </c>
      <c r="F107" s="22">
        <f>IF(+E107="","",IF($F$4="Per Unit",(IF($F$3="Monthly",+E107/Setup!$B$12/12,+E107/Setup!$B$12)),IF($F$3="Monthly",+E107/Setup!$B$13/12,+E107/Setup!$B$13)))</f>
        <v>0</v>
      </c>
      <c r="G107" s="33">
        <f t="shared" si="11"/>
        <v>0</v>
      </c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383"/>
    </row>
    <row r="108" spans="1:21" s="4" customFormat="1" ht="10.5" customHeight="1">
      <c r="A108" s="10" t="str">
        <f>IF(ISNA(VLOOKUP(B108,Setup!$A$74:$A$197,1,FALSE)),"","X")</f>
        <v/>
      </c>
      <c r="B108" s="161">
        <v>512415</v>
      </c>
      <c r="C108" s="161" t="s">
        <v>276</v>
      </c>
      <c r="D108" s="21">
        <f>SUMIF('2016'!$A:$A,Input!$B108,'2016'!O:O)</f>
        <v>1618</v>
      </c>
      <c r="E108" s="21">
        <f>IF(+'2017'!O108="","",+'2017'!O108)</f>
        <v>1617.9999999999998</v>
      </c>
      <c r="F108" s="22">
        <f>IF(+E108="","",IF($F$4="Per Unit",(IF($F$3="Monthly",+E108/Setup!$B$12/12,+E108/Setup!$B$12)),IF($F$3="Monthly",+E108/Setup!$B$13/12,+E108/Setup!$B$13)))</f>
        <v>7.3545454545454536</v>
      </c>
      <c r="G108" s="33">
        <f t="shared" si="11"/>
        <v>134.83333333333334</v>
      </c>
      <c r="H108" s="492"/>
      <c r="I108" s="492"/>
      <c r="J108" s="492"/>
      <c r="K108" s="492"/>
      <c r="L108" s="492"/>
      <c r="M108" s="492"/>
      <c r="N108" s="492"/>
      <c r="O108" s="492"/>
      <c r="P108" s="492"/>
      <c r="Q108" s="492"/>
      <c r="R108" s="492"/>
      <c r="S108" s="492"/>
      <c r="T108" s="492"/>
      <c r="U108" s="383"/>
    </row>
    <row r="109" spans="1:21" s="4" customFormat="1" ht="10.5" customHeight="1">
      <c r="A109" s="10" t="str">
        <f>IF(ISNA(VLOOKUP(B109,Setup!$A$74:$A$197,1,FALSE)),"","X")</f>
        <v/>
      </c>
      <c r="B109" s="161">
        <v>512420</v>
      </c>
      <c r="C109" s="161" t="s">
        <v>277</v>
      </c>
      <c r="D109" s="21">
        <f>SUMIF('2016'!$A:$A,Input!$B109,'2016'!O:O)</f>
        <v>0</v>
      </c>
      <c r="E109" s="21">
        <f>IF(+'2017'!O109="","",+'2017'!O109)</f>
        <v>0</v>
      </c>
      <c r="F109" s="22">
        <f>IF(+E109="","",IF($F$4="Per Unit",(IF($F$3="Monthly",+E109/Setup!$B$12/12,+E109/Setup!$B$12)),IF($F$3="Monthly",+E109/Setup!$B$13/12,+E109/Setup!$B$13)))</f>
        <v>0</v>
      </c>
      <c r="G109" s="103">
        <f>SUMPRODUCT((B109=Setup!$A$105:$A$196)*(Setup!$I$105:$I$196))</f>
        <v>0</v>
      </c>
      <c r="H109" s="492"/>
      <c r="I109" s="492"/>
      <c r="J109" s="492"/>
      <c r="K109" s="492"/>
      <c r="L109" s="492"/>
      <c r="M109" s="492"/>
      <c r="N109" s="492"/>
      <c r="O109" s="492"/>
      <c r="P109" s="492"/>
      <c r="Q109" s="492"/>
      <c r="R109" s="492"/>
      <c r="S109" s="492"/>
      <c r="T109" s="492"/>
      <c r="U109" s="383"/>
    </row>
    <row r="110" spans="1:21" s="4" customFormat="1" ht="10.5" customHeight="1">
      <c r="A110" s="10" t="str">
        <f>IF(ISNA(VLOOKUP(B110,Setup!$A$74:$A$197,1,FALSE)),"","X")</f>
        <v/>
      </c>
      <c r="B110" s="161">
        <v>512425</v>
      </c>
      <c r="C110" s="161" t="s">
        <v>278</v>
      </c>
      <c r="D110" s="21">
        <f>SUMIF('2016'!$A:$A,Input!$B110,'2016'!O:O)</f>
        <v>8428</v>
      </c>
      <c r="E110" s="21">
        <f>IF(+'2017'!O110="","",+'2017'!O110)</f>
        <v>0</v>
      </c>
      <c r="F110" s="22">
        <f>IF(+E110="","",IF($F$4="Per Unit",(IF($F$3="Monthly",+E110/Setup!$B$12/12,+E110/Setup!$B$12)),IF($F$3="Monthly",+E110/Setup!$B$13/12,+E110/Setup!$B$13)))</f>
        <v>0</v>
      </c>
      <c r="G110" s="33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62"/>
      <c r="U110" s="383"/>
    </row>
    <row r="111" spans="1:21" s="4" customFormat="1" ht="10.5" customHeight="1">
      <c r="A111" s="10" t="str">
        <f>IF(ISNA(VLOOKUP(B111,Setup!$A$74:$A$197,1,FALSE)),"","X")</f>
        <v/>
      </c>
      <c r="B111" s="161">
        <v>512430</v>
      </c>
      <c r="C111" s="161" t="s">
        <v>279</v>
      </c>
      <c r="D111" s="21">
        <f>SUMIF('2016'!$A:$A,Input!$B111,'2016'!O:O)</f>
        <v>522</v>
      </c>
      <c r="E111" s="21">
        <f>IF(+'2017'!O111="","",+'2017'!O111)</f>
        <v>0</v>
      </c>
      <c r="F111" s="22">
        <f>IF(+E111="","",IF($F$4="Per Unit",(IF($F$3="Monthly",+E111/Setup!$B$12/12,+E111/Setup!$B$12)),IF($F$3="Monthly",+E111/Setup!$B$13/12,+E111/Setup!$B$13)))</f>
        <v>0</v>
      </c>
      <c r="G111" s="33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62"/>
      <c r="U111" s="383"/>
    </row>
    <row r="112" spans="1:21" s="4" customFormat="1" ht="10.5" customHeight="1">
      <c r="A112" s="10" t="str">
        <f>IF(ISNA(VLOOKUP(B112,Setup!$A$74:$A$197,1,FALSE)),"","X")</f>
        <v>X</v>
      </c>
      <c r="B112" s="161">
        <v>512440</v>
      </c>
      <c r="C112" s="213" t="s">
        <v>1285</v>
      </c>
      <c r="D112" s="21">
        <f>SUMIF('2016'!$A:$A,Input!$B112,'2016'!O:O)</f>
        <v>1535</v>
      </c>
      <c r="E112" s="21">
        <f>IF(+'2017'!O112="","",+'2017'!O112)</f>
        <v>600</v>
      </c>
      <c r="F112" s="22">
        <f>IF(+E112="","",IF($F$4="Per Unit",(IF($F$3="Monthly",+E112/Setup!$B$12/12,+E112/Setup!$B$12)),IF($F$3="Monthly",+E112/Setup!$B$13/12,+E112/Setup!$B$13)))</f>
        <v>2.7272727272727271</v>
      </c>
      <c r="G112" s="103">
        <f>SUMPRODUCT((B112=Setup!$A$105:$A$196)*(Setup!$I$105:$I$196))</f>
        <v>50</v>
      </c>
      <c r="H112" s="492"/>
      <c r="I112" s="492"/>
      <c r="J112" s="492"/>
      <c r="K112" s="492"/>
      <c r="L112" s="492"/>
      <c r="M112" s="492"/>
      <c r="N112" s="492"/>
      <c r="O112" s="492"/>
      <c r="P112" s="492"/>
      <c r="Q112" s="492"/>
      <c r="R112" s="492"/>
      <c r="S112" s="492"/>
      <c r="T112" s="492"/>
      <c r="U112" s="383"/>
    </row>
    <row r="113" spans="1:21" s="4" customFormat="1" ht="10.5" customHeight="1">
      <c r="A113" s="10" t="str">
        <f>IF(ISNA(VLOOKUP(B113,Setup!$A$74:$A$197,1,FALSE)),"","X")</f>
        <v>X</v>
      </c>
      <c r="B113" s="161">
        <v>512445</v>
      </c>
      <c r="C113" s="196" t="s">
        <v>536</v>
      </c>
      <c r="D113" s="21">
        <f>SUMIF('2016'!$A:$A,Input!$B113,'2016'!O:O)</f>
        <v>75</v>
      </c>
      <c r="E113" s="21">
        <f>IF(+'2017'!O113="","",+'2017'!O113)</f>
        <v>0</v>
      </c>
      <c r="F113" s="22">
        <f>IF(+E113="","",IF($F$4="Per Unit",(IF($F$3="Monthly",+E113/Setup!$B$12/12,+E113/Setup!$B$12)),IF($F$3="Monthly",+E113/Setup!$B$13/12,+E113/Setup!$B$13)))</f>
        <v>0</v>
      </c>
      <c r="G113" s="103">
        <f>SUMPRODUCT((B113=Setup!$A$105:$A$196)*(Setup!$I$105:$I$196))</f>
        <v>0</v>
      </c>
      <c r="H113" s="492"/>
      <c r="I113" s="492"/>
      <c r="J113" s="492"/>
      <c r="K113" s="492"/>
      <c r="L113" s="492"/>
      <c r="M113" s="492"/>
      <c r="N113" s="492"/>
      <c r="O113" s="492"/>
      <c r="P113" s="492"/>
      <c r="Q113" s="492"/>
      <c r="R113" s="492"/>
      <c r="S113" s="492"/>
      <c r="T113" s="492"/>
      <c r="U113" s="383"/>
    </row>
    <row r="114" spans="1:21" s="4" customFormat="1" ht="10.5" customHeight="1">
      <c r="A114" s="10" t="str">
        <f>IF(ISNA(VLOOKUP(B114,Setup!$A$74:$A$197,1,FALSE)),"","X")</f>
        <v>X</v>
      </c>
      <c r="B114" s="161">
        <v>512450</v>
      </c>
      <c r="C114" s="196" t="s">
        <v>537</v>
      </c>
      <c r="D114" s="21">
        <f>SUMIF('2016'!$A:$A,Input!$B114,'2016'!O:O)</f>
        <v>4997</v>
      </c>
      <c r="E114" s="21">
        <f>IF(+'2017'!O114="","",+'2017'!O114)</f>
        <v>4800</v>
      </c>
      <c r="F114" s="22">
        <f>IF(+E114="","",IF($F$4="Per Unit",(IF($F$3="Monthly",+E114/Setup!$B$12/12,+E114/Setup!$B$12)),IF($F$3="Monthly",+E114/Setup!$B$13/12,+E114/Setup!$B$13)))</f>
        <v>21.818181818181817</v>
      </c>
      <c r="G114" s="103">
        <f>SUMPRODUCT((B114=Setup!$A$105:$A$196)*(Setup!$I$105:$I$196))</f>
        <v>400</v>
      </c>
      <c r="H114" s="492"/>
      <c r="I114" s="492"/>
      <c r="J114" s="492"/>
      <c r="K114" s="492"/>
      <c r="L114" s="492"/>
      <c r="M114" s="492"/>
      <c r="N114" s="492"/>
      <c r="O114" s="492"/>
      <c r="P114" s="492"/>
      <c r="Q114" s="492"/>
      <c r="R114" s="492"/>
      <c r="S114" s="492"/>
      <c r="T114" s="492"/>
      <c r="U114" s="383"/>
    </row>
    <row r="115" spans="1:21" s="4" customFormat="1" ht="10.5" customHeight="1">
      <c r="A115" s="10" t="str">
        <f>IF(ISNA(VLOOKUP(B115,Setup!$A$74:$A$197,1,FALSE)),"","X")</f>
        <v/>
      </c>
      <c r="B115" s="161">
        <v>512455</v>
      </c>
      <c r="C115" s="161" t="s">
        <v>281</v>
      </c>
      <c r="D115" s="21">
        <f>SUMIF('2016'!$A:$A,Input!$B115,'2016'!O:O)</f>
        <v>4924</v>
      </c>
      <c r="E115" s="21">
        <f>IF(+'2017'!O115="","",+'2017'!O115)</f>
        <v>0</v>
      </c>
      <c r="F115" s="22">
        <f>IF(+E115="","",IF($F$4="Per Unit",(IF($F$3="Monthly",+E115/Setup!$B$12/12,+E115/Setup!$B$12)),IF($F$3="Monthly",+E115/Setup!$B$13/12,+E115/Setup!$B$13)))</f>
        <v>0</v>
      </c>
      <c r="G115" s="33"/>
      <c r="H115" s="492"/>
      <c r="I115" s="492"/>
      <c r="J115" s="492"/>
      <c r="K115" s="492"/>
      <c r="L115" s="492"/>
      <c r="M115" s="492"/>
      <c r="N115" s="492"/>
      <c r="O115" s="492"/>
      <c r="P115" s="492"/>
      <c r="Q115" s="492"/>
      <c r="R115" s="492"/>
      <c r="S115" s="492"/>
      <c r="T115" s="492"/>
      <c r="U115" s="383"/>
    </row>
    <row r="116" spans="1:21" s="4" customFormat="1" ht="10.5" customHeight="1">
      <c r="A116" s="10" t="str">
        <f>IF(ISNA(VLOOKUP(B116,Setup!$A$74:$A$197,1,FALSE)),"","X")</f>
        <v/>
      </c>
      <c r="B116" s="161"/>
      <c r="C116" s="163"/>
      <c r="D116" s="21"/>
      <c r="E116" s="21" t="str">
        <f>IF(+'2017'!O116="","",+'2017'!O116)</f>
        <v/>
      </c>
      <c r="F116" s="22" t="str">
        <f>IF(+E116="","",IF($F$4="Per Unit",(IF($F$3="Monthly",+E116/Setup!$B$12/12,+E116/Setup!$B$12)),IF($F$3="Monthly",+E116/Setup!$B$13/12,+E116/Setup!$B$13)))</f>
        <v/>
      </c>
      <c r="G116" s="102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</row>
    <row r="117" spans="1:21" s="4" customFormat="1" ht="10.5" customHeight="1">
      <c r="A117" s="10" t="str">
        <f>IF(ISNA(VLOOKUP(B117,Setup!$A$74:$A$197,1,FALSE)),"","X")</f>
        <v/>
      </c>
      <c r="B117" s="161"/>
      <c r="C117" s="159" t="s">
        <v>258</v>
      </c>
      <c r="D117" s="21">
        <f>SUM(D89:D115)</f>
        <v>38880</v>
      </c>
      <c r="E117" s="21">
        <f>IF(+'2017'!O117="","",+'2017'!O117)</f>
        <v>19505.8</v>
      </c>
      <c r="F117" s="22">
        <f>IF(+E117="","",IF($F$4="Per Unit",(IF($F$3="Monthly",+E117/Setup!$B$12/12,+E117/Setup!$B$12)),IF($F$3="Monthly",+E117/Setup!$B$13/12,+E117/Setup!$B$13)))</f>
        <v>88.662727272727267</v>
      </c>
      <c r="G117" s="102"/>
      <c r="H117" s="377">
        <f>+'2017'!C117</f>
        <v>1625.4833333333333</v>
      </c>
      <c r="I117" s="377">
        <f>+'2017'!D117</f>
        <v>1625.4833333333333</v>
      </c>
      <c r="J117" s="377">
        <f>+'2017'!E117</f>
        <v>1625.4833333333333</v>
      </c>
      <c r="K117" s="377">
        <f>+'2017'!F117</f>
        <v>1625.4833333333333</v>
      </c>
      <c r="L117" s="377">
        <f>+'2017'!G117</f>
        <v>1625.4833333333333</v>
      </c>
      <c r="M117" s="377">
        <f>+'2017'!H117</f>
        <v>1625.4833333333333</v>
      </c>
      <c r="N117" s="377">
        <f>+'2017'!I117</f>
        <v>1625.4833333333333</v>
      </c>
      <c r="O117" s="377">
        <f>+'2017'!J117</f>
        <v>1625.4833333333333</v>
      </c>
      <c r="P117" s="377">
        <f>+'2017'!K117</f>
        <v>1625.4833333333333</v>
      </c>
      <c r="Q117" s="377">
        <f>+'2017'!L117</f>
        <v>1625.4833333333333</v>
      </c>
      <c r="R117" s="377">
        <f>+'2017'!M117</f>
        <v>1625.4833333333333</v>
      </c>
      <c r="S117" s="377">
        <f>+'2017'!N117</f>
        <v>1625.4833333333333</v>
      </c>
    </row>
    <row r="118" spans="1:21" s="4" customFormat="1" ht="10.5" customHeight="1">
      <c r="A118" s="10" t="str">
        <f>IF(ISNA(VLOOKUP(B118,Setup!$A$74:$A$197,1,FALSE)),"","X")</f>
        <v/>
      </c>
      <c r="B118" s="161"/>
      <c r="C118" s="161" t="s">
        <v>282</v>
      </c>
      <c r="D118" s="21"/>
      <c r="E118" s="21" t="str">
        <f>IF(+'2017'!O118="","",+'2017'!O118)</f>
        <v/>
      </c>
      <c r="F118" s="22" t="str">
        <f>IF(+E118="","",IF($F$4="Per Unit",(IF($F$3="Monthly",+E118/Setup!$B$12/12,+E118/Setup!$B$12)),IF($F$3="Monthly",+E118/Setup!$B$13/12,+E118/Setup!$B$13)))</f>
        <v/>
      </c>
      <c r="G118" s="102"/>
      <c r="H118" s="377"/>
      <c r="I118" s="377"/>
      <c r="J118" s="377"/>
      <c r="K118" s="377"/>
      <c r="L118" s="377"/>
      <c r="M118" s="377"/>
      <c r="N118" s="377"/>
      <c r="O118" s="377"/>
      <c r="P118" s="377"/>
      <c r="Q118" s="377"/>
      <c r="R118" s="377"/>
      <c r="S118" s="377"/>
    </row>
    <row r="119" spans="1:21" s="10" customFormat="1" ht="10.5" customHeight="1">
      <c r="A119" s="10" t="str">
        <f>IF(ISNA(VLOOKUP(B119,Setup!$A$74:$A$197,1,FALSE)),"","X")</f>
        <v/>
      </c>
      <c r="B119" s="161">
        <v>512505</v>
      </c>
      <c r="C119" s="161" t="s">
        <v>283</v>
      </c>
      <c r="D119" s="21">
        <f>SUMIF('2016'!$A:$A,Input!$B119,'2016'!O:O)</f>
        <v>0</v>
      </c>
      <c r="E119" s="21">
        <f>IF(+'2017'!O119="","",+'2017'!O119)</f>
        <v>0</v>
      </c>
      <c r="F119" s="22">
        <f>IF(+E119="","",IF($F$4="Per Unit",(IF($F$3="Monthly",+E119/Setup!$B$12/12,+E119/Setup!$B$12)),IF($F$3="Monthly",+E119/Setup!$B$13/12,+E119/Setup!$B$13)))</f>
        <v>0</v>
      </c>
      <c r="G119" s="33">
        <f t="shared" ref="G119:G124" si="12">+D119/12</f>
        <v>0</v>
      </c>
      <c r="H119" s="492"/>
      <c r="I119" s="492"/>
      <c r="J119" s="492"/>
      <c r="K119" s="492"/>
      <c r="L119" s="492"/>
      <c r="M119" s="492"/>
      <c r="N119" s="492"/>
      <c r="O119" s="492"/>
      <c r="P119" s="492"/>
      <c r="Q119" s="492"/>
      <c r="R119" s="492"/>
      <c r="S119" s="492"/>
      <c r="T119" s="492"/>
      <c r="U119" s="383"/>
    </row>
    <row r="120" spans="1:21" s="17" customFormat="1" ht="10.5" customHeight="1">
      <c r="A120" s="10" t="str">
        <f>IF(ISNA(VLOOKUP(B120,Setup!$A$74:$A$197,1,FALSE)),"","X")</f>
        <v/>
      </c>
      <c r="B120" s="161">
        <v>512510</v>
      </c>
      <c r="C120" s="161" t="s">
        <v>284</v>
      </c>
      <c r="D120" s="21">
        <f>SUMIF('2016'!$A:$A,Input!$B120,'2016'!O:O)</f>
        <v>0</v>
      </c>
      <c r="E120" s="21">
        <f>IF(+'2017'!O120="","",+'2017'!O120)</f>
        <v>0</v>
      </c>
      <c r="F120" s="22">
        <f>IF(+E120="","",IF($F$4="Per Unit",(IF($F$3="Monthly",+E120/Setup!$B$12/12,+E120/Setup!$B$12)),IF($F$3="Monthly",+E120/Setup!$B$13/12,+E120/Setup!$B$13)))</f>
        <v>0</v>
      </c>
      <c r="G120" s="33">
        <f t="shared" si="12"/>
        <v>0</v>
      </c>
      <c r="H120" s="492"/>
      <c r="I120" s="492"/>
      <c r="J120" s="492"/>
      <c r="K120" s="492"/>
      <c r="L120" s="492"/>
      <c r="M120" s="492"/>
      <c r="N120" s="492"/>
      <c r="O120" s="492"/>
      <c r="P120" s="492"/>
      <c r="Q120" s="492"/>
      <c r="R120" s="492"/>
      <c r="S120" s="492"/>
      <c r="T120" s="492"/>
      <c r="U120" s="383"/>
    </row>
    <row r="121" spans="1:21" s="17" customFormat="1" ht="10.5" customHeight="1">
      <c r="A121" s="10" t="str">
        <f>IF(ISNA(VLOOKUP(B121,Setup!$A$74:$A$197,1,FALSE)),"","X")</f>
        <v/>
      </c>
      <c r="B121" s="161">
        <v>512515</v>
      </c>
      <c r="C121" s="161" t="s">
        <v>285</v>
      </c>
      <c r="D121" s="21">
        <f>SUMIF('2016'!$A:$A,Input!$B121,'2016'!O:O)</f>
        <v>0</v>
      </c>
      <c r="E121" s="21">
        <f>IF(+'2017'!O121="","",+'2017'!O121)</f>
        <v>0</v>
      </c>
      <c r="F121" s="22">
        <f>IF(+E121="","",IF($F$4="Per Unit",(IF($F$3="Monthly",+E121/Setup!$B$12/12,+E121/Setup!$B$12)),IF($F$3="Monthly",+E121/Setup!$B$13/12,+E121/Setup!$B$13)))</f>
        <v>0</v>
      </c>
      <c r="G121" s="33">
        <f t="shared" si="12"/>
        <v>0</v>
      </c>
      <c r="H121" s="492"/>
      <c r="I121" s="492"/>
      <c r="J121" s="492"/>
      <c r="K121" s="492"/>
      <c r="L121" s="492"/>
      <c r="M121" s="492"/>
      <c r="N121" s="492"/>
      <c r="O121" s="492"/>
      <c r="P121" s="492"/>
      <c r="Q121" s="492"/>
      <c r="R121" s="492"/>
      <c r="S121" s="492"/>
      <c r="T121" s="492"/>
      <c r="U121" s="383"/>
    </row>
    <row r="122" spans="1:21" s="4" customFormat="1" ht="10.5" customHeight="1">
      <c r="A122" s="10" t="str">
        <f>IF(ISNA(VLOOKUP(B122,Setup!$A$74:$A$197,1,FALSE)),"","X")</f>
        <v/>
      </c>
      <c r="B122" s="161">
        <v>512520</v>
      </c>
      <c r="C122" s="161" t="s">
        <v>286</v>
      </c>
      <c r="D122" s="21">
        <f>SUMIF('2016'!$A:$A,Input!$B122,'2016'!O:O)</f>
        <v>0</v>
      </c>
      <c r="E122" s="21">
        <f>IF(+'2017'!O122="","",+'2017'!O122)</f>
        <v>0</v>
      </c>
      <c r="F122" s="22">
        <f>IF(+E122="","",IF($F$4="Per Unit",(IF($F$3="Monthly",+E122/Setup!$B$12/12,+E122/Setup!$B$12)),IF($F$3="Monthly",+E122/Setup!$B$13/12,+E122/Setup!$B$13)))</f>
        <v>0</v>
      </c>
      <c r="G122" s="33">
        <f t="shared" si="12"/>
        <v>0</v>
      </c>
      <c r="H122" s="492"/>
      <c r="I122" s="492"/>
      <c r="J122" s="492"/>
      <c r="K122" s="492"/>
      <c r="L122" s="492"/>
      <c r="M122" s="492"/>
      <c r="N122" s="492"/>
      <c r="O122" s="492"/>
      <c r="P122" s="492"/>
      <c r="Q122" s="492"/>
      <c r="R122" s="492"/>
      <c r="S122" s="492"/>
      <c r="T122" s="492"/>
      <c r="U122" s="383"/>
    </row>
    <row r="123" spans="1:21" s="4" customFormat="1" ht="10.5" customHeight="1">
      <c r="A123" s="10" t="str">
        <f>IF(ISNA(VLOOKUP(B123,Setup!$A$74:$A$197,1,FALSE)),"","X")</f>
        <v/>
      </c>
      <c r="B123" s="161">
        <v>512525</v>
      </c>
      <c r="C123" s="161" t="s">
        <v>287</v>
      </c>
      <c r="D123" s="21">
        <f>SUMIF('2016'!$A:$A,Input!$B123,'2016'!O:O)</f>
        <v>1339</v>
      </c>
      <c r="E123" s="21">
        <f>IF(+'2017'!O123="","",+'2017'!O123)</f>
        <v>1339</v>
      </c>
      <c r="F123" s="22">
        <f>IF(+E123="","",IF($F$4="Per Unit",(IF($F$3="Monthly",+E123/Setup!$B$12/12,+E123/Setup!$B$12)),IF($F$3="Monthly",+E123/Setup!$B$13/12,+E123/Setup!$B$13)))</f>
        <v>6.086363636363636</v>
      </c>
      <c r="G123" s="33">
        <f t="shared" si="12"/>
        <v>111.58333333333333</v>
      </c>
      <c r="H123" s="492"/>
      <c r="I123" s="492"/>
      <c r="J123" s="492"/>
      <c r="K123" s="492"/>
      <c r="L123" s="492"/>
      <c r="M123" s="492"/>
      <c r="N123" s="492"/>
      <c r="O123" s="492"/>
      <c r="P123" s="492"/>
      <c r="Q123" s="492"/>
      <c r="R123" s="492"/>
      <c r="S123" s="492"/>
      <c r="T123" s="492"/>
      <c r="U123" s="383"/>
    </row>
    <row r="124" spans="1:21" s="4" customFormat="1" ht="10.5" customHeight="1">
      <c r="A124" s="10" t="str">
        <f>IF(ISNA(VLOOKUP(B124,Setup!$A$74:$A$197,1,FALSE)),"","X")</f>
        <v/>
      </c>
      <c r="B124" s="161">
        <v>512530</v>
      </c>
      <c r="C124" s="161" t="s">
        <v>288</v>
      </c>
      <c r="D124" s="21">
        <f>SUMIF('2016'!$A:$A,Input!$B124,'2016'!O:O)</f>
        <v>0</v>
      </c>
      <c r="E124" s="21">
        <f>IF(+'2017'!O124="","",+'2017'!O124)</f>
        <v>0</v>
      </c>
      <c r="F124" s="22">
        <f>IF(+E124="","",IF($F$4="Per Unit",(IF($F$3="Monthly",+E124/Setup!$B$12/12,+E124/Setup!$B$12)),IF($F$3="Monthly",+E124/Setup!$B$13/12,+E124/Setup!$B$13)))</f>
        <v>0</v>
      </c>
      <c r="G124" s="33">
        <f t="shared" si="12"/>
        <v>0</v>
      </c>
      <c r="H124" s="492"/>
      <c r="I124" s="492"/>
      <c r="J124" s="492"/>
      <c r="K124" s="492"/>
      <c r="L124" s="492"/>
      <c r="M124" s="492"/>
      <c r="N124" s="492"/>
      <c r="O124" s="492"/>
      <c r="P124" s="492"/>
      <c r="Q124" s="492"/>
      <c r="R124" s="492"/>
      <c r="S124" s="492"/>
      <c r="T124" s="492"/>
      <c r="U124" s="383"/>
    </row>
    <row r="125" spans="1:21" s="4" customFormat="1" ht="10.5" customHeight="1">
      <c r="A125" s="10" t="str">
        <f>IF(ISNA(VLOOKUP(B125,Setup!$A$74:$A$197,1,FALSE)),"","X")</f>
        <v/>
      </c>
      <c r="B125" s="161"/>
      <c r="C125" s="163"/>
      <c r="D125" s="21"/>
      <c r="E125" s="21" t="str">
        <f>IF(+'2017'!O125="","",+'2017'!O125)</f>
        <v/>
      </c>
      <c r="F125" s="22" t="str">
        <f>IF(+E125="","",IF($F$4="Per Unit",(IF($F$3="Monthly",+E125/Setup!$B$12/12,+E125/Setup!$B$12)),IF($F$3="Monthly",+E125/Setup!$B$13/12,+E125/Setup!$B$13)))</f>
        <v/>
      </c>
      <c r="G125" s="102"/>
      <c r="H125" s="377"/>
      <c r="I125" s="377"/>
      <c r="J125" s="377"/>
      <c r="K125" s="377"/>
      <c r="L125" s="377"/>
      <c r="M125" s="377"/>
      <c r="N125" s="377"/>
      <c r="O125" s="377"/>
      <c r="P125" s="377"/>
      <c r="Q125" s="377"/>
      <c r="R125" s="377"/>
      <c r="S125" s="377"/>
    </row>
    <row r="126" spans="1:21" s="4" customFormat="1" ht="10.5" customHeight="1">
      <c r="A126" s="10" t="str">
        <f>IF(ISNA(VLOOKUP(B126,Setup!$A$74:$A$197,1,FALSE)),"","X")</f>
        <v/>
      </c>
      <c r="B126" s="161"/>
      <c r="C126" s="159" t="s">
        <v>282</v>
      </c>
      <c r="D126" s="21">
        <f>SUM(D119:D124)</f>
        <v>1339</v>
      </c>
      <c r="E126" s="21">
        <f>IF(+'2017'!O126="","",+'2017'!O126)</f>
        <v>1339</v>
      </c>
      <c r="F126" s="22">
        <f>IF(+E126="","",IF($F$4="Per Unit",(IF($F$3="Monthly",+E126/Setup!$B$12/12,+E126/Setup!$B$12)),IF($F$3="Monthly",+E126/Setup!$B$13/12,+E126/Setup!$B$13)))</f>
        <v>6.086363636363636</v>
      </c>
      <c r="G126" s="102"/>
      <c r="H126" s="377">
        <f>+'2017'!C126</f>
        <v>111.58333333333333</v>
      </c>
      <c r="I126" s="377">
        <f>+'2017'!D126</f>
        <v>111.58333333333333</v>
      </c>
      <c r="J126" s="377">
        <f>+'2017'!E126</f>
        <v>111.58333333333333</v>
      </c>
      <c r="K126" s="377">
        <f>+'2017'!F126</f>
        <v>111.58333333333333</v>
      </c>
      <c r="L126" s="377">
        <f>+'2017'!G126</f>
        <v>111.58333333333333</v>
      </c>
      <c r="M126" s="377">
        <f>+'2017'!H126</f>
        <v>111.58333333333333</v>
      </c>
      <c r="N126" s="377">
        <f>+'2017'!I126</f>
        <v>111.58333333333333</v>
      </c>
      <c r="O126" s="377">
        <f>+'2017'!J126</f>
        <v>111.58333333333333</v>
      </c>
      <c r="P126" s="377">
        <f>+'2017'!K126</f>
        <v>111.58333333333333</v>
      </c>
      <c r="Q126" s="377">
        <f>+'2017'!L126</f>
        <v>111.58333333333333</v>
      </c>
      <c r="R126" s="377">
        <f>+'2017'!M126</f>
        <v>111.58333333333333</v>
      </c>
      <c r="S126" s="377">
        <f>+'2017'!N126</f>
        <v>111.58333333333333</v>
      </c>
    </row>
    <row r="127" spans="1:21" s="4" customFormat="1" ht="10.5" customHeight="1">
      <c r="A127" s="10" t="str">
        <f>IF(ISNA(VLOOKUP(B127,Setup!$A$74:$A$197,1,FALSE)),"","X")</f>
        <v/>
      </c>
      <c r="B127" s="161"/>
      <c r="C127" s="161" t="s">
        <v>289</v>
      </c>
      <c r="D127" s="21"/>
      <c r="E127" s="21" t="str">
        <f>IF(+'2017'!O127="","",+'2017'!O127)</f>
        <v/>
      </c>
      <c r="F127" s="22" t="str">
        <f>IF(+E127="","",IF($F$4="Per Unit",(IF($F$3="Monthly",+E127/Setup!$B$12/12,+E127/Setup!$B$12)),IF($F$3="Monthly",+E127/Setup!$B$13/12,+E127/Setup!$B$13)))</f>
        <v/>
      </c>
      <c r="G127" s="102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</row>
    <row r="128" spans="1:21" s="10" customFormat="1" ht="10.5" customHeight="1">
      <c r="A128" s="10" t="str">
        <f>IF(ISNA(VLOOKUP(B128,Setup!$A$74:$A$197,1,FALSE)),"","X")</f>
        <v/>
      </c>
      <c r="B128" s="161">
        <v>512605</v>
      </c>
      <c r="C128" s="161" t="s">
        <v>290</v>
      </c>
      <c r="D128" s="21">
        <f>SUMIF('2016'!$A:$A,Input!$B128,'2016'!O:O)</f>
        <v>0</v>
      </c>
      <c r="E128" s="21">
        <f>IF(+'2017'!O128="","",+'2017'!O128)</f>
        <v>0</v>
      </c>
      <c r="F128" s="22">
        <f>IF(+E128="","",IF($F$4="Per Unit",(IF($F$3="Monthly",+E128/Setup!$B$12/12,+E128/Setup!$B$12)),IF($F$3="Monthly",+E128/Setup!$B$13/12,+E128/Setup!$B$13)))</f>
        <v>0</v>
      </c>
      <c r="G128" s="33"/>
      <c r="H128" s="492"/>
      <c r="I128" s="492"/>
      <c r="J128" s="492"/>
      <c r="K128" s="492"/>
      <c r="L128" s="492"/>
      <c r="M128" s="492"/>
      <c r="N128" s="492"/>
      <c r="O128" s="492"/>
      <c r="P128" s="492"/>
      <c r="Q128" s="492"/>
      <c r="R128" s="492"/>
      <c r="S128" s="492"/>
      <c r="T128" s="492"/>
      <c r="U128" s="383"/>
    </row>
    <row r="129" spans="1:21" s="17" customFormat="1" ht="10.5" customHeight="1">
      <c r="A129" s="10" t="str">
        <f>IF(ISNA(VLOOKUP(B129,Setup!$A$74:$A$197,1,FALSE)),"","X")</f>
        <v/>
      </c>
      <c r="B129" s="161">
        <v>512615</v>
      </c>
      <c r="C129" s="196" t="s">
        <v>291</v>
      </c>
      <c r="D129" s="21">
        <f>SUMIF('2016'!$A:$A,Input!$B129,'2016'!O:O)</f>
        <v>4196</v>
      </c>
      <c r="E129" s="21">
        <f>IF(+'2017'!O129="","",+'2017'!O129)</f>
        <v>0</v>
      </c>
      <c r="F129" s="22">
        <f>IF(+E129="","",IF($F$4="Per Unit",(IF($F$3="Monthly",+E129/Setup!$B$12/12,+E129/Setup!$B$12)),IF($F$3="Monthly",+E129/Setup!$B$13/12,+E129/Setup!$B$13)))</f>
        <v>0</v>
      </c>
      <c r="G129" s="33"/>
      <c r="H129" s="492"/>
      <c r="I129" s="492"/>
      <c r="J129" s="492"/>
      <c r="K129" s="492"/>
      <c r="L129" s="492"/>
      <c r="M129" s="492"/>
      <c r="N129" s="492"/>
      <c r="O129" s="492"/>
      <c r="P129" s="492"/>
      <c r="Q129" s="492"/>
      <c r="R129" s="492"/>
      <c r="S129" s="492"/>
      <c r="T129" s="492"/>
      <c r="U129" s="383"/>
    </row>
    <row r="130" spans="1:21" s="4" customFormat="1" ht="10.5" customHeight="1">
      <c r="A130" s="10" t="str">
        <f>IF(ISNA(VLOOKUP(B130,Setup!$A$74:$A$197,1,FALSE)),"","X")</f>
        <v/>
      </c>
      <c r="B130" s="161"/>
      <c r="C130" s="163"/>
      <c r="D130" s="21"/>
      <c r="E130" s="21" t="str">
        <f>IF(+'2017'!O130="","",+'2017'!O130)</f>
        <v/>
      </c>
      <c r="F130" s="22" t="str">
        <f>IF(+E130="","",IF($F$4="Per Unit",(IF($F$3="Monthly",+E130/Setup!$B$12/12,+E130/Setup!$B$12)),IF($F$3="Monthly",+E130/Setup!$B$13/12,+E130/Setup!$B$13)))</f>
        <v/>
      </c>
      <c r="G130" s="102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</row>
    <row r="131" spans="1:21" s="4" customFormat="1" ht="10.5" customHeight="1">
      <c r="A131" s="10" t="str">
        <f>IF(ISNA(VLOOKUP(B131,Setup!$A$74:$A$197,1,FALSE)),"","X")</f>
        <v/>
      </c>
      <c r="B131" s="161"/>
      <c r="C131" s="159" t="s">
        <v>289</v>
      </c>
      <c r="D131" s="21">
        <f>SUM(D128:D129)</f>
        <v>4196</v>
      </c>
      <c r="E131" s="21">
        <f>IF(+'2017'!O131="","",+'2017'!O131)</f>
        <v>0</v>
      </c>
      <c r="F131" s="22">
        <f>IF(+E131="","",IF($F$4="Per Unit",(IF($F$3="Monthly",+E131/Setup!$B$12/12,+E131/Setup!$B$12)),IF($F$3="Monthly",+E131/Setup!$B$13/12,+E131/Setup!$B$13)))</f>
        <v>0</v>
      </c>
      <c r="G131" s="102"/>
      <c r="H131" s="377">
        <f>+'2017'!C131</f>
        <v>0</v>
      </c>
      <c r="I131" s="377">
        <f>+'2017'!D131</f>
        <v>0</v>
      </c>
      <c r="J131" s="377">
        <f>+'2017'!E131</f>
        <v>0</v>
      </c>
      <c r="K131" s="377">
        <f>+'2017'!F131</f>
        <v>0</v>
      </c>
      <c r="L131" s="377">
        <f>+'2017'!G131</f>
        <v>0</v>
      </c>
      <c r="M131" s="377">
        <f>+'2017'!H131</f>
        <v>0</v>
      </c>
      <c r="N131" s="377">
        <f>+'2017'!I131</f>
        <v>0</v>
      </c>
      <c r="O131" s="377">
        <f>+'2017'!J131</f>
        <v>0</v>
      </c>
      <c r="P131" s="377">
        <f>+'2017'!K131</f>
        <v>0</v>
      </c>
      <c r="Q131" s="377">
        <f>+'2017'!L131</f>
        <v>0</v>
      </c>
      <c r="R131" s="377">
        <f>+'2017'!M131</f>
        <v>0</v>
      </c>
      <c r="S131" s="377">
        <f>+'2017'!N131</f>
        <v>0</v>
      </c>
    </row>
    <row r="132" spans="1:21" s="4" customFormat="1" ht="10.5" customHeight="1">
      <c r="A132" s="10" t="str">
        <f>IF(ISNA(VLOOKUP(B132,Setup!$A$74:$A$197,1,FALSE)),"","X")</f>
        <v/>
      </c>
      <c r="B132" s="161"/>
      <c r="C132" s="163"/>
      <c r="D132" s="21"/>
      <c r="E132" s="21" t="str">
        <f>IF(+'2017'!O132="","",+'2017'!O132)</f>
        <v/>
      </c>
      <c r="F132" s="22" t="str">
        <f>IF(+E132="","",IF($F$4="Per Unit",(IF($F$3="Monthly",+E132/Setup!$B$12/12,+E132/Setup!$B$12)),IF($F$3="Monthly",+E132/Setup!$B$13/12,+E132/Setup!$B$13)))</f>
        <v/>
      </c>
      <c r="G132" s="102"/>
      <c r="H132" s="377"/>
      <c r="I132" s="377"/>
      <c r="J132" s="377"/>
      <c r="K132" s="377"/>
      <c r="L132" s="377"/>
      <c r="M132" s="377"/>
      <c r="N132" s="377"/>
      <c r="O132" s="377"/>
      <c r="P132" s="377"/>
      <c r="Q132" s="377"/>
      <c r="R132" s="377"/>
      <c r="S132" s="377"/>
    </row>
    <row r="133" spans="1:21" s="10" customFormat="1" ht="10.5" customHeight="1">
      <c r="A133" s="10" t="str">
        <f>IF(ISNA(VLOOKUP(B133,Setup!$A$74:$A$197,1,FALSE)),"","X")</f>
        <v/>
      </c>
      <c r="B133" s="161"/>
      <c r="C133" s="159" t="s">
        <v>245</v>
      </c>
      <c r="D133" s="21">
        <f>+D131+D117+D87+D78+D126</f>
        <v>78438</v>
      </c>
      <c r="E133" s="21">
        <f>IF(+'2017'!O133="","",+'2017'!O133)</f>
        <v>48518.75999999998</v>
      </c>
      <c r="F133" s="22">
        <f>IF(+E133="","",IF($F$4="Per Unit",(IF($F$3="Monthly",+E133/Setup!$B$12/12,+E133/Setup!$B$12)),IF($F$3="Monthly",+E133/Setup!$B$13/12,+E133/Setup!$B$13)))</f>
        <v>220.53981818181811</v>
      </c>
      <c r="G133" s="102"/>
      <c r="H133" s="377">
        <f>+'2017'!C133</f>
        <v>4043.2299999999996</v>
      </c>
      <c r="I133" s="377">
        <f>+'2017'!D133</f>
        <v>4043.2299999999996</v>
      </c>
      <c r="J133" s="377">
        <f>+'2017'!E133</f>
        <v>4043.2299999999996</v>
      </c>
      <c r="K133" s="377">
        <f>+'2017'!F133</f>
        <v>4043.2299999999996</v>
      </c>
      <c r="L133" s="377">
        <f>+'2017'!G133</f>
        <v>4043.2299999999996</v>
      </c>
      <c r="M133" s="377">
        <f>+'2017'!H133</f>
        <v>4043.2299999999996</v>
      </c>
      <c r="N133" s="377">
        <f>+'2017'!I133</f>
        <v>4043.2299999999996</v>
      </c>
      <c r="O133" s="377">
        <f>+'2017'!J133</f>
        <v>4043.2299999999996</v>
      </c>
      <c r="P133" s="377">
        <f>+'2017'!K133</f>
        <v>4043.2299999999996</v>
      </c>
      <c r="Q133" s="377">
        <f>+'2017'!L133</f>
        <v>4043.2299999999996</v>
      </c>
      <c r="R133" s="377">
        <f>+'2017'!M133</f>
        <v>4043.2299999999996</v>
      </c>
      <c r="S133" s="377">
        <f>+'2017'!N133</f>
        <v>4043.2299999999996</v>
      </c>
      <c r="T133" s="4"/>
      <c r="U133" s="4"/>
    </row>
    <row r="134" spans="1:21" s="17" customFormat="1" ht="10.5" customHeight="1">
      <c r="A134" s="10" t="str">
        <f>IF(ISNA(VLOOKUP(B134,Setup!$A$74:$A$197,1,FALSE)),"","X")</f>
        <v/>
      </c>
      <c r="B134" s="161"/>
      <c r="C134" s="161" t="s">
        <v>292</v>
      </c>
      <c r="D134" s="21"/>
      <c r="E134" s="21" t="str">
        <f>IF(+'2017'!O134="","",+'2017'!O134)</f>
        <v/>
      </c>
      <c r="F134" s="22" t="str">
        <f>IF(+E134="","",IF($F$4="Per Unit",(IF($F$3="Monthly",+E134/Setup!$B$12/12,+E134/Setup!$B$12)),IF($F$3="Monthly",+E134/Setup!$B$13/12,+E134/Setup!$B$13)))</f>
        <v/>
      </c>
      <c r="G134" s="102"/>
      <c r="H134" s="377"/>
      <c r="I134" s="377"/>
      <c r="J134" s="377"/>
      <c r="K134" s="377"/>
      <c r="L134" s="377"/>
      <c r="M134" s="377"/>
      <c r="N134" s="377"/>
      <c r="O134" s="377"/>
      <c r="P134" s="377"/>
      <c r="Q134" s="377"/>
      <c r="R134" s="377"/>
      <c r="S134" s="377"/>
      <c r="T134" s="4"/>
      <c r="U134" s="4"/>
    </row>
    <row r="135" spans="1:21" s="18" customFormat="1" ht="10.5" customHeight="1">
      <c r="A135" s="10" t="str">
        <f>IF(ISNA(VLOOKUP(B135,Setup!$A$74:$A$197,1,FALSE)),"","X")</f>
        <v/>
      </c>
      <c r="B135" s="161"/>
      <c r="C135" s="161" t="s">
        <v>293</v>
      </c>
      <c r="D135" s="21"/>
      <c r="E135" s="21" t="str">
        <f>IF(+'2017'!O135="","",+'2017'!O135)</f>
        <v/>
      </c>
      <c r="F135" s="22" t="str">
        <f>IF(+E135="","",IF($F$4="Per Unit",(IF($F$3="Monthly",+E135/Setup!$B$12/12,+E135/Setup!$B$12)),IF($F$3="Monthly",+E135/Setup!$B$13/12,+E135/Setup!$B$13)))</f>
        <v/>
      </c>
      <c r="G135" s="102"/>
      <c r="H135" s="377"/>
      <c r="I135" s="377"/>
      <c r="J135" s="377"/>
      <c r="K135" s="377"/>
      <c r="L135" s="377"/>
      <c r="M135" s="377"/>
      <c r="N135" s="377"/>
      <c r="O135" s="377"/>
      <c r="P135" s="377"/>
      <c r="Q135" s="377"/>
      <c r="R135" s="377"/>
      <c r="S135" s="377"/>
      <c r="T135" s="4"/>
      <c r="U135" s="4"/>
    </row>
    <row r="136" spans="1:21" s="17" customFormat="1" ht="10.5" customHeight="1">
      <c r="A136" s="10" t="str">
        <f>IF(ISNA(VLOOKUP(B136,Setup!$A$74:$A$197,1,FALSE)),"","X")</f>
        <v>X</v>
      </c>
      <c r="B136" s="161">
        <v>513110</v>
      </c>
      <c r="C136" s="161" t="s">
        <v>294</v>
      </c>
      <c r="D136" s="21">
        <f>SUMIF('2016'!$A:$A,Input!$B136,'2016'!O:O)</f>
        <v>61034</v>
      </c>
      <c r="E136" s="21">
        <f>IF(+'2017'!O136="","",+'2017'!O136)</f>
        <v>53280</v>
      </c>
      <c r="F136" s="22">
        <f>IF(+E136="","",IF($F$4="Per Unit",(IF($F$3="Monthly",+E136/Setup!$B$12/12,+E136/Setup!$B$12)),IF($F$3="Monthly",+E136/Setup!$B$13/12,+E136/Setup!$B$13)))</f>
        <v>242.18181818181819</v>
      </c>
      <c r="G136" s="103">
        <f>SUMPRODUCT((B136=Setup!$A$74:$A$98)*(Setup!$G$74:$G$98))</f>
        <v>4440</v>
      </c>
      <c r="H136" s="492"/>
      <c r="I136" s="492"/>
      <c r="J136" s="492"/>
      <c r="K136" s="492"/>
      <c r="L136" s="492"/>
      <c r="M136" s="492"/>
      <c r="N136" s="492"/>
      <c r="O136" s="492"/>
      <c r="P136" s="492"/>
      <c r="Q136" s="492"/>
      <c r="R136" s="492"/>
      <c r="S136" s="492"/>
      <c r="T136" s="492"/>
      <c r="U136" s="383"/>
    </row>
    <row r="137" spans="1:21" s="17" customFormat="1" ht="10.5" customHeight="1">
      <c r="A137" s="10" t="str">
        <f>IF(ISNA(VLOOKUP(B137,Setup!$A$74:$A$197,1,FALSE)),"","X")</f>
        <v/>
      </c>
      <c r="B137" s="161">
        <v>513111</v>
      </c>
      <c r="C137" s="161" t="s">
        <v>295</v>
      </c>
      <c r="D137" s="21">
        <f>SUMIF('2016'!$A:$A,Input!$B137,'2016'!O:O)</f>
        <v>0</v>
      </c>
      <c r="E137" s="21">
        <f>IF(+'2017'!O137="","",+'2017'!O137)</f>
        <v>0</v>
      </c>
      <c r="F137" s="22">
        <f>IF(+E137="","",IF($F$4="Per Unit",(IF($F$3="Monthly",+E137/Setup!$B$12/12,+E137/Setup!$B$12)),IF($F$3="Monthly",+E137/Setup!$B$13/12,+E137/Setup!$B$13)))</f>
        <v>0</v>
      </c>
      <c r="G137" s="103">
        <f>SUMPRODUCT((B137=Setup!$A$74:$A$98)*(Setup!$G$74:$G$98))</f>
        <v>0</v>
      </c>
      <c r="H137" s="492"/>
      <c r="I137" s="492"/>
      <c r="J137" s="492"/>
      <c r="K137" s="492"/>
      <c r="L137" s="492"/>
      <c r="M137" s="492"/>
      <c r="N137" s="492"/>
      <c r="O137" s="492"/>
      <c r="P137" s="492"/>
      <c r="Q137" s="492"/>
      <c r="R137" s="492"/>
      <c r="S137" s="492"/>
      <c r="T137" s="492"/>
      <c r="U137" s="383"/>
    </row>
    <row r="138" spans="1:21" s="4" customFormat="1" ht="10.5" customHeight="1">
      <c r="A138" s="10" t="str">
        <f>IF(ISNA(VLOOKUP(B138,Setup!$A$74:$A$197,1,FALSE)),"","X")</f>
        <v>X</v>
      </c>
      <c r="B138" s="161">
        <v>513112</v>
      </c>
      <c r="C138" s="161" t="s">
        <v>296</v>
      </c>
      <c r="D138" s="21">
        <f>SUMIF('2016'!$A:$A,Input!$B138,'2016'!O:O)</f>
        <v>26042</v>
      </c>
      <c r="E138" s="21">
        <f>IF(+'2017'!O138="","",+'2017'!O138)</f>
        <v>31920</v>
      </c>
      <c r="F138" s="22">
        <f>IF(+E138="","",IF($F$4="Per Unit",(IF($F$3="Monthly",+E138/Setup!$B$12/12,+E138/Setup!$B$12)),IF($F$3="Monthly",+E138/Setup!$B$13/12,+E138/Setup!$B$13)))</f>
        <v>145.09090909090909</v>
      </c>
      <c r="G138" s="103">
        <f>SUMPRODUCT((B138=Setup!$A$74:$A$98)*(Setup!$G$74:$G$98))</f>
        <v>2660</v>
      </c>
      <c r="H138" s="492"/>
      <c r="I138" s="492"/>
      <c r="J138" s="492"/>
      <c r="K138" s="492"/>
      <c r="L138" s="492"/>
      <c r="M138" s="492"/>
      <c r="N138" s="492"/>
      <c r="O138" s="492"/>
      <c r="P138" s="492"/>
      <c r="Q138" s="492"/>
      <c r="R138" s="492"/>
      <c r="S138" s="492"/>
      <c r="T138" s="492"/>
      <c r="U138" s="383"/>
    </row>
    <row r="139" spans="1:21" s="4" customFormat="1" ht="10.5" customHeight="1">
      <c r="A139" s="10" t="str">
        <f>IF(ISNA(VLOOKUP(B139,Setup!$A$74:$A$197,1,FALSE)),"","X")</f>
        <v/>
      </c>
      <c r="B139" s="161">
        <v>513115</v>
      </c>
      <c r="C139" s="161" t="s">
        <v>297</v>
      </c>
      <c r="D139" s="21">
        <f>SUMIF('2016'!$A:$A,Input!$B139,'2016'!O:O)</f>
        <v>6</v>
      </c>
      <c r="E139" s="21">
        <f>IF(+'2017'!O139="","",+'2017'!O139)</f>
        <v>0</v>
      </c>
      <c r="F139" s="22">
        <f>IF(+E139="","",IF($F$4="Per Unit",(IF($F$3="Monthly",+E139/Setup!$B$12/12,+E139/Setup!$B$12)),IF($F$3="Monthly",+E139/Setup!$B$13/12,+E139/Setup!$B$13)))</f>
        <v>0</v>
      </c>
      <c r="G139" s="33"/>
      <c r="H139" s="492"/>
      <c r="I139" s="492"/>
      <c r="J139" s="492"/>
      <c r="K139" s="492"/>
      <c r="L139" s="492"/>
      <c r="M139" s="492"/>
      <c r="N139" s="492"/>
      <c r="O139" s="492"/>
      <c r="P139" s="492"/>
      <c r="Q139" s="492"/>
      <c r="R139" s="492"/>
      <c r="S139" s="492"/>
      <c r="T139" s="492"/>
      <c r="U139" s="383"/>
    </row>
    <row r="140" spans="1:21" s="4" customFormat="1" ht="10.5" customHeight="1">
      <c r="A140" s="10">
        <v>900</v>
      </c>
      <c r="B140" s="161">
        <v>513120</v>
      </c>
      <c r="C140" s="161" t="s">
        <v>298</v>
      </c>
      <c r="D140" s="21">
        <f>SUMIF('2016'!$A:$A,Input!$B140,'2016'!O:O)</f>
        <v>12943</v>
      </c>
      <c r="E140" s="21">
        <f>IF(+'2017'!O140="","",+'2017'!O140)</f>
        <v>6000</v>
      </c>
      <c r="F140" s="22">
        <f>IF(+E140="","",IF($F$4="Per Unit",(IF($F$3="Monthly",+E140/Setup!$B$12/12,+E140/Setup!$B$12)),IF($F$3="Monthly",+E140/Setup!$B$13/12,+E140/Setup!$B$13)))</f>
        <v>27.272727272727273</v>
      </c>
      <c r="G140" s="241">
        <f>+Setup!E96</f>
        <v>500</v>
      </c>
      <c r="H140" s="492"/>
      <c r="I140" s="492"/>
      <c r="J140" s="492"/>
      <c r="K140" s="492"/>
      <c r="L140" s="492"/>
      <c r="M140" s="492"/>
      <c r="N140" s="492"/>
      <c r="O140" s="492"/>
      <c r="P140" s="492"/>
      <c r="Q140" s="492"/>
      <c r="R140" s="492"/>
      <c r="S140" s="492"/>
      <c r="T140" s="492"/>
      <c r="U140" s="383"/>
    </row>
    <row r="141" spans="1:21" s="4" customFormat="1" ht="10.5" customHeight="1">
      <c r="A141" s="10" t="str">
        <f>IF(ISNA(VLOOKUP(B141,Setup!$A$74:$A$197,1,FALSE)),"","X")</f>
        <v/>
      </c>
      <c r="B141" s="161">
        <v>513126</v>
      </c>
      <c r="C141" s="161" t="s">
        <v>299</v>
      </c>
      <c r="D141" s="21">
        <f>SUMIF('2016'!$A:$A,Input!$B141,'2016'!O:O)</f>
        <v>0</v>
      </c>
      <c r="E141" s="21">
        <f>IF(+'2017'!O141="","",+'2017'!O141)</f>
        <v>0</v>
      </c>
      <c r="F141" s="22">
        <f>IF(+E141="","",IF($F$4="Per Unit",(IF($F$3="Monthly",+E141/Setup!$B$12/12,+E141/Setup!$B$12)),IF($F$3="Monthly",+E141/Setup!$B$13/12,+E141/Setup!$B$13)))</f>
        <v>0</v>
      </c>
      <c r="G141" s="103">
        <f>SUMPRODUCT((B141=Setup!$A$74:$A$98)*(Setup!$G$74:$G$98))</f>
        <v>0</v>
      </c>
      <c r="H141" s="492"/>
      <c r="I141" s="492"/>
      <c r="J141" s="492"/>
      <c r="K141" s="492"/>
      <c r="L141" s="492"/>
      <c r="M141" s="492"/>
      <c r="N141" s="492"/>
      <c r="O141" s="492"/>
      <c r="P141" s="492"/>
      <c r="Q141" s="492"/>
      <c r="R141" s="492"/>
      <c r="S141" s="492"/>
      <c r="T141" s="492"/>
      <c r="U141" s="383"/>
    </row>
    <row r="142" spans="1:21" s="4" customFormat="1" ht="10.5" customHeight="1">
      <c r="A142" s="10" t="str">
        <f>IF(ISNA(VLOOKUP(B142,Setup!$A$74:$A$197,1,FALSE)),"","X")</f>
        <v/>
      </c>
      <c r="B142" s="161">
        <v>513130</v>
      </c>
      <c r="C142" s="161" t="s">
        <v>300</v>
      </c>
      <c r="D142" s="21">
        <f>SUMIF('2016'!$A:$A,Input!$B142,'2016'!O:O)</f>
        <v>0</v>
      </c>
      <c r="E142" s="21">
        <f>IF(+'2017'!O142="","",+'2017'!O142)</f>
        <v>0</v>
      </c>
      <c r="F142" s="22">
        <f>IF(+E142="","",IF($F$4="Per Unit",(IF($F$3="Monthly",+E142/Setup!$B$12/12,+E142/Setup!$B$12)),IF($F$3="Monthly",+E142/Setup!$B$13/12,+E142/Setup!$B$13)))</f>
        <v>0</v>
      </c>
      <c r="G142" s="103">
        <f>SUMPRODUCT((B142=Setup!$A$74:$A$98)*(Setup!$G$74:$G$98))</f>
        <v>0</v>
      </c>
      <c r="H142" s="492"/>
      <c r="I142" s="492"/>
      <c r="J142" s="492"/>
      <c r="K142" s="492"/>
      <c r="L142" s="492"/>
      <c r="M142" s="492"/>
      <c r="N142" s="492"/>
      <c r="O142" s="492"/>
      <c r="P142" s="492"/>
      <c r="Q142" s="492"/>
      <c r="R142" s="492"/>
      <c r="S142" s="492"/>
      <c r="T142" s="492"/>
      <c r="U142" s="383"/>
    </row>
    <row r="143" spans="1:21" s="4" customFormat="1" ht="10.5" customHeight="1">
      <c r="A143" s="10" t="str">
        <f>IF(ISNA(VLOOKUP(B143,Setup!$A$74:$A$197,1,FALSE)),"","X")</f>
        <v>X</v>
      </c>
      <c r="B143" s="161">
        <v>513135</v>
      </c>
      <c r="C143" s="161" t="s">
        <v>301</v>
      </c>
      <c r="D143" s="21">
        <f>SUMIF('2016'!$A:$A,Input!$B143,'2016'!O:O)</f>
        <v>38217</v>
      </c>
      <c r="E143" s="21">
        <f>IF(+'2017'!O143="","",+'2017'!O143)</f>
        <v>42600</v>
      </c>
      <c r="F143" s="22">
        <f>IF(+E143="","",IF($F$4="Per Unit",(IF($F$3="Monthly",+E143/Setup!$B$12/12,+E143/Setup!$B$12)),IF($F$3="Monthly",+E143/Setup!$B$13/12,+E143/Setup!$B$13)))</f>
        <v>193.63636363636363</v>
      </c>
      <c r="G143" s="103">
        <f>SUMPRODUCT((B143=Setup!$A$74:$A$98)*(Setup!$G$74:$G$98))</f>
        <v>3550</v>
      </c>
      <c r="H143" s="492"/>
      <c r="I143" s="492"/>
      <c r="J143" s="492"/>
      <c r="K143" s="492"/>
      <c r="L143" s="492"/>
      <c r="M143" s="492"/>
      <c r="N143" s="492"/>
      <c r="O143" s="492"/>
      <c r="P143" s="492"/>
      <c r="Q143" s="492"/>
      <c r="R143" s="492"/>
      <c r="S143" s="492"/>
      <c r="T143" s="492"/>
      <c r="U143" s="383"/>
    </row>
    <row r="144" spans="1:21" s="4" customFormat="1" ht="10.5" customHeight="1">
      <c r="A144" s="10" t="str">
        <f>IF(ISNA(VLOOKUP(B144,Setup!$A$74:$A$197,1,FALSE)),"","X")</f>
        <v/>
      </c>
      <c r="B144" s="161">
        <v>513136</v>
      </c>
      <c r="C144" s="161" t="s">
        <v>302</v>
      </c>
      <c r="D144" s="21">
        <f>SUMIF('2016'!$A:$A,Input!$B144,'2016'!O:O)</f>
        <v>0</v>
      </c>
      <c r="E144" s="21">
        <f>IF(+'2017'!O144="","",+'2017'!O144)</f>
        <v>0</v>
      </c>
      <c r="F144" s="22">
        <f>IF(+E144="","",IF($F$4="Per Unit",(IF($F$3="Monthly",+E144/Setup!$B$12/12,+E144/Setup!$B$12)),IF($F$3="Monthly",+E144/Setup!$B$13/12,+E144/Setup!$B$13)))</f>
        <v>0</v>
      </c>
      <c r="G144" s="103">
        <f>SUMPRODUCT((B144=Setup!$A$74:$A$98)*(Setup!$G$74:$G$98))</f>
        <v>0</v>
      </c>
      <c r="H144" s="492"/>
      <c r="I144" s="492"/>
      <c r="J144" s="492"/>
      <c r="K144" s="492"/>
      <c r="L144" s="492"/>
      <c r="M144" s="492"/>
      <c r="N144" s="492"/>
      <c r="O144" s="492"/>
      <c r="P144" s="492"/>
      <c r="Q144" s="492"/>
      <c r="R144" s="492"/>
      <c r="S144" s="492"/>
      <c r="T144" s="492"/>
      <c r="U144" s="383"/>
    </row>
    <row r="145" spans="1:21" s="4" customFormat="1" ht="10.5" customHeight="1">
      <c r="A145" s="10" t="str">
        <f>IF(ISNA(VLOOKUP(B145,Setup!$A$74:$A$197,1,FALSE)),"","X")</f>
        <v>X</v>
      </c>
      <c r="B145" s="161">
        <v>513137</v>
      </c>
      <c r="C145" s="161" t="s">
        <v>303</v>
      </c>
      <c r="D145" s="21">
        <f>SUMIF('2016'!$A:$A,Input!$B145,'2016'!O:O)</f>
        <v>51068</v>
      </c>
      <c r="E145" s="21">
        <f>IF(+'2017'!O145="","",+'2017'!O145)</f>
        <v>38400</v>
      </c>
      <c r="F145" s="22">
        <f>IF(+E145="","",IF($F$4="Per Unit",(IF($F$3="Monthly",+E145/Setup!$B$12/12,+E145/Setup!$B$12)),IF($F$3="Monthly",+E145/Setup!$B$13/12,+E145/Setup!$B$13)))</f>
        <v>174.54545454545453</v>
      </c>
      <c r="G145" s="103">
        <f>SUMPRODUCT((B145=Setup!$A$74:$A$98)*(Setup!$G$74:$G$98))</f>
        <v>3200</v>
      </c>
      <c r="H145" s="492"/>
      <c r="I145" s="492"/>
      <c r="J145" s="492"/>
      <c r="K145" s="492"/>
      <c r="L145" s="492"/>
      <c r="M145" s="492"/>
      <c r="N145" s="492"/>
      <c r="O145" s="492"/>
      <c r="P145" s="492"/>
      <c r="Q145" s="492"/>
      <c r="R145" s="492"/>
      <c r="S145" s="492"/>
      <c r="T145" s="492"/>
      <c r="U145" s="383"/>
    </row>
    <row r="146" spans="1:21" s="4" customFormat="1" ht="10.5" customHeight="1">
      <c r="A146" s="10" t="str">
        <f>IF(ISNA(VLOOKUP(B146,Setup!$A$74:$A$197,1,FALSE)),"","X")</f>
        <v>X</v>
      </c>
      <c r="B146" s="161">
        <v>513138</v>
      </c>
      <c r="C146" s="4" t="s">
        <v>1284</v>
      </c>
      <c r="D146" s="21">
        <f>SUMIF('2016'!$A:$A,Input!$B146,'2016'!O:O)</f>
        <v>30393</v>
      </c>
      <c r="E146" s="21">
        <f>IF(+'2017'!O146="","",+'2017'!O146)</f>
        <v>59640</v>
      </c>
      <c r="F146" s="22">
        <f>IF(+E146="","",IF($F$4="Per Unit",(IF($F$3="Monthly",+E146/Setup!$B$12/12,+E146/Setup!$B$12)),IF($F$3="Monthly",+E146/Setup!$B$13/12,+E146/Setup!$B$13)))</f>
        <v>271.09090909090907</v>
      </c>
      <c r="G146" s="103">
        <f>SUMPRODUCT((B146=Setup!$A$74:$A$98)*(Setup!$G$74:$G$98))</f>
        <v>4970</v>
      </c>
      <c r="H146" s="492"/>
      <c r="I146" s="492"/>
      <c r="J146" s="492"/>
      <c r="K146" s="492"/>
      <c r="L146" s="492"/>
      <c r="M146" s="492"/>
      <c r="N146" s="492"/>
      <c r="O146" s="492"/>
      <c r="P146" s="492"/>
      <c r="Q146" s="492"/>
      <c r="R146" s="492"/>
      <c r="S146" s="492"/>
      <c r="T146" s="492"/>
      <c r="U146" s="383"/>
    </row>
    <row r="147" spans="1:21" s="4" customFormat="1" ht="10.5" customHeight="1">
      <c r="A147" s="10" t="str">
        <f>IF(ISNA(VLOOKUP(B147,Setup!$A$74:$A$197,1,FALSE)),"","X")</f>
        <v/>
      </c>
      <c r="B147" s="161">
        <v>513140</v>
      </c>
      <c r="C147" s="161" t="s">
        <v>305</v>
      </c>
      <c r="D147" s="21">
        <f>SUMIF('2016'!$A:$A,Input!$B147,'2016'!O:O)</f>
        <v>679</v>
      </c>
      <c r="E147" s="21">
        <f>IF(+'2017'!O147="","",+'2017'!O147)</f>
        <v>0</v>
      </c>
      <c r="F147" s="22">
        <f>IF(+E147="","",IF($F$4="Per Unit",(IF($F$3="Monthly",+E147/Setup!$B$12/12,+E147/Setup!$B$12)),IF($F$3="Monthly",+E147/Setup!$B$13/12,+E147/Setup!$B$13)))</f>
        <v>0</v>
      </c>
      <c r="G147" s="33"/>
      <c r="H147" s="492"/>
      <c r="I147" s="492"/>
      <c r="J147" s="492"/>
      <c r="K147" s="492"/>
      <c r="L147" s="492"/>
      <c r="M147" s="492"/>
      <c r="N147" s="492"/>
      <c r="O147" s="492"/>
      <c r="P147" s="492"/>
      <c r="Q147" s="492"/>
      <c r="R147" s="492"/>
      <c r="S147" s="492"/>
      <c r="T147" s="492"/>
      <c r="U147" s="383"/>
    </row>
    <row r="148" spans="1:21" s="4" customFormat="1" ht="10.5" customHeight="1">
      <c r="A148" s="10" t="str">
        <f>IF(ISNA(VLOOKUP(B148,Setup!$A$74:$A$197,1,FALSE)),"","X")</f>
        <v/>
      </c>
      <c r="B148" s="161">
        <v>513145</v>
      </c>
      <c r="C148" s="161" t="s">
        <v>306</v>
      </c>
      <c r="D148" s="21">
        <f>SUMIF('2016'!$A:$A,Input!$B148,'2016'!O:O)</f>
        <v>6679</v>
      </c>
      <c r="E148" s="21">
        <f>IF(+'2017'!O148="","",+'2017'!O148)</f>
        <v>0</v>
      </c>
      <c r="F148" s="22">
        <f>IF(+E148="","",IF($F$4="Per Unit",(IF($F$3="Monthly",+E148/Setup!$B$12/12,+E148/Setup!$B$12)),IF($F$3="Monthly",+E148/Setup!$B$13/12,+E148/Setup!$B$13)))</f>
        <v>0</v>
      </c>
      <c r="G148" s="103">
        <f>SUMPRODUCT((B148=Setup!$A$74:$A$98)*(Setup!$G$74:$G$98))</f>
        <v>0</v>
      </c>
      <c r="H148" s="492"/>
      <c r="I148" s="492"/>
      <c r="J148" s="492"/>
      <c r="K148" s="492"/>
      <c r="L148" s="492"/>
      <c r="M148" s="492"/>
      <c r="N148" s="492"/>
      <c r="O148" s="492"/>
      <c r="P148" s="492"/>
      <c r="Q148" s="492"/>
      <c r="R148" s="492"/>
      <c r="S148" s="492"/>
      <c r="T148" s="492"/>
      <c r="U148" s="383"/>
    </row>
    <row r="149" spans="1:21" s="4" customFormat="1" ht="10.5" customHeight="1">
      <c r="A149" s="10"/>
      <c r="B149" s="161">
        <v>513155</v>
      </c>
      <c r="C149" s="4" t="s">
        <v>657</v>
      </c>
      <c r="D149" s="21">
        <f>SUMIF('2016'!$A:$A,Input!$B149,'2016'!O:O)</f>
        <v>0</v>
      </c>
      <c r="E149" s="21" t="str">
        <f>IF(+'2017'!O150="","",+'2017'!O150)</f>
        <v/>
      </c>
      <c r="F149" s="22" t="str">
        <f>IF(+E149="","",IF($F$4="Per Unit",(IF($F$3="Monthly",+E149/Setup!$B$12/12,+E149/Setup!$B$12)),IF($F$3="Monthly",+E149/Setup!$B$13/12,+E149/Setup!$B$13)))</f>
        <v/>
      </c>
      <c r="G149" s="103">
        <f>+Setup!E98</f>
        <v>0</v>
      </c>
      <c r="H149" s="492"/>
      <c r="I149" s="492"/>
      <c r="J149" s="492"/>
      <c r="K149" s="492"/>
      <c r="L149" s="492"/>
      <c r="M149" s="492"/>
      <c r="N149" s="492"/>
      <c r="O149" s="492"/>
      <c r="P149" s="492"/>
      <c r="Q149" s="492"/>
      <c r="R149" s="492"/>
      <c r="S149" s="492"/>
      <c r="T149" s="492"/>
      <c r="U149" s="383"/>
    </row>
    <row r="150" spans="1:21" s="4" customFormat="1" ht="10.5" customHeight="1">
      <c r="A150" s="10" t="str">
        <f>IF(ISNA(VLOOKUP(B150,Setup!$A$74:$A$197,1,FALSE)),"","X")</f>
        <v/>
      </c>
      <c r="B150" s="161"/>
      <c r="C150" s="163"/>
      <c r="D150" s="21"/>
      <c r="E150" s="21" t="str">
        <f>IF(+'2017'!O150="","",+'2017'!O150)</f>
        <v/>
      </c>
      <c r="F150" s="22" t="str">
        <f>IF(+E150="","",IF($F$4="Per Unit",(IF($F$3="Monthly",+E150/Setup!$B$12/12,+E150/Setup!$B$12)),IF($F$3="Monthly",+E150/Setup!$B$13/12,+E150/Setup!$B$13)))</f>
        <v/>
      </c>
      <c r="G150" s="102"/>
      <c r="H150" s="377"/>
      <c r="I150" s="377"/>
      <c r="J150" s="377"/>
      <c r="K150" s="377"/>
      <c r="L150" s="377"/>
      <c r="M150" s="377"/>
      <c r="N150" s="377"/>
      <c r="O150" s="377"/>
      <c r="P150" s="377"/>
      <c r="Q150" s="377"/>
      <c r="R150" s="377"/>
      <c r="S150" s="377"/>
    </row>
    <row r="151" spans="1:21" s="4" customFormat="1" ht="10.5" customHeight="1">
      <c r="A151" s="10" t="str">
        <f>IF(ISNA(VLOOKUP(B151,Setup!$A$74:$A$197,1,FALSE)),"","X")</f>
        <v/>
      </c>
      <c r="B151" s="161"/>
      <c r="C151" s="159" t="s">
        <v>293</v>
      </c>
      <c r="D151" s="21">
        <f>SUM(D136:D148)</f>
        <v>227061</v>
      </c>
      <c r="E151" s="21">
        <f>IF(+'2017'!O151="","",+'2017'!O151)</f>
        <v>231840</v>
      </c>
      <c r="F151" s="22">
        <f>IF(+E151="","",IF($F$4="Per Unit",(IF($F$3="Monthly",+E151/Setup!$B$12/12,+E151/Setup!$B$12)),IF($F$3="Monthly",+E151/Setup!$B$13/12,+E151/Setup!$B$13)))</f>
        <v>1053.8181818181818</v>
      </c>
      <c r="G151" s="102"/>
      <c r="H151" s="377">
        <f>+'2017'!C151</f>
        <v>19320</v>
      </c>
      <c r="I151" s="377">
        <f>+'2017'!D151</f>
        <v>19320</v>
      </c>
      <c r="J151" s="377">
        <f>+'2017'!E151</f>
        <v>19320</v>
      </c>
      <c r="K151" s="377">
        <f>+'2017'!F151</f>
        <v>19320</v>
      </c>
      <c r="L151" s="377">
        <f>+'2017'!G151</f>
        <v>19320</v>
      </c>
      <c r="M151" s="377">
        <f>+'2017'!H151</f>
        <v>19320</v>
      </c>
      <c r="N151" s="377">
        <f>+'2017'!I151</f>
        <v>19320</v>
      </c>
      <c r="O151" s="377">
        <f>+'2017'!J151</f>
        <v>19320</v>
      </c>
      <c r="P151" s="377">
        <f>+'2017'!K151</f>
        <v>19320</v>
      </c>
      <c r="Q151" s="377">
        <f>+'2017'!L151</f>
        <v>19320</v>
      </c>
      <c r="R151" s="377">
        <f>+'2017'!M151</f>
        <v>19320</v>
      </c>
      <c r="S151" s="377">
        <f>+'2017'!N151</f>
        <v>19320</v>
      </c>
    </row>
    <row r="152" spans="1:21" s="4" customFormat="1" ht="10.5" customHeight="1">
      <c r="A152" s="10" t="str">
        <f>IF(ISNA(VLOOKUP(B152,Setup!$A$74:$A$197,1,FALSE)),"","X")</f>
        <v/>
      </c>
      <c r="B152" s="161"/>
      <c r="C152" s="161" t="s">
        <v>307</v>
      </c>
      <c r="D152" s="21"/>
      <c r="E152" s="21" t="str">
        <f>IF(+'2017'!O152="","",+'2017'!O152)</f>
        <v/>
      </c>
      <c r="F152" s="22" t="str">
        <f>IF(+E152="","",IF($F$4="Per Unit",(IF($F$3="Monthly",+E152/Setup!$B$12/12,+E152/Setup!$B$12)),IF($F$3="Monthly",+E152/Setup!$B$13/12,+E152/Setup!$B$13)))</f>
        <v/>
      </c>
      <c r="G152" s="102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377"/>
      <c r="S152" s="377"/>
    </row>
    <row r="153" spans="1:21" s="10" customFormat="1" ht="10.5" customHeight="1">
      <c r="A153" s="10" t="str">
        <f>IF(ISNA(VLOOKUP(B153,Setup!$A$74:$A$197,1,FALSE)),"","X")</f>
        <v/>
      </c>
      <c r="B153" s="161">
        <v>513205</v>
      </c>
      <c r="C153" s="161" t="s">
        <v>308</v>
      </c>
      <c r="D153" s="21">
        <f>SUMIF('2016'!$A:$A,Input!$B153,'2016'!O:O)</f>
        <v>0</v>
      </c>
      <c r="E153" s="21">
        <f>IF(+'2017'!O153="","",+'2017'!O153)</f>
        <v>0</v>
      </c>
      <c r="F153" s="22">
        <f>IF(+E153="","",IF($F$4="Per Unit",(IF($F$3="Monthly",+E153/Setup!$B$12/12,+E153/Setup!$B$12)),IF($F$3="Monthly",+E153/Setup!$B$13/12,+E153/Setup!$B$13)))</f>
        <v>0</v>
      </c>
      <c r="G153" s="33"/>
      <c r="H153" s="492"/>
      <c r="I153" s="492"/>
      <c r="J153" s="492"/>
      <c r="K153" s="492"/>
      <c r="L153" s="492"/>
      <c r="M153" s="492"/>
      <c r="N153" s="492"/>
      <c r="O153" s="492"/>
      <c r="P153" s="492"/>
      <c r="Q153" s="492"/>
      <c r="R153" s="492"/>
      <c r="S153" s="492"/>
      <c r="T153" s="492"/>
      <c r="U153" s="383"/>
    </row>
    <row r="154" spans="1:21" s="17" customFormat="1" ht="10.5" customHeight="1">
      <c r="A154" s="10" t="str">
        <f>IF(ISNA(VLOOKUP(B154,Setup!$A$74:$A$197,1,FALSE)),"","X")</f>
        <v/>
      </c>
      <c r="B154" s="161">
        <v>513210</v>
      </c>
      <c r="C154" s="161" t="s">
        <v>309</v>
      </c>
      <c r="D154" s="21">
        <f>SUMIF('2016'!$A:$A,Input!$B154,'2016'!O:O)</f>
        <v>105</v>
      </c>
      <c r="E154" s="21">
        <f>IF(+'2017'!O154="","",+'2017'!O154)</f>
        <v>0</v>
      </c>
      <c r="F154" s="22">
        <f>IF(+E154="","",IF($F$4="Per Unit",(IF($F$3="Monthly",+E154/Setup!$B$12/12,+E154/Setup!$B$12)),IF($F$3="Monthly",+E154/Setup!$B$13/12,+E154/Setup!$B$13)))</f>
        <v>0</v>
      </c>
      <c r="G154" s="33"/>
      <c r="H154" s="492"/>
      <c r="I154" s="492"/>
      <c r="J154" s="492"/>
      <c r="K154" s="492"/>
      <c r="L154" s="492"/>
      <c r="M154" s="492"/>
      <c r="N154" s="492"/>
      <c r="O154" s="492"/>
      <c r="P154" s="492"/>
      <c r="Q154" s="492"/>
      <c r="R154" s="492"/>
      <c r="S154" s="492"/>
      <c r="T154" s="492"/>
      <c r="U154" s="383"/>
    </row>
    <row r="155" spans="1:21" s="17" customFormat="1" ht="10.5" customHeight="1">
      <c r="A155" s="10" t="str">
        <f>IF(ISNA(VLOOKUP(B155,Setup!$A$74:$A$197,1,FALSE)),"","X")</f>
        <v/>
      </c>
      <c r="B155" s="161">
        <v>513215</v>
      </c>
      <c r="C155" s="161" t="s">
        <v>310</v>
      </c>
      <c r="D155" s="21">
        <f>SUMIF('2016'!$A:$A,Input!$B155,'2016'!O:O)</f>
        <v>10408</v>
      </c>
      <c r="E155" s="21">
        <f>IF(+'2017'!O155="","",+'2017'!O155)</f>
        <v>12000</v>
      </c>
      <c r="F155" s="22">
        <f>IF(+E155="","",IF($F$4="Per Unit",(IF($F$3="Monthly",+E155/Setup!$B$12/12,+E155/Setup!$B$12)),IF($F$3="Monthly",+E155/Setup!$B$13/12,+E155/Setup!$B$13)))</f>
        <v>54.545454545454547</v>
      </c>
      <c r="G155" s="48">
        <f>+Setup!H100</f>
        <v>1000</v>
      </c>
      <c r="H155" s="492"/>
      <c r="I155" s="492"/>
      <c r="J155" s="492"/>
      <c r="K155" s="492"/>
      <c r="L155" s="492"/>
      <c r="M155" s="492"/>
      <c r="N155" s="492"/>
      <c r="O155" s="492"/>
      <c r="P155" s="492"/>
      <c r="Q155" s="492"/>
      <c r="R155" s="492"/>
      <c r="S155" s="492"/>
      <c r="T155" s="492"/>
      <c r="U155" s="383"/>
    </row>
    <row r="156" spans="1:21" s="4" customFormat="1" ht="10.5" customHeight="1">
      <c r="A156" s="10" t="str">
        <f>IF(ISNA(VLOOKUP(B156,Setup!$A$74:$A$197,1,FALSE)),"","X")</f>
        <v/>
      </c>
      <c r="B156" s="161">
        <v>513220</v>
      </c>
      <c r="C156" s="161" t="s">
        <v>311</v>
      </c>
      <c r="D156" s="21">
        <f>SUMIF('2016'!$A:$A,Input!$B156,'2016'!O:O)</f>
        <v>0</v>
      </c>
      <c r="E156" s="21">
        <f>IF(+'2017'!O156="","",+'2017'!O156)</f>
        <v>0</v>
      </c>
      <c r="F156" s="22">
        <f>IF(+E156="","",IF($F$4="Per Unit",(IF($F$3="Monthly",+E156/Setup!$B$12/12,+E156/Setup!$B$12)),IF($F$3="Monthly",+E156/Setup!$B$13/12,+E156/Setup!$B$13)))</f>
        <v>0</v>
      </c>
      <c r="G156" s="33"/>
      <c r="H156" s="492"/>
      <c r="I156" s="492"/>
      <c r="J156" s="492"/>
      <c r="K156" s="492"/>
      <c r="L156" s="492"/>
      <c r="M156" s="492"/>
      <c r="N156" s="492"/>
      <c r="O156" s="492"/>
      <c r="P156" s="492"/>
      <c r="Q156" s="492"/>
      <c r="R156" s="492"/>
      <c r="S156" s="492"/>
      <c r="T156" s="492"/>
      <c r="U156" s="383"/>
    </row>
    <row r="157" spans="1:21" s="4" customFormat="1" ht="10.5" customHeight="1">
      <c r="A157" s="10" t="str">
        <f>IF(ISNA(VLOOKUP(B157,Setup!$A$74:$A$197,1,FALSE)),"","X")</f>
        <v/>
      </c>
      <c r="B157" s="161">
        <v>513225</v>
      </c>
      <c r="C157" s="161" t="s">
        <v>312</v>
      </c>
      <c r="D157" s="21">
        <f>SUMIF('2016'!$A:$A,Input!$B157,'2016'!O:O)</f>
        <v>4601</v>
      </c>
      <c r="E157" s="21">
        <f>IF(+'2017'!O157="","",+'2017'!O157)</f>
        <v>4518</v>
      </c>
      <c r="F157" s="22">
        <f>IF(+E157="","",IF($F$4="Per Unit",(IF($F$3="Monthly",+E157/Setup!$B$12/12,+E157/Setup!$B$12)),IF($F$3="Monthly",+E157/Setup!$B$13/12,+E157/Setup!$B$13)))</f>
        <v>20.536363636363635</v>
      </c>
      <c r="G157" s="48">
        <f>+Setup!F99</f>
        <v>376.5</v>
      </c>
      <c r="H157" s="492"/>
      <c r="I157" s="492"/>
      <c r="J157" s="492"/>
      <c r="K157" s="492"/>
      <c r="L157" s="492"/>
      <c r="M157" s="492"/>
      <c r="N157" s="492"/>
      <c r="O157" s="492"/>
      <c r="P157" s="492"/>
      <c r="Q157" s="492"/>
      <c r="R157" s="492"/>
      <c r="S157" s="492"/>
      <c r="T157" s="492"/>
      <c r="U157" s="383"/>
    </row>
    <row r="158" spans="1:21" s="4" customFormat="1" ht="10.5" customHeight="1">
      <c r="A158" s="10" t="str">
        <f>IF(ISNA(VLOOKUP(B158,Setup!$A$74:$A$197,1,FALSE)),"","X")</f>
        <v/>
      </c>
      <c r="B158" s="161">
        <v>513230</v>
      </c>
      <c r="C158" s="161" t="s">
        <v>313</v>
      </c>
      <c r="D158" s="21">
        <f>SUMIF('2016'!$A:$A,Input!$B158,'2016'!O:O)</f>
        <v>17118</v>
      </c>
      <c r="E158" s="21">
        <f>IF(+'2017'!O158="","",+'2017'!O158)</f>
        <v>17736.678000000004</v>
      </c>
      <c r="F158" s="22">
        <f>IF(+E158="","",IF($F$4="Per Unit",(IF($F$3="Monthly",+E158/Setup!$B$12/12,+E158/Setup!$B$12)),IF($F$3="Monthly",+E158/Setup!$B$13/12,+E158/Setup!$B$13)))</f>
        <v>80.621263636363651</v>
      </c>
      <c r="G158" s="195">
        <v>7.6499999999999999E-2</v>
      </c>
      <c r="H158" s="377">
        <f>+$G158*H$151</f>
        <v>1477.98</v>
      </c>
      <c r="I158" s="377">
        <f t="shared" ref="I158:S158" si="13">+$G158*I$151</f>
        <v>1477.98</v>
      </c>
      <c r="J158" s="377">
        <f t="shared" si="13"/>
        <v>1477.98</v>
      </c>
      <c r="K158" s="377">
        <f t="shared" si="13"/>
        <v>1477.98</v>
      </c>
      <c r="L158" s="377">
        <f t="shared" si="13"/>
        <v>1477.98</v>
      </c>
      <c r="M158" s="377">
        <f t="shared" si="13"/>
        <v>1477.98</v>
      </c>
      <c r="N158" s="377">
        <f t="shared" si="13"/>
        <v>1477.98</v>
      </c>
      <c r="O158" s="377">
        <f t="shared" si="13"/>
        <v>1477.98</v>
      </c>
      <c r="P158" s="377">
        <f t="shared" si="13"/>
        <v>1477.98</v>
      </c>
      <c r="Q158" s="377">
        <f t="shared" si="13"/>
        <v>1477.98</v>
      </c>
      <c r="R158" s="377">
        <f t="shared" si="13"/>
        <v>1477.98</v>
      </c>
      <c r="S158" s="377">
        <f t="shared" si="13"/>
        <v>1477.98</v>
      </c>
      <c r="T158" s="4" t="s">
        <v>1318</v>
      </c>
    </row>
    <row r="159" spans="1:21" s="4" customFormat="1" ht="10.5" customHeight="1">
      <c r="A159" s="10" t="str">
        <f>IF(ISNA(VLOOKUP(B159,Setup!$A$74:$A$197,1,FALSE)),"","X")</f>
        <v/>
      </c>
      <c r="B159" s="161">
        <v>513231</v>
      </c>
      <c r="C159" s="161" t="s">
        <v>314</v>
      </c>
      <c r="D159" s="21">
        <f>SUMIF('2016'!$A:$A,Input!$B159,'2016'!O:O)</f>
        <v>391</v>
      </c>
      <c r="E159" s="21">
        <f>IF(+'2017'!O159="","",+'2017'!O159)</f>
        <v>1391.1119999999999</v>
      </c>
      <c r="F159" s="22">
        <f>IF(+E159="","",IF($F$4="Per Unit",(IF($F$3="Monthly",+E159/Setup!$B$12/12,+E159/Setup!$B$12)),IF($F$3="Monthly",+E159/Setup!$B$13/12,+E159/Setup!$B$13)))</f>
        <v>6.3232363636363633</v>
      </c>
      <c r="G159" s="195">
        <v>6.0000000000000001E-3</v>
      </c>
      <c r="H159" s="377">
        <f>+$G159*H$151</f>
        <v>115.92</v>
      </c>
      <c r="I159" s="377">
        <f>IF(SUM($H$51:H$51)&lt;7000,+$G159*I$151,0)</f>
        <v>115.92</v>
      </c>
      <c r="J159" s="377">
        <f>IF(SUM($H$51:I$51)&lt;7000,+$G159*J$151,0)</f>
        <v>115.92</v>
      </c>
      <c r="K159" s="377">
        <f>IF(SUM($H$51:J$51)&lt;7000,+$G159*K$151,0)</f>
        <v>115.92</v>
      </c>
      <c r="L159" s="377">
        <f>IF(SUM($H$51:K$51)&lt;7000,+$G159*L$151,0)</f>
        <v>115.92</v>
      </c>
      <c r="M159" s="377">
        <f>IF(SUM($H$51:L$51)&lt;7000,+$G159*M$151,0)</f>
        <v>115.92</v>
      </c>
      <c r="N159" s="377">
        <f>IF(SUM($H$51:M$51)&lt;7000,+$G159*N$151,0)</f>
        <v>115.92</v>
      </c>
      <c r="O159" s="377">
        <f>IF(SUM($H$51:N$51)&lt;7000,+$G159*O$151,0)</f>
        <v>115.92</v>
      </c>
      <c r="P159" s="377">
        <f>IF(SUM($H$51:O$51)&lt;7000,+$G159*P$151,0)</f>
        <v>115.92</v>
      </c>
      <c r="Q159" s="377">
        <f>IF(SUM($H$51:P$51)&lt;7000,+$G159*Q$151,0)</f>
        <v>115.92</v>
      </c>
      <c r="R159" s="377">
        <f>IF(SUM($H$51:Q$51)&lt;7000,+$G159*R$151,0)</f>
        <v>115.92</v>
      </c>
      <c r="S159" s="377">
        <f>IF(SUM($H$51:R$51)&lt;7000,+$G159*S$151,0)</f>
        <v>115.92</v>
      </c>
      <c r="T159" s="4" t="s">
        <v>1319</v>
      </c>
    </row>
    <row r="160" spans="1:21" s="4" customFormat="1" ht="10.5" customHeight="1">
      <c r="A160" s="10" t="str">
        <f>IF(ISNA(VLOOKUP(B160,Setup!$A$74:$A$197,1,FALSE)),"","X")</f>
        <v/>
      </c>
      <c r="B160" s="161">
        <v>513232</v>
      </c>
      <c r="C160" s="161" t="s">
        <v>315</v>
      </c>
      <c r="D160" s="21">
        <f>SUMIF('2016'!$A:$A,Input!$B160,'2016'!O:O)</f>
        <v>3497</v>
      </c>
      <c r="E160" s="21">
        <f>IF(+'2017'!O160="","",+'2017'!O160)</f>
        <v>4868.8920000000007</v>
      </c>
      <c r="F160" s="22">
        <f>IF(+E160="","",IF($F$4="Per Unit",(IF($F$3="Monthly",+E160/Setup!$B$12/12,+E160/Setup!$B$12)),IF($F$3="Monthly",+E160/Setup!$B$13/12,+E160/Setup!$B$13)))</f>
        <v>22.131327272727276</v>
      </c>
      <c r="G160" s="195">
        <v>2.1000000000000001E-2</v>
      </c>
      <c r="H160" s="377">
        <f>+$G160*H$151</f>
        <v>405.72</v>
      </c>
      <c r="I160" s="377">
        <f>IF(SUM($H$51:H$51)&lt;28200,+$G160*I$151,0)</f>
        <v>405.72</v>
      </c>
      <c r="J160" s="377">
        <f>IF(SUM($H$51:I$51)&lt;28200,+$G160*J$151,0)</f>
        <v>405.72</v>
      </c>
      <c r="K160" s="377">
        <f>IF(SUM($H$51:J$51)&lt;28200,+$G160*K$151,0)</f>
        <v>405.72</v>
      </c>
      <c r="L160" s="377">
        <f>IF(SUM($H$51:K$51)&lt;28200,+$G160*L$151,0)</f>
        <v>405.72</v>
      </c>
      <c r="M160" s="377">
        <f>IF(SUM($H$51:L$51)&lt;28200,+$G160*M$151,0)</f>
        <v>405.72</v>
      </c>
      <c r="N160" s="377">
        <f>IF(SUM($H$51:M$51)&lt;28200,+$G160*N$151,0)</f>
        <v>405.72</v>
      </c>
      <c r="O160" s="377">
        <f>IF(SUM($H$51:N$51)&lt;28200,+$G160*O$151,0)</f>
        <v>405.72</v>
      </c>
      <c r="P160" s="377">
        <f>IF(SUM($H$51:O$51)&lt;28200,+$G160*P$151,0)</f>
        <v>405.72</v>
      </c>
      <c r="Q160" s="377">
        <f>IF(SUM($H$51:P$51)&lt;28200,+$G160*Q$151,0)</f>
        <v>405.72</v>
      </c>
      <c r="R160" s="377">
        <f>IF(SUM($H$51:Q$51)&lt;28200,+$G160*R$151,0)</f>
        <v>405.72</v>
      </c>
      <c r="S160" s="377">
        <f>IF(SUM($H$51:R$51)&lt;28200,+$G160*S$151,0)</f>
        <v>405.72</v>
      </c>
      <c r="T160" s="4" t="s">
        <v>1317</v>
      </c>
    </row>
    <row r="161" spans="1:21" s="4" customFormat="1" ht="10.5" customHeight="1">
      <c r="A161" s="10" t="str">
        <f>IF(ISNA(VLOOKUP(B161,Setup!$A$74:$A$197,1,FALSE)),"","X")</f>
        <v/>
      </c>
      <c r="B161" s="161">
        <v>513235</v>
      </c>
      <c r="C161" s="161" t="s">
        <v>316</v>
      </c>
      <c r="D161" s="21">
        <f>SUMIF('2016'!$A:$A,Input!$B161,'2016'!O:O)</f>
        <v>3276</v>
      </c>
      <c r="E161" s="21">
        <f>IF(+'2017'!O161="","",+'2017'!O161)</f>
        <v>0</v>
      </c>
      <c r="F161" s="22">
        <f>IF(+E161="","",IF($F$4="Per Unit",(IF($F$3="Monthly",+E161/Setup!$B$12/12,+E161/Setup!$B$12)),IF($F$3="Monthly",+E161/Setup!$B$13/12,+E161/Setup!$B$13)))</f>
        <v>0</v>
      </c>
      <c r="G161" s="193"/>
      <c r="H161" s="492"/>
      <c r="I161" s="492"/>
      <c r="J161" s="492"/>
      <c r="K161" s="492"/>
      <c r="L161" s="492"/>
      <c r="M161" s="492"/>
      <c r="N161" s="492"/>
      <c r="O161" s="492"/>
      <c r="P161" s="492"/>
      <c r="Q161" s="492"/>
      <c r="R161" s="492"/>
      <c r="S161" s="492"/>
      <c r="T161" s="492"/>
      <c r="U161" s="383"/>
    </row>
    <row r="162" spans="1:21" s="4" customFormat="1" ht="10.5" customHeight="1">
      <c r="A162" s="10" t="str">
        <f>IF(ISNA(VLOOKUP(B162,Setup!$A$74:$A$197,1,FALSE)),"","X")</f>
        <v/>
      </c>
      <c r="B162" s="161">
        <v>513240</v>
      </c>
      <c r="C162" s="161" t="s">
        <v>317</v>
      </c>
      <c r="D162" s="21">
        <f>SUMIF('2016'!$A:$A,Input!$B162,'2016'!O:O)</f>
        <v>6170</v>
      </c>
      <c r="E162" s="21">
        <f>IF(+'2017'!O162="","",+'2017'!O162)</f>
        <v>7005.8399999999992</v>
      </c>
      <c r="F162" s="22">
        <f>IF(+E162="","",IF($F$4="Per Unit",(IF($F$3="Monthly",+E162/Setup!$B$12/12,+E162/Setup!$B$12)),IF($F$3="Monthly",+E162/Setup!$B$13/12,+E162/Setup!$B$13)))</f>
        <v>31.844727272727269</v>
      </c>
      <c r="G162" s="194">
        <f>+Setup!I101</f>
        <v>583.82000000000005</v>
      </c>
      <c r="H162" s="492"/>
      <c r="I162" s="492"/>
      <c r="J162" s="492"/>
      <c r="K162" s="492"/>
      <c r="L162" s="492"/>
      <c r="M162" s="492"/>
      <c r="N162" s="492"/>
      <c r="O162" s="492"/>
      <c r="P162" s="492"/>
      <c r="Q162" s="492"/>
      <c r="R162" s="492"/>
      <c r="S162" s="492"/>
      <c r="T162" s="492"/>
      <c r="U162" s="383"/>
    </row>
    <row r="163" spans="1:21" s="4" customFormat="1" ht="10.5" customHeight="1">
      <c r="A163" s="10" t="str">
        <f>IF(ISNA(VLOOKUP(B163,Setup!$A$74:$A$197,1,FALSE)),"","X")</f>
        <v/>
      </c>
      <c r="B163" s="161"/>
      <c r="C163" s="163"/>
      <c r="D163" s="21"/>
      <c r="E163" s="21" t="str">
        <f>IF(+'2017'!O163="","",+'2017'!O163)</f>
        <v/>
      </c>
      <c r="F163" s="22" t="str">
        <f>IF(+E163="","",IF($F$4="Per Unit",(IF($F$3="Monthly",+E163/Setup!$B$12/12,+E163/Setup!$B$12)),IF($F$3="Monthly",+E163/Setup!$B$13/12,+E163/Setup!$B$13)))</f>
        <v/>
      </c>
      <c r="G163" s="102"/>
      <c r="H163" s="377"/>
      <c r="I163" s="377"/>
      <c r="J163" s="377"/>
      <c r="K163" s="377"/>
      <c r="L163" s="377"/>
      <c r="M163" s="377"/>
      <c r="N163" s="377"/>
      <c r="O163" s="377"/>
      <c r="P163" s="377"/>
      <c r="Q163" s="377"/>
      <c r="R163" s="377"/>
      <c r="S163" s="377"/>
    </row>
    <row r="164" spans="1:21" s="4" customFormat="1" ht="10.5" customHeight="1">
      <c r="A164" s="10" t="str">
        <f>IF(ISNA(VLOOKUP(B164,Setup!$A$74:$A$197,1,FALSE)),"","X")</f>
        <v/>
      </c>
      <c r="B164" s="161"/>
      <c r="C164" s="159" t="s">
        <v>307</v>
      </c>
      <c r="D164" s="21">
        <f>SUM(D153:D162)</f>
        <v>45566</v>
      </c>
      <c r="E164" s="21">
        <f>IF(+'2017'!O164="","",+'2017'!O164)</f>
        <v>47520.521999999997</v>
      </c>
      <c r="F164" s="22">
        <f>IF(+E164="","",IF($F$4="Per Unit",(IF($F$3="Monthly",+E164/Setup!$B$12/12,+E164/Setup!$B$12)),IF($F$3="Monthly",+E164/Setup!$B$13/12,+E164/Setup!$B$13)))</f>
        <v>216.00237272727273</v>
      </c>
      <c r="G164" s="102"/>
      <c r="H164" s="377">
        <f>+'2017'!C164</f>
        <v>3960.0434999999998</v>
      </c>
      <c r="I164" s="377">
        <f>+'2017'!D164</f>
        <v>3960.0434999999998</v>
      </c>
      <c r="J164" s="377">
        <f>+'2017'!E164</f>
        <v>3960.0434999999998</v>
      </c>
      <c r="K164" s="377">
        <f>+'2017'!F164</f>
        <v>3960.0434999999998</v>
      </c>
      <c r="L164" s="377">
        <f>+'2017'!G164</f>
        <v>3960.0434999999998</v>
      </c>
      <c r="M164" s="377">
        <f>+'2017'!H164</f>
        <v>3960.0434999999998</v>
      </c>
      <c r="N164" s="377">
        <f>+'2017'!I164</f>
        <v>3960.0434999999998</v>
      </c>
      <c r="O164" s="377">
        <f>+'2017'!J164</f>
        <v>3960.0434999999998</v>
      </c>
      <c r="P164" s="377">
        <f>+'2017'!K164</f>
        <v>3960.0434999999998</v>
      </c>
      <c r="Q164" s="377">
        <f>+'2017'!L164</f>
        <v>3960.0434999999998</v>
      </c>
      <c r="R164" s="377">
        <f>+'2017'!M164</f>
        <v>3960.0434999999998</v>
      </c>
      <c r="S164" s="377">
        <f>+'2017'!N164</f>
        <v>3960.0434999999998</v>
      </c>
    </row>
    <row r="165" spans="1:21" s="4" customFormat="1" ht="10.5" customHeight="1">
      <c r="A165" s="10" t="str">
        <f>IF(ISNA(VLOOKUP(B165,Setup!$A$74:$A$197,1,FALSE)),"","X")</f>
        <v/>
      </c>
      <c r="B165" s="161"/>
      <c r="C165" s="163"/>
      <c r="D165" s="21"/>
      <c r="E165" s="21" t="str">
        <f>IF(+'2017'!O165="","",+'2017'!O165)</f>
        <v/>
      </c>
      <c r="F165" s="22" t="str">
        <f>IF(+E165="","",IF($F$4="Per Unit",(IF($F$3="Monthly",+E165/Setup!$B$12/12,+E165/Setup!$B$12)),IF($F$3="Monthly",+E165/Setup!$B$13/12,+E165/Setup!$B$13)))</f>
        <v/>
      </c>
      <c r="G165" s="102"/>
      <c r="H165" s="377"/>
      <c r="I165" s="377"/>
      <c r="J165" s="377"/>
      <c r="K165" s="377"/>
      <c r="L165" s="377"/>
      <c r="M165" s="377"/>
      <c r="N165" s="377"/>
      <c r="O165" s="377"/>
      <c r="P165" s="377"/>
      <c r="Q165" s="377"/>
      <c r="R165" s="377"/>
      <c r="S165" s="377"/>
    </row>
    <row r="166" spans="1:21" s="10" customFormat="1" ht="10.5" customHeight="1">
      <c r="A166" s="10" t="str">
        <f>IF(ISNA(VLOOKUP(B166,Setup!$A$74:$A$197,1,FALSE)),"","X")</f>
        <v/>
      </c>
      <c r="B166" s="161"/>
      <c r="C166" s="159" t="s">
        <v>292</v>
      </c>
      <c r="D166" s="21">
        <f>+D164+D151</f>
        <v>272627</v>
      </c>
      <c r="E166" s="21">
        <f>IF(+'2017'!O166="","",+'2017'!O166)</f>
        <v>279360.522</v>
      </c>
      <c r="F166" s="22">
        <f>IF(+E166="","",IF($F$4="Per Unit",(IF($F$3="Monthly",+E166/Setup!$B$12/12,+E166/Setup!$B$12)),IF($F$3="Monthly",+E166/Setup!$B$13/12,+E166/Setup!$B$13)))</f>
        <v>1269.8205545454546</v>
      </c>
      <c r="G166" s="102"/>
      <c r="H166" s="377">
        <f>+'2017'!C166</f>
        <v>23280.0435</v>
      </c>
      <c r="I166" s="377">
        <f>+'2017'!D166</f>
        <v>23280.0435</v>
      </c>
      <c r="J166" s="377">
        <f>+'2017'!E166</f>
        <v>23280.0435</v>
      </c>
      <c r="K166" s="377">
        <f>+'2017'!F166</f>
        <v>23280.0435</v>
      </c>
      <c r="L166" s="377">
        <f>+'2017'!G166</f>
        <v>23280.0435</v>
      </c>
      <c r="M166" s="377">
        <f>+'2017'!H166</f>
        <v>23280.0435</v>
      </c>
      <c r="N166" s="377">
        <f>+'2017'!I166</f>
        <v>23280.0435</v>
      </c>
      <c r="O166" s="377">
        <f>+'2017'!J166</f>
        <v>23280.0435</v>
      </c>
      <c r="P166" s="377">
        <f>+'2017'!K166</f>
        <v>23280.0435</v>
      </c>
      <c r="Q166" s="377">
        <f>+'2017'!L166</f>
        <v>23280.0435</v>
      </c>
      <c r="R166" s="377">
        <f>+'2017'!M166</f>
        <v>23280.0435</v>
      </c>
      <c r="S166" s="377">
        <f>+'2017'!N166</f>
        <v>23280.0435</v>
      </c>
      <c r="T166" s="4"/>
      <c r="U166" s="4"/>
    </row>
    <row r="167" spans="1:21" s="17" customFormat="1" ht="10.5" customHeight="1">
      <c r="A167" s="10" t="str">
        <f>IF(ISNA(VLOOKUP(B167,Setup!$A$74:$A$197,1,FALSE)),"","X")</f>
        <v/>
      </c>
      <c r="B167" s="161"/>
      <c r="C167" s="161" t="s">
        <v>318</v>
      </c>
      <c r="D167" s="21"/>
      <c r="E167" s="21" t="str">
        <f>IF(+'2017'!O167="","",+'2017'!O167)</f>
        <v/>
      </c>
      <c r="F167" s="22" t="str">
        <f>IF(+E167="","",IF($F$4="Per Unit",(IF($F$3="Monthly",+E167/Setup!$B$12/12,+E167/Setup!$B$12)),IF($F$3="Monthly",+E167/Setup!$B$13/12,+E167/Setup!$B$13)))</f>
        <v/>
      </c>
      <c r="G167" s="102"/>
      <c r="H167" s="377"/>
      <c r="I167" s="377"/>
      <c r="J167" s="377"/>
      <c r="K167" s="377"/>
      <c r="L167" s="377"/>
      <c r="M167" s="377"/>
      <c r="N167" s="377"/>
      <c r="O167" s="377"/>
      <c r="P167" s="377"/>
      <c r="Q167" s="377"/>
      <c r="R167" s="377"/>
      <c r="S167" s="377"/>
      <c r="T167" s="4"/>
      <c r="U167" s="4"/>
    </row>
    <row r="168" spans="1:21" s="18" customFormat="1" ht="10.5" customHeight="1">
      <c r="A168" s="10" t="str">
        <f>IF(ISNA(VLOOKUP(B168,Setup!$A$74:$A$197,1,FALSE)),"","X")</f>
        <v/>
      </c>
      <c r="B168" s="161"/>
      <c r="C168" s="161" t="s">
        <v>319</v>
      </c>
      <c r="D168" s="21"/>
      <c r="E168" s="21" t="str">
        <f>IF(+'2017'!O168="","",+'2017'!O168)</f>
        <v/>
      </c>
      <c r="F168" s="22" t="str">
        <f>IF(+E168="","",IF($F$4="Per Unit",(IF($F$3="Monthly",+E168/Setup!$B$12/12,+E168/Setup!$B$12)),IF($F$3="Monthly",+E168/Setup!$B$13/12,+E168/Setup!$B$13)))</f>
        <v/>
      </c>
      <c r="G168" s="102"/>
      <c r="H168" s="377"/>
      <c r="I168" s="377"/>
      <c r="J168" s="377"/>
      <c r="K168" s="377"/>
      <c r="L168" s="377"/>
      <c r="M168" s="377"/>
      <c r="N168" s="377"/>
      <c r="O168" s="377"/>
      <c r="P168" s="377"/>
      <c r="Q168" s="377"/>
      <c r="R168" s="377"/>
      <c r="S168" s="377"/>
      <c r="T168" s="4"/>
      <c r="U168" s="4"/>
    </row>
    <row r="169" spans="1:21" s="17" customFormat="1" ht="10.5" customHeight="1">
      <c r="A169" s="10" t="str">
        <f>IF(ISNA(VLOOKUP(B169,Setup!$A$74:$A$197,1,FALSE)),"","X")</f>
        <v/>
      </c>
      <c r="B169" s="161">
        <v>514105</v>
      </c>
      <c r="C169" s="196" t="s">
        <v>320</v>
      </c>
      <c r="D169" s="21">
        <f>SUMIF('2016'!$A:$A,Input!$B169,'2016'!O:O)</f>
        <v>5932</v>
      </c>
      <c r="E169" s="21">
        <f>IF(+'2017'!O169="","",+'2017'!O169)</f>
        <v>5931.9999999999991</v>
      </c>
      <c r="F169" s="22">
        <f>IF(+E169="","",IF($F$4="Per Unit",(IF($F$3="Monthly",+E169/Setup!$B$12/12,+E169/Setup!$B$12)),IF($F$3="Monthly",+E169/Setup!$B$13/12,+E169/Setup!$B$13)))</f>
        <v>26.963636363636361</v>
      </c>
      <c r="G169" s="33">
        <f t="shared" ref="G169:G178" si="14">+D169/12</f>
        <v>494.33333333333331</v>
      </c>
      <c r="H169" s="492"/>
      <c r="I169" s="492"/>
      <c r="J169" s="492"/>
      <c r="K169" s="492"/>
      <c r="L169" s="492"/>
      <c r="M169" s="492"/>
      <c r="N169" s="492"/>
      <c r="O169" s="492"/>
      <c r="P169" s="492"/>
      <c r="Q169" s="492"/>
      <c r="R169" s="492"/>
      <c r="S169" s="492"/>
      <c r="T169" s="492"/>
      <c r="U169" s="383"/>
    </row>
    <row r="170" spans="1:21" s="17" customFormat="1" ht="10.5" customHeight="1">
      <c r="A170" s="10" t="str">
        <f>IF(ISNA(VLOOKUP(B170,Setup!$A$74:$A$197,1,FALSE)),"","X")</f>
        <v/>
      </c>
      <c r="B170" s="161">
        <v>514115</v>
      </c>
      <c r="C170" s="196" t="s">
        <v>538</v>
      </c>
      <c r="D170" s="21">
        <f>SUMIF('2016'!$A:$A,Input!$B170,'2016'!O:O)</f>
        <v>8109</v>
      </c>
      <c r="E170" s="21">
        <f>IF(+'2017'!O170="","",+'2017'!O170)</f>
        <v>8109</v>
      </c>
      <c r="F170" s="22">
        <f>IF(+E170="","",IF($F$4="Per Unit",(IF($F$3="Monthly",+E170/Setup!$B$12/12,+E170/Setup!$B$12)),IF($F$3="Monthly",+E170/Setup!$B$13/12,+E170/Setup!$B$13)))</f>
        <v>36.859090909090909</v>
      </c>
      <c r="G170" s="33">
        <f t="shared" si="14"/>
        <v>675.75</v>
      </c>
      <c r="H170" s="492"/>
      <c r="I170" s="492"/>
      <c r="J170" s="492"/>
      <c r="K170" s="492"/>
      <c r="L170" s="492"/>
      <c r="M170" s="492"/>
      <c r="N170" s="492"/>
      <c r="O170" s="492"/>
      <c r="P170" s="492"/>
      <c r="Q170" s="492"/>
      <c r="R170" s="492"/>
      <c r="S170" s="492"/>
      <c r="T170" s="492"/>
      <c r="U170" s="383"/>
    </row>
    <row r="171" spans="1:21" s="4" customFormat="1" ht="10.5" customHeight="1">
      <c r="A171" s="10" t="str">
        <f>IF(ISNA(VLOOKUP(B171,Setup!$A$74:$A$197,1,FALSE)),"","X")</f>
        <v/>
      </c>
      <c r="B171" s="161">
        <v>514120</v>
      </c>
      <c r="C171" s="161" t="s">
        <v>321</v>
      </c>
      <c r="D171" s="21">
        <f>SUMIF('2016'!$A:$A,Input!$B171,'2016'!O:O)</f>
        <v>2543</v>
      </c>
      <c r="E171" s="21">
        <f>IF(+'2017'!O171="","",+'2017'!O171)</f>
        <v>2543</v>
      </c>
      <c r="F171" s="22">
        <f>IF(+E171="","",IF($F$4="Per Unit",(IF($F$3="Monthly",+E171/Setup!$B$12/12,+E171/Setup!$B$12)),IF($F$3="Monthly",+E171/Setup!$B$13/12,+E171/Setup!$B$13)))</f>
        <v>11.559090909090909</v>
      </c>
      <c r="G171" s="33">
        <f t="shared" si="14"/>
        <v>211.91666666666666</v>
      </c>
      <c r="H171" s="492"/>
      <c r="I171" s="492"/>
      <c r="J171" s="492"/>
      <c r="K171" s="492"/>
      <c r="L171" s="492"/>
      <c r="M171" s="492"/>
      <c r="N171" s="492"/>
      <c r="O171" s="492"/>
      <c r="P171" s="492"/>
      <c r="Q171" s="492"/>
      <c r="R171" s="492"/>
      <c r="S171" s="492"/>
      <c r="T171" s="492"/>
      <c r="U171" s="383"/>
    </row>
    <row r="172" spans="1:21" s="4" customFormat="1" ht="10.5" customHeight="1">
      <c r="A172" s="10" t="str">
        <f>IF(ISNA(VLOOKUP(B172,Setup!$A$74:$A$197,1,FALSE)),"","X")</f>
        <v/>
      </c>
      <c r="B172" s="161">
        <v>514130</v>
      </c>
      <c r="C172" s="161" t="s">
        <v>322</v>
      </c>
      <c r="D172" s="21">
        <f>SUMIF('2016'!$A:$A,Input!$B172,'2016'!O:O)</f>
        <v>0</v>
      </c>
      <c r="E172" s="21">
        <f>IF(+'2017'!O172="","",+'2017'!O172)</f>
        <v>0</v>
      </c>
      <c r="F172" s="22">
        <f>IF(+E172="","",IF($F$4="Per Unit",(IF($F$3="Monthly",+E172/Setup!$B$12/12,+E172/Setup!$B$12)),IF($F$3="Monthly",+E172/Setup!$B$13/12,+E172/Setup!$B$13)))</f>
        <v>0</v>
      </c>
      <c r="G172" s="33">
        <f t="shared" si="14"/>
        <v>0</v>
      </c>
      <c r="H172" s="492"/>
      <c r="I172" s="492"/>
      <c r="J172" s="492"/>
      <c r="K172" s="492"/>
      <c r="L172" s="492"/>
      <c r="M172" s="492"/>
      <c r="N172" s="492"/>
      <c r="O172" s="492"/>
      <c r="P172" s="492"/>
      <c r="Q172" s="492"/>
      <c r="R172" s="492"/>
      <c r="S172" s="492"/>
      <c r="T172" s="492"/>
      <c r="U172" s="383"/>
    </row>
    <row r="173" spans="1:21" s="4" customFormat="1" ht="10.5" customHeight="1">
      <c r="A173" s="10" t="str">
        <f>IF(ISNA(VLOOKUP(B173,Setup!$A$74:$A$197,1,FALSE)),"","X")</f>
        <v/>
      </c>
      <c r="B173" s="161">
        <v>514135</v>
      </c>
      <c r="C173" s="196" t="s">
        <v>323</v>
      </c>
      <c r="D173" s="21">
        <f>SUMIF('2016'!$A:$A,Input!$B173,'2016'!O:O)</f>
        <v>2809</v>
      </c>
      <c r="E173" s="21">
        <f>IF(+'2017'!O173="","",+'2017'!O173)</f>
        <v>2809.0000000000005</v>
      </c>
      <c r="F173" s="22">
        <f>IF(+E173="","",IF($F$4="Per Unit",(IF($F$3="Monthly",+E173/Setup!$B$12/12,+E173/Setup!$B$12)),IF($F$3="Monthly",+E173/Setup!$B$13/12,+E173/Setup!$B$13)))</f>
        <v>12.768181818181819</v>
      </c>
      <c r="G173" s="33">
        <f t="shared" si="14"/>
        <v>234.08333333333334</v>
      </c>
      <c r="H173" s="492"/>
      <c r="I173" s="492"/>
      <c r="J173" s="492"/>
      <c r="K173" s="492"/>
      <c r="L173" s="492"/>
      <c r="M173" s="492"/>
      <c r="N173" s="492"/>
      <c r="O173" s="492"/>
      <c r="P173" s="492"/>
      <c r="Q173" s="492"/>
      <c r="R173" s="492"/>
      <c r="S173" s="492"/>
      <c r="T173" s="492"/>
      <c r="U173" s="383"/>
    </row>
    <row r="174" spans="1:21" s="4" customFormat="1" ht="10.5" customHeight="1">
      <c r="A174" s="10" t="str">
        <f>IF(ISNA(VLOOKUP(B174,Setup!$A$74:$A$197,1,FALSE)),"","X")</f>
        <v/>
      </c>
      <c r="B174" s="161">
        <v>514140</v>
      </c>
      <c r="C174" s="161" t="s">
        <v>324</v>
      </c>
      <c r="D174" s="21">
        <f>SUMIF('2016'!$A:$A,Input!$B174,'2016'!O:O)</f>
        <v>0</v>
      </c>
      <c r="E174" s="21">
        <f>IF(+'2017'!O174="","",+'2017'!O174)</f>
        <v>0</v>
      </c>
      <c r="F174" s="22">
        <f>IF(+E174="","",IF($F$4="Per Unit",(IF($F$3="Monthly",+E174/Setup!$B$12/12,+E174/Setup!$B$12)),IF($F$3="Monthly",+E174/Setup!$B$13/12,+E174/Setup!$B$13)))</f>
        <v>0</v>
      </c>
      <c r="G174" s="33">
        <f t="shared" si="14"/>
        <v>0</v>
      </c>
      <c r="H174" s="492"/>
      <c r="I174" s="492"/>
      <c r="J174" s="492"/>
      <c r="K174" s="492"/>
      <c r="L174" s="492"/>
      <c r="M174" s="492"/>
      <c r="N174" s="492"/>
      <c r="O174" s="492"/>
      <c r="P174" s="492"/>
      <c r="Q174" s="492"/>
      <c r="R174" s="492"/>
      <c r="S174" s="492"/>
      <c r="T174" s="492"/>
      <c r="U174" s="383"/>
    </row>
    <row r="175" spans="1:21" s="4" customFormat="1" ht="10.5" customHeight="1">
      <c r="A175" s="10" t="str">
        <f>IF(ISNA(VLOOKUP(B175,Setup!$A$74:$A$197,1,FALSE)),"","X")</f>
        <v/>
      </c>
      <c r="B175" s="161">
        <v>514145</v>
      </c>
      <c r="C175" s="161" t="s">
        <v>325</v>
      </c>
      <c r="D175" s="21">
        <f>SUMIF('2016'!$A:$A,Input!$B175,'2016'!O:O)</f>
        <v>5153</v>
      </c>
      <c r="E175" s="21">
        <f>IF(+'2017'!O175="","",+'2017'!O175)</f>
        <v>5153</v>
      </c>
      <c r="F175" s="22">
        <f>IF(+E175="","",IF($F$4="Per Unit",(IF($F$3="Monthly",+E175/Setup!$B$12/12,+E175/Setup!$B$12)),IF($F$3="Monthly",+E175/Setup!$B$13/12,+E175/Setup!$B$13)))</f>
        <v>23.422727272727272</v>
      </c>
      <c r="G175" s="33">
        <f t="shared" si="14"/>
        <v>429.41666666666669</v>
      </c>
      <c r="H175" s="492"/>
      <c r="I175" s="492"/>
      <c r="J175" s="492"/>
      <c r="K175" s="492"/>
      <c r="L175" s="492"/>
      <c r="M175" s="492"/>
      <c r="N175" s="492"/>
      <c r="O175" s="492"/>
      <c r="P175" s="492"/>
      <c r="Q175" s="492"/>
      <c r="R175" s="492"/>
      <c r="S175" s="492"/>
      <c r="T175" s="492"/>
      <c r="U175" s="383"/>
    </row>
    <row r="176" spans="1:21" s="4" customFormat="1" ht="10.5" customHeight="1">
      <c r="A176" s="10" t="str">
        <f>IF(ISNA(VLOOKUP(B176,Setup!$A$74:$A$197,1,FALSE)),"","X")</f>
        <v/>
      </c>
      <c r="B176" s="161">
        <v>514150</v>
      </c>
      <c r="C176" s="395" t="s">
        <v>539</v>
      </c>
      <c r="D176" s="21">
        <f>SUMIF('2016'!$A:$A,Input!$B176,'2016'!O:O)</f>
        <v>925</v>
      </c>
      <c r="E176" s="21">
        <f>IF(+'2017'!O176="","",+'2017'!O176)</f>
        <v>925.00000000000011</v>
      </c>
      <c r="F176" s="22">
        <f>IF(+E176="","",IF($F$4="Per Unit",(IF($F$3="Monthly",+E176/Setup!$B$12/12,+E176/Setup!$B$12)),IF($F$3="Monthly",+E176/Setup!$B$13/12,+E176/Setup!$B$13)))</f>
        <v>4.204545454545455</v>
      </c>
      <c r="G176" s="33">
        <f t="shared" si="14"/>
        <v>77.083333333333329</v>
      </c>
      <c r="H176" s="492"/>
      <c r="I176" s="492"/>
      <c r="J176" s="492"/>
      <c r="K176" s="492"/>
      <c r="L176" s="492"/>
      <c r="M176" s="492"/>
      <c r="N176" s="492"/>
      <c r="O176" s="492"/>
      <c r="P176" s="492"/>
      <c r="Q176" s="492"/>
      <c r="R176" s="492"/>
      <c r="S176" s="492"/>
      <c r="T176" s="492"/>
      <c r="U176" s="383"/>
    </row>
    <row r="177" spans="1:21" s="4" customFormat="1" ht="10.5" customHeight="1">
      <c r="A177" s="10" t="str">
        <f>IF(ISNA(VLOOKUP(B177,Setup!$A$74:$A$197,1,FALSE)),"","X")</f>
        <v/>
      </c>
      <c r="B177" s="161">
        <v>514155</v>
      </c>
      <c r="C177" s="161" t="s">
        <v>326</v>
      </c>
      <c r="D177" s="21">
        <f>SUMIF('2016'!$A:$A,Input!$B177,'2016'!O:O)</f>
        <v>11148</v>
      </c>
      <c r="E177" s="21">
        <f>IF(+'2017'!O177="","",+'2017'!O177)</f>
        <v>11148</v>
      </c>
      <c r="F177" s="22">
        <f>IF(+E177="","",IF($F$4="Per Unit",(IF($F$3="Monthly",+E177/Setup!$B$12/12,+E177/Setup!$B$12)),IF($F$3="Monthly",+E177/Setup!$B$13/12,+E177/Setup!$B$13)))</f>
        <v>50.672727272727272</v>
      </c>
      <c r="G177" s="33">
        <f t="shared" si="14"/>
        <v>929</v>
      </c>
      <c r="H177" s="492"/>
      <c r="I177" s="492"/>
      <c r="J177" s="492"/>
      <c r="K177" s="492"/>
      <c r="L177" s="492"/>
      <c r="M177" s="492"/>
      <c r="N177" s="492"/>
      <c r="O177" s="492"/>
      <c r="P177" s="492"/>
      <c r="Q177" s="492"/>
      <c r="R177" s="492"/>
      <c r="S177" s="492"/>
      <c r="T177" s="492"/>
      <c r="U177" s="383"/>
    </row>
    <row r="178" spans="1:21" s="4" customFormat="1" ht="10.5" customHeight="1">
      <c r="A178" s="10" t="str">
        <f>IF(ISNA(VLOOKUP(B178,Setup!$A$74:$A$197,1,FALSE)),"","X")</f>
        <v/>
      </c>
      <c r="B178" s="161">
        <v>514160</v>
      </c>
      <c r="C178" s="161" t="s">
        <v>327</v>
      </c>
      <c r="D178" s="21">
        <f>SUMIF('2016'!$A:$A,Input!$B178,'2016'!O:O)</f>
        <v>0</v>
      </c>
      <c r="E178" s="21">
        <f>IF(+'2017'!O178="","",+'2017'!O178)</f>
        <v>0</v>
      </c>
      <c r="F178" s="22">
        <f>IF(+E178="","",IF($F$4="Per Unit",(IF($F$3="Monthly",+E178/Setup!$B$12/12,+E178/Setup!$B$12)),IF($F$3="Monthly",+E178/Setup!$B$13/12,+E178/Setup!$B$13)))</f>
        <v>0</v>
      </c>
      <c r="G178" s="33">
        <f t="shared" si="14"/>
        <v>0</v>
      </c>
      <c r="H178" s="492"/>
      <c r="I178" s="492"/>
      <c r="J178" s="492"/>
      <c r="K178" s="492"/>
      <c r="L178" s="492"/>
      <c r="M178" s="492"/>
      <c r="N178" s="492"/>
      <c r="O178" s="492"/>
      <c r="P178" s="492"/>
      <c r="Q178" s="492"/>
      <c r="R178" s="492"/>
      <c r="S178" s="492"/>
      <c r="T178" s="492"/>
      <c r="U178" s="383"/>
    </row>
    <row r="179" spans="1:21" s="4" customFormat="1" ht="10.5" customHeight="1">
      <c r="A179" s="10" t="str">
        <f>IF(ISNA(VLOOKUP(B179,Setup!$A$74:$A$197,1,FALSE)),"","X")</f>
        <v/>
      </c>
      <c r="B179" s="161"/>
      <c r="C179" s="163"/>
      <c r="D179" s="21"/>
      <c r="E179" s="21" t="str">
        <f>IF(+'2017'!O179="","",+'2017'!O179)</f>
        <v/>
      </c>
      <c r="F179" s="22" t="str">
        <f>IF(+E179="","",IF($F$4="Per Unit",(IF($F$3="Monthly",+E179/Setup!$B$12/12,+E179/Setup!$B$12)),IF($F$3="Monthly",+E179/Setup!$B$13/12,+E179/Setup!$B$13)))</f>
        <v/>
      </c>
      <c r="G179" s="102"/>
      <c r="H179" s="377"/>
      <c r="I179" s="377"/>
      <c r="J179" s="377"/>
      <c r="K179" s="377"/>
      <c r="L179" s="377"/>
      <c r="M179" s="377"/>
      <c r="N179" s="377"/>
      <c r="O179" s="377"/>
      <c r="P179" s="377"/>
      <c r="Q179" s="377"/>
      <c r="R179" s="377"/>
      <c r="S179" s="377"/>
    </row>
    <row r="180" spans="1:21" s="4" customFormat="1" ht="10.5" customHeight="1">
      <c r="A180" s="10" t="str">
        <f>IF(ISNA(VLOOKUP(B180,Setup!$A$74:$A$197,1,FALSE)),"","X")</f>
        <v/>
      </c>
      <c r="B180" s="161"/>
      <c r="C180" s="159" t="s">
        <v>319</v>
      </c>
      <c r="D180" s="21">
        <f>SUM(D169:D178)</f>
        <v>36619</v>
      </c>
      <c r="E180" s="21">
        <f>IF(+'2017'!O180="","",+'2017'!O180)</f>
        <v>36619</v>
      </c>
      <c r="F180" s="22">
        <f>IF(+E180="","",IF($F$4="Per Unit",(IF($F$3="Monthly",+E180/Setup!$B$12/12,+E180/Setup!$B$12)),IF($F$3="Monthly",+E180/Setup!$B$13/12,+E180/Setup!$B$13)))</f>
        <v>166.45</v>
      </c>
      <c r="G180" s="102"/>
      <c r="H180" s="377">
        <f>+'2017'!C180</f>
        <v>3051.5833333333335</v>
      </c>
      <c r="I180" s="377">
        <f>+'2017'!D180</f>
        <v>3051.5833333333335</v>
      </c>
      <c r="J180" s="377">
        <f>+'2017'!E180</f>
        <v>3051.5833333333335</v>
      </c>
      <c r="K180" s="377">
        <f>+'2017'!F180</f>
        <v>3051.5833333333335</v>
      </c>
      <c r="L180" s="377">
        <f>+'2017'!G180</f>
        <v>3051.5833333333335</v>
      </c>
      <c r="M180" s="377">
        <f>+'2017'!H180</f>
        <v>3051.5833333333335</v>
      </c>
      <c r="N180" s="377">
        <f>+'2017'!I180</f>
        <v>3051.5833333333335</v>
      </c>
      <c r="O180" s="377">
        <f>+'2017'!J180</f>
        <v>3051.5833333333335</v>
      </c>
      <c r="P180" s="377">
        <f>+'2017'!K180</f>
        <v>3051.5833333333335</v>
      </c>
      <c r="Q180" s="377">
        <f>+'2017'!L180</f>
        <v>3051.5833333333335</v>
      </c>
      <c r="R180" s="377">
        <f>+'2017'!M180</f>
        <v>3051.5833333333335</v>
      </c>
      <c r="S180" s="377">
        <f>+'2017'!N180</f>
        <v>3051.5833333333335</v>
      </c>
    </row>
    <row r="181" spans="1:21" s="4" customFormat="1" ht="10.5" customHeight="1">
      <c r="A181" s="10" t="str">
        <f>IF(ISNA(VLOOKUP(B181,Setup!$A$74:$A$197,1,FALSE)),"","X")</f>
        <v/>
      </c>
      <c r="B181" s="161"/>
      <c r="C181" s="161" t="s">
        <v>328</v>
      </c>
      <c r="D181" s="21"/>
      <c r="E181" s="21" t="str">
        <f>IF(+'2017'!O181="","",+'2017'!O181)</f>
        <v/>
      </c>
      <c r="F181" s="22" t="str">
        <f>IF(+E181="","",IF($F$4="Per Unit",(IF($F$3="Monthly",+E181/Setup!$B$12/12,+E181/Setup!$B$12)),IF($F$3="Monthly",+E181/Setup!$B$13/12,+E181/Setup!$B$13)))</f>
        <v/>
      </c>
      <c r="G181" s="102"/>
      <c r="H181" s="377"/>
      <c r="I181" s="377"/>
      <c r="J181" s="377"/>
      <c r="K181" s="377"/>
      <c r="L181" s="377"/>
      <c r="M181" s="377"/>
      <c r="N181" s="377"/>
      <c r="O181" s="377"/>
      <c r="P181" s="377"/>
      <c r="Q181" s="377"/>
      <c r="R181" s="377"/>
      <c r="S181" s="377"/>
    </row>
    <row r="182" spans="1:21" s="17" customFormat="1" ht="10.5" customHeight="1">
      <c r="A182" s="10" t="str">
        <f>IF(ISNA(VLOOKUP(B182,Setup!$A$74:$A$197,1,FALSE)),"","X")</f>
        <v/>
      </c>
      <c r="B182" s="161">
        <v>514210</v>
      </c>
      <c r="C182" s="4" t="s">
        <v>655</v>
      </c>
      <c r="D182" s="21">
        <f>SUMIF('2016'!$A:$A,Input!$B182,'2016'!O:O)</f>
        <v>0</v>
      </c>
      <c r="E182" s="21">
        <f>IF(+'2017'!O182="","",+'2017'!O182)</f>
        <v>0</v>
      </c>
      <c r="F182" s="22">
        <f>IF(+E182="","",IF($F$4="Per Unit",(IF($F$3="Monthly",+E182/Setup!$B$12/12,+E182/Setup!$B$12)),IF($F$3="Monthly",+E182/Setup!$B$13/12,+E182/Setup!$B$13)))</f>
        <v>0</v>
      </c>
      <c r="G182" s="33">
        <f t="shared" ref="G182:G187" si="15">+D182/12</f>
        <v>0</v>
      </c>
      <c r="H182" s="492"/>
      <c r="I182" s="492"/>
      <c r="J182" s="492"/>
      <c r="K182" s="492"/>
      <c r="L182" s="492"/>
      <c r="M182" s="492"/>
      <c r="N182" s="492"/>
      <c r="O182" s="492"/>
      <c r="P182" s="492"/>
      <c r="Q182" s="492"/>
      <c r="R182" s="492"/>
      <c r="S182" s="492"/>
      <c r="T182" s="492"/>
      <c r="U182" s="383"/>
    </row>
    <row r="183" spans="1:21" s="4" customFormat="1" ht="10.5" customHeight="1">
      <c r="A183" s="10" t="str">
        <f>IF(ISNA(VLOOKUP(B183,Setup!$A$74:$A$197,1,FALSE)),"","X")</f>
        <v/>
      </c>
      <c r="B183" s="161">
        <v>514220</v>
      </c>
      <c r="C183" s="4" t="s">
        <v>656</v>
      </c>
      <c r="D183" s="21">
        <f>SUMIF('2016'!$A:$A,Input!$B183,'2016'!O:O)</f>
        <v>2644</v>
      </c>
      <c r="E183" s="21">
        <f>IF(+'2017'!O183="","",+'2017'!O183)</f>
        <v>2644</v>
      </c>
      <c r="F183" s="22">
        <f>IF(+E183="","",IF($F$4="Per Unit",(IF($F$3="Monthly",+E183/Setup!$B$12/12,+E183/Setup!$B$12)),IF($F$3="Monthly",+E183/Setup!$B$13/12,+E183/Setup!$B$13)))</f>
        <v>12.018181818181818</v>
      </c>
      <c r="G183" s="33">
        <f t="shared" si="15"/>
        <v>220.33333333333334</v>
      </c>
      <c r="H183" s="492"/>
      <c r="I183" s="492"/>
      <c r="J183" s="492"/>
      <c r="K183" s="492"/>
      <c r="L183" s="492"/>
      <c r="M183" s="492"/>
      <c r="N183" s="492"/>
      <c r="O183" s="492"/>
      <c r="P183" s="492"/>
      <c r="Q183" s="492"/>
      <c r="R183" s="492"/>
      <c r="S183" s="492"/>
      <c r="T183" s="492"/>
      <c r="U183" s="383"/>
    </row>
    <row r="184" spans="1:21" s="4" customFormat="1" ht="10.5" customHeight="1">
      <c r="A184" s="10" t="str">
        <f>IF(ISNA(VLOOKUP(B184,Setup!$A$74:$A$197,1,FALSE)),"","X")</f>
        <v/>
      </c>
      <c r="B184" s="161">
        <v>514225</v>
      </c>
      <c r="C184" s="161" t="s">
        <v>330</v>
      </c>
      <c r="D184" s="21">
        <f>SUMIF('2016'!$A:$A,Input!$B184,'2016'!O:O)</f>
        <v>0</v>
      </c>
      <c r="E184" s="21">
        <f>IF(+'2017'!O184="","",+'2017'!O184)</f>
        <v>0</v>
      </c>
      <c r="F184" s="22">
        <f>IF(+E184="","",IF($F$4="Per Unit",(IF($F$3="Monthly",+E184/Setup!$B$12/12,+E184/Setup!$B$12)),IF($F$3="Monthly",+E184/Setup!$B$13/12,+E184/Setup!$B$13)))</f>
        <v>0</v>
      </c>
      <c r="G184" s="33">
        <f t="shared" si="15"/>
        <v>0</v>
      </c>
      <c r="H184" s="492"/>
      <c r="I184" s="492"/>
      <c r="J184" s="492"/>
      <c r="K184" s="492"/>
      <c r="L184" s="492"/>
      <c r="M184" s="492"/>
      <c r="N184" s="492"/>
      <c r="O184" s="492"/>
      <c r="P184" s="492"/>
      <c r="Q184" s="492"/>
      <c r="R184" s="492"/>
      <c r="S184" s="492"/>
      <c r="T184" s="492"/>
      <c r="U184" s="383"/>
    </row>
    <row r="185" spans="1:21" s="4" customFormat="1" ht="10.5" customHeight="1">
      <c r="A185" s="10" t="str">
        <f>IF(ISNA(VLOOKUP(B185,Setup!$A$74:$A$197,1,FALSE)),"","X")</f>
        <v/>
      </c>
      <c r="B185" s="161">
        <v>514230</v>
      </c>
      <c r="C185" s="161" t="s">
        <v>331</v>
      </c>
      <c r="D185" s="21">
        <f>SUMIF('2016'!$A:$A,Input!$B185,'2016'!O:O)</f>
        <v>4529</v>
      </c>
      <c r="E185" s="21">
        <f>IF(+'2017'!O185="","",+'2017'!O185)</f>
        <v>4529</v>
      </c>
      <c r="F185" s="22">
        <f>IF(+E185="","",IF($F$4="Per Unit",(IF($F$3="Monthly",+E185/Setup!$B$12/12,+E185/Setup!$B$12)),IF($F$3="Monthly",+E185/Setup!$B$13/12,+E185/Setup!$B$13)))</f>
        <v>20.586363636363636</v>
      </c>
      <c r="G185" s="33">
        <f t="shared" si="15"/>
        <v>377.41666666666669</v>
      </c>
      <c r="H185" s="492"/>
      <c r="I185" s="492"/>
      <c r="J185" s="492"/>
      <c r="K185" s="492"/>
      <c r="L185" s="492"/>
      <c r="M185" s="492"/>
      <c r="N185" s="492"/>
      <c r="O185" s="492"/>
      <c r="P185" s="492"/>
      <c r="Q185" s="492"/>
      <c r="R185" s="492"/>
      <c r="S185" s="492"/>
      <c r="T185" s="492"/>
      <c r="U185" s="383"/>
    </row>
    <row r="186" spans="1:21" s="4" customFormat="1" ht="10.5" customHeight="1">
      <c r="A186" s="10" t="str">
        <f>IF(ISNA(VLOOKUP(B186,Setup!$A$74:$A$197,1,FALSE)),"","X")</f>
        <v/>
      </c>
      <c r="B186" s="161">
        <v>514240</v>
      </c>
      <c r="C186" s="161" t="s">
        <v>332</v>
      </c>
      <c r="D186" s="21">
        <f>SUMIF('2016'!$A:$A,Input!$B186,'2016'!O:O)</f>
        <v>0</v>
      </c>
      <c r="E186" s="21">
        <f>IF(+'2017'!O186="","",+'2017'!O186)</f>
        <v>0</v>
      </c>
      <c r="F186" s="22">
        <f>IF(+E186="","",IF($F$4="Per Unit",(IF($F$3="Monthly",+E186/Setup!$B$12/12,+E186/Setup!$B$12)),IF($F$3="Monthly",+E186/Setup!$B$13/12,+E186/Setup!$B$13)))</f>
        <v>0</v>
      </c>
      <c r="G186" s="33">
        <f t="shared" si="15"/>
        <v>0</v>
      </c>
      <c r="H186" s="492"/>
      <c r="I186" s="492"/>
      <c r="J186" s="492"/>
      <c r="K186" s="492"/>
      <c r="L186" s="492"/>
      <c r="M186" s="492"/>
      <c r="N186" s="492"/>
      <c r="O186" s="492"/>
      <c r="P186" s="492"/>
      <c r="Q186" s="492"/>
      <c r="R186" s="492"/>
      <c r="S186" s="492"/>
      <c r="T186" s="492"/>
      <c r="U186" s="383"/>
    </row>
    <row r="187" spans="1:21" s="4" customFormat="1" ht="10.5" customHeight="1">
      <c r="A187" s="10" t="str">
        <f>IF(ISNA(VLOOKUP(B187,Setup!$A$74:$A$197,1,FALSE)),"","X")</f>
        <v/>
      </c>
      <c r="B187" s="161">
        <v>514245</v>
      </c>
      <c r="C187" s="161" t="s">
        <v>333</v>
      </c>
      <c r="D187" s="21">
        <f>SUMIF('2016'!$A:$A,Input!$B187,'2016'!O:O)</f>
        <v>1546</v>
      </c>
      <c r="E187" s="21">
        <f>IF(+'2017'!O187="","",+'2017'!O187)</f>
        <v>1545.9999999999998</v>
      </c>
      <c r="F187" s="22">
        <f>IF(+E187="","",IF($F$4="Per Unit",(IF($F$3="Monthly",+E187/Setup!$B$12/12,+E187/Setup!$B$12)),IF($F$3="Monthly",+E187/Setup!$B$13/12,+E187/Setup!$B$13)))</f>
        <v>7.0272727272727264</v>
      </c>
      <c r="G187" s="33">
        <f t="shared" si="15"/>
        <v>128.83333333333334</v>
      </c>
      <c r="H187" s="492"/>
      <c r="I187" s="492"/>
      <c r="J187" s="492"/>
      <c r="K187" s="492"/>
      <c r="L187" s="492"/>
      <c r="M187" s="492"/>
      <c r="N187" s="492"/>
      <c r="O187" s="492"/>
      <c r="P187" s="492"/>
      <c r="Q187" s="492"/>
      <c r="R187" s="492"/>
      <c r="S187" s="492"/>
      <c r="T187" s="492"/>
      <c r="U187" s="383"/>
    </row>
    <row r="188" spans="1:21" s="4" customFormat="1" ht="10.5" customHeight="1">
      <c r="A188" s="10" t="str">
        <f>IF(ISNA(VLOOKUP(B188,Setup!$A$74:$A$197,1,FALSE)),"","X")</f>
        <v>X</v>
      </c>
      <c r="B188" s="161">
        <v>514247</v>
      </c>
      <c r="C188" s="161" t="s">
        <v>334</v>
      </c>
      <c r="D188" s="21">
        <f>SUMIF('2016'!$A:$A,Input!$B188,'2016'!O:O)</f>
        <v>0</v>
      </c>
      <c r="E188" s="21">
        <f>IF(+'2017'!O188="","",+'2017'!O188)</f>
        <v>0</v>
      </c>
      <c r="F188" s="22">
        <f>IF(+E188="","",IF($F$4="Per Unit",(IF($F$3="Monthly",+E188/Setup!$B$12/12,+E188/Setup!$B$12)),IF($F$3="Monthly",+E188/Setup!$B$13/12,+E188/Setup!$B$13)))</f>
        <v>0</v>
      </c>
      <c r="G188" s="103">
        <f>SUMPRODUCT((B188=Setup!$A$105:$A$196)*(Setup!$I$105:$I$196))</f>
        <v>0</v>
      </c>
      <c r="H188" s="492"/>
      <c r="I188" s="492"/>
      <c r="J188" s="492"/>
      <c r="K188" s="492"/>
      <c r="L188" s="492"/>
      <c r="M188" s="492"/>
      <c r="N188" s="492"/>
      <c r="O188" s="492"/>
      <c r="P188" s="492"/>
      <c r="Q188" s="492"/>
      <c r="R188" s="492"/>
      <c r="S188" s="492"/>
      <c r="T188" s="492"/>
      <c r="U188" s="383"/>
    </row>
    <row r="189" spans="1:21" s="4" customFormat="1" ht="10.5" customHeight="1">
      <c r="A189" s="10" t="str">
        <f>IF(ISNA(VLOOKUP(B189,Setup!$A$74:$A$197,1,FALSE)),"","X")</f>
        <v/>
      </c>
      <c r="B189" s="161">
        <v>514248</v>
      </c>
      <c r="C189" s="161" t="s">
        <v>335</v>
      </c>
      <c r="D189" s="21">
        <f>SUMIF('2016'!$A:$A,Input!$B189,'2016'!O:O)</f>
        <v>3102</v>
      </c>
      <c r="E189" s="21">
        <f>IF(+'2017'!O189="","",+'2017'!O189)</f>
        <v>0</v>
      </c>
      <c r="F189" s="22">
        <f>IF(+E189="","",IF($F$4="Per Unit",(IF($F$3="Monthly",+E189/Setup!$B$12/12,+E189/Setup!$B$12)),IF($F$3="Monthly",+E189/Setup!$B$13/12,+E189/Setup!$B$13)))</f>
        <v>0</v>
      </c>
      <c r="G189" s="33"/>
      <c r="H189" s="492"/>
      <c r="I189" s="492"/>
      <c r="J189" s="492"/>
      <c r="K189" s="492"/>
      <c r="L189" s="492"/>
      <c r="M189" s="492"/>
      <c r="N189" s="492"/>
      <c r="O189" s="492"/>
      <c r="P189" s="492"/>
      <c r="Q189" s="492"/>
      <c r="R189" s="492"/>
      <c r="S189" s="492"/>
      <c r="T189" s="492"/>
      <c r="U189" s="383"/>
    </row>
    <row r="190" spans="1:21" s="4" customFormat="1" ht="10.5" customHeight="1">
      <c r="A190" s="10" t="str">
        <f>IF(ISNA(VLOOKUP(B190,Setup!$A$74:$A$197,1,FALSE)),"","X")</f>
        <v/>
      </c>
      <c r="B190" s="161">
        <v>514250</v>
      </c>
      <c r="C190" s="161" t="s">
        <v>336</v>
      </c>
      <c r="D190" s="21">
        <f>SUMIF('2016'!$A:$A,Input!$B190,'2016'!O:O)</f>
        <v>773</v>
      </c>
      <c r="E190" s="21">
        <f>IF(+'2017'!O190="","",+'2017'!O190)</f>
        <v>772.99999999999989</v>
      </c>
      <c r="F190" s="22">
        <f>IF(+E190="","",IF($F$4="Per Unit",(IF($F$3="Monthly",+E190/Setup!$B$12/12,+E190/Setup!$B$12)),IF($F$3="Monthly",+E190/Setup!$B$13/12,+E190/Setup!$B$13)))</f>
        <v>3.5136363636363632</v>
      </c>
      <c r="G190" s="33">
        <f t="shared" ref="G190:G195" si="16">+D190/12</f>
        <v>64.416666666666671</v>
      </c>
      <c r="H190" s="492"/>
      <c r="I190" s="492"/>
      <c r="J190" s="492"/>
      <c r="K190" s="492"/>
      <c r="L190" s="492"/>
      <c r="M190" s="492"/>
      <c r="N190" s="492"/>
      <c r="O190" s="492"/>
      <c r="P190" s="492"/>
      <c r="Q190" s="492"/>
      <c r="R190" s="492"/>
      <c r="S190" s="492"/>
      <c r="T190" s="492"/>
      <c r="U190" s="383"/>
    </row>
    <row r="191" spans="1:21" s="4" customFormat="1" ht="10.5" customHeight="1">
      <c r="A191" s="10">
        <v>0</v>
      </c>
      <c r="B191" s="161">
        <v>514255</v>
      </c>
      <c r="C191" s="161" t="s">
        <v>337</v>
      </c>
      <c r="D191" s="21">
        <f>SUMIF('2016'!$A:$A,Input!$B191,'2016'!O:O)</f>
        <v>0</v>
      </c>
      <c r="E191" s="21">
        <f>IF(+'2017'!O191="","",+'2017'!O191)</f>
        <v>0</v>
      </c>
      <c r="F191" s="22">
        <f>IF(+E191="","",IF($F$4="Per Unit",(IF($F$3="Monthly",+E191/Setup!$B$12/12,+E191/Setup!$B$12)),IF($F$3="Monthly",+E191/Setup!$B$13/12,+E191/Setup!$B$13)))</f>
        <v>0</v>
      </c>
      <c r="G191" s="33">
        <f t="shared" si="16"/>
        <v>0</v>
      </c>
      <c r="H191" s="492"/>
      <c r="I191" s="492"/>
      <c r="J191" s="492"/>
      <c r="K191" s="492"/>
      <c r="L191" s="492"/>
      <c r="M191" s="492"/>
      <c r="N191" s="492"/>
      <c r="O191" s="492"/>
      <c r="P191" s="492"/>
      <c r="Q191" s="492"/>
      <c r="R191" s="492"/>
      <c r="S191" s="492"/>
      <c r="T191" s="492"/>
      <c r="U191" s="383"/>
    </row>
    <row r="192" spans="1:21" s="4" customFormat="1" ht="10.5" customHeight="1">
      <c r="A192" s="10" t="str">
        <f>IF(ISNA(VLOOKUP(B192,Setup!$A$74:$A$197,1,FALSE)),"","X")</f>
        <v/>
      </c>
      <c r="B192" s="161">
        <v>514260</v>
      </c>
      <c r="C192" s="161" t="s">
        <v>338</v>
      </c>
      <c r="D192" s="21">
        <f>SUMIF('2016'!$A:$A,Input!$B192,'2016'!O:O)</f>
        <v>2482</v>
      </c>
      <c r="E192" s="21">
        <f>IF(+'2017'!O192="","",+'2017'!O192)</f>
        <v>2482</v>
      </c>
      <c r="F192" s="22">
        <f>IF(+E192="","",IF($F$4="Per Unit",(IF($F$3="Monthly",+E192/Setup!$B$12/12,+E192/Setup!$B$12)),IF($F$3="Monthly",+E192/Setup!$B$13/12,+E192/Setup!$B$13)))</f>
        <v>11.281818181818181</v>
      </c>
      <c r="G192" s="33">
        <f t="shared" si="16"/>
        <v>206.83333333333334</v>
      </c>
      <c r="H192" s="492"/>
      <c r="I192" s="492"/>
      <c r="J192" s="492"/>
      <c r="K192" s="492"/>
      <c r="L192" s="492"/>
      <c r="M192" s="492"/>
      <c r="N192" s="492"/>
      <c r="O192" s="492"/>
      <c r="P192" s="492"/>
      <c r="Q192" s="492"/>
      <c r="R192" s="492"/>
      <c r="S192" s="492"/>
      <c r="T192" s="492"/>
      <c r="U192" s="383"/>
    </row>
    <row r="193" spans="1:21" s="4" customFormat="1" ht="10.5" customHeight="1">
      <c r="A193" s="10" t="str">
        <f>IF(ISNA(VLOOKUP(B193,Setup!$A$74:$A$197,1,FALSE)),"","X")</f>
        <v/>
      </c>
      <c r="B193" s="161">
        <v>514265</v>
      </c>
      <c r="C193" s="161" t="s">
        <v>339</v>
      </c>
      <c r="D193" s="21">
        <f>SUMIF('2016'!$A:$A,Input!$B193,'2016'!O:O)</f>
        <v>700</v>
      </c>
      <c r="E193" s="21">
        <f>IF(+'2017'!O193="","",+'2017'!O193)</f>
        <v>700.00000000000011</v>
      </c>
      <c r="F193" s="22">
        <f>IF(+E193="","",IF($F$4="Per Unit",(IF($F$3="Monthly",+E193/Setup!$B$12/12,+E193/Setup!$B$12)),IF($F$3="Monthly",+E193/Setup!$B$13/12,+E193/Setup!$B$13)))</f>
        <v>3.1818181818181825</v>
      </c>
      <c r="G193" s="33">
        <f t="shared" si="16"/>
        <v>58.333333333333336</v>
      </c>
      <c r="H193" s="492"/>
      <c r="I193" s="492"/>
      <c r="J193" s="492"/>
      <c r="K193" s="492"/>
      <c r="L193" s="492"/>
      <c r="M193" s="492"/>
      <c r="N193" s="492"/>
      <c r="O193" s="492"/>
      <c r="P193" s="492"/>
      <c r="Q193" s="492"/>
      <c r="R193" s="492"/>
      <c r="S193" s="492"/>
      <c r="T193" s="492"/>
      <c r="U193" s="383"/>
    </row>
    <row r="194" spans="1:21" s="4" customFormat="1" ht="10.5" customHeight="1">
      <c r="A194" s="10" t="str">
        <f>IF(ISNA(VLOOKUP(B194,Setup!$A$74:$A$197,1,FALSE)),"","X")</f>
        <v/>
      </c>
      <c r="B194" s="161">
        <v>514267</v>
      </c>
      <c r="C194" s="161" t="s">
        <v>340</v>
      </c>
      <c r="D194" s="21">
        <f>SUMIF('2016'!$A:$A,Input!$B194,'2016'!O:O)</f>
        <v>0</v>
      </c>
      <c r="E194" s="21">
        <f>IF(+'2017'!O194="","",+'2017'!O194)</f>
        <v>0</v>
      </c>
      <c r="F194" s="22">
        <f>IF(+E194="","",IF($F$4="Per Unit",(IF($F$3="Monthly",+E194/Setup!$B$12/12,+E194/Setup!$B$12)),IF($F$3="Monthly",+E194/Setup!$B$13/12,+E194/Setup!$B$13)))</f>
        <v>0</v>
      </c>
      <c r="G194" s="33">
        <f t="shared" si="16"/>
        <v>0</v>
      </c>
      <c r="H194" s="492"/>
      <c r="I194" s="492"/>
      <c r="J194" s="492"/>
      <c r="K194" s="492"/>
      <c r="L194" s="492"/>
      <c r="M194" s="492"/>
      <c r="N194" s="492"/>
      <c r="O194" s="492"/>
      <c r="P194" s="492"/>
      <c r="Q194" s="492"/>
      <c r="R194" s="492"/>
      <c r="S194" s="492"/>
      <c r="T194" s="492"/>
      <c r="U194" s="383"/>
    </row>
    <row r="195" spans="1:21" s="4" customFormat="1" ht="10.5" customHeight="1">
      <c r="A195" s="10" t="str">
        <f>IF(ISNA(VLOOKUP(B195,Setup!$A$74:$A$197,1,FALSE)),"","X")</f>
        <v/>
      </c>
      <c r="B195" s="161">
        <v>514270</v>
      </c>
      <c r="C195" s="161" t="s">
        <v>341</v>
      </c>
      <c r="D195" s="21">
        <f>SUMIF('2016'!$A:$A,Input!$B195,'2016'!O:O)</f>
        <v>0</v>
      </c>
      <c r="E195" s="21">
        <f>IF(+'2017'!O195="","",+'2017'!O195)</f>
        <v>0</v>
      </c>
      <c r="F195" s="22">
        <f>IF(+E195="","",IF($F$4="Per Unit",(IF($F$3="Monthly",+E195/Setup!$B$12/12,+E195/Setup!$B$12)),IF($F$3="Monthly",+E195/Setup!$B$13/12,+E195/Setup!$B$13)))</f>
        <v>0</v>
      </c>
      <c r="G195" s="33">
        <f t="shared" si="16"/>
        <v>0</v>
      </c>
      <c r="H195" s="492"/>
      <c r="I195" s="492"/>
      <c r="J195" s="492"/>
      <c r="K195" s="492"/>
      <c r="L195" s="492"/>
      <c r="M195" s="492"/>
      <c r="N195" s="492"/>
      <c r="O195" s="492"/>
      <c r="P195" s="492"/>
      <c r="Q195" s="492"/>
      <c r="R195" s="492"/>
      <c r="S195" s="492"/>
      <c r="T195" s="492"/>
      <c r="U195" s="383"/>
    </row>
    <row r="196" spans="1:21" s="4" customFormat="1" ht="10.5" customHeight="1">
      <c r="A196" s="10" t="str">
        <f>IF(ISNA(VLOOKUP(B196,Setup!$A$74:$A$197,1,FALSE)),"","X")</f>
        <v/>
      </c>
      <c r="B196" s="161"/>
      <c r="C196" s="163"/>
      <c r="D196" s="21"/>
      <c r="E196" s="21" t="str">
        <f>IF(+'2017'!O196="","",+'2017'!O196)</f>
        <v/>
      </c>
      <c r="F196" s="22" t="str">
        <f>IF(+E196="","",IF($F$4="Per Unit",(IF($F$3="Monthly",+E196/Setup!$B$12/12,+E196/Setup!$B$12)),IF($F$3="Monthly",+E196/Setup!$B$13/12,+E196/Setup!$B$13)))</f>
        <v/>
      </c>
      <c r="G196" s="102"/>
      <c r="H196" s="377"/>
      <c r="I196" s="377"/>
      <c r="J196" s="377"/>
      <c r="K196" s="377"/>
      <c r="L196" s="377"/>
      <c r="M196" s="377"/>
      <c r="N196" s="377"/>
      <c r="O196" s="377"/>
      <c r="P196" s="377"/>
      <c r="Q196" s="377"/>
      <c r="R196" s="377"/>
      <c r="S196" s="377"/>
    </row>
    <row r="197" spans="1:21" s="4" customFormat="1" ht="10.5" customHeight="1">
      <c r="A197" s="10" t="str">
        <f>IF(ISNA(VLOOKUP(B197,Setup!$A$74:$A$197,1,FALSE)),"","X")</f>
        <v/>
      </c>
      <c r="B197" s="161"/>
      <c r="C197" s="159" t="s">
        <v>328</v>
      </c>
      <c r="D197" s="21">
        <f>SUM(D182:D195)</f>
        <v>15776</v>
      </c>
      <c r="E197" s="21">
        <f>IF(+'2017'!O197="","",+'2017'!O197)</f>
        <v>12673.999999999998</v>
      </c>
      <c r="F197" s="22">
        <f>IF(+E197="","",IF($F$4="Per Unit",(IF($F$3="Monthly",+E197/Setup!$B$12/12,+E197/Setup!$B$12)),IF($F$3="Monthly",+E197/Setup!$B$13/12,+E197/Setup!$B$13)))</f>
        <v>57.609090909090902</v>
      </c>
      <c r="G197" s="102"/>
      <c r="H197" s="377">
        <f>+'2017'!C197</f>
        <v>1056.1666666666667</v>
      </c>
      <c r="I197" s="377">
        <f>+'2017'!D197</f>
        <v>1056.1666666666667</v>
      </c>
      <c r="J197" s="377">
        <f>+'2017'!E197</f>
        <v>1056.1666666666667</v>
      </c>
      <c r="K197" s="377">
        <f>+'2017'!F197</f>
        <v>1056.1666666666667</v>
      </c>
      <c r="L197" s="377">
        <f>+'2017'!G197</f>
        <v>1056.1666666666667</v>
      </c>
      <c r="M197" s="377">
        <f>+'2017'!H197</f>
        <v>1056.1666666666667</v>
      </c>
      <c r="N197" s="377">
        <f>+'2017'!I197</f>
        <v>1056.1666666666667</v>
      </c>
      <c r="O197" s="377">
        <f>+'2017'!J197</f>
        <v>1056.1666666666667</v>
      </c>
      <c r="P197" s="377">
        <f>+'2017'!K197</f>
        <v>1056.1666666666667</v>
      </c>
      <c r="Q197" s="377">
        <f>+'2017'!L197</f>
        <v>1056.1666666666667</v>
      </c>
      <c r="R197" s="377">
        <f>+'2017'!M197</f>
        <v>1056.1666666666667</v>
      </c>
      <c r="S197" s="377">
        <f>+'2017'!N197</f>
        <v>1056.1666666666667</v>
      </c>
    </row>
    <row r="198" spans="1:21" s="4" customFormat="1" ht="10.5" customHeight="1">
      <c r="A198" s="10" t="str">
        <f>IF(ISNA(VLOOKUP(B198,Setup!$A$74:$A$197,1,FALSE)),"","X")</f>
        <v/>
      </c>
      <c r="B198" s="161"/>
      <c r="C198" s="161" t="s">
        <v>342</v>
      </c>
      <c r="D198" s="21"/>
      <c r="E198" s="21" t="str">
        <f>IF(+'2017'!O198="","",+'2017'!O198)</f>
        <v/>
      </c>
      <c r="F198" s="22" t="str">
        <f>IF(+E198="","",IF($F$4="Per Unit",(IF($F$3="Monthly",+E198/Setup!$B$12/12,+E198/Setup!$B$12)),IF($F$3="Monthly",+E198/Setup!$B$13/12,+E198/Setup!$B$13)))</f>
        <v/>
      </c>
      <c r="G198" s="102"/>
      <c r="H198" s="377"/>
      <c r="I198" s="377"/>
      <c r="J198" s="377"/>
      <c r="K198" s="377"/>
      <c r="L198" s="377"/>
      <c r="M198" s="377"/>
      <c r="N198" s="377"/>
      <c r="O198" s="377"/>
      <c r="P198" s="377"/>
      <c r="Q198" s="377"/>
      <c r="R198" s="377"/>
      <c r="S198" s="377"/>
    </row>
    <row r="199" spans="1:21" s="10" customFormat="1" ht="10.5" customHeight="1">
      <c r="A199" s="10" t="str">
        <f>IF(ISNA(VLOOKUP(B199,Setup!$A$74:$A$197,1,FALSE)),"","X")</f>
        <v/>
      </c>
      <c r="B199" s="161">
        <v>514405</v>
      </c>
      <c r="C199" s="161" t="s">
        <v>343</v>
      </c>
      <c r="D199" s="21">
        <f>SUMIF('2016'!$A:$A,Input!$B199,'2016'!O:O)</f>
        <v>74</v>
      </c>
      <c r="E199" s="21">
        <f>IF(+'2017'!O199="","",+'2017'!O199)</f>
        <v>74</v>
      </c>
      <c r="F199" s="22">
        <f>IF(+E199="","",IF($F$4="Per Unit",(IF($F$3="Monthly",+E199/Setup!$B$12/12,+E199/Setup!$B$12)),IF($F$3="Monthly",+E199/Setup!$B$13/12,+E199/Setup!$B$13)))</f>
        <v>0.33636363636363636</v>
      </c>
      <c r="G199" s="33">
        <f t="shared" ref="G199:G202" si="17">+D199/12</f>
        <v>6.166666666666667</v>
      </c>
      <c r="H199" s="492"/>
      <c r="I199" s="492"/>
      <c r="J199" s="492"/>
      <c r="K199" s="492"/>
      <c r="L199" s="492"/>
      <c r="M199" s="492"/>
      <c r="N199" s="492"/>
      <c r="O199" s="492"/>
      <c r="P199" s="492"/>
      <c r="Q199" s="492"/>
      <c r="R199" s="492"/>
      <c r="S199" s="492"/>
      <c r="T199" s="492"/>
      <c r="U199" s="383"/>
    </row>
    <row r="200" spans="1:21" s="17" customFormat="1" ht="10.5" customHeight="1">
      <c r="A200" s="10" t="str">
        <f>IF(ISNA(VLOOKUP(B200,Setup!$A$74:$A$197,1,FALSE)),"","X")</f>
        <v/>
      </c>
      <c r="B200" s="161">
        <v>514407</v>
      </c>
      <c r="C200" s="161" t="s">
        <v>344</v>
      </c>
      <c r="D200" s="21">
        <f>SUMIF('2016'!$A:$A,Input!$B200,'2016'!O:O)</f>
        <v>0</v>
      </c>
      <c r="E200" s="21">
        <f>IF(+'2017'!O200="","",+'2017'!O200)</f>
        <v>0</v>
      </c>
      <c r="F200" s="22">
        <f>IF(+E200="","",IF($F$4="Per Unit",(IF($F$3="Monthly",+E200/Setup!$B$12/12,+E200/Setup!$B$12)),IF($F$3="Monthly",+E200/Setup!$B$13/12,+E200/Setup!$B$13)))</f>
        <v>0</v>
      </c>
      <c r="G200" s="33">
        <f t="shared" si="17"/>
        <v>0</v>
      </c>
      <c r="H200" s="492"/>
      <c r="I200" s="492"/>
      <c r="J200" s="492"/>
      <c r="K200" s="492"/>
      <c r="L200" s="492"/>
      <c r="M200" s="492"/>
      <c r="N200" s="492"/>
      <c r="O200" s="492"/>
      <c r="P200" s="492"/>
      <c r="Q200" s="492"/>
      <c r="R200" s="492"/>
      <c r="S200" s="492"/>
      <c r="T200" s="492"/>
      <c r="U200" s="383"/>
    </row>
    <row r="201" spans="1:21" s="17" customFormat="1" ht="10.5" customHeight="1">
      <c r="A201" s="10" t="str">
        <f>IF(ISNA(VLOOKUP(B201,Setup!$A$74:$A$197,1,FALSE)),"","X")</f>
        <v/>
      </c>
      <c r="B201" s="161">
        <v>514410</v>
      </c>
      <c r="C201" s="161" t="s">
        <v>345</v>
      </c>
      <c r="D201" s="21">
        <f>SUMIF('2016'!$A:$A,Input!$B201,'2016'!O:O)</f>
        <v>5693</v>
      </c>
      <c r="E201" s="21">
        <f>IF(+'2017'!O201="","",+'2017'!O201)</f>
        <v>5693.0000000000009</v>
      </c>
      <c r="F201" s="22">
        <f>IF(+E201="","",IF($F$4="Per Unit",(IF($F$3="Monthly",+E201/Setup!$B$12/12,+E201/Setup!$B$12)),IF($F$3="Monthly",+E201/Setup!$B$13/12,+E201/Setup!$B$13)))</f>
        <v>25.877272727272732</v>
      </c>
      <c r="G201" s="33">
        <f t="shared" si="17"/>
        <v>474.41666666666669</v>
      </c>
      <c r="H201" s="492"/>
      <c r="I201" s="492"/>
      <c r="J201" s="492"/>
      <c r="K201" s="492"/>
      <c r="L201" s="492"/>
      <c r="M201" s="492"/>
      <c r="N201" s="492"/>
      <c r="O201" s="492"/>
      <c r="P201" s="492"/>
      <c r="Q201" s="492"/>
      <c r="R201" s="492"/>
      <c r="S201" s="492"/>
      <c r="T201" s="492"/>
      <c r="U201" s="383"/>
    </row>
    <row r="202" spans="1:21" s="4" customFormat="1" ht="10.5" customHeight="1">
      <c r="A202" s="10" t="str">
        <f>IF(ISNA(VLOOKUP(B202,Setup!$A$74:$A$197,1,FALSE)),"","X")</f>
        <v/>
      </c>
      <c r="B202" s="161">
        <v>514415</v>
      </c>
      <c r="C202" s="161" t="s">
        <v>346</v>
      </c>
      <c r="D202" s="21">
        <f>SUMIF('2016'!$A:$A,Input!$B202,'2016'!O:O)</f>
        <v>0</v>
      </c>
      <c r="E202" s="21">
        <f>IF(+'2017'!O202="","",+'2017'!O202)</f>
        <v>0</v>
      </c>
      <c r="F202" s="22">
        <f>IF(+E202="","",IF($F$4="Per Unit",(IF($F$3="Monthly",+E202/Setup!$B$12/12,+E202/Setup!$B$12)),IF($F$3="Monthly",+E202/Setup!$B$13/12,+E202/Setup!$B$13)))</f>
        <v>0</v>
      </c>
      <c r="G202" s="33">
        <f t="shared" si="17"/>
        <v>0</v>
      </c>
      <c r="H202" s="492"/>
      <c r="I202" s="492"/>
      <c r="J202" s="492"/>
      <c r="K202" s="492"/>
      <c r="L202" s="492"/>
      <c r="M202" s="492"/>
      <c r="N202" s="492"/>
      <c r="O202" s="492"/>
      <c r="P202" s="492"/>
      <c r="Q202" s="492"/>
      <c r="R202" s="492"/>
      <c r="S202" s="492"/>
      <c r="T202" s="492"/>
      <c r="U202" s="383"/>
    </row>
    <row r="203" spans="1:21" s="4" customFormat="1" ht="10.5" customHeight="1">
      <c r="A203" s="10" t="str">
        <f>IF(ISNA(VLOOKUP(B203,Setup!$A$74:$A$197,1,FALSE)),"","X")</f>
        <v/>
      </c>
      <c r="B203" s="161"/>
      <c r="C203" s="163"/>
      <c r="D203" s="21"/>
      <c r="E203" s="21" t="str">
        <f>IF(+'2017'!O203="","",+'2017'!O203)</f>
        <v/>
      </c>
      <c r="F203" s="22" t="str">
        <f>IF(+E203="","",IF($F$4="Per Unit",(IF($F$3="Monthly",+E203/Setup!$B$12/12,+E203/Setup!$B$12)),IF($F$3="Monthly",+E203/Setup!$B$13/12,+E203/Setup!$B$13)))</f>
        <v/>
      </c>
      <c r="G203" s="102"/>
      <c r="H203" s="377"/>
      <c r="I203" s="377"/>
      <c r="J203" s="377"/>
      <c r="K203" s="377"/>
      <c r="L203" s="377"/>
      <c r="M203" s="377"/>
      <c r="N203" s="377"/>
      <c r="O203" s="377"/>
      <c r="P203" s="377"/>
      <c r="Q203" s="377"/>
      <c r="R203" s="377"/>
      <c r="S203" s="377"/>
    </row>
    <row r="204" spans="1:21" s="4" customFormat="1" ht="10.5" customHeight="1">
      <c r="A204" s="10" t="str">
        <f>IF(ISNA(VLOOKUP(B204,Setup!$A$74:$A$197,1,FALSE)),"","X")</f>
        <v/>
      </c>
      <c r="B204" s="161"/>
      <c r="C204" s="159" t="s">
        <v>342</v>
      </c>
      <c r="D204" s="21">
        <f>SUM(D199:D202)</f>
        <v>5767</v>
      </c>
      <c r="E204" s="21">
        <f>IF(+'2017'!O204="","",+'2017'!O204)</f>
        <v>5767</v>
      </c>
      <c r="F204" s="22">
        <f>IF(+E204="","",IF($F$4="Per Unit",(IF($F$3="Monthly",+E204/Setup!$B$12/12,+E204/Setup!$B$12)),IF($F$3="Monthly",+E204/Setup!$B$13/12,+E204/Setup!$B$13)))</f>
        <v>26.213636363636365</v>
      </c>
      <c r="G204" s="102"/>
      <c r="H204" s="377">
        <f>+'2017'!C204</f>
        <v>480.58333333333337</v>
      </c>
      <c r="I204" s="377">
        <f>+'2017'!D204</f>
        <v>480.58333333333337</v>
      </c>
      <c r="J204" s="377">
        <f>+'2017'!E204</f>
        <v>480.58333333333337</v>
      </c>
      <c r="K204" s="377">
        <f>+'2017'!F204</f>
        <v>480.58333333333337</v>
      </c>
      <c r="L204" s="377">
        <f>+'2017'!G204</f>
        <v>480.58333333333337</v>
      </c>
      <c r="M204" s="377">
        <f>+'2017'!H204</f>
        <v>480.58333333333337</v>
      </c>
      <c r="N204" s="377">
        <f>+'2017'!I204</f>
        <v>480.58333333333337</v>
      </c>
      <c r="O204" s="377">
        <f>+'2017'!J204</f>
        <v>480.58333333333337</v>
      </c>
      <c r="P204" s="377">
        <f>+'2017'!K204</f>
        <v>480.58333333333337</v>
      </c>
      <c r="Q204" s="377">
        <f>+'2017'!L204</f>
        <v>480.58333333333337</v>
      </c>
      <c r="R204" s="377">
        <f>+'2017'!M204</f>
        <v>480.58333333333337</v>
      </c>
      <c r="S204" s="377">
        <f>+'2017'!N204</f>
        <v>480.58333333333337</v>
      </c>
    </row>
    <row r="205" spans="1:21" s="4" customFormat="1" ht="10.5" customHeight="1">
      <c r="A205" s="10" t="str">
        <f>IF(ISNA(VLOOKUP(B205,Setup!$A$74:$A$197,1,FALSE)),"","X")</f>
        <v/>
      </c>
      <c r="B205" s="161"/>
      <c r="C205" s="161" t="s">
        <v>347</v>
      </c>
      <c r="D205" s="21"/>
      <c r="E205" s="21" t="str">
        <f>IF(+'2017'!O205="","",+'2017'!O205)</f>
        <v/>
      </c>
      <c r="F205" s="22" t="str">
        <f>IF(+E205="","",IF($F$4="Per Unit",(IF($F$3="Monthly",+E205/Setup!$B$12/12,+E205/Setup!$B$12)),IF($F$3="Monthly",+E205/Setup!$B$13/12,+E205/Setup!$B$13)))</f>
        <v/>
      </c>
      <c r="G205" s="102"/>
      <c r="H205" s="377"/>
      <c r="I205" s="377"/>
      <c r="J205" s="377"/>
      <c r="K205" s="377"/>
      <c r="L205" s="377"/>
      <c r="M205" s="377"/>
      <c r="N205" s="377"/>
      <c r="O205" s="377"/>
      <c r="P205" s="377"/>
      <c r="Q205" s="377"/>
      <c r="R205" s="377"/>
      <c r="S205" s="377"/>
    </row>
    <row r="206" spans="1:21" s="10" customFormat="1" ht="10.5" customHeight="1">
      <c r="A206" s="10" t="str">
        <f>IF(ISNA(VLOOKUP(B206,Setup!$A$74:$A$197,1,FALSE)),"","X")</f>
        <v/>
      </c>
      <c r="B206" s="161">
        <v>514305</v>
      </c>
      <c r="C206" s="161" t="s">
        <v>348</v>
      </c>
      <c r="D206" s="21">
        <f>SUMIF('2016'!$A:$A,Input!$B206,'2016'!O:O)</f>
        <v>1257</v>
      </c>
      <c r="E206" s="21">
        <f>IF(+'2017'!O206="","",+'2017'!O206)</f>
        <v>1257</v>
      </c>
      <c r="F206" s="22">
        <f>IF(+E206="","",IF($F$4="Per Unit",(IF($F$3="Monthly",+E206/Setup!$B$12/12,+E206/Setup!$B$12)),IF($F$3="Monthly",+E206/Setup!$B$13/12,+E206/Setup!$B$13)))</f>
        <v>5.7136363636363638</v>
      </c>
      <c r="G206" s="33">
        <f t="shared" ref="G206:G221" si="18">+D206/12</f>
        <v>104.75</v>
      </c>
      <c r="H206" s="492"/>
      <c r="I206" s="492"/>
      <c r="J206" s="492"/>
      <c r="K206" s="492"/>
      <c r="L206" s="492"/>
      <c r="M206" s="492"/>
      <c r="N206" s="492"/>
      <c r="O206" s="492"/>
      <c r="P206" s="492"/>
      <c r="Q206" s="492"/>
      <c r="R206" s="492"/>
      <c r="S206" s="492"/>
      <c r="T206" s="492"/>
      <c r="U206" s="383"/>
    </row>
    <row r="207" spans="1:21" s="17" customFormat="1" ht="10.5" customHeight="1">
      <c r="A207" s="10" t="str">
        <f>IF(ISNA(VLOOKUP(B207,Setup!$A$74:$A$197,1,FALSE)),"","X")</f>
        <v/>
      </c>
      <c r="B207" s="161">
        <v>514310</v>
      </c>
      <c r="C207" s="161" t="s">
        <v>349</v>
      </c>
      <c r="D207" s="21">
        <f>SUMIF('2016'!$A:$A,Input!$B207,'2016'!O:O)</f>
        <v>157</v>
      </c>
      <c r="E207" s="21">
        <f>IF(+'2017'!O207="","",+'2017'!O207)</f>
        <v>157</v>
      </c>
      <c r="F207" s="22">
        <f>IF(+E207="","",IF($F$4="Per Unit",(IF($F$3="Monthly",+E207/Setup!$B$12/12,+E207/Setup!$B$12)),IF($F$3="Monthly",+E207/Setup!$B$13/12,+E207/Setup!$B$13)))</f>
        <v>0.71363636363636362</v>
      </c>
      <c r="G207" s="33">
        <f t="shared" si="18"/>
        <v>13.083333333333334</v>
      </c>
      <c r="H207" s="492"/>
      <c r="I207" s="492"/>
      <c r="J207" s="492"/>
      <c r="K207" s="492"/>
      <c r="L207" s="492"/>
      <c r="M207" s="492"/>
      <c r="N207" s="492"/>
      <c r="O207" s="492"/>
      <c r="P207" s="492"/>
      <c r="Q207" s="492"/>
      <c r="R207" s="492"/>
      <c r="S207" s="492"/>
      <c r="T207" s="492"/>
      <c r="U207" s="383"/>
    </row>
    <row r="208" spans="1:21" s="17" customFormat="1" ht="10.5" customHeight="1">
      <c r="A208" s="10" t="str">
        <f>IF(ISNA(VLOOKUP(B208,Setup!$A$74:$A$197,1,FALSE)),"","X")</f>
        <v/>
      </c>
      <c r="B208" s="161">
        <v>514315</v>
      </c>
      <c r="C208" s="161" t="s">
        <v>350</v>
      </c>
      <c r="D208" s="21">
        <f>SUMIF('2016'!$A:$A,Input!$B208,'2016'!O:O)</f>
        <v>0</v>
      </c>
      <c r="E208" s="21">
        <f>IF(+'2017'!O208="","",+'2017'!O208)</f>
        <v>0</v>
      </c>
      <c r="F208" s="22">
        <f>IF(+E208="","",IF($F$4="Per Unit",(IF($F$3="Monthly",+E208/Setup!$B$12/12,+E208/Setup!$B$12)),IF($F$3="Monthly",+E208/Setup!$B$13/12,+E208/Setup!$B$13)))</f>
        <v>0</v>
      </c>
      <c r="G208" s="33">
        <f t="shared" si="18"/>
        <v>0</v>
      </c>
      <c r="H208" s="492"/>
      <c r="I208" s="492"/>
      <c r="J208" s="492"/>
      <c r="K208" s="492"/>
      <c r="L208" s="492"/>
      <c r="M208" s="492"/>
      <c r="N208" s="492"/>
      <c r="O208" s="492"/>
      <c r="P208" s="492"/>
      <c r="Q208" s="492"/>
      <c r="R208" s="492"/>
      <c r="S208" s="492"/>
      <c r="T208" s="492"/>
      <c r="U208" s="383"/>
    </row>
    <row r="209" spans="1:21" s="4" customFormat="1" ht="10.5" customHeight="1">
      <c r="A209" s="10" t="str">
        <f>IF(ISNA(VLOOKUP(B209,Setup!$A$74:$A$197,1,FALSE)),"","X")</f>
        <v/>
      </c>
      <c r="B209" s="161">
        <v>514320</v>
      </c>
      <c r="C209" s="196" t="s">
        <v>329</v>
      </c>
      <c r="D209" s="21">
        <f>SUMIF('2016'!$A:$A,Input!$B209,'2016'!O:O)</f>
        <v>176</v>
      </c>
      <c r="E209" s="21">
        <f>IF(+'2017'!O209="","",+'2017'!O209)</f>
        <v>175.99999999999997</v>
      </c>
      <c r="F209" s="22">
        <f>IF(+E209="","",IF($F$4="Per Unit",(IF($F$3="Monthly",+E209/Setup!$B$12/12,+E209/Setup!$B$12)),IF($F$3="Monthly",+E209/Setup!$B$13/12,+E209/Setup!$B$13)))</f>
        <v>0.79999999999999982</v>
      </c>
      <c r="G209" s="33">
        <f t="shared" si="18"/>
        <v>14.666666666666666</v>
      </c>
      <c r="H209" s="492"/>
      <c r="I209" s="492"/>
      <c r="J209" s="492"/>
      <c r="K209" s="492"/>
      <c r="L209" s="492"/>
      <c r="M209" s="492"/>
      <c r="N209" s="492"/>
      <c r="O209" s="492"/>
      <c r="P209" s="492"/>
      <c r="Q209" s="492"/>
      <c r="R209" s="492"/>
      <c r="S209" s="492"/>
      <c r="T209" s="492"/>
      <c r="U209" s="383"/>
    </row>
    <row r="210" spans="1:21" s="4" customFormat="1" ht="10.5" customHeight="1">
      <c r="A210" s="10" t="str">
        <f>IF(ISNA(VLOOKUP(B210,Setup!$A$74:$A$197,1,FALSE)),"","X")</f>
        <v/>
      </c>
      <c r="B210" s="161">
        <v>514322</v>
      </c>
      <c r="C210" s="161" t="s">
        <v>351</v>
      </c>
      <c r="D210" s="21">
        <f>SUMIF('2016'!$A:$A,Input!$B210,'2016'!O:O)</f>
        <v>3100</v>
      </c>
      <c r="E210" s="21">
        <f>IF(+'2017'!O210="","",+'2017'!O210)</f>
        <v>3100.0000000000005</v>
      </c>
      <c r="F210" s="22">
        <f>IF(+E210="","",IF($F$4="Per Unit",(IF($F$3="Monthly",+E210/Setup!$B$12/12,+E210/Setup!$B$12)),IF($F$3="Monthly",+E210/Setup!$B$13/12,+E210/Setup!$B$13)))</f>
        <v>14.090909090909093</v>
      </c>
      <c r="G210" s="33">
        <f t="shared" si="18"/>
        <v>258.33333333333331</v>
      </c>
      <c r="H210" s="492"/>
      <c r="I210" s="492"/>
      <c r="J210" s="492"/>
      <c r="K210" s="492"/>
      <c r="L210" s="492"/>
      <c r="M210" s="492"/>
      <c r="N210" s="492"/>
      <c r="O210" s="492"/>
      <c r="P210" s="492"/>
      <c r="Q210" s="492"/>
      <c r="R210" s="492"/>
      <c r="S210" s="492"/>
      <c r="T210" s="492"/>
      <c r="U210" s="383"/>
    </row>
    <row r="211" spans="1:21" s="4" customFormat="1" ht="10.5" customHeight="1">
      <c r="A211" s="10" t="str">
        <f>IF(ISNA(VLOOKUP(B211,Setup!$A$74:$A$197,1,FALSE)),"","X")</f>
        <v/>
      </c>
      <c r="B211" s="161">
        <v>514325</v>
      </c>
      <c r="C211" s="161" t="s">
        <v>352</v>
      </c>
      <c r="D211" s="21">
        <f>SUMIF('2016'!$A:$A,Input!$B211,'2016'!O:O)</f>
        <v>2637</v>
      </c>
      <c r="E211" s="21">
        <f>IF(+'2017'!O211="","",+'2017'!O211)</f>
        <v>2637</v>
      </c>
      <c r="F211" s="22">
        <f>IF(+E211="","",IF($F$4="Per Unit",(IF($F$3="Monthly",+E211/Setup!$B$12/12,+E211/Setup!$B$12)),IF($F$3="Monthly",+E211/Setup!$B$13/12,+E211/Setup!$B$13)))</f>
        <v>11.986363636363636</v>
      </c>
      <c r="G211" s="33">
        <f t="shared" si="18"/>
        <v>219.75</v>
      </c>
      <c r="H211" s="492"/>
      <c r="I211" s="492"/>
      <c r="J211" s="492"/>
      <c r="K211" s="492"/>
      <c r="L211" s="492"/>
      <c r="M211" s="492"/>
      <c r="N211" s="492"/>
      <c r="O211" s="492"/>
      <c r="P211" s="492"/>
      <c r="Q211" s="492"/>
      <c r="R211" s="492"/>
      <c r="S211" s="492"/>
      <c r="T211" s="492"/>
      <c r="U211" s="383"/>
    </row>
    <row r="212" spans="1:21" s="4" customFormat="1" ht="10.5" customHeight="1">
      <c r="A212" s="10" t="str">
        <f>IF(ISNA(VLOOKUP(B212,Setup!$A$74:$A$197,1,FALSE)),"","X")</f>
        <v/>
      </c>
      <c r="B212" s="161">
        <v>514335</v>
      </c>
      <c r="C212" s="196" t="s">
        <v>540</v>
      </c>
      <c r="D212" s="21">
        <f>SUMIF('2016'!$A:$A,Input!$B212,'2016'!O:O)</f>
        <v>0</v>
      </c>
      <c r="E212" s="21">
        <f>IF(+'2017'!O212="","",+'2017'!O212)</f>
        <v>0</v>
      </c>
      <c r="F212" s="22">
        <f>IF(+E212="","",IF($F$4="Per Unit",(IF($F$3="Monthly",+E212/Setup!$B$12/12,+E212/Setup!$B$12)),IF($F$3="Monthly",+E212/Setup!$B$13/12,+E212/Setup!$B$13)))</f>
        <v>0</v>
      </c>
      <c r="G212" s="33">
        <f t="shared" si="18"/>
        <v>0</v>
      </c>
      <c r="H212" s="492"/>
      <c r="I212" s="492"/>
      <c r="J212" s="492"/>
      <c r="K212" s="492"/>
      <c r="L212" s="492"/>
      <c r="M212" s="492"/>
      <c r="N212" s="492"/>
      <c r="O212" s="492"/>
      <c r="P212" s="492"/>
      <c r="Q212" s="492"/>
      <c r="R212" s="492"/>
      <c r="S212" s="492"/>
      <c r="T212" s="492"/>
      <c r="U212" s="383"/>
    </row>
    <row r="213" spans="1:21" s="4" customFormat="1" ht="10.5" customHeight="1">
      <c r="A213" s="10" t="str">
        <f>IF(ISNA(VLOOKUP(B213,Setup!$A$74:$A$197,1,FALSE)),"","X")</f>
        <v/>
      </c>
      <c r="B213" s="161">
        <v>514345</v>
      </c>
      <c r="C213" s="161" t="s">
        <v>353</v>
      </c>
      <c r="D213" s="21">
        <f>SUMIF('2016'!$A:$A,Input!$B213,'2016'!O:O)</f>
        <v>0</v>
      </c>
      <c r="E213" s="21">
        <f>IF(+'2017'!O213="","",+'2017'!O213)</f>
        <v>0</v>
      </c>
      <c r="F213" s="22">
        <f>IF(+E213="","",IF($F$4="Per Unit",(IF($F$3="Monthly",+E213/Setup!$B$12/12,+E213/Setup!$B$12)),IF($F$3="Monthly",+E213/Setup!$B$13/12,+E213/Setup!$B$13)))</f>
        <v>0</v>
      </c>
      <c r="G213" s="33">
        <f t="shared" si="18"/>
        <v>0</v>
      </c>
      <c r="H213" s="492"/>
      <c r="I213" s="492"/>
      <c r="J213" s="492"/>
      <c r="K213" s="492"/>
      <c r="L213" s="492"/>
      <c r="M213" s="492"/>
      <c r="N213" s="492"/>
      <c r="O213" s="492"/>
      <c r="P213" s="492"/>
      <c r="Q213" s="492"/>
      <c r="R213" s="492"/>
      <c r="S213" s="492"/>
      <c r="T213" s="492"/>
      <c r="U213" s="383"/>
    </row>
    <row r="214" spans="1:21" s="4" customFormat="1" ht="10.5" customHeight="1">
      <c r="A214" s="10" t="str">
        <f>IF(ISNA(VLOOKUP(B214,Setup!$A$74:$A$197,1,FALSE)),"","X")</f>
        <v/>
      </c>
      <c r="B214" s="161">
        <v>514350</v>
      </c>
      <c r="C214" s="161" t="s">
        <v>354</v>
      </c>
      <c r="D214" s="21">
        <f>SUMIF('2016'!$A:$A,Input!$B214,'2016'!O:O)</f>
        <v>0</v>
      </c>
      <c r="E214" s="21">
        <f>IF(+'2017'!O214="","",+'2017'!O214)</f>
        <v>0</v>
      </c>
      <c r="F214" s="22">
        <f>IF(+E214="","",IF($F$4="Per Unit",(IF($F$3="Monthly",+E214/Setup!$B$12/12,+E214/Setup!$B$12)),IF($F$3="Monthly",+E214/Setup!$B$13/12,+E214/Setup!$B$13)))</f>
        <v>0</v>
      </c>
      <c r="G214" s="33">
        <f t="shared" si="18"/>
        <v>0</v>
      </c>
      <c r="H214" s="492"/>
      <c r="I214" s="492"/>
      <c r="J214" s="492"/>
      <c r="K214" s="492"/>
      <c r="L214" s="492"/>
      <c r="M214" s="492"/>
      <c r="N214" s="492"/>
      <c r="O214" s="492"/>
      <c r="P214" s="492"/>
      <c r="Q214" s="492"/>
      <c r="R214" s="492"/>
      <c r="S214" s="492"/>
      <c r="T214" s="492"/>
      <c r="U214" s="383"/>
    </row>
    <row r="215" spans="1:21" s="4" customFormat="1" ht="10.5" customHeight="1">
      <c r="A215" s="10" t="str">
        <f>IF(ISNA(VLOOKUP(B215,Setup!$A$74:$A$197,1,FALSE)),"","X")</f>
        <v/>
      </c>
      <c r="B215" s="161">
        <v>514352</v>
      </c>
      <c r="C215" s="4" t="s">
        <v>607</v>
      </c>
      <c r="D215" s="21">
        <f>SUMIF('2016'!$A:$A,Input!$B215,'2016'!O:O)</f>
        <v>9079</v>
      </c>
      <c r="E215" s="21">
        <f>IF(+'2017'!O215="","",+'2017'!O215)</f>
        <v>9079</v>
      </c>
      <c r="F215" s="22">
        <f>IF(+E215="","",IF($F$4="Per Unit",(IF($F$3="Monthly",+E215/Setup!$B$12/12,+E215/Setup!$B$12)),IF($F$3="Monthly",+E215/Setup!$B$13/12,+E215/Setup!$B$13)))</f>
        <v>41.268181818181816</v>
      </c>
      <c r="G215" s="33">
        <f t="shared" si="18"/>
        <v>756.58333333333337</v>
      </c>
      <c r="H215" s="492"/>
      <c r="I215" s="492"/>
      <c r="J215" s="492"/>
      <c r="K215" s="492"/>
      <c r="L215" s="492"/>
      <c r="M215" s="492"/>
      <c r="N215" s="492"/>
      <c r="O215" s="492"/>
      <c r="P215" s="492"/>
      <c r="Q215" s="492"/>
      <c r="R215" s="492"/>
      <c r="S215" s="492"/>
      <c r="T215" s="492"/>
      <c r="U215" s="383"/>
    </row>
    <row r="216" spans="1:21" s="4" customFormat="1" ht="10.5" customHeight="1">
      <c r="A216" s="10" t="str">
        <f>IF(ISNA(VLOOKUP(B216,Setup!$A$74:$A$197,1,FALSE)),"","X")</f>
        <v/>
      </c>
      <c r="B216" s="161">
        <v>514355</v>
      </c>
      <c r="C216" s="161" t="s">
        <v>356</v>
      </c>
      <c r="D216" s="21">
        <f>SUMIF('2016'!$A:$A,Input!$B216,'2016'!O:O)</f>
        <v>1982</v>
      </c>
      <c r="E216" s="21">
        <f>IF(+'2017'!O216="","",+'2017'!O216)</f>
        <v>1982.0000000000002</v>
      </c>
      <c r="F216" s="22">
        <f>IF(+E216="","",IF($F$4="Per Unit",(IF($F$3="Monthly",+E216/Setup!$B$12/12,+E216/Setup!$B$12)),IF($F$3="Monthly",+E216/Setup!$B$13/12,+E216/Setup!$B$13)))</f>
        <v>9.0090909090909097</v>
      </c>
      <c r="G216" s="33">
        <f t="shared" si="18"/>
        <v>165.16666666666666</v>
      </c>
      <c r="H216" s="492"/>
      <c r="I216" s="492"/>
      <c r="J216" s="492"/>
      <c r="K216" s="492"/>
      <c r="L216" s="492"/>
      <c r="M216" s="492"/>
      <c r="N216" s="492"/>
      <c r="O216" s="492"/>
      <c r="P216" s="492"/>
      <c r="Q216" s="492"/>
      <c r="R216" s="492"/>
      <c r="S216" s="492"/>
      <c r="T216" s="492"/>
      <c r="U216" s="383"/>
    </row>
    <row r="217" spans="1:21" s="4" customFormat="1" ht="10.5" customHeight="1">
      <c r="A217" s="10" t="str">
        <f>IF(ISNA(VLOOKUP(B217,Setup!$A$74:$A$197,1,FALSE)),"","X")</f>
        <v/>
      </c>
      <c r="B217" s="161">
        <v>514360</v>
      </c>
      <c r="C217" s="161" t="s">
        <v>357</v>
      </c>
      <c r="D217" s="21">
        <f>SUMIF('2016'!$A:$A,Input!$B217,'2016'!O:O)</f>
        <v>2153</v>
      </c>
      <c r="E217" s="21">
        <f>IF(+'2017'!O217="","",+'2017'!O217)</f>
        <v>2153.0000000000005</v>
      </c>
      <c r="F217" s="22">
        <f>IF(+E217="","",IF($F$4="Per Unit",(IF($F$3="Monthly",+E217/Setup!$B$12/12,+E217/Setup!$B$12)),IF($F$3="Monthly",+E217/Setup!$B$13/12,+E217/Setup!$B$13)))</f>
        <v>9.7863636363636388</v>
      </c>
      <c r="G217" s="33">
        <f t="shared" si="18"/>
        <v>179.41666666666666</v>
      </c>
      <c r="H217" s="492"/>
      <c r="I217" s="492"/>
      <c r="J217" s="492"/>
      <c r="K217" s="492"/>
      <c r="L217" s="492"/>
      <c r="M217" s="492"/>
      <c r="N217" s="492"/>
      <c r="O217" s="492"/>
      <c r="P217" s="492"/>
      <c r="Q217" s="492"/>
      <c r="R217" s="492"/>
      <c r="S217" s="492"/>
      <c r="T217" s="492"/>
      <c r="U217" s="383"/>
    </row>
    <row r="218" spans="1:21" s="4" customFormat="1" ht="10.5" customHeight="1">
      <c r="A218" s="10" t="str">
        <f>IF(ISNA(VLOOKUP(B218,Setup!$A$74:$A$197,1,FALSE)),"","X")</f>
        <v/>
      </c>
      <c r="B218" s="161">
        <v>514365</v>
      </c>
      <c r="C218" s="161" t="s">
        <v>358</v>
      </c>
      <c r="D218" s="21">
        <f>SUMIF('2016'!$A:$A,Input!$B218,'2016'!O:O)</f>
        <v>2559</v>
      </c>
      <c r="E218" s="21">
        <f>IF(+'2017'!O218="","",+'2017'!O218)</f>
        <v>2559</v>
      </c>
      <c r="F218" s="22">
        <f>IF(+E218="","",IF($F$4="Per Unit",(IF($F$3="Monthly",+E218/Setup!$B$12/12,+E218/Setup!$B$12)),IF($F$3="Monthly",+E218/Setup!$B$13/12,+E218/Setup!$B$13)))</f>
        <v>11.631818181818181</v>
      </c>
      <c r="G218" s="33">
        <f t="shared" si="18"/>
        <v>213.25</v>
      </c>
      <c r="H218" s="492"/>
      <c r="I218" s="492"/>
      <c r="J218" s="492"/>
      <c r="K218" s="492"/>
      <c r="L218" s="492"/>
      <c r="M218" s="492"/>
      <c r="N218" s="492"/>
      <c r="O218" s="492"/>
      <c r="P218" s="492"/>
      <c r="Q218" s="492"/>
      <c r="R218" s="492"/>
      <c r="S218" s="492"/>
      <c r="T218" s="492"/>
      <c r="U218" s="383"/>
    </row>
    <row r="219" spans="1:21" s="4" customFormat="1" ht="10.5" customHeight="1">
      <c r="A219" s="10" t="str">
        <f>IF(ISNA(VLOOKUP(B219,Setup!$A$74:$A$197,1,FALSE)),"","X")</f>
        <v/>
      </c>
      <c r="B219" s="161">
        <v>514382</v>
      </c>
      <c r="C219" s="161" t="s">
        <v>359</v>
      </c>
      <c r="D219" s="21">
        <f>SUMIF('2016'!$A:$A,Input!$B219,'2016'!O:O)</f>
        <v>0</v>
      </c>
      <c r="E219" s="21">
        <f>IF(+'2017'!O219="","",+'2017'!O219)</f>
        <v>0</v>
      </c>
      <c r="F219" s="22">
        <f>IF(+E219="","",IF($F$4="Per Unit",(IF($F$3="Monthly",+E219/Setup!$B$12/12,+E219/Setup!$B$12)),IF($F$3="Monthly",+E219/Setup!$B$13/12,+E219/Setup!$B$13)))</f>
        <v>0</v>
      </c>
      <c r="G219" s="33">
        <f t="shared" si="18"/>
        <v>0</v>
      </c>
      <c r="H219" s="492"/>
      <c r="I219" s="492"/>
      <c r="J219" s="492"/>
      <c r="K219" s="492"/>
      <c r="L219" s="492"/>
      <c r="M219" s="492"/>
      <c r="N219" s="492"/>
      <c r="O219" s="492"/>
      <c r="P219" s="492"/>
      <c r="Q219" s="492"/>
      <c r="R219" s="492"/>
      <c r="S219" s="492"/>
      <c r="T219" s="492"/>
      <c r="U219" s="383"/>
    </row>
    <row r="220" spans="1:21" s="4" customFormat="1" ht="10.5" customHeight="1">
      <c r="A220" s="10" t="str">
        <f>IF(ISNA(VLOOKUP(B220,Setup!$A$74:$A$197,1,FALSE)),"","X")</f>
        <v/>
      </c>
      <c r="B220" s="161">
        <v>514390</v>
      </c>
      <c r="C220" s="161" t="s">
        <v>360</v>
      </c>
      <c r="D220" s="21">
        <f>SUMIF('2016'!$A:$A,Input!$B220,'2016'!O:O)</f>
        <v>220</v>
      </c>
      <c r="E220" s="21">
        <f>IF(+'2017'!O220="","",+'2017'!O220)</f>
        <v>220.00000000000003</v>
      </c>
      <c r="F220" s="22">
        <f>IF(+E220="","",IF($F$4="Per Unit",(IF($F$3="Monthly",+E220/Setup!$B$12/12,+E220/Setup!$B$12)),IF($F$3="Monthly",+E220/Setup!$B$13/12,+E220/Setup!$B$13)))</f>
        <v>1.0000000000000002</v>
      </c>
      <c r="G220" s="33">
        <f t="shared" si="18"/>
        <v>18.333333333333332</v>
      </c>
      <c r="H220" s="492"/>
      <c r="I220" s="492"/>
      <c r="J220" s="492"/>
      <c r="K220" s="492"/>
      <c r="L220" s="492"/>
      <c r="M220" s="492"/>
      <c r="N220" s="492"/>
      <c r="O220" s="492"/>
      <c r="P220" s="492"/>
      <c r="Q220" s="492"/>
      <c r="R220" s="492"/>
      <c r="S220" s="492"/>
      <c r="T220" s="492"/>
      <c r="U220" s="383"/>
    </row>
    <row r="221" spans="1:21" s="4" customFormat="1" ht="10.5" customHeight="1">
      <c r="A221" s="10" t="str">
        <f>IF(ISNA(VLOOKUP(B221,Setup!$A$74:$A$197,1,FALSE)),"","X")</f>
        <v/>
      </c>
      <c r="B221" s="161">
        <v>514395</v>
      </c>
      <c r="C221" s="161" t="s">
        <v>361</v>
      </c>
      <c r="D221" s="21">
        <f>SUMIF('2016'!$A:$A,Input!$B221,'2016'!O:O)</f>
        <v>1246</v>
      </c>
      <c r="E221" s="21">
        <f>IF(+'2017'!O221="","",+'2017'!O221)</f>
        <v>1246</v>
      </c>
      <c r="F221" s="22">
        <f>IF(+E221="","",IF($F$4="Per Unit",(IF($F$3="Monthly",+E221/Setup!$B$12/12,+E221/Setup!$B$12)),IF($F$3="Monthly",+E221/Setup!$B$13/12,+E221/Setup!$B$13)))</f>
        <v>5.663636363636364</v>
      </c>
      <c r="G221" s="33">
        <f t="shared" si="18"/>
        <v>103.83333333333333</v>
      </c>
      <c r="H221" s="492"/>
      <c r="I221" s="492"/>
      <c r="J221" s="492"/>
      <c r="K221" s="492"/>
      <c r="L221" s="492"/>
      <c r="M221" s="492"/>
      <c r="N221" s="492"/>
      <c r="O221" s="492"/>
      <c r="P221" s="492"/>
      <c r="Q221" s="492"/>
      <c r="R221" s="492"/>
      <c r="S221" s="492"/>
      <c r="T221" s="492"/>
      <c r="U221" s="383"/>
    </row>
    <row r="222" spans="1:21" s="4" customFormat="1" ht="10.5" customHeight="1">
      <c r="A222" s="10" t="str">
        <f>IF(ISNA(VLOOKUP(B222,Setup!$A$74:$A$197,1,FALSE)),"","X")</f>
        <v/>
      </c>
      <c r="B222" s="161"/>
      <c r="C222" s="163"/>
      <c r="D222" s="21"/>
      <c r="E222" s="21" t="str">
        <f>IF(+'2017'!O222="","",+'2017'!O222)</f>
        <v/>
      </c>
      <c r="F222" s="22" t="str">
        <f>IF(+E222="","",IF($F$4="Per Unit",(IF($F$3="Monthly",+E222/Setup!$B$12/12,+E222/Setup!$B$12)),IF($F$3="Monthly",+E222/Setup!$B$13/12,+E222/Setup!$B$13)))</f>
        <v/>
      </c>
      <c r="G222" s="102"/>
      <c r="H222" s="377"/>
      <c r="I222" s="377"/>
      <c r="J222" s="377"/>
      <c r="K222" s="377"/>
      <c r="L222" s="377"/>
      <c r="M222" s="377"/>
      <c r="N222" s="377"/>
      <c r="O222" s="377"/>
      <c r="P222" s="377"/>
      <c r="Q222" s="377"/>
      <c r="R222" s="377"/>
      <c r="S222" s="377"/>
    </row>
    <row r="223" spans="1:21" s="4" customFormat="1" ht="10.5" customHeight="1">
      <c r="A223" s="10" t="str">
        <f>IF(ISNA(VLOOKUP(B223,Setup!$A$74:$A$197,1,FALSE)),"","X")</f>
        <v/>
      </c>
      <c r="B223" s="161"/>
      <c r="C223" s="169" t="s">
        <v>347</v>
      </c>
      <c r="D223" s="21">
        <f>SUM(D206:D221)</f>
        <v>24566</v>
      </c>
      <c r="E223" s="21">
        <f>IF(+'2017'!O223="","",+'2017'!O223)</f>
        <v>24566</v>
      </c>
      <c r="F223" s="22">
        <f>IF(+E223="","",IF($F$4="Per Unit",(IF($F$3="Monthly",+E223/Setup!$B$12/12,+E223/Setup!$B$12)),IF($F$3="Monthly",+E223/Setup!$B$13/12,+E223/Setup!$B$13)))</f>
        <v>111.66363636363636</v>
      </c>
      <c r="G223" s="102"/>
      <c r="H223" s="377">
        <f>+'2017'!C223</f>
        <v>2047.1666666666665</v>
      </c>
      <c r="I223" s="377">
        <f>+'2017'!D223</f>
        <v>2047.1666666666665</v>
      </c>
      <c r="J223" s="377">
        <f>+'2017'!E223</f>
        <v>2047.1666666666665</v>
      </c>
      <c r="K223" s="377">
        <f>+'2017'!F223</f>
        <v>2047.1666666666665</v>
      </c>
      <c r="L223" s="377">
        <f>+'2017'!G223</f>
        <v>2047.1666666666665</v>
      </c>
      <c r="M223" s="377">
        <f>+'2017'!H223</f>
        <v>2047.1666666666665</v>
      </c>
      <c r="N223" s="377">
        <f>+'2017'!I223</f>
        <v>2047.1666666666665</v>
      </c>
      <c r="O223" s="377">
        <f>+'2017'!J223</f>
        <v>2047.1666666666665</v>
      </c>
      <c r="P223" s="377">
        <f>+'2017'!K223</f>
        <v>2047.1666666666665</v>
      </c>
      <c r="Q223" s="377">
        <f>+'2017'!L223</f>
        <v>2047.1666666666665</v>
      </c>
      <c r="R223" s="377">
        <f>+'2017'!M223</f>
        <v>2047.1666666666665</v>
      </c>
      <c r="S223" s="377">
        <f>+'2017'!N223</f>
        <v>2047.1666666666665</v>
      </c>
    </row>
    <row r="224" spans="1:21" s="4" customFormat="1" ht="10.5" customHeight="1">
      <c r="A224" s="10" t="str">
        <f>IF(ISNA(VLOOKUP(B224,Setup!$A$74:$A$197,1,FALSE)),"","X")</f>
        <v/>
      </c>
      <c r="B224" s="161"/>
      <c r="C224" s="161" t="s">
        <v>362</v>
      </c>
      <c r="D224" s="21"/>
      <c r="E224" s="21" t="str">
        <f>IF(+'2017'!O224="","",+'2017'!O224)</f>
        <v/>
      </c>
      <c r="F224" s="22" t="str">
        <f>IF(+E224="","",IF($F$4="Per Unit",(IF($F$3="Monthly",+E224/Setup!$B$12/12,+E224/Setup!$B$12)),IF($F$3="Monthly",+E224/Setup!$B$13/12,+E224/Setup!$B$13)))</f>
        <v/>
      </c>
      <c r="G224" s="102"/>
      <c r="H224" s="377"/>
      <c r="I224" s="377"/>
      <c r="J224" s="377"/>
      <c r="K224" s="377"/>
      <c r="L224" s="377"/>
      <c r="M224" s="377"/>
      <c r="N224" s="377"/>
      <c r="O224" s="377"/>
      <c r="P224" s="377"/>
      <c r="Q224" s="377"/>
      <c r="R224" s="377"/>
      <c r="S224" s="377"/>
    </row>
    <row r="225" spans="1:21" s="10" customFormat="1" ht="10.5" customHeight="1">
      <c r="A225" s="10" t="str">
        <f>IF(ISNA(VLOOKUP(B225,Setup!$A$74:$A$197,1,FALSE)),"","X")</f>
        <v>X</v>
      </c>
      <c r="B225" s="161">
        <v>514505</v>
      </c>
      <c r="C225" s="196" t="s">
        <v>541</v>
      </c>
      <c r="D225" s="21">
        <f>SUMIF('2016'!$A:$A,Input!$B225,'2016'!O:O)</f>
        <v>0</v>
      </c>
      <c r="E225" s="21">
        <f>IF(+'2017'!O225="","",+'2017'!O225)</f>
        <v>0</v>
      </c>
      <c r="F225" s="22">
        <f>IF(+E225="","",IF($F$4="Per Unit",(IF($F$3="Monthly",+E225/Setup!$B$12/12,+E225/Setup!$B$12)),IF($F$3="Monthly",+E225/Setup!$B$13/12,+E225/Setup!$B$13)))</f>
        <v>0</v>
      </c>
      <c r="G225" s="103">
        <f>SUMPRODUCT((B225=Setup!$A$105:$A$196)*(Setup!$I$105:$I$196))</f>
        <v>0</v>
      </c>
      <c r="H225" s="492"/>
      <c r="I225" s="492"/>
      <c r="J225" s="492"/>
      <c r="K225" s="492"/>
      <c r="L225" s="492"/>
      <c r="M225" s="492"/>
      <c r="N225" s="492"/>
      <c r="O225" s="492"/>
      <c r="P225" s="492"/>
      <c r="Q225" s="492"/>
      <c r="R225" s="492"/>
      <c r="S225" s="492"/>
      <c r="T225" s="492"/>
      <c r="U225" s="383"/>
    </row>
    <row r="226" spans="1:21" s="4" customFormat="1" ht="10.5" customHeight="1">
      <c r="A226" s="10" t="str">
        <f>IF(ISNA(VLOOKUP(B226,Setup!$A$74:$A$197,1,FALSE)),"","X")</f>
        <v>X</v>
      </c>
      <c r="B226" s="161">
        <v>514525</v>
      </c>
      <c r="C226" s="161" t="s">
        <v>363</v>
      </c>
      <c r="D226" s="21">
        <f>SUMIF('2016'!$A:$A,Input!$B226,'2016'!O:O)</f>
        <v>26700</v>
      </c>
      <c r="E226" s="21">
        <f>IF(+'2017'!O226="","",+'2017'!O226)</f>
        <v>0</v>
      </c>
      <c r="F226" s="22">
        <f>IF(+E226="","",IF($F$4="Per Unit",(IF($F$3="Monthly",+E226/Setup!$B$12/12,+E226/Setup!$B$12)),IF($F$3="Monthly",+E226/Setup!$B$13/12,+E226/Setup!$B$13)))</f>
        <v>0</v>
      </c>
      <c r="G226" s="103">
        <f>SUMPRODUCT((B226=Setup!$A$105:$A$196)*(Setup!$I$105:$I$196))</f>
        <v>0</v>
      </c>
      <c r="H226" s="492"/>
      <c r="I226" s="492"/>
      <c r="J226" s="492"/>
      <c r="K226" s="492"/>
      <c r="L226" s="492"/>
      <c r="M226" s="492"/>
      <c r="N226" s="492"/>
      <c r="O226" s="492"/>
      <c r="P226" s="492"/>
      <c r="Q226" s="492"/>
      <c r="R226" s="492"/>
      <c r="S226" s="492"/>
      <c r="T226" s="492"/>
      <c r="U226" s="383"/>
    </row>
    <row r="227" spans="1:21" s="4" customFormat="1" ht="10.5" customHeight="1">
      <c r="A227" s="10" t="str">
        <f>IF(ISNA(VLOOKUP(B227,Setup!$A$74:$A$197,1,FALSE)),"","X")</f>
        <v>X</v>
      </c>
      <c r="B227" s="161">
        <v>514530</v>
      </c>
      <c r="C227" s="161" t="s">
        <v>364</v>
      </c>
      <c r="D227" s="21">
        <f>SUMIF('2016'!$A:$A,Input!$B227,'2016'!O:O)</f>
        <v>4701</v>
      </c>
      <c r="E227" s="21">
        <f>IF(+'2017'!O227="","",+'2017'!O227)</f>
        <v>600</v>
      </c>
      <c r="F227" s="22">
        <f>IF(+E227="","",IF($F$4="Per Unit",(IF($F$3="Monthly",+E227/Setup!$B$12/12,+E227/Setup!$B$12)),IF($F$3="Monthly",+E227/Setup!$B$13/12,+E227/Setup!$B$13)))</f>
        <v>2.7272727272727271</v>
      </c>
      <c r="G227" s="103">
        <f>SUMPRODUCT((B227=Setup!$A$105:$A$196)*(Setup!$I$105:$I$196))</f>
        <v>50</v>
      </c>
      <c r="H227" s="492"/>
      <c r="I227" s="492"/>
      <c r="J227" s="492"/>
      <c r="K227" s="492"/>
      <c r="L227" s="492"/>
      <c r="M227" s="492"/>
      <c r="N227" s="492"/>
      <c r="O227" s="492"/>
      <c r="P227" s="492"/>
      <c r="Q227" s="492"/>
      <c r="R227" s="492"/>
      <c r="S227" s="492"/>
      <c r="T227" s="492"/>
      <c r="U227" s="383"/>
    </row>
    <row r="228" spans="1:21" s="4" customFormat="1" ht="10.5" customHeight="1">
      <c r="A228" s="10" t="str">
        <f>IF(ISNA(VLOOKUP(B228,Setup!$A$74:$A$197,1,FALSE)),"","X")</f>
        <v>X</v>
      </c>
      <c r="B228" s="161">
        <v>514535</v>
      </c>
      <c r="C228" s="161" t="s">
        <v>365</v>
      </c>
      <c r="D228" s="21">
        <f>SUMIF('2016'!$A:$A,Input!$B228,'2016'!O:O)</f>
        <v>0</v>
      </c>
      <c r="E228" s="21">
        <f>IF(+'2017'!O228="","",+'2017'!O228)</f>
        <v>0</v>
      </c>
      <c r="F228" s="22">
        <f>IF(+E228="","",IF($F$4="Per Unit",(IF($F$3="Monthly",+E228/Setup!$B$12/12,+E228/Setup!$B$12)),IF($F$3="Monthly",+E228/Setup!$B$13/12,+E228/Setup!$B$13)))</f>
        <v>0</v>
      </c>
      <c r="G228" s="103">
        <f>SUMPRODUCT((B228=Setup!$A$105:$A$196)*(Setup!$I$105:$I$196))</f>
        <v>0</v>
      </c>
      <c r="H228" s="492"/>
      <c r="I228" s="492"/>
      <c r="J228" s="492"/>
      <c r="K228" s="492"/>
      <c r="L228" s="492"/>
      <c r="M228" s="492"/>
      <c r="N228" s="492"/>
      <c r="O228" s="492"/>
      <c r="P228" s="492"/>
      <c r="Q228" s="492"/>
      <c r="R228" s="492"/>
      <c r="S228" s="492"/>
      <c r="T228" s="492"/>
      <c r="U228" s="383"/>
    </row>
    <row r="229" spans="1:21" s="4" customFormat="1" ht="10.5" customHeight="1">
      <c r="A229" s="10" t="str">
        <f>IF(ISNA(VLOOKUP(B229,Setup!$A$74:$A$197,1,FALSE)),"","X")</f>
        <v>X</v>
      </c>
      <c r="B229" s="161">
        <v>514545</v>
      </c>
      <c r="C229" s="161" t="s">
        <v>366</v>
      </c>
      <c r="D229" s="21">
        <f>SUMIF('2016'!$A:$A,Input!$B229,'2016'!O:O)</f>
        <v>0</v>
      </c>
      <c r="E229" s="21">
        <f>IF(+'2017'!O229="","",+'2017'!O229)</f>
        <v>0</v>
      </c>
      <c r="F229" s="22">
        <f>IF(+E229="","",IF($F$4="Per Unit",(IF($F$3="Monthly",+E229/Setup!$B$12/12,+E229/Setup!$B$12)),IF($F$3="Monthly",+E229/Setup!$B$13/12,+E229/Setup!$B$13)))</f>
        <v>0</v>
      </c>
      <c r="G229" s="103">
        <f>SUMPRODUCT((B229=Setup!$A$105:$A$196)*(Setup!$I$105:$I$196))</f>
        <v>0</v>
      </c>
      <c r="H229" s="492"/>
      <c r="I229" s="492"/>
      <c r="J229" s="492"/>
      <c r="K229" s="492"/>
      <c r="L229" s="492"/>
      <c r="M229" s="492"/>
      <c r="N229" s="492"/>
      <c r="O229" s="492"/>
      <c r="P229" s="492"/>
      <c r="Q229" s="492"/>
      <c r="R229" s="492"/>
      <c r="S229" s="492"/>
      <c r="T229" s="492"/>
      <c r="U229" s="383"/>
    </row>
    <row r="230" spans="1:21" s="4" customFormat="1" ht="10.5" customHeight="1">
      <c r="A230" s="10"/>
      <c r="B230" s="161">
        <v>514550</v>
      </c>
      <c r="C230" s="161" t="s">
        <v>367</v>
      </c>
      <c r="D230" s="21">
        <f>SUMIF('2016'!$A:$A,Input!$B230,'2016'!O:O)</f>
        <v>23728</v>
      </c>
      <c r="E230" s="21">
        <f>IF(+'2017'!O230="","",+'2017'!O230)</f>
        <v>0</v>
      </c>
      <c r="F230" s="22">
        <f>IF(+E230="","",IF($F$4="Per Unit",(IF($F$3="Monthly",+E230/Setup!$B$12/12,+E230/Setup!$B$12)),IF($F$3="Monthly",+E230/Setup!$B$13/12,+E230/Setup!$B$13)))</f>
        <v>0</v>
      </c>
      <c r="G230" s="103">
        <f>SUMPRODUCT((B230=Setup!$A$105:$A$196)*(Setup!$I$105:$I$196))</f>
        <v>0</v>
      </c>
      <c r="H230" s="492"/>
      <c r="I230" s="492"/>
      <c r="J230" s="492"/>
      <c r="K230" s="492"/>
      <c r="L230" s="492"/>
      <c r="M230" s="492"/>
      <c r="N230" s="492"/>
      <c r="O230" s="492"/>
      <c r="P230" s="492"/>
      <c r="Q230" s="492"/>
      <c r="R230" s="492"/>
      <c r="S230" s="492"/>
      <c r="T230" s="492"/>
      <c r="U230" s="383"/>
    </row>
    <row r="231" spans="1:21" s="4" customFormat="1" ht="10.5" customHeight="1">
      <c r="A231" s="10" t="str">
        <f>IF(ISNA(VLOOKUP(B231,Setup!$A$74:$A$197,1,FALSE)),"","X")</f>
        <v/>
      </c>
      <c r="B231" s="161">
        <v>514560</v>
      </c>
      <c r="C231" s="4" t="s">
        <v>1250</v>
      </c>
      <c r="D231" s="21">
        <f>SUMIF('2016'!$A:$A,Input!$B231,'2016'!O:O)</f>
        <v>0</v>
      </c>
      <c r="E231" s="21">
        <f>IF(+'2017'!O231="","",+'2017'!O231)</f>
        <v>0</v>
      </c>
      <c r="F231" s="22">
        <f>IF(+E231="","",IF($F$4="Per Unit",(IF($F$3="Monthly",+E231/Setup!$B$12/12,+E231/Setup!$B$12)),IF($F$3="Monthly",+E231/Setup!$B$13/12,+E231/Setup!$B$13)))</f>
        <v>0</v>
      </c>
      <c r="G231" s="103">
        <f>SUMPRODUCT((B231=Setup!$A$105:$A$196)*(Setup!$I$105:$I$196))</f>
        <v>0</v>
      </c>
      <c r="H231" s="492"/>
      <c r="I231" s="492"/>
      <c r="J231" s="492"/>
      <c r="K231" s="492"/>
      <c r="L231" s="492"/>
      <c r="M231" s="492"/>
      <c r="N231" s="492"/>
      <c r="O231" s="492"/>
      <c r="P231" s="492"/>
      <c r="Q231" s="492"/>
      <c r="R231" s="492"/>
      <c r="S231" s="492"/>
      <c r="T231" s="492"/>
      <c r="U231" s="383"/>
    </row>
    <row r="232" spans="1:21" s="4" customFormat="1" ht="10.5" customHeight="1">
      <c r="A232" s="10" t="str">
        <f>IF(ISNA(VLOOKUP(B232,Setup!$A$74:$A$197,1,FALSE)),"","X")</f>
        <v/>
      </c>
      <c r="B232" s="161"/>
      <c r="C232" s="163"/>
      <c r="D232" s="21"/>
      <c r="E232" s="21" t="str">
        <f>IF(+'2017'!O232="","",+'2017'!O232)</f>
        <v/>
      </c>
      <c r="F232" s="22" t="str">
        <f>IF(+E232="","",IF($F$4="Per Unit",(IF($F$3="Monthly",+E232/Setup!$B$12/12,+E232/Setup!$B$12)),IF($F$3="Monthly",+E232/Setup!$B$13/12,+E232/Setup!$B$13)))</f>
        <v/>
      </c>
      <c r="G232" s="102"/>
      <c r="H232" s="377"/>
      <c r="I232" s="377"/>
      <c r="J232" s="377"/>
      <c r="K232" s="377"/>
      <c r="L232" s="377"/>
      <c r="M232" s="377"/>
      <c r="N232" s="377"/>
      <c r="O232" s="377"/>
      <c r="P232" s="377"/>
      <c r="Q232" s="377"/>
      <c r="R232" s="377"/>
      <c r="S232" s="377"/>
    </row>
    <row r="233" spans="1:21" s="4" customFormat="1" ht="10.5" customHeight="1">
      <c r="A233" s="10" t="str">
        <f>IF(ISNA(VLOOKUP(B233,Setup!$A$74:$A$197,1,FALSE)),"","X")</f>
        <v/>
      </c>
      <c r="B233" s="161"/>
      <c r="C233" s="159" t="s">
        <v>362</v>
      </c>
      <c r="D233" s="21">
        <f>SUM(D225:D231)</f>
        <v>55129</v>
      </c>
      <c r="E233" s="21">
        <f>IF(+'2017'!O233="","",+'2017'!O233)</f>
        <v>600</v>
      </c>
      <c r="F233" s="22">
        <f>IF(+E233="","",IF($F$4="Per Unit",(IF($F$3="Monthly",+E233/Setup!$B$12/12,+E233/Setup!$B$12)),IF($F$3="Monthly",+E233/Setup!$B$13/12,+E233/Setup!$B$13)))</f>
        <v>2.7272727272727271</v>
      </c>
      <c r="G233" s="102"/>
      <c r="H233" s="377">
        <f>+'2017'!C233</f>
        <v>50</v>
      </c>
      <c r="I233" s="377">
        <f>+'2017'!D233</f>
        <v>50</v>
      </c>
      <c r="J233" s="377">
        <f>+'2017'!E233</f>
        <v>50</v>
      </c>
      <c r="K233" s="377">
        <f>+'2017'!F233</f>
        <v>50</v>
      </c>
      <c r="L233" s="377">
        <f>+'2017'!G233</f>
        <v>50</v>
      </c>
      <c r="M233" s="377">
        <f>+'2017'!H233</f>
        <v>50</v>
      </c>
      <c r="N233" s="377">
        <f>+'2017'!I233</f>
        <v>50</v>
      </c>
      <c r="O233" s="377">
        <f>+'2017'!J233</f>
        <v>50</v>
      </c>
      <c r="P233" s="377">
        <f>+'2017'!K233</f>
        <v>50</v>
      </c>
      <c r="Q233" s="377">
        <f>+'2017'!L233</f>
        <v>50</v>
      </c>
      <c r="R233" s="377">
        <f>+'2017'!M233</f>
        <v>50</v>
      </c>
      <c r="S233" s="377">
        <f>+'2017'!N233</f>
        <v>50</v>
      </c>
    </row>
    <row r="234" spans="1:21" s="4" customFormat="1" ht="10.5" customHeight="1">
      <c r="A234" s="10" t="str">
        <f>IF(ISNA(VLOOKUP(B234,Setup!$A$74:$A$197,1,FALSE)),"","X")</f>
        <v/>
      </c>
      <c r="B234" s="161"/>
      <c r="C234" s="163"/>
      <c r="D234" s="21"/>
      <c r="E234" s="21" t="str">
        <f>IF(+'2017'!O234="","",+'2017'!O234)</f>
        <v/>
      </c>
      <c r="F234" s="22" t="str">
        <f>IF(+E234="","",IF($F$4="Per Unit",(IF($F$3="Monthly",+E234/Setup!$B$12/12,+E234/Setup!$B$12)),IF($F$3="Monthly",+E234/Setup!$B$13/12,+E234/Setup!$B$13)))</f>
        <v/>
      </c>
      <c r="G234" s="102"/>
      <c r="H234" s="377"/>
      <c r="I234" s="377"/>
      <c r="J234" s="377"/>
      <c r="K234" s="377"/>
      <c r="L234" s="377"/>
      <c r="M234" s="377"/>
      <c r="N234" s="377"/>
      <c r="O234" s="377"/>
      <c r="P234" s="377"/>
      <c r="Q234" s="377"/>
      <c r="R234" s="377"/>
      <c r="S234" s="377"/>
    </row>
    <row r="235" spans="1:21" s="10" customFormat="1" ht="10.5" customHeight="1">
      <c r="A235" s="10" t="str">
        <f>IF(ISNA(VLOOKUP(B235,Setup!$A$74:$A$197,1,FALSE)),"","X")</f>
        <v/>
      </c>
      <c r="B235" s="161"/>
      <c r="C235" s="159" t="s">
        <v>318</v>
      </c>
      <c r="D235" s="21">
        <f>+D233+D223+D204+D197+D180</f>
        <v>137857</v>
      </c>
      <c r="E235" s="21">
        <f>IF(+'2017'!O235="","",+'2017'!O235)</f>
        <v>80226</v>
      </c>
      <c r="F235" s="22">
        <f>IF(+E235="","",IF($F$4="Per Unit",(IF($F$3="Monthly",+E235/Setup!$B$12/12,+E235/Setup!$B$12)),IF($F$3="Monthly",+E235/Setup!$B$13/12,+E235/Setup!$B$13)))</f>
        <v>364.66363636363639</v>
      </c>
      <c r="G235" s="102"/>
      <c r="H235" s="377">
        <f>+'2017'!C235</f>
        <v>6685.5</v>
      </c>
      <c r="I235" s="377">
        <f>+'2017'!D235</f>
        <v>6685.5</v>
      </c>
      <c r="J235" s="377">
        <f>+'2017'!E235</f>
        <v>6685.5</v>
      </c>
      <c r="K235" s="377">
        <f>+'2017'!F235</f>
        <v>6685.5</v>
      </c>
      <c r="L235" s="377">
        <f>+'2017'!G235</f>
        <v>6685.5</v>
      </c>
      <c r="M235" s="377">
        <f>+'2017'!H235</f>
        <v>6685.5</v>
      </c>
      <c r="N235" s="377">
        <f>+'2017'!I235</f>
        <v>6685.5</v>
      </c>
      <c r="O235" s="377">
        <f>+'2017'!J235</f>
        <v>6685.5</v>
      </c>
      <c r="P235" s="377">
        <f>+'2017'!K235</f>
        <v>6685.5</v>
      </c>
      <c r="Q235" s="377">
        <f>+'2017'!L235</f>
        <v>6685.5</v>
      </c>
      <c r="R235" s="377">
        <f>+'2017'!M235</f>
        <v>6685.5</v>
      </c>
      <c r="S235" s="377">
        <f>+'2017'!N235</f>
        <v>6685.5</v>
      </c>
      <c r="T235" s="4"/>
      <c r="U235" s="4"/>
    </row>
    <row r="236" spans="1:21" s="17" customFormat="1" ht="10.5" customHeight="1">
      <c r="A236" s="10" t="str">
        <f>IF(ISNA(VLOOKUP(B236,Setup!$A$74:$A$197,1,FALSE)),"","X")</f>
        <v/>
      </c>
      <c r="B236" s="161"/>
      <c r="C236" s="161" t="s">
        <v>368</v>
      </c>
      <c r="D236" s="21"/>
      <c r="E236" s="21" t="str">
        <f>IF(+'2017'!O236="","",+'2017'!O236)</f>
        <v/>
      </c>
      <c r="F236" s="22" t="str">
        <f>IF(+E236="","",IF($F$4="Per Unit",(IF($F$3="Monthly",+E236/Setup!$B$12/12,+E236/Setup!$B$12)),IF($F$3="Monthly",+E236/Setup!$B$13/12,+E236/Setup!$B$13)))</f>
        <v/>
      </c>
      <c r="G236" s="102"/>
      <c r="H236" s="377"/>
      <c r="I236" s="377"/>
      <c r="J236" s="377"/>
      <c r="K236" s="377"/>
      <c r="L236" s="377"/>
      <c r="M236" s="377"/>
      <c r="N236" s="377"/>
      <c r="O236" s="377"/>
      <c r="P236" s="377"/>
      <c r="Q236" s="377"/>
      <c r="R236" s="377"/>
      <c r="S236" s="377"/>
      <c r="T236" s="4"/>
      <c r="U236" s="4"/>
    </row>
    <row r="237" spans="1:21" s="18" customFormat="1" ht="10.5" customHeight="1">
      <c r="A237" s="10" t="str">
        <f>IF(ISNA(VLOOKUP(B237,Setup!$A$74:$A$197,1,FALSE)),"","X")</f>
        <v/>
      </c>
      <c r="B237" s="161">
        <v>515105</v>
      </c>
      <c r="C237" s="161" t="s">
        <v>369</v>
      </c>
      <c r="D237" s="21">
        <f>SUMIF('2016'!$A:$A,Input!$B237,'2016'!O:O)</f>
        <v>26854</v>
      </c>
      <c r="E237" s="21">
        <f>IF(+'2017'!O237="","",+'2017'!O237)</f>
        <v>26853.999999999996</v>
      </c>
      <c r="F237" s="22">
        <f>IF(+E237="","",IF($F$4="Per Unit",(IF($F$3="Monthly",+E237/Setup!$B$12/12,+E237/Setup!$B$12)),IF($F$3="Monthly",+E237/Setup!$B$13/12,+E237/Setup!$B$13)))</f>
        <v>122.06363636363635</v>
      </c>
      <c r="G237" s="33">
        <f t="shared" ref="G237:G241" si="19">+D237/12</f>
        <v>2237.8333333333335</v>
      </c>
      <c r="H237" s="492"/>
      <c r="I237" s="492"/>
      <c r="J237" s="492"/>
      <c r="K237" s="492"/>
      <c r="L237" s="492"/>
      <c r="M237" s="492"/>
      <c r="N237" s="492"/>
      <c r="O237" s="492"/>
      <c r="P237" s="492"/>
      <c r="Q237" s="492"/>
      <c r="R237" s="492"/>
      <c r="S237" s="492"/>
      <c r="T237" s="492"/>
      <c r="U237" s="383"/>
    </row>
    <row r="238" spans="1:21" s="17" customFormat="1" ht="10.5" customHeight="1">
      <c r="A238" s="10" t="str">
        <f>IF(ISNA(VLOOKUP(B238,Setup!$A$74:$A$197,1,FALSE)),"","X")</f>
        <v/>
      </c>
      <c r="B238" s="161">
        <v>515115</v>
      </c>
      <c r="C238" s="161" t="s">
        <v>370</v>
      </c>
      <c r="D238" s="21">
        <f>SUMIF('2016'!$A:$A,Input!$B238,'2016'!O:O)</f>
        <v>1414</v>
      </c>
      <c r="E238" s="21">
        <f>IF(+'2017'!O238="","",+'2017'!O238)</f>
        <v>1413.9999999999998</v>
      </c>
      <c r="F238" s="22">
        <f>IF(+E238="","",IF($F$4="Per Unit",(IF($F$3="Monthly",+E238/Setup!$B$12/12,+E238/Setup!$B$12)),IF($F$3="Monthly",+E238/Setup!$B$13/12,+E238/Setup!$B$13)))</f>
        <v>6.4272727272727259</v>
      </c>
      <c r="G238" s="33">
        <f t="shared" si="19"/>
        <v>117.83333333333333</v>
      </c>
      <c r="H238" s="492"/>
      <c r="I238" s="492"/>
      <c r="J238" s="492"/>
      <c r="K238" s="492"/>
      <c r="L238" s="492"/>
      <c r="M238" s="492"/>
      <c r="N238" s="492"/>
      <c r="O238" s="492"/>
      <c r="P238" s="492"/>
      <c r="Q238" s="492"/>
      <c r="R238" s="492"/>
      <c r="S238" s="492"/>
      <c r="T238" s="492"/>
      <c r="U238" s="383"/>
    </row>
    <row r="239" spans="1:21" s="4" customFormat="1" ht="10.5" customHeight="1">
      <c r="A239" s="10" t="str">
        <f>IF(ISNA(VLOOKUP(B239,Setup!$A$74:$A$197,1,FALSE)),"","X")</f>
        <v/>
      </c>
      <c r="B239" s="161">
        <v>515120</v>
      </c>
      <c r="C239" s="161" t="s">
        <v>371</v>
      </c>
      <c r="D239" s="21">
        <f>SUMIF('2016'!$A:$A,Input!$B239,'2016'!O:O)</f>
        <v>0</v>
      </c>
      <c r="E239" s="21">
        <f>IF(+'2017'!O239="","",+'2017'!O239)</f>
        <v>0</v>
      </c>
      <c r="F239" s="22">
        <f>IF(+E239="","",IF($F$4="Per Unit",(IF($F$3="Monthly",+E239/Setup!$B$12/12,+E239/Setup!$B$12)),IF($F$3="Monthly",+E239/Setup!$B$13/12,+E239/Setup!$B$13)))</f>
        <v>0</v>
      </c>
      <c r="G239" s="33">
        <f t="shared" si="19"/>
        <v>0</v>
      </c>
      <c r="H239" s="492"/>
      <c r="I239" s="492"/>
      <c r="J239" s="492"/>
      <c r="K239" s="492"/>
      <c r="L239" s="492"/>
      <c r="M239" s="492"/>
      <c r="N239" s="492"/>
      <c r="O239" s="492"/>
      <c r="P239" s="492"/>
      <c r="Q239" s="492"/>
      <c r="R239" s="492"/>
      <c r="S239" s="492"/>
      <c r="T239" s="492"/>
      <c r="U239" s="383"/>
    </row>
    <row r="240" spans="1:21" s="4" customFormat="1" ht="10.5" customHeight="1">
      <c r="A240" s="10" t="str">
        <f>IF(ISNA(VLOOKUP(B240,Setup!$A$74:$A$197,1,FALSE)),"","X")</f>
        <v/>
      </c>
      <c r="B240" s="161">
        <v>515125</v>
      </c>
      <c r="C240" s="161" t="s">
        <v>372</v>
      </c>
      <c r="D240" s="21">
        <f>SUMIF('2016'!$A:$A,Input!$B240,'2016'!O:O)</f>
        <v>1855</v>
      </c>
      <c r="E240" s="21">
        <f>IF(+'2017'!O240="","",+'2017'!O240)</f>
        <v>1854.9999999999998</v>
      </c>
      <c r="F240" s="22">
        <f>IF(+E240="","",IF($F$4="Per Unit",(IF($F$3="Monthly",+E240/Setup!$B$12/12,+E240/Setup!$B$12)),IF($F$3="Monthly",+E240/Setup!$B$13/12,+E240/Setup!$B$13)))</f>
        <v>8.4318181818181817</v>
      </c>
      <c r="G240" s="33">
        <f t="shared" si="19"/>
        <v>154.58333333333334</v>
      </c>
      <c r="H240" s="492"/>
      <c r="I240" s="492"/>
      <c r="J240" s="492"/>
      <c r="K240" s="492"/>
      <c r="L240" s="492"/>
      <c r="M240" s="492"/>
      <c r="N240" s="492"/>
      <c r="O240" s="492"/>
      <c r="P240" s="492"/>
      <c r="Q240" s="492"/>
      <c r="R240" s="492"/>
      <c r="S240" s="492"/>
      <c r="T240" s="492"/>
      <c r="U240" s="383"/>
    </row>
    <row r="241" spans="1:21" s="4" customFormat="1" ht="10.5" customHeight="1">
      <c r="A241" s="10" t="str">
        <f>IF(ISNA(VLOOKUP(B241,Setup!$A$74:$A$197,1,FALSE)),"","X")</f>
        <v/>
      </c>
      <c r="B241" s="161">
        <v>515135</v>
      </c>
      <c r="C241" s="161" t="s">
        <v>373</v>
      </c>
      <c r="D241" s="21">
        <f>SUMIF('2016'!$A:$A,Input!$B241,'2016'!O:O)</f>
        <v>7923</v>
      </c>
      <c r="E241" s="21">
        <f>IF(+'2017'!O241="","",+'2017'!O241)</f>
        <v>7923</v>
      </c>
      <c r="F241" s="22">
        <f>IF(+E241="","",IF($F$4="Per Unit",(IF($F$3="Monthly",+E241/Setup!$B$12/12,+E241/Setup!$B$12)),IF($F$3="Monthly",+E241/Setup!$B$13/12,+E241/Setup!$B$13)))</f>
        <v>36.013636363636365</v>
      </c>
      <c r="G241" s="33">
        <f t="shared" si="19"/>
        <v>660.25</v>
      </c>
      <c r="H241" s="492"/>
      <c r="I241" s="492"/>
      <c r="J241" s="492"/>
      <c r="K241" s="492"/>
      <c r="L241" s="492"/>
      <c r="M241" s="492"/>
      <c r="N241" s="492"/>
      <c r="O241" s="492"/>
      <c r="P241" s="492"/>
      <c r="Q241" s="492"/>
      <c r="R241" s="492"/>
      <c r="S241" s="492"/>
      <c r="T241" s="492"/>
      <c r="U241" s="383"/>
    </row>
    <row r="242" spans="1:21" s="4" customFormat="1" ht="10.5" customHeight="1">
      <c r="A242" s="10" t="str">
        <f>IF(ISNA(VLOOKUP(B242,Setup!$A$74:$A$197,1,FALSE)),"","X")</f>
        <v>X</v>
      </c>
      <c r="B242" s="161">
        <v>515145</v>
      </c>
      <c r="C242" s="161" t="s">
        <v>374</v>
      </c>
      <c r="D242" s="21">
        <f>SUMIF('2016'!$A:$A,Input!$B242,'2016'!O:O)</f>
        <v>2316</v>
      </c>
      <c r="E242" s="21">
        <f>IF(+'2017'!O242="","",+'2017'!O242)</f>
        <v>0</v>
      </c>
      <c r="F242" s="22">
        <f>IF(+E242="","",IF($F$4="Per Unit",(IF($F$3="Monthly",+E242/Setup!$B$12/12,+E242/Setup!$B$12)),IF($F$3="Monthly",+E242/Setup!$B$13/12,+E242/Setup!$B$13)))</f>
        <v>0</v>
      </c>
      <c r="G242" s="103">
        <f>SUMPRODUCT((B242=Setup!$A$105:$A$196)*(Setup!$I$105:$I$196))</f>
        <v>0</v>
      </c>
      <c r="H242" s="492"/>
      <c r="I242" s="492"/>
      <c r="J242" s="492"/>
      <c r="K242" s="492"/>
      <c r="L242" s="492"/>
      <c r="M242" s="492"/>
      <c r="N242" s="492"/>
      <c r="O242" s="492"/>
      <c r="P242" s="492"/>
      <c r="Q242" s="492"/>
      <c r="R242" s="492"/>
      <c r="S242" s="492"/>
      <c r="T242" s="492"/>
      <c r="U242" s="383"/>
    </row>
    <row r="243" spans="1:21" s="4" customFormat="1" ht="10.5" customHeight="1">
      <c r="A243" s="10" t="str">
        <f>IF(ISNA(VLOOKUP(B243,Setup!$A$74:$A$197,1,FALSE)),"","X")</f>
        <v/>
      </c>
      <c r="B243" s="161">
        <v>515150</v>
      </c>
      <c r="C243" s="161" t="s">
        <v>375</v>
      </c>
      <c r="D243" s="21">
        <f>SUMIF('2016'!$A:$A,Input!$B243,'2016'!O:O)</f>
        <v>80622</v>
      </c>
      <c r="E243" s="21">
        <f>IF(+'2017'!O243="","",+'2017'!O243)</f>
        <v>80622</v>
      </c>
      <c r="F243" s="22">
        <f>IF(+E243="","",IF($F$4="Per Unit",(IF($F$3="Monthly",+E243/Setup!$B$12/12,+E243/Setup!$B$12)),IF($F$3="Monthly",+E243/Setup!$B$13/12,+E243/Setup!$B$13)))</f>
        <v>366.46363636363634</v>
      </c>
      <c r="G243" s="33">
        <f t="shared" ref="G243:G244" si="20">+D243/12</f>
        <v>6718.5</v>
      </c>
      <c r="H243" s="492"/>
      <c r="I243" s="492"/>
      <c r="J243" s="492"/>
      <c r="K243" s="492"/>
      <c r="L243" s="492"/>
      <c r="M243" s="492"/>
      <c r="N243" s="492"/>
      <c r="O243" s="492"/>
      <c r="P243" s="492"/>
      <c r="Q243" s="492"/>
      <c r="R243" s="492"/>
      <c r="S243" s="492"/>
      <c r="T243" s="492"/>
      <c r="U243" s="383"/>
    </row>
    <row r="244" spans="1:21" s="4" customFormat="1" ht="10.5" customHeight="1">
      <c r="A244" s="10" t="str">
        <f>IF(ISNA(VLOOKUP(B244,Setup!$A$74:$A$197,1,FALSE)),"","X")</f>
        <v/>
      </c>
      <c r="B244" s="161">
        <v>515155</v>
      </c>
      <c r="C244" s="161" t="s">
        <v>376</v>
      </c>
      <c r="D244" s="21">
        <f>SUMIF('2016'!$A:$A,Input!$B244,'2016'!O:O)</f>
        <v>33308</v>
      </c>
      <c r="E244" s="21">
        <f>IF(+'2017'!O244="","",+'2017'!O244)</f>
        <v>33308.000000000007</v>
      </c>
      <c r="F244" s="22">
        <f>IF(+E244="","",IF($F$4="Per Unit",(IF($F$3="Monthly",+E244/Setup!$B$12/12,+E244/Setup!$B$12)),IF($F$3="Monthly",+E244/Setup!$B$13/12,+E244/Setup!$B$13)))</f>
        <v>151.40000000000003</v>
      </c>
      <c r="G244" s="33">
        <f t="shared" si="20"/>
        <v>2775.6666666666665</v>
      </c>
      <c r="H244" s="492"/>
      <c r="I244" s="492"/>
      <c r="J244" s="492"/>
      <c r="K244" s="492"/>
      <c r="L244" s="492"/>
      <c r="M244" s="492"/>
      <c r="N244" s="492"/>
      <c r="O244" s="492"/>
      <c r="P244" s="492"/>
      <c r="Q244" s="492"/>
      <c r="R244" s="492"/>
      <c r="S244" s="492"/>
      <c r="T244" s="492"/>
      <c r="U244" s="383"/>
    </row>
    <row r="245" spans="1:21" s="4" customFormat="1" ht="10.5" customHeight="1">
      <c r="A245" s="10" t="str">
        <f>IF(ISNA(VLOOKUP(B245,Setup!$A$74:$A$197,1,FALSE)),"","X")</f>
        <v/>
      </c>
      <c r="B245" s="161"/>
      <c r="C245" s="163"/>
      <c r="D245" s="21"/>
      <c r="E245" s="21" t="str">
        <f>IF(+'2017'!O245="","",+'2017'!O245)</f>
        <v/>
      </c>
      <c r="F245" s="22" t="str">
        <f>IF(+E245="","",IF($F$4="Per Unit",(IF($F$3="Monthly",+E245/Setup!$B$12/12,+E245/Setup!$B$12)),IF($F$3="Monthly",+E245/Setup!$B$13/12,+E245/Setup!$B$13)))</f>
        <v/>
      </c>
      <c r="G245" s="102"/>
      <c r="H245" s="377"/>
      <c r="I245" s="377"/>
      <c r="J245" s="377"/>
      <c r="K245" s="377"/>
      <c r="L245" s="377"/>
      <c r="M245" s="377"/>
      <c r="N245" s="377"/>
      <c r="O245" s="377"/>
      <c r="P245" s="377"/>
      <c r="Q245" s="377"/>
      <c r="R245" s="377"/>
      <c r="S245" s="377"/>
    </row>
    <row r="246" spans="1:21" s="4" customFormat="1" ht="10.5" customHeight="1">
      <c r="A246" s="10" t="str">
        <f>IF(ISNA(VLOOKUP(B246,Setup!$A$74:$A$197,1,FALSE)),"","X")</f>
        <v/>
      </c>
      <c r="B246" s="161"/>
      <c r="C246" s="159" t="s">
        <v>368</v>
      </c>
      <c r="D246" s="21">
        <f>SUM(D237:D244)</f>
        <v>154292</v>
      </c>
      <c r="E246" s="21">
        <f>IF(+'2017'!O246="","",+'2017'!O246)</f>
        <v>151976</v>
      </c>
      <c r="F246" s="22">
        <f>IF(+E246="","",IF($F$4="Per Unit",(IF($F$3="Monthly",+E246/Setup!$B$12/12,+E246/Setup!$B$12)),IF($F$3="Monthly",+E246/Setup!$B$13/12,+E246/Setup!$B$13)))</f>
        <v>690.8</v>
      </c>
      <c r="G246" s="102"/>
      <c r="H246" s="377">
        <f>+'2017'!C246</f>
        <v>12664.666666666666</v>
      </c>
      <c r="I246" s="377">
        <f>+'2017'!D246</f>
        <v>12664.666666666666</v>
      </c>
      <c r="J246" s="377">
        <f>+'2017'!E246</f>
        <v>12664.666666666666</v>
      </c>
      <c r="K246" s="377">
        <f>+'2017'!F246</f>
        <v>12664.666666666666</v>
      </c>
      <c r="L246" s="377">
        <f>+'2017'!G246</f>
        <v>12664.666666666666</v>
      </c>
      <c r="M246" s="377">
        <f>+'2017'!H246</f>
        <v>12664.666666666666</v>
      </c>
      <c r="N246" s="377">
        <f>+'2017'!I246</f>
        <v>12664.666666666666</v>
      </c>
      <c r="O246" s="377">
        <f>+'2017'!J246</f>
        <v>12664.666666666666</v>
      </c>
      <c r="P246" s="377">
        <f>+'2017'!K246</f>
        <v>12664.666666666666</v>
      </c>
      <c r="Q246" s="377">
        <f>+'2017'!L246</f>
        <v>12664.666666666666</v>
      </c>
      <c r="R246" s="377">
        <f>+'2017'!M246</f>
        <v>12664.666666666666</v>
      </c>
      <c r="S246" s="377">
        <f>+'2017'!N246</f>
        <v>12664.666666666666</v>
      </c>
    </row>
    <row r="247" spans="1:21" s="4" customFormat="1" ht="10.5" customHeight="1">
      <c r="A247" s="10" t="str">
        <f>IF(ISNA(VLOOKUP(B247,Setup!$A$74:$A$197,1,FALSE)),"","X")</f>
        <v/>
      </c>
      <c r="B247" s="161"/>
      <c r="C247" s="163"/>
      <c r="D247" s="21"/>
      <c r="E247" s="21" t="str">
        <f>IF(+'2017'!O247="","",+'2017'!O247)</f>
        <v/>
      </c>
      <c r="F247" s="22" t="str">
        <f>IF(+E247="","",IF($F$4="Per Unit",(IF($F$3="Monthly",+E247/Setup!$B$12/12,+E247/Setup!$B$12)),IF($F$3="Monthly",+E247/Setup!$B$13/12,+E247/Setup!$B$13)))</f>
        <v/>
      </c>
      <c r="G247" s="102"/>
      <c r="H247" s="377"/>
      <c r="I247" s="377"/>
      <c r="J247" s="377"/>
      <c r="K247" s="377"/>
      <c r="L247" s="377"/>
      <c r="M247" s="377"/>
      <c r="N247" s="377"/>
      <c r="O247" s="377"/>
      <c r="P247" s="377"/>
      <c r="Q247" s="377"/>
      <c r="R247" s="377"/>
      <c r="S247" s="377"/>
    </row>
    <row r="248" spans="1:21" s="10" customFormat="1" ht="10.5" customHeight="1">
      <c r="A248" s="10" t="str">
        <f>IF(ISNA(VLOOKUP(B248,Setup!$A$74:$A$197,1,FALSE)),"","X")</f>
        <v/>
      </c>
      <c r="B248" s="161"/>
      <c r="C248" s="161" t="s">
        <v>243</v>
      </c>
      <c r="D248" s="21">
        <f>+D246+D235+D166+D133</f>
        <v>643214</v>
      </c>
      <c r="E248" s="21">
        <f>IF(+'2017'!O248="","",+'2017'!O248)</f>
        <v>648675.08654545457</v>
      </c>
      <c r="F248" s="22">
        <f>IF(+E248="","",IF($F$4="Per Unit",(IF($F$3="Monthly",+E248/Setup!$B$12/12,+E248/Setup!$B$12)),IF($F$3="Monthly",+E248/Setup!$B$13/12,+E248/Setup!$B$13)))</f>
        <v>2948.523120661157</v>
      </c>
      <c r="G248" s="102"/>
      <c r="H248" s="377">
        <f>+'2017'!C248</f>
        <v>53844.527666666669</v>
      </c>
      <c r="I248" s="377">
        <f>+'2017'!D248</f>
        <v>53883.527666666669</v>
      </c>
      <c r="J248" s="377">
        <f>+'2017'!E248</f>
        <v>53922.527666666669</v>
      </c>
      <c r="K248" s="377">
        <f>+'2017'!F248</f>
        <v>53945.341303030305</v>
      </c>
      <c r="L248" s="377">
        <f>+'2017'!G248</f>
        <v>53961.404939393942</v>
      </c>
      <c r="M248" s="377">
        <f>+'2017'!H248</f>
        <v>54042.841303030305</v>
      </c>
      <c r="N248" s="377">
        <f>+'2017'!I248</f>
        <v>54138.370848484847</v>
      </c>
      <c r="O248" s="377">
        <f>+'2017'!J248</f>
        <v>54217.55721212121</v>
      </c>
      <c r="P248" s="377">
        <f>+'2017'!K248</f>
        <v>54187.714030303032</v>
      </c>
      <c r="Q248" s="377">
        <f>+'2017'!L248</f>
        <v>54182.777666666669</v>
      </c>
      <c r="R248" s="377">
        <f>+'2017'!M248</f>
        <v>54177.841303030305</v>
      </c>
      <c r="S248" s="377">
        <f>+'2017'!N248</f>
        <v>54170.654939393942</v>
      </c>
      <c r="T248" s="4"/>
      <c r="U248" s="4"/>
    </row>
    <row r="249" spans="1:21" s="17" customFormat="1" ht="10.5" customHeight="1">
      <c r="A249" s="10" t="str">
        <f>IF(ISNA(VLOOKUP(B249,Setup!$A$74:$A$197,1,FALSE)),"","X")</f>
        <v/>
      </c>
      <c r="B249" s="161"/>
      <c r="C249" s="161" t="s">
        <v>377</v>
      </c>
      <c r="D249" s="21"/>
      <c r="E249" s="21" t="str">
        <f>IF(+'2017'!O249="","",+'2017'!O249)</f>
        <v/>
      </c>
      <c r="F249" s="22" t="str">
        <f>IF(+E249="","",IF($F$4="Per Unit",(IF($F$3="Monthly",+E249/Setup!$B$12/12,+E249/Setup!$B$12)),IF($F$3="Monthly",+E249/Setup!$B$13/12,+E249/Setup!$B$13)))</f>
        <v/>
      </c>
      <c r="G249" s="102"/>
      <c r="H249" s="377"/>
      <c r="I249" s="377"/>
      <c r="J249" s="377"/>
      <c r="K249" s="377"/>
      <c r="L249" s="377"/>
      <c r="M249" s="377"/>
      <c r="N249" s="377"/>
      <c r="O249" s="377"/>
      <c r="P249" s="377"/>
      <c r="Q249" s="377"/>
      <c r="R249" s="377"/>
      <c r="S249" s="377"/>
      <c r="T249" s="4"/>
      <c r="U249" s="4"/>
    </row>
    <row r="250" spans="1:21" s="18" customFormat="1" ht="10.5" customHeight="1">
      <c r="A250" s="10" t="str">
        <f>IF(ISNA(VLOOKUP(B250,Setup!$A$74:$A$197,1,FALSE)),"","X")</f>
        <v/>
      </c>
      <c r="B250" s="161"/>
      <c r="C250" s="161" t="s">
        <v>378</v>
      </c>
      <c r="D250" s="21"/>
      <c r="E250" s="21" t="str">
        <f>IF(+'2017'!O250="","",+'2017'!O250)</f>
        <v/>
      </c>
      <c r="F250" s="22" t="str">
        <f>IF(+E250="","",IF($F$4="Per Unit",(IF($F$3="Monthly",+E250/Setup!$B$12/12,+E250/Setup!$B$12)),IF($F$3="Monthly",+E250/Setup!$B$13/12,+E250/Setup!$B$13)))</f>
        <v/>
      </c>
      <c r="G250" s="102"/>
      <c r="H250" s="377"/>
      <c r="I250" s="377"/>
      <c r="J250" s="377"/>
      <c r="K250" s="377"/>
      <c r="L250" s="377"/>
      <c r="M250" s="377"/>
      <c r="N250" s="377"/>
      <c r="O250" s="377"/>
      <c r="P250" s="377"/>
      <c r="Q250" s="377"/>
      <c r="R250" s="377"/>
      <c r="S250" s="377"/>
      <c r="T250" s="4"/>
      <c r="U250" s="4"/>
    </row>
    <row r="251" spans="1:21" s="17" customFormat="1" ht="10.5" customHeight="1">
      <c r="A251" s="10" t="str">
        <f>IF(ISNA(VLOOKUP(B251,Setup!$A$74:$A$197,1,FALSE)),"","X")</f>
        <v/>
      </c>
      <c r="B251" s="161">
        <v>621105</v>
      </c>
      <c r="C251" s="161" t="s">
        <v>379</v>
      </c>
      <c r="D251" s="21">
        <f>SUMIF('2016'!$A:$A,Input!$B251,'2016'!O:O)</f>
        <v>0</v>
      </c>
      <c r="E251" s="21">
        <f>IF(+'2017'!O251="","",+'2017'!O251)</f>
        <v>0</v>
      </c>
      <c r="F251" s="22">
        <f>IF(+E251="","",IF($F$4="Per Unit",(IF($F$3="Monthly",+E251/Setup!$B$12/12,+E251/Setup!$B$12)),IF($F$3="Monthly",+E251/Setup!$B$13/12,+E251/Setup!$B$13)))</f>
        <v>0</v>
      </c>
      <c r="G251" s="33"/>
      <c r="H251" s="381"/>
      <c r="I251" s="381"/>
      <c r="J251" s="381"/>
      <c r="K251" s="381"/>
      <c r="L251" s="381"/>
      <c r="M251" s="381"/>
      <c r="N251" s="381"/>
      <c r="O251" s="381"/>
      <c r="P251" s="381"/>
      <c r="Q251" s="381"/>
      <c r="R251" s="381"/>
      <c r="S251" s="381"/>
      <c r="T251" s="362"/>
      <c r="U251" s="383"/>
    </row>
    <row r="252" spans="1:21" s="17" customFormat="1" ht="10.5" customHeight="1">
      <c r="A252" s="10" t="str">
        <f>IF(ISNA(VLOOKUP(B252,Setup!$A$74:$A$197,1,FALSE)),"","X")</f>
        <v>X</v>
      </c>
      <c r="B252" s="161">
        <v>621110</v>
      </c>
      <c r="C252" s="161" t="s">
        <v>380</v>
      </c>
      <c r="D252" s="21">
        <f>SUMIF('2016'!$A:$A,Input!$B252,'2016'!O:O)</f>
        <v>0</v>
      </c>
      <c r="E252" s="21">
        <f>IF(+'2017'!O252="","",+'2017'!O252)</f>
        <v>0</v>
      </c>
      <c r="F252" s="22">
        <f>IF(+E252="","",IF($F$4="Per Unit",(IF($F$3="Monthly",+E252/Setup!$B$12/12,+E252/Setup!$B$12)),IF($F$3="Monthly",+E252/Setup!$B$13/12,+E252/Setup!$B$13)))</f>
        <v>0</v>
      </c>
      <c r="G252" s="103">
        <f>SUMPRODUCT((B252=Setup!$A$105:$A$196)*(Setup!$I$105:$I$196))</f>
        <v>0</v>
      </c>
      <c r="H252" s="492"/>
      <c r="I252" s="492"/>
      <c r="J252" s="492"/>
      <c r="K252" s="492"/>
      <c r="L252" s="492"/>
      <c r="M252" s="492"/>
      <c r="N252" s="492"/>
      <c r="O252" s="492"/>
      <c r="P252" s="492"/>
      <c r="Q252" s="492"/>
      <c r="R252" s="492"/>
      <c r="S252" s="492"/>
      <c r="T252" s="492"/>
      <c r="U252" s="383"/>
    </row>
    <row r="253" spans="1:21" s="17" customFormat="1" ht="10.5" customHeight="1">
      <c r="A253" s="10" t="str">
        <f>IF(ISNA(VLOOKUP(B253,Setup!$A$74:$A$197,1,FALSE)),"","X")</f>
        <v/>
      </c>
      <c r="B253" s="161">
        <v>621115</v>
      </c>
      <c r="C253" s="161" t="s">
        <v>381</v>
      </c>
      <c r="D253" s="21">
        <f>SUMIF('2016'!$A:$A,Input!$B253,'2016'!O:O)</f>
        <v>2800</v>
      </c>
      <c r="E253" s="21">
        <f>IF(+'2017'!O253="","",+'2017'!O253)</f>
        <v>2800.0000000000005</v>
      </c>
      <c r="F253" s="22">
        <f>IF(+E253="","",IF($F$4="Per Unit",(IF($F$3="Monthly",+E253/Setup!$B$12/12,+E253/Setup!$B$12)),IF($F$3="Monthly",+E253/Setup!$B$13/12,+E253/Setup!$B$13)))</f>
        <v>12.72727272727273</v>
      </c>
      <c r="G253" s="33">
        <f t="shared" ref="G253:G255" si="21">+D253/12</f>
        <v>233.33333333333334</v>
      </c>
      <c r="H253" s="381"/>
      <c r="I253" s="381"/>
      <c r="J253" s="381"/>
      <c r="K253" s="381"/>
      <c r="L253" s="381"/>
      <c r="M253" s="381"/>
      <c r="N253" s="381"/>
      <c r="O253" s="381"/>
      <c r="P253" s="381"/>
      <c r="Q253" s="381"/>
      <c r="R253" s="381"/>
      <c r="S253" s="381"/>
      <c r="T253" s="362"/>
      <c r="U253" s="383"/>
    </row>
    <row r="254" spans="1:21" s="4" customFormat="1" ht="10.5" customHeight="1">
      <c r="A254" s="10" t="str">
        <f>IF(ISNA(VLOOKUP(B254,Setup!$A$74:$A$197,1,FALSE)),"","X")</f>
        <v/>
      </c>
      <c r="B254" s="161">
        <v>621120</v>
      </c>
      <c r="C254" s="161" t="s">
        <v>382</v>
      </c>
      <c r="D254" s="21">
        <f>SUMIF('2016'!$A:$A,Input!$B254,'2016'!O:O)</f>
        <v>126338</v>
      </c>
      <c r="E254" s="21">
        <f>IF(+'2017'!O254="","",+'2017'!O254)</f>
        <v>126338.00000000001</v>
      </c>
      <c r="F254" s="22">
        <f>IF(+E254="","",IF($F$4="Per Unit",(IF($F$3="Monthly",+E254/Setup!$B$12/12,+E254/Setup!$B$12)),IF($F$3="Monthly",+E254/Setup!$B$13/12,+E254/Setup!$B$13)))</f>
        <v>574.26363636363646</v>
      </c>
      <c r="G254" s="33">
        <f t="shared" si="21"/>
        <v>10528.166666666666</v>
      </c>
      <c r="H254" s="382"/>
      <c r="I254" s="382"/>
      <c r="J254" s="382"/>
      <c r="K254" s="382"/>
      <c r="L254" s="382"/>
      <c r="M254" s="382"/>
      <c r="N254" s="382"/>
      <c r="O254" s="382"/>
      <c r="P254" s="382"/>
      <c r="Q254" s="382"/>
      <c r="R254" s="382"/>
      <c r="S254" s="382"/>
      <c r="T254" s="371"/>
      <c r="U254" s="383"/>
    </row>
    <row r="255" spans="1:21" s="4" customFormat="1" ht="10.5" customHeight="1">
      <c r="A255" s="10" t="str">
        <f>IF(ISNA(VLOOKUP(B255,Setup!$A$74:$A$197,1,FALSE)),"","X")</f>
        <v/>
      </c>
      <c r="B255" s="161">
        <v>621125</v>
      </c>
      <c r="C255" s="161" t="s">
        <v>383</v>
      </c>
      <c r="D255" s="21">
        <f>SUMIF('2016'!$A:$A,Input!$B255,'2016'!O:O)</f>
        <v>0</v>
      </c>
      <c r="E255" s="21">
        <f>IF(+'2017'!O255="","",+'2017'!O255)</f>
        <v>0</v>
      </c>
      <c r="F255" s="22">
        <f>IF(+E255="","",IF($F$4="Per Unit",(IF($F$3="Monthly",+E255/Setup!$B$12/12,+E255/Setup!$B$12)),IF($F$3="Monthly",+E255/Setup!$B$13/12,+E255/Setup!$B$13)))</f>
        <v>0</v>
      </c>
      <c r="G255" s="33">
        <f t="shared" si="21"/>
        <v>0</v>
      </c>
      <c r="H255" s="381"/>
      <c r="I255" s="381"/>
      <c r="J255" s="381"/>
      <c r="K255" s="381"/>
      <c r="L255" s="381"/>
      <c r="M255" s="381"/>
      <c r="N255" s="381"/>
      <c r="O255" s="381"/>
      <c r="P255" s="381"/>
      <c r="Q255" s="381"/>
      <c r="R255" s="381"/>
      <c r="S255" s="381"/>
      <c r="T255" s="362"/>
      <c r="U255" s="383"/>
    </row>
    <row r="256" spans="1:21" s="4" customFormat="1" ht="10.5" customHeight="1">
      <c r="A256" s="10" t="str">
        <f>IF(ISNA(VLOOKUP(B256,Setup!$A$74:$A$197,1,FALSE)),"","X")</f>
        <v/>
      </c>
      <c r="B256" s="161"/>
      <c r="C256" s="163"/>
      <c r="D256" s="21"/>
      <c r="E256" s="21" t="str">
        <f>IF(+'2017'!O256="","",+'2017'!O256)</f>
        <v/>
      </c>
      <c r="F256" s="22" t="str">
        <f>IF(+E256="","",IF($F$4="Per Unit",(IF($F$3="Monthly",+E256/Setup!$B$12/12,+E256/Setup!$B$12)),IF($F$3="Monthly",+E256/Setup!$B$13/12,+E256/Setup!$B$13)))</f>
        <v/>
      </c>
      <c r="G256" s="102"/>
      <c r="H256" s="377"/>
      <c r="I256" s="377"/>
      <c r="J256" s="377"/>
      <c r="K256" s="377"/>
      <c r="L256" s="377"/>
      <c r="M256" s="377"/>
      <c r="N256" s="377"/>
      <c r="O256" s="377"/>
      <c r="P256" s="377"/>
      <c r="Q256" s="377"/>
      <c r="R256" s="377"/>
      <c r="S256" s="377"/>
    </row>
    <row r="257" spans="1:21" s="4" customFormat="1" ht="10.5" customHeight="1">
      <c r="A257" s="10" t="str">
        <f>IF(ISNA(VLOOKUP(B257,Setup!$A$74:$A$197,1,FALSE)),"","X")</f>
        <v/>
      </c>
      <c r="B257" s="161"/>
      <c r="C257" s="159" t="s">
        <v>378</v>
      </c>
      <c r="D257" s="21">
        <f>SUM(D251:D255)</f>
        <v>129138</v>
      </c>
      <c r="E257" s="21">
        <f>IF(+'2017'!O257="","",+'2017'!O257)</f>
        <v>129138</v>
      </c>
      <c r="F257" s="22">
        <f>IF(+E257="","",IF($F$4="Per Unit",(IF($F$3="Monthly",+E257/Setup!$B$12/12,+E257/Setup!$B$12)),IF($F$3="Monthly",+E257/Setup!$B$13/12,+E257/Setup!$B$13)))</f>
        <v>586.9909090909091</v>
      </c>
      <c r="G257" s="102"/>
      <c r="H257" s="377">
        <f>+'2017'!C257</f>
        <v>10761.5</v>
      </c>
      <c r="I257" s="377">
        <f>+'2017'!D257</f>
        <v>10761.5</v>
      </c>
      <c r="J257" s="377">
        <f>+'2017'!E257</f>
        <v>10761.5</v>
      </c>
      <c r="K257" s="377">
        <f>+'2017'!F257</f>
        <v>10761.5</v>
      </c>
      <c r="L257" s="377">
        <f>+'2017'!G257</f>
        <v>10761.5</v>
      </c>
      <c r="M257" s="377">
        <f>+'2017'!H257</f>
        <v>10761.5</v>
      </c>
      <c r="N257" s="377">
        <f>+'2017'!I257</f>
        <v>10761.5</v>
      </c>
      <c r="O257" s="377">
        <f>+'2017'!J257</f>
        <v>10761.5</v>
      </c>
      <c r="P257" s="377">
        <f>+'2017'!K257</f>
        <v>10761.5</v>
      </c>
      <c r="Q257" s="377">
        <f>+'2017'!L257</f>
        <v>10761.5</v>
      </c>
      <c r="R257" s="377">
        <f>+'2017'!M257</f>
        <v>10761.5</v>
      </c>
      <c r="S257" s="377">
        <f>+'2017'!N257</f>
        <v>10761.5</v>
      </c>
    </row>
    <row r="258" spans="1:21" s="4" customFormat="1" ht="10.5" customHeight="1">
      <c r="A258" s="10" t="str">
        <f>IF(ISNA(VLOOKUP(B258,Setup!$A$74:$A$197,1,FALSE)),"","X")</f>
        <v/>
      </c>
      <c r="B258" s="161"/>
      <c r="C258" s="161" t="s">
        <v>384</v>
      </c>
      <c r="D258" s="21"/>
      <c r="E258" s="21" t="str">
        <f>IF(+'2017'!O258="","",+'2017'!O258)</f>
        <v/>
      </c>
      <c r="F258" s="22" t="str">
        <f>IF(+E258="","",IF($F$4="Per Unit",(IF($F$3="Monthly",+E258/Setup!$B$12/12,+E258/Setup!$B$12)),IF($F$3="Monthly",+E258/Setup!$B$13/12,+E258/Setup!$B$13)))</f>
        <v/>
      </c>
      <c r="G258" s="102"/>
      <c r="H258" s="377"/>
      <c r="I258" s="377"/>
      <c r="J258" s="377"/>
      <c r="K258" s="377"/>
      <c r="L258" s="377"/>
      <c r="M258" s="377"/>
      <c r="N258" s="377"/>
      <c r="O258" s="377"/>
      <c r="P258" s="377"/>
      <c r="Q258" s="377"/>
      <c r="R258" s="377"/>
      <c r="S258" s="377"/>
    </row>
    <row r="259" spans="1:21" s="10" customFormat="1" ht="10.5" customHeight="1">
      <c r="A259" s="10" t="str">
        <f>IF(ISNA(VLOOKUP(B259,Setup!$A$74:$A$197,1,FALSE)),"","X")</f>
        <v/>
      </c>
      <c r="B259" s="161">
        <v>711100</v>
      </c>
      <c r="C259" s="161" t="s">
        <v>385</v>
      </c>
      <c r="D259" s="21">
        <f>SUMIF('2016'!$A:$A,Input!$B259,'2016'!O:O)</f>
        <v>28766</v>
      </c>
      <c r="E259" s="21">
        <f>IF(+'2017'!O259="","",+'2017'!O259)</f>
        <v>28766.000000000004</v>
      </c>
      <c r="F259" s="22">
        <f>IF(+E259="","",IF($F$4="Per Unit",(IF($F$3="Monthly",+E259/Setup!$B$12/12,+E259/Setup!$B$12)),IF($F$3="Monthly",+E259/Setup!$B$13/12,+E259/Setup!$B$13)))</f>
        <v>130.75454545454548</v>
      </c>
      <c r="G259" s="33">
        <f t="shared" ref="G259" si="22">+D259/12</f>
        <v>2397.1666666666665</v>
      </c>
      <c r="H259" s="381"/>
      <c r="I259" s="381"/>
      <c r="J259" s="381"/>
      <c r="K259" s="381"/>
      <c r="L259" s="381"/>
      <c r="M259" s="381"/>
      <c r="N259" s="381"/>
      <c r="O259" s="381"/>
      <c r="P259" s="381"/>
      <c r="Q259" s="381"/>
      <c r="R259" s="381"/>
      <c r="S259" s="381"/>
      <c r="T259" s="362"/>
      <c r="U259" s="383"/>
    </row>
    <row r="260" spans="1:21" s="10" customFormat="1" ht="10.5" customHeight="1">
      <c r="B260" s="161">
        <v>711105</v>
      </c>
      <c r="C260" s="4" t="s">
        <v>1247</v>
      </c>
      <c r="D260" s="21">
        <f>SUMIF('2016'!$A:$A,Input!$B260,'2016'!O:O)</f>
        <v>0</v>
      </c>
      <c r="E260" s="21">
        <f>IF(+'2017'!O260="","",+'2017'!O260)</f>
        <v>0</v>
      </c>
      <c r="F260" s="22">
        <f>IF(+E260="","",IF($F$4="Per Unit",(IF($F$3="Monthly",+E260/Setup!$B$12/12,+E260/Setup!$B$12)),IF($F$3="Monthly",+E260/Setup!$B$13/12,+E260/Setup!$B$13)))</f>
        <v>0</v>
      </c>
      <c r="G260" s="33"/>
      <c r="H260" s="381"/>
      <c r="I260" s="381"/>
      <c r="J260" s="381"/>
      <c r="K260" s="381"/>
      <c r="L260" s="381"/>
      <c r="M260" s="381"/>
      <c r="N260" s="381"/>
      <c r="O260" s="381"/>
      <c r="P260" s="381"/>
      <c r="Q260" s="381"/>
      <c r="R260" s="381"/>
      <c r="S260" s="381"/>
      <c r="T260" s="362"/>
      <c r="U260" s="383"/>
    </row>
    <row r="261" spans="1:21" s="4" customFormat="1" ht="10.5" customHeight="1">
      <c r="A261" s="10" t="str">
        <f>IF(ISNA(VLOOKUP(B261,Setup!$A$74:$A$197,1,FALSE)),"","X")</f>
        <v/>
      </c>
      <c r="B261" s="161">
        <v>711135</v>
      </c>
      <c r="C261" s="161" t="s">
        <v>386</v>
      </c>
      <c r="D261" s="21">
        <f>SUMIF('2016'!$A:$A,Input!$B261,'2016'!O:O)</f>
        <v>0</v>
      </c>
      <c r="E261" s="21">
        <f>IF(+'2017'!O261="","",+'2017'!O261)</f>
        <v>0</v>
      </c>
      <c r="F261" s="22">
        <f>IF(+E261="","",IF($F$4="Per Unit",(IF($F$3="Monthly",+E261/Setup!$B$12/12,+E261/Setup!$B$12)),IF($F$3="Monthly",+E261/Setup!$B$13/12,+E261/Setup!$B$13)))</f>
        <v>0</v>
      </c>
      <c r="G261" s="33"/>
      <c r="H261" s="381"/>
      <c r="I261" s="381"/>
      <c r="J261" s="381"/>
      <c r="K261" s="381"/>
      <c r="L261" s="381"/>
      <c r="M261" s="381"/>
      <c r="N261" s="381"/>
      <c r="O261" s="381"/>
      <c r="P261" s="381"/>
      <c r="Q261" s="381"/>
      <c r="R261" s="381"/>
      <c r="S261" s="381"/>
      <c r="T261" s="362"/>
      <c r="U261" s="383"/>
    </row>
    <row r="262" spans="1:21" s="4" customFormat="1" ht="10.5" customHeight="1">
      <c r="A262" s="10" t="str">
        <f>IF(ISNA(VLOOKUP(B262,Setup!$A$74:$A$197,1,FALSE)),"","X")</f>
        <v/>
      </c>
      <c r="B262" s="161"/>
      <c r="C262" s="163"/>
      <c r="D262" s="21"/>
      <c r="E262" s="21" t="str">
        <f>IF(+'2017'!O262="","",+'2017'!O262)</f>
        <v/>
      </c>
      <c r="F262" s="22" t="str">
        <f>IF(+E262="","",IF($F$4="Per Unit",(IF($F$3="Monthly",+E262/Setup!$B$12/12,+E262/Setup!$B$12)),IF($F$3="Monthly",+E262/Setup!$B$13/12,+E262/Setup!$B$13)))</f>
        <v/>
      </c>
      <c r="G262" s="102"/>
      <c r="H262" s="377"/>
      <c r="I262" s="377"/>
      <c r="J262" s="377"/>
      <c r="K262" s="377"/>
      <c r="L262" s="377"/>
      <c r="M262" s="377"/>
      <c r="N262" s="377"/>
      <c r="O262" s="377"/>
      <c r="P262" s="377"/>
      <c r="Q262" s="377"/>
      <c r="R262" s="377"/>
      <c r="S262" s="377"/>
    </row>
    <row r="263" spans="1:21" s="4" customFormat="1" ht="10.5" customHeight="1">
      <c r="A263" s="10" t="str">
        <f>IF(ISNA(VLOOKUP(B263,Setup!$A$74:$A$197,1,FALSE)),"","X")</f>
        <v/>
      </c>
      <c r="B263" s="161"/>
      <c r="C263" s="159" t="s">
        <v>384</v>
      </c>
      <c r="D263" s="21">
        <f>SUM(D259:D261)</f>
        <v>28766</v>
      </c>
      <c r="E263" s="21">
        <f>IF(+'2017'!O263="","",+'2017'!O263)</f>
        <v>28766.000000000004</v>
      </c>
      <c r="F263" s="22">
        <f>IF(+E263="","",IF($F$4="Per Unit",(IF($F$3="Monthly",+E263/Setup!$B$12/12,+E263/Setup!$B$12)),IF($F$3="Monthly",+E263/Setup!$B$13/12,+E263/Setup!$B$13)))</f>
        <v>130.75454545454548</v>
      </c>
      <c r="G263" s="102"/>
      <c r="H263" s="377">
        <f>+'2017'!C263</f>
        <v>2397.1666666666665</v>
      </c>
      <c r="I263" s="377">
        <f>+'2017'!D263</f>
        <v>2397.1666666666665</v>
      </c>
      <c r="J263" s="377">
        <f>+'2017'!E263</f>
        <v>2397.1666666666665</v>
      </c>
      <c r="K263" s="377">
        <f>+'2017'!F263</f>
        <v>2397.1666666666665</v>
      </c>
      <c r="L263" s="377">
        <f>+'2017'!G263</f>
        <v>2397.1666666666665</v>
      </c>
      <c r="M263" s="377">
        <f>+'2017'!H263</f>
        <v>2397.1666666666665</v>
      </c>
      <c r="N263" s="377">
        <f>+'2017'!I263</f>
        <v>2397.1666666666665</v>
      </c>
      <c r="O263" s="377">
        <f>+'2017'!J263</f>
        <v>2397.1666666666665</v>
      </c>
      <c r="P263" s="377">
        <f>+'2017'!K263</f>
        <v>2397.1666666666665</v>
      </c>
      <c r="Q263" s="377">
        <f>+'2017'!L263</f>
        <v>2397.1666666666665</v>
      </c>
      <c r="R263" s="377">
        <f>+'2017'!M263</f>
        <v>2397.1666666666665</v>
      </c>
      <c r="S263" s="377">
        <f>+'2017'!N263</f>
        <v>2397.1666666666665</v>
      </c>
    </row>
    <row r="264" spans="1:21" s="4" customFormat="1" ht="10.5" customHeight="1">
      <c r="A264" s="10" t="str">
        <f>IF(ISNA(VLOOKUP(B264,Setup!$A$74:$A$197,1,FALSE)),"","X")</f>
        <v/>
      </c>
      <c r="B264" s="161"/>
      <c r="C264" s="163"/>
      <c r="D264" s="21"/>
      <c r="E264" s="21" t="str">
        <f>IF(+'2017'!O264="","",+'2017'!O264)</f>
        <v/>
      </c>
      <c r="F264" s="22" t="str">
        <f>IF(+E264="","",IF($F$4="Per Unit",(IF($F$3="Monthly",+E264/Setup!$B$12/12,+E264/Setup!$B$12)),IF($F$3="Monthly",+E264/Setup!$B$13/12,+E264/Setup!$B$13)))</f>
        <v/>
      </c>
      <c r="G264" s="102"/>
      <c r="H264" s="377"/>
      <c r="I264" s="377"/>
      <c r="J264" s="377"/>
      <c r="K264" s="377"/>
      <c r="L264" s="377"/>
      <c r="M264" s="377"/>
      <c r="N264" s="377"/>
      <c r="O264" s="377"/>
      <c r="P264" s="377"/>
      <c r="Q264" s="377"/>
      <c r="R264" s="377"/>
      <c r="S264" s="377"/>
    </row>
    <row r="265" spans="1:21" s="10" customFormat="1" ht="10.5" customHeight="1">
      <c r="A265" s="10" t="str">
        <f>IF(ISNA(VLOOKUP(B265,Setup!$A$74:$A$197,1,FALSE)),"","X")</f>
        <v/>
      </c>
      <c r="B265" s="161"/>
      <c r="C265" s="159" t="s">
        <v>377</v>
      </c>
      <c r="D265" s="21">
        <f>+D263+D257</f>
        <v>157904</v>
      </c>
      <c r="E265" s="21">
        <f>IF(+'2017'!O265="","",+'2017'!O265)</f>
        <v>157904</v>
      </c>
      <c r="F265" s="22">
        <f>IF(+E265="","",IF($F$4="Per Unit",(IF($F$3="Monthly",+E265/Setup!$B$12/12,+E265/Setup!$B$12)),IF($F$3="Monthly",+E265/Setup!$B$13/12,+E265/Setup!$B$13)))</f>
        <v>717.74545454545455</v>
      </c>
      <c r="G265" s="102"/>
      <c r="H265" s="377">
        <f>+'2017'!C265</f>
        <v>13158.666666666666</v>
      </c>
      <c r="I265" s="377">
        <f>+'2017'!D265</f>
        <v>13158.666666666666</v>
      </c>
      <c r="J265" s="377">
        <f>+'2017'!E265</f>
        <v>13158.666666666666</v>
      </c>
      <c r="K265" s="377">
        <f>+'2017'!F265</f>
        <v>13158.666666666666</v>
      </c>
      <c r="L265" s="377">
        <f>+'2017'!G265</f>
        <v>13158.666666666666</v>
      </c>
      <c r="M265" s="377">
        <f>+'2017'!H265</f>
        <v>13158.666666666666</v>
      </c>
      <c r="N265" s="377">
        <f>+'2017'!I265</f>
        <v>13158.666666666666</v>
      </c>
      <c r="O265" s="377">
        <f>+'2017'!J265</f>
        <v>13158.666666666666</v>
      </c>
      <c r="P265" s="377">
        <f>+'2017'!K265</f>
        <v>13158.666666666666</v>
      </c>
      <c r="Q265" s="377">
        <f>+'2017'!L265</f>
        <v>13158.666666666666</v>
      </c>
      <c r="R265" s="377">
        <f>+'2017'!M265</f>
        <v>13158.666666666666</v>
      </c>
      <c r="S265" s="377">
        <f>+'2017'!N265</f>
        <v>13158.666666666666</v>
      </c>
      <c r="T265" s="4"/>
      <c r="U265" s="4"/>
    </row>
    <row r="266" spans="1:21" s="17" customFormat="1" ht="10.5" customHeight="1">
      <c r="A266" s="10" t="str">
        <f>IF(ISNA(VLOOKUP(B266,Setup!$A$74:$A$197,1,FALSE)),"","X")</f>
        <v/>
      </c>
      <c r="B266" s="161"/>
      <c r="C266" s="163"/>
      <c r="D266" s="21"/>
      <c r="E266" s="21" t="str">
        <f>IF(+'2017'!O266="","",+'2017'!O266)</f>
        <v/>
      </c>
      <c r="F266" s="22" t="str">
        <f>IF(+E266="","",IF($F$4="Per Unit",(IF($F$3="Monthly",+E266/Setup!$B$12/12,+E266/Setup!$B$12)),IF($F$3="Monthly",+E266/Setup!$B$13/12,+E266/Setup!$B$13)))</f>
        <v/>
      </c>
      <c r="G266" s="102"/>
      <c r="H266" s="377"/>
      <c r="I266" s="377"/>
      <c r="J266" s="377"/>
      <c r="K266" s="377"/>
      <c r="L266" s="377"/>
      <c r="M266" s="377"/>
      <c r="N266" s="377"/>
      <c r="O266" s="377"/>
      <c r="P266" s="377"/>
      <c r="Q266" s="377"/>
      <c r="R266" s="377"/>
      <c r="S266" s="377"/>
      <c r="T266" s="4"/>
      <c r="U266" s="4"/>
    </row>
    <row r="267" spans="1:21" s="18" customFormat="1" ht="10.5" customHeight="1">
      <c r="A267" s="10" t="str">
        <f>IF(ISNA(VLOOKUP(B267,Setup!$A$74:$A$197,1,FALSE)),"","X")</f>
        <v/>
      </c>
      <c r="B267" s="161"/>
      <c r="C267" s="161" t="s">
        <v>137</v>
      </c>
      <c r="D267" s="21">
        <f>+D248+D265</f>
        <v>801118</v>
      </c>
      <c r="E267" s="21">
        <f>IF(+'2017'!O267="","",+'2017'!O267)</f>
        <v>806579.08654545457</v>
      </c>
      <c r="F267" s="22">
        <f>IF(+E267="","",IF($F$4="Per Unit",(IF($F$3="Monthly",+E267/Setup!$B$12/12,+E267/Setup!$B$12)),IF($F$3="Monthly",+E267/Setup!$B$13/12,+E267/Setup!$B$13)))</f>
        <v>3666.2685752066118</v>
      </c>
      <c r="G267" s="102"/>
      <c r="H267" s="377">
        <f>+'2017'!C267</f>
        <v>67003.194333333333</v>
      </c>
      <c r="I267" s="377">
        <f>+'2017'!D267</f>
        <v>67042.194333333333</v>
      </c>
      <c r="J267" s="377">
        <f>+'2017'!E267</f>
        <v>67081.194333333333</v>
      </c>
      <c r="K267" s="377">
        <f>+'2017'!F267</f>
        <v>67104.007969696977</v>
      </c>
      <c r="L267" s="377">
        <f>+'2017'!G267</f>
        <v>67120.071606060606</v>
      </c>
      <c r="M267" s="377">
        <f>+'2017'!H267</f>
        <v>67201.507969696977</v>
      </c>
      <c r="N267" s="377">
        <f>+'2017'!I267</f>
        <v>67297.037515151518</v>
      </c>
      <c r="O267" s="377">
        <f>+'2017'!J267</f>
        <v>67376.223878787874</v>
      </c>
      <c r="P267" s="377">
        <f>+'2017'!K267</f>
        <v>67346.380696969703</v>
      </c>
      <c r="Q267" s="377">
        <f>+'2017'!L267</f>
        <v>67341.444333333333</v>
      </c>
      <c r="R267" s="377">
        <f>+'2017'!M267</f>
        <v>67336.507969696977</v>
      </c>
      <c r="S267" s="377">
        <f>+'2017'!N267</f>
        <v>67329.321606060606</v>
      </c>
      <c r="T267" s="4"/>
      <c r="U267" s="4"/>
    </row>
    <row r="268" spans="1:21" s="17" customFormat="1" ht="10.5" customHeight="1">
      <c r="A268" s="10" t="str">
        <f>IF(ISNA(VLOOKUP(B268,Setup!$A$74:$A$197,1,FALSE)),"","X")</f>
        <v/>
      </c>
      <c r="B268" s="161"/>
      <c r="C268" s="163"/>
      <c r="D268" s="21"/>
      <c r="E268" s="21" t="str">
        <f>IF(+'2017'!O268="","",+'2017'!O268)</f>
        <v/>
      </c>
      <c r="F268" s="22" t="str">
        <f>IF(+E268="","",IF($F$4="Per Unit",(IF($F$3="Monthly",+E268/Setup!$B$12/12,+E268/Setup!$B$12)),IF($F$3="Monthly",+E268/Setup!$B$13/12,+E268/Setup!$B$13)))</f>
        <v/>
      </c>
      <c r="G268" s="102"/>
      <c r="H268" s="377"/>
      <c r="I268" s="377"/>
      <c r="J268" s="377"/>
      <c r="K268" s="377"/>
      <c r="L268" s="377"/>
      <c r="M268" s="377"/>
      <c r="N268" s="377"/>
      <c r="O268" s="377"/>
      <c r="P268" s="377"/>
      <c r="Q268" s="377"/>
      <c r="R268" s="377"/>
      <c r="S268" s="377"/>
      <c r="T268" s="4"/>
      <c r="U268" s="4"/>
    </row>
    <row r="269" spans="1:21" s="17" customFormat="1" ht="10.5" customHeight="1">
      <c r="A269" s="10" t="str">
        <f>IF(ISNA(VLOOKUP(B269,Setup!$A$74:$A$197,1,FALSE)),"","X")</f>
        <v/>
      </c>
      <c r="B269" s="161"/>
      <c r="C269" s="159" t="s">
        <v>66</v>
      </c>
      <c r="D269" s="21">
        <f>+D62-D267</f>
        <v>1365783</v>
      </c>
      <c r="E269" s="21">
        <f>IF(+'2017'!O269="","",+'2017'!O269)</f>
        <v>2146535.7316363635</v>
      </c>
      <c r="F269" s="22">
        <f>IF(+E269="","",IF($F$4="Per Unit",(IF($F$3="Monthly",+E269/Setup!$B$12/12,+E269/Setup!$B$12)),IF($F$3="Monthly",+E269/Setup!$B$13/12,+E269/Setup!$B$13)))</f>
        <v>9756.9805983471069</v>
      </c>
      <c r="G269" s="102"/>
      <c r="H269" s="377">
        <f>+'2017'!C269</f>
        <v>172032.05566666665</v>
      </c>
      <c r="I269" s="377">
        <f>+'2017'!D269</f>
        <v>173293.05566666665</v>
      </c>
      <c r="J269" s="377">
        <f>+'2017'!E269</f>
        <v>174554.05566666665</v>
      </c>
      <c r="K269" s="377">
        <f>+'2017'!F269</f>
        <v>175291.69657575755</v>
      </c>
      <c r="L269" s="377">
        <f>+'2017'!G269</f>
        <v>175811.08748484848</v>
      </c>
      <c r="M269" s="377">
        <f>+'2017'!H269</f>
        <v>178444.19657575755</v>
      </c>
      <c r="N269" s="377">
        <f>+'2017'!I269</f>
        <v>181532.98521212122</v>
      </c>
      <c r="O269" s="377">
        <f>+'2017'!J269</f>
        <v>184093.34430303029</v>
      </c>
      <c r="P269" s="377">
        <f>+'2017'!K269</f>
        <v>183128.41475757578</v>
      </c>
      <c r="Q269" s="377">
        <f>+'2017'!L269</f>
        <v>182968.80566666665</v>
      </c>
      <c r="R269" s="377">
        <f>+'2017'!M269</f>
        <v>182809.19657575755</v>
      </c>
      <c r="S269" s="377">
        <f>+'2017'!N269</f>
        <v>182576.83748484848</v>
      </c>
      <c r="T269" s="4"/>
      <c r="U269" s="4"/>
    </row>
    <row r="270" spans="1:21" s="17" customFormat="1" ht="10.5" customHeight="1">
      <c r="A270" s="10" t="str">
        <f>IF(ISNA(VLOOKUP(B270,Setup!$A$74:$A$197,1,FALSE)),"","X")</f>
        <v/>
      </c>
      <c r="B270" s="161"/>
      <c r="C270" s="165"/>
      <c r="D270" s="21"/>
      <c r="E270" s="21" t="str">
        <f>IF(+'2017'!O270="","",+'2017'!O270)</f>
        <v/>
      </c>
      <c r="F270" s="22" t="str">
        <f>IF(+E270="","",IF($F$4="Per Unit",(IF($F$3="Monthly",+E270/Setup!$B$12/12,+E270/Setup!$B$12)),IF($F$3="Monthly",+E270/Setup!$B$13/12,+E270/Setup!$B$13)))</f>
        <v/>
      </c>
      <c r="G270" s="102"/>
      <c r="H270" s="377"/>
      <c r="I270" s="377"/>
      <c r="J270" s="377"/>
      <c r="K270" s="377"/>
      <c r="L270" s="377"/>
      <c r="M270" s="377"/>
      <c r="N270" s="377"/>
      <c r="O270" s="377"/>
      <c r="P270" s="377"/>
      <c r="Q270" s="377"/>
      <c r="R270" s="377"/>
      <c r="S270" s="377"/>
      <c r="T270" s="4"/>
      <c r="U270" s="4"/>
    </row>
    <row r="271" spans="1:21" s="4" customFormat="1" ht="10.5" customHeight="1">
      <c r="A271" s="10" t="str">
        <f>IF(ISNA(VLOOKUP(B271,Setup!$A$74:$A$197,1,FALSE)),"","X")</f>
        <v/>
      </c>
      <c r="B271" s="161"/>
      <c r="C271" s="160" t="s">
        <v>138</v>
      </c>
      <c r="D271" s="21"/>
      <c r="E271" s="21" t="str">
        <f>IF(+'2017'!O271="","",+'2017'!O271)</f>
        <v/>
      </c>
      <c r="F271" s="22" t="str">
        <f>IF(+E271="","",IF($F$4="Per Unit",(IF($F$3="Monthly",+E271/Setup!$B$12/12,+E271/Setup!$B$12)),IF($F$3="Monthly",+E271/Setup!$B$13/12,+E271/Setup!$B$13)))</f>
        <v/>
      </c>
      <c r="G271" s="102"/>
      <c r="H271" s="377"/>
      <c r="I271" s="377"/>
      <c r="J271" s="377"/>
      <c r="K271" s="377"/>
      <c r="L271" s="377"/>
      <c r="M271" s="377"/>
      <c r="N271" s="377"/>
      <c r="O271" s="377"/>
      <c r="P271" s="377"/>
      <c r="Q271" s="377"/>
      <c r="R271" s="377"/>
      <c r="S271" s="377"/>
    </row>
    <row r="272" spans="1:21" s="4" customFormat="1" ht="10.5" customHeight="1">
      <c r="A272" s="10" t="str">
        <f>IF(ISNA(VLOOKUP(B272,Setup!$A$74:$A$197,1,FALSE)),"","X")</f>
        <v/>
      </c>
      <c r="B272" s="161">
        <v>800110</v>
      </c>
      <c r="C272" s="161" t="s">
        <v>387</v>
      </c>
      <c r="D272" s="21">
        <f>SUMIF('2016'!$A:$A,Input!$B272,'2016'!O:O)</f>
        <v>31148</v>
      </c>
      <c r="E272" s="21">
        <f>IF(+'2017'!O272="","",+'2017'!O272)</f>
        <v>31148.000000000004</v>
      </c>
      <c r="F272" s="22">
        <f>IF(+E272="","",IF($F$4="Per Unit",(IF($F$3="Monthly",+E272/Setup!$B$12/12,+E272/Setup!$B$12)),IF($F$3="Monthly",+E272/Setup!$B$13/12,+E272/Setup!$B$13)))</f>
        <v>141.58181818181819</v>
      </c>
      <c r="G272" s="33">
        <f t="shared" ref="G272:G283" si="23">+D272/12</f>
        <v>2595.6666666666665</v>
      </c>
      <c r="H272" s="492"/>
      <c r="I272" s="492"/>
      <c r="J272" s="492"/>
      <c r="K272" s="492"/>
      <c r="L272" s="492"/>
      <c r="M272" s="492"/>
      <c r="N272" s="492"/>
      <c r="O272" s="492"/>
      <c r="P272" s="492"/>
      <c r="Q272" s="492"/>
      <c r="R272" s="492"/>
      <c r="S272" s="492"/>
      <c r="T272" s="492"/>
      <c r="U272" s="383"/>
    </row>
    <row r="273" spans="1:21" s="4" customFormat="1" ht="10.5" customHeight="1">
      <c r="A273" s="10" t="str">
        <f>IF(ISNA(VLOOKUP(B273,Setup!$A$74:$A$197,1,FALSE)),"","X")</f>
        <v/>
      </c>
      <c r="B273" s="161">
        <v>800115</v>
      </c>
      <c r="C273" s="161" t="s">
        <v>388</v>
      </c>
      <c r="D273" s="21">
        <f>SUMIF('2016'!$A:$A,Input!$B273,'2016'!O:O)</f>
        <v>2352</v>
      </c>
      <c r="E273" s="21">
        <f>IF(+'2017'!O273="","",+'2017'!O273)</f>
        <v>2352</v>
      </c>
      <c r="F273" s="22">
        <f>IF(+E273="","",IF($F$4="Per Unit",(IF($F$3="Monthly",+E273/Setup!$B$12/12,+E273/Setup!$B$12)),IF($F$3="Monthly",+E273/Setup!$B$13/12,+E273/Setup!$B$13)))</f>
        <v>10.690909090909091</v>
      </c>
      <c r="G273" s="33">
        <f t="shared" si="23"/>
        <v>196</v>
      </c>
      <c r="H273" s="492"/>
      <c r="I273" s="492"/>
      <c r="J273" s="492"/>
      <c r="K273" s="492"/>
      <c r="L273" s="492"/>
      <c r="M273" s="492"/>
      <c r="N273" s="492"/>
      <c r="O273" s="492"/>
      <c r="P273" s="492"/>
      <c r="Q273" s="492"/>
      <c r="R273" s="492"/>
      <c r="S273" s="492"/>
      <c r="T273" s="492"/>
      <c r="U273" s="383"/>
    </row>
    <row r="274" spans="1:21" s="4" customFormat="1" ht="10.5" customHeight="1">
      <c r="A274" s="10" t="str">
        <f>IF(ISNA(VLOOKUP(B274,Setup!$A$74:$A$197,1,FALSE)),"","X")</f>
        <v/>
      </c>
      <c r="B274" s="161">
        <v>800120</v>
      </c>
      <c r="C274" s="161" t="s">
        <v>389</v>
      </c>
      <c r="D274" s="21">
        <f>SUMIF('2016'!$A:$A,Input!$B274,'2016'!O:O)</f>
        <v>4244</v>
      </c>
      <c r="E274" s="21">
        <f>IF(+'2017'!O274="","",+'2017'!O274)</f>
        <v>4243.9999999999991</v>
      </c>
      <c r="F274" s="22">
        <f>IF(+E274="","",IF($F$4="Per Unit",(IF($F$3="Monthly",+E274/Setup!$B$12/12,+E274/Setup!$B$12)),IF($F$3="Monthly",+E274/Setup!$B$13/12,+E274/Setup!$B$13)))</f>
        <v>19.290909090909086</v>
      </c>
      <c r="G274" s="33">
        <f t="shared" si="23"/>
        <v>353.66666666666669</v>
      </c>
      <c r="H274" s="492"/>
      <c r="I274" s="492"/>
      <c r="J274" s="492"/>
      <c r="K274" s="492"/>
      <c r="L274" s="492"/>
      <c r="M274" s="492"/>
      <c r="N274" s="492"/>
      <c r="O274" s="492"/>
      <c r="P274" s="492"/>
      <c r="Q274" s="492"/>
      <c r="R274" s="492"/>
      <c r="S274" s="492"/>
      <c r="T274" s="492"/>
      <c r="U274" s="383"/>
    </row>
    <row r="275" spans="1:21" s="4" customFormat="1" ht="10.5" customHeight="1">
      <c r="A275" s="10" t="str">
        <f>IF(ISNA(VLOOKUP(B275,Setup!$A$74:$A$197,1,FALSE)),"","X")</f>
        <v/>
      </c>
      <c r="B275" s="161">
        <v>800125</v>
      </c>
      <c r="C275" s="161" t="s">
        <v>390</v>
      </c>
      <c r="D275" s="21">
        <f>SUMIF('2016'!$A:$A,Input!$B275,'2016'!O:O)</f>
        <v>2900</v>
      </c>
      <c r="E275" s="21">
        <f>IF(+'2017'!O275="","",+'2017'!O275)</f>
        <v>2899.9999999999995</v>
      </c>
      <c r="F275" s="22">
        <f>IF(+E275="","",IF($F$4="Per Unit",(IF($F$3="Monthly",+E275/Setup!$B$12/12,+E275/Setup!$B$12)),IF($F$3="Monthly",+E275/Setup!$B$13/12,+E275/Setup!$B$13)))</f>
        <v>13.18181818181818</v>
      </c>
      <c r="G275" s="33">
        <f t="shared" si="23"/>
        <v>241.66666666666666</v>
      </c>
      <c r="H275" s="492"/>
      <c r="I275" s="492"/>
      <c r="J275" s="492"/>
      <c r="K275" s="492"/>
      <c r="L275" s="492"/>
      <c r="M275" s="492"/>
      <c r="N275" s="492"/>
      <c r="O275" s="492"/>
      <c r="P275" s="492"/>
      <c r="Q275" s="492"/>
      <c r="R275" s="492"/>
      <c r="S275" s="492"/>
      <c r="T275" s="492"/>
      <c r="U275" s="383"/>
    </row>
    <row r="276" spans="1:21" s="4" customFormat="1" ht="10.5" customHeight="1">
      <c r="A276" s="10" t="str">
        <f>IF(ISNA(VLOOKUP(B276,Setup!$A$74:$A$197,1,FALSE)),"","X")</f>
        <v/>
      </c>
      <c r="B276" s="161">
        <v>800130</v>
      </c>
      <c r="C276" s="161" t="s">
        <v>391</v>
      </c>
      <c r="D276" s="21">
        <f>SUMIF('2016'!$A:$A,Input!$B276,'2016'!O:O)</f>
        <v>300</v>
      </c>
      <c r="E276" s="21">
        <f>IF(+'2017'!O276="","",+'2017'!O276)</f>
        <v>300</v>
      </c>
      <c r="F276" s="22">
        <f>IF(+E276="","",IF($F$4="Per Unit",(IF($F$3="Monthly",+E276/Setup!$B$12/12,+E276/Setup!$B$12)),IF($F$3="Monthly",+E276/Setup!$B$13/12,+E276/Setup!$B$13)))</f>
        <v>1.3636363636363635</v>
      </c>
      <c r="G276" s="33">
        <f t="shared" si="23"/>
        <v>25</v>
      </c>
      <c r="H276" s="492"/>
      <c r="I276" s="492"/>
      <c r="J276" s="492"/>
      <c r="K276" s="492"/>
      <c r="L276" s="492"/>
      <c r="M276" s="492"/>
      <c r="N276" s="492"/>
      <c r="O276" s="492"/>
      <c r="P276" s="492"/>
      <c r="Q276" s="492"/>
      <c r="R276" s="492"/>
      <c r="S276" s="492"/>
      <c r="T276" s="492"/>
      <c r="U276" s="383"/>
    </row>
    <row r="277" spans="1:21" s="10" customFormat="1" ht="10.5" customHeight="1">
      <c r="A277" s="10" t="str">
        <f>IF(ISNA(VLOOKUP(B277,Setup!$A$74:$A$197,1,FALSE)),"","X")</f>
        <v/>
      </c>
      <c r="B277" s="161">
        <v>800135</v>
      </c>
      <c r="C277" s="161" t="s">
        <v>392</v>
      </c>
      <c r="D277" s="21">
        <f>SUMIF('2016'!$A:$A,Input!$B277,'2016'!O:O)</f>
        <v>41582</v>
      </c>
      <c r="E277" s="21">
        <f>IF(+'2017'!O277="","",+'2017'!O277)</f>
        <v>41582</v>
      </c>
      <c r="F277" s="22">
        <f>IF(+E277="","",IF($F$4="Per Unit",(IF($F$3="Monthly",+E277/Setup!$B$12/12,+E277/Setup!$B$12)),IF($F$3="Monthly",+E277/Setup!$B$13/12,+E277/Setup!$B$13)))</f>
        <v>189.0090909090909</v>
      </c>
      <c r="G277" s="33">
        <f t="shared" si="23"/>
        <v>3465.1666666666665</v>
      </c>
      <c r="H277" s="492"/>
      <c r="I277" s="492"/>
      <c r="J277" s="492"/>
      <c r="K277" s="492"/>
      <c r="L277" s="492"/>
      <c r="M277" s="492"/>
      <c r="N277" s="492"/>
      <c r="O277" s="492"/>
      <c r="P277" s="492"/>
      <c r="Q277" s="492"/>
      <c r="R277" s="492"/>
      <c r="S277" s="492"/>
      <c r="T277" s="492"/>
      <c r="U277" s="383"/>
    </row>
    <row r="278" spans="1:21" s="17" customFormat="1" ht="10.5" customHeight="1">
      <c r="A278" s="10" t="str">
        <f>IF(ISNA(VLOOKUP(B278,Setup!$A$74:$A$197,1,FALSE)),"","X")</f>
        <v/>
      </c>
      <c r="B278" s="161">
        <v>800140</v>
      </c>
      <c r="C278" s="161" t="s">
        <v>393</v>
      </c>
      <c r="D278" s="21">
        <f>SUMIF('2016'!$A:$A,Input!$B278,'2016'!O:O)</f>
        <v>864</v>
      </c>
      <c r="E278" s="21">
        <f>IF(+'2017'!O278="","",+'2017'!O278)</f>
        <v>864</v>
      </c>
      <c r="F278" s="22">
        <f>IF(+E278="","",IF($F$4="Per Unit",(IF($F$3="Monthly",+E278/Setup!$B$12/12,+E278/Setup!$B$12)),IF($F$3="Monthly",+E278/Setup!$B$13/12,+E278/Setup!$B$13)))</f>
        <v>3.9272727272727272</v>
      </c>
      <c r="G278" s="33">
        <f t="shared" si="23"/>
        <v>72</v>
      </c>
      <c r="H278" s="492"/>
      <c r="I278" s="492"/>
      <c r="J278" s="492"/>
      <c r="K278" s="492"/>
      <c r="L278" s="492"/>
      <c r="M278" s="492"/>
      <c r="N278" s="492"/>
      <c r="O278" s="492"/>
      <c r="P278" s="492"/>
      <c r="Q278" s="492"/>
      <c r="R278" s="492"/>
      <c r="S278" s="492"/>
      <c r="T278" s="492"/>
      <c r="U278" s="383"/>
    </row>
    <row r="279" spans="1:21" s="17" customFormat="1" ht="10.5" customHeight="1">
      <c r="A279" s="10" t="str">
        <f>IF(ISNA(VLOOKUP(B279,Setup!$A$74:$A$197,1,FALSE)),"","X")</f>
        <v/>
      </c>
      <c r="B279" s="161">
        <v>800145</v>
      </c>
      <c r="C279" s="161" t="s">
        <v>394</v>
      </c>
      <c r="D279" s="21">
        <f>SUMIF('2016'!$A:$A,Input!$B279,'2016'!O:O)</f>
        <v>0</v>
      </c>
      <c r="E279" s="21">
        <f>IF(+'2017'!O279="","",+'2017'!O279)</f>
        <v>0</v>
      </c>
      <c r="F279" s="22">
        <f>IF(+E279="","",IF($F$4="Per Unit",(IF($F$3="Monthly",+E279/Setup!$B$12/12,+E279/Setup!$B$12)),IF($F$3="Monthly",+E279/Setup!$B$13/12,+E279/Setup!$B$13)))</f>
        <v>0</v>
      </c>
      <c r="G279" s="33">
        <f t="shared" si="23"/>
        <v>0</v>
      </c>
      <c r="H279" s="492"/>
      <c r="I279" s="492"/>
      <c r="J279" s="492"/>
      <c r="K279" s="492"/>
      <c r="L279" s="492"/>
      <c r="M279" s="492"/>
      <c r="N279" s="492"/>
      <c r="O279" s="492"/>
      <c r="P279" s="492"/>
      <c r="Q279" s="492"/>
      <c r="R279" s="492"/>
      <c r="S279" s="492"/>
      <c r="T279" s="492"/>
      <c r="U279" s="383"/>
    </row>
    <row r="280" spans="1:21" s="4" customFormat="1" ht="10.5" customHeight="1">
      <c r="A280" s="10" t="str">
        <f>IF(ISNA(VLOOKUP(B280,Setup!$A$74:$A$197,1,FALSE)),"","X")</f>
        <v/>
      </c>
      <c r="B280" s="161">
        <v>800150</v>
      </c>
      <c r="C280" s="161" t="s">
        <v>395</v>
      </c>
      <c r="D280" s="21">
        <f>SUMIF('2016'!$A:$A,Input!$B280,'2016'!O:O)</f>
        <v>1250</v>
      </c>
      <c r="E280" s="21">
        <f>IF(+'2017'!O280="","",+'2017'!O280)</f>
        <v>1250</v>
      </c>
      <c r="F280" s="22">
        <f>IF(+E280="","",IF($F$4="Per Unit",(IF($F$3="Monthly",+E280/Setup!$B$12/12,+E280/Setup!$B$12)),IF($F$3="Monthly",+E280/Setup!$B$13/12,+E280/Setup!$B$13)))</f>
        <v>5.6818181818181817</v>
      </c>
      <c r="G280" s="33">
        <f t="shared" si="23"/>
        <v>104.16666666666667</v>
      </c>
      <c r="H280" s="492"/>
      <c r="I280" s="492"/>
      <c r="J280" s="492"/>
      <c r="K280" s="492"/>
      <c r="L280" s="492"/>
      <c r="M280" s="492"/>
      <c r="N280" s="492"/>
      <c r="O280" s="492"/>
      <c r="P280" s="492"/>
      <c r="Q280" s="492"/>
      <c r="R280" s="492"/>
      <c r="S280" s="492"/>
      <c r="T280" s="492"/>
      <c r="U280" s="383"/>
    </row>
    <row r="281" spans="1:21" s="4" customFormat="1" ht="10.5" customHeight="1">
      <c r="A281" s="10" t="str">
        <f>IF(ISNA(VLOOKUP(B281,Setup!$A$74:$A$197,1,FALSE)),"","X")</f>
        <v/>
      </c>
      <c r="B281" s="161">
        <v>800155</v>
      </c>
      <c r="C281" s="161" t="s">
        <v>396</v>
      </c>
      <c r="D281" s="21">
        <f>SUMIF('2016'!$A:$A,Input!$B281,'2016'!O:O)</f>
        <v>4835</v>
      </c>
      <c r="E281" s="21">
        <f>IF(+'2017'!O281="","",+'2017'!O281)</f>
        <v>4835</v>
      </c>
      <c r="F281" s="22">
        <f>IF(+E281="","",IF($F$4="Per Unit",(IF($F$3="Monthly",+E281/Setup!$B$12/12,+E281/Setup!$B$12)),IF($F$3="Monthly",+E281/Setup!$B$13/12,+E281/Setup!$B$13)))</f>
        <v>21.977272727272727</v>
      </c>
      <c r="G281" s="33">
        <f t="shared" si="23"/>
        <v>402.91666666666669</v>
      </c>
      <c r="H281" s="492"/>
      <c r="I281" s="492"/>
      <c r="J281" s="492"/>
      <c r="K281" s="492"/>
      <c r="L281" s="492"/>
      <c r="M281" s="492"/>
      <c r="N281" s="492"/>
      <c r="O281" s="492"/>
      <c r="P281" s="492"/>
      <c r="Q281" s="492"/>
      <c r="R281" s="492"/>
      <c r="S281" s="492"/>
      <c r="T281" s="492"/>
      <c r="U281" s="383"/>
    </row>
    <row r="282" spans="1:21" s="4" customFormat="1" ht="10.5" customHeight="1">
      <c r="A282" s="10" t="str">
        <f>IF(ISNA(VLOOKUP(B282,Setup!$A$74:$A$197,1,FALSE)),"","X")</f>
        <v/>
      </c>
      <c r="B282" s="161">
        <v>800160</v>
      </c>
      <c r="C282" s="161" t="s">
        <v>397</v>
      </c>
      <c r="D282" s="21">
        <f>SUMIF('2016'!$A:$A,Input!$B282,'2016'!O:O)</f>
        <v>8645</v>
      </c>
      <c r="E282" s="21">
        <f>IF(+'2017'!O282="","",+'2017'!O282)</f>
        <v>8645.0000000000018</v>
      </c>
      <c r="F282" s="22">
        <f>IF(+E282="","",IF($F$4="Per Unit",(IF($F$3="Monthly",+E282/Setup!$B$12/12,+E282/Setup!$B$12)),IF($F$3="Monthly",+E282/Setup!$B$13/12,+E282/Setup!$B$13)))</f>
        <v>39.295454545454554</v>
      </c>
      <c r="G282" s="33">
        <f t="shared" si="23"/>
        <v>720.41666666666663</v>
      </c>
      <c r="H282" s="492"/>
      <c r="I282" s="492"/>
      <c r="J282" s="492"/>
      <c r="K282" s="492"/>
      <c r="L282" s="492"/>
      <c r="M282" s="492"/>
      <c r="N282" s="492"/>
      <c r="O282" s="492"/>
      <c r="P282" s="492"/>
      <c r="Q282" s="492"/>
      <c r="R282" s="492"/>
      <c r="S282" s="492"/>
      <c r="T282" s="492"/>
      <c r="U282" s="383"/>
    </row>
    <row r="283" spans="1:21" s="4" customFormat="1" ht="10.5" customHeight="1">
      <c r="A283" s="10" t="str">
        <f>IF(ISNA(VLOOKUP(B283,Setup!$A$74:$A$197,1,FALSE)),"","X")</f>
        <v/>
      </c>
      <c r="B283" s="161">
        <v>800165</v>
      </c>
      <c r="C283" s="161" t="s">
        <v>398</v>
      </c>
      <c r="D283" s="21">
        <f>SUMIF('2016'!$A:$A,Input!$B283,'2016'!O:O)</f>
        <v>497</v>
      </c>
      <c r="E283" s="21">
        <f>IF(+'2017'!O283="","",+'2017'!O283)</f>
        <v>497.00000000000006</v>
      </c>
      <c r="F283" s="22">
        <f>IF(+E283="","",IF($F$4="Per Unit",(IF($F$3="Monthly",+E283/Setup!$B$12/12,+E283/Setup!$B$12)),IF($F$3="Monthly",+E283/Setup!$B$13/12,+E283/Setup!$B$13)))</f>
        <v>2.2590909090909093</v>
      </c>
      <c r="G283" s="33">
        <f t="shared" si="23"/>
        <v>41.416666666666664</v>
      </c>
      <c r="H283" s="492"/>
      <c r="I283" s="492"/>
      <c r="J283" s="492"/>
      <c r="K283" s="492"/>
      <c r="L283" s="492"/>
      <c r="M283" s="492"/>
      <c r="N283" s="492"/>
      <c r="O283" s="492"/>
      <c r="P283" s="492"/>
      <c r="Q283" s="492"/>
      <c r="R283" s="492"/>
      <c r="S283" s="492"/>
      <c r="T283" s="492"/>
      <c r="U283" s="383"/>
    </row>
    <row r="284" spans="1:21" s="4" customFormat="1" ht="10.5" customHeight="1">
      <c r="A284" s="10" t="str">
        <f>IF(ISNA(VLOOKUP(B284,Setup!$A$74:$A$197,1,FALSE)),"","X")</f>
        <v/>
      </c>
      <c r="B284" s="161">
        <v>800170</v>
      </c>
      <c r="C284" s="161" t="s">
        <v>399</v>
      </c>
      <c r="D284" s="21">
        <f>SUMIF('2016'!$A:$A,Input!$B284,'2016'!O:O)</f>
        <v>0</v>
      </c>
      <c r="E284" s="21">
        <f>IF(+'2017'!O284="","",+'2017'!O284)</f>
        <v>0</v>
      </c>
      <c r="F284" s="22">
        <f>IF(+E284="","",IF($F$4="Per Unit",(IF($F$3="Monthly",+E284/Setup!$B$12/12,+E284/Setup!$B$12)),IF($F$3="Monthly",+E284/Setup!$B$13/12,+E284/Setup!$B$13)))</f>
        <v>0</v>
      </c>
      <c r="G284" s="33"/>
      <c r="H284" s="492"/>
      <c r="I284" s="492"/>
      <c r="J284" s="492"/>
      <c r="K284" s="492"/>
      <c r="L284" s="492"/>
      <c r="M284" s="492"/>
      <c r="N284" s="492"/>
      <c r="O284" s="492"/>
      <c r="P284" s="492"/>
      <c r="Q284" s="492"/>
      <c r="R284" s="492"/>
      <c r="S284" s="492"/>
      <c r="T284" s="492"/>
      <c r="U284" s="383"/>
    </row>
    <row r="285" spans="1:21" s="4" customFormat="1" ht="10.5" customHeight="1">
      <c r="A285" s="10" t="str">
        <f>IF(ISNA(VLOOKUP(B285,Setup!$A$74:$A$197,1,FALSE)),"","X")</f>
        <v/>
      </c>
      <c r="B285" s="161">
        <v>800175</v>
      </c>
      <c r="C285" s="161" t="s">
        <v>400</v>
      </c>
      <c r="D285" s="21">
        <f>SUMIF('2016'!$A:$A,Input!$B285,'2016'!O:O)</f>
        <v>0</v>
      </c>
      <c r="E285" s="21">
        <f>IF(+'2017'!O285="","",+'2017'!O285)</f>
        <v>0</v>
      </c>
      <c r="F285" s="22">
        <f>IF(+E285="","",IF($F$4="Per Unit",(IF($F$3="Monthly",+E285/Setup!$B$12/12,+E285/Setup!$B$12)),IF($F$3="Monthly",+E285/Setup!$B$13/12,+E285/Setup!$B$13)))</f>
        <v>0</v>
      </c>
      <c r="G285" s="33"/>
      <c r="H285" s="492"/>
      <c r="I285" s="492"/>
      <c r="J285" s="492"/>
      <c r="K285" s="492"/>
      <c r="L285" s="492"/>
      <c r="M285" s="492"/>
      <c r="N285" s="492"/>
      <c r="O285" s="492"/>
      <c r="P285" s="492"/>
      <c r="Q285" s="492"/>
      <c r="R285" s="492"/>
      <c r="S285" s="492"/>
      <c r="T285" s="492"/>
      <c r="U285" s="383"/>
    </row>
    <row r="286" spans="1:21" s="4" customFormat="1" ht="10.5" customHeight="1">
      <c r="A286" s="10"/>
      <c r="B286" s="161">
        <v>800180</v>
      </c>
      <c r="C286" s="4" t="s">
        <v>1248</v>
      </c>
      <c r="D286" s="21">
        <f>SUMIF('2016'!$A:$A,Input!$B286,'2016'!O:O)</f>
        <v>0</v>
      </c>
      <c r="E286" s="21">
        <f>IF(+'2017'!O286="","",+'2017'!O286)</f>
        <v>0</v>
      </c>
      <c r="F286" s="22">
        <f>IF(+E286="","",IF($F$4="Per Unit",(IF($F$3="Monthly",+E286/Setup!$B$12/12,+E286/Setup!$B$12)),IF($F$3="Monthly",+E286/Setup!$B$13/12,+E286/Setup!$B$13)))</f>
        <v>0</v>
      </c>
      <c r="G286" s="33"/>
      <c r="H286" s="492"/>
      <c r="I286" s="492"/>
      <c r="J286" s="492"/>
      <c r="K286" s="492"/>
      <c r="L286" s="492"/>
      <c r="M286" s="492"/>
      <c r="N286" s="492"/>
      <c r="O286" s="492"/>
      <c r="P286" s="492"/>
      <c r="Q286" s="492"/>
      <c r="R286" s="492"/>
      <c r="S286" s="492"/>
      <c r="T286" s="492"/>
      <c r="U286" s="383"/>
    </row>
    <row r="287" spans="1:21" s="4" customFormat="1" ht="10.5" customHeight="1">
      <c r="A287" s="10"/>
      <c r="B287" s="161">
        <v>800185</v>
      </c>
      <c r="C287" s="4" t="s">
        <v>1249</v>
      </c>
      <c r="D287" s="21">
        <f>SUMIF('2016'!$A:$A,Input!$B287,'2016'!O:O)</f>
        <v>0</v>
      </c>
      <c r="E287" s="21">
        <f>IF(+'2017'!O287="","",+'2017'!O287)</f>
        <v>0</v>
      </c>
      <c r="F287" s="22">
        <f>IF(+E287="","",IF($F$4="Per Unit",(IF($F$3="Monthly",+E287/Setup!$B$12/12,+E287/Setup!$B$12)),IF($F$3="Monthly",+E287/Setup!$B$13/12,+E287/Setup!$B$13)))</f>
        <v>0</v>
      </c>
      <c r="G287" s="33"/>
      <c r="H287" s="492"/>
      <c r="I287" s="492"/>
      <c r="J287" s="492"/>
      <c r="K287" s="492"/>
      <c r="L287" s="492"/>
      <c r="M287" s="492"/>
      <c r="N287" s="492"/>
      <c r="O287" s="492"/>
      <c r="P287" s="492"/>
      <c r="Q287" s="492"/>
      <c r="R287" s="492"/>
      <c r="S287" s="492"/>
      <c r="T287" s="492"/>
      <c r="U287" s="383"/>
    </row>
    <row r="288" spans="1:21" s="4" customFormat="1" ht="10.5" customHeight="1">
      <c r="A288" s="10" t="str">
        <f>IF(ISNA(VLOOKUP(B288,Setup!$A$74:$A$197,1,FALSE)),"","X")</f>
        <v/>
      </c>
      <c r="B288" s="161"/>
      <c r="C288" s="163"/>
      <c r="D288" s="21"/>
      <c r="E288" s="21" t="str">
        <f>IF(+'2017'!O288="","",+'2017'!O288)</f>
        <v/>
      </c>
      <c r="F288" s="22" t="str">
        <f>IF(+E288="","",IF($F$4="Per Unit",(IF($F$3="Monthly",+E288/Setup!$B$12/12,+E288/Setup!$B$12)),IF($F$3="Monthly",+E288/Setup!$B$13/12,+E288/Setup!$B$13)))</f>
        <v/>
      </c>
      <c r="G288" s="102"/>
      <c r="H288" s="377"/>
      <c r="I288" s="377"/>
      <c r="J288" s="377"/>
      <c r="K288" s="377"/>
      <c r="L288" s="377"/>
      <c r="M288" s="377"/>
      <c r="N288" s="377"/>
      <c r="O288" s="377"/>
      <c r="P288" s="377"/>
      <c r="Q288" s="377"/>
      <c r="R288" s="377"/>
      <c r="S288" s="377"/>
    </row>
    <row r="289" spans="1:21" s="4" customFormat="1" ht="10.5" customHeight="1">
      <c r="A289" s="10" t="str">
        <f>IF(ISNA(VLOOKUP(B289,Setup!$A$74:$A$197,1,FALSE)),"","X")</f>
        <v/>
      </c>
      <c r="B289" s="161"/>
      <c r="C289" s="159" t="s">
        <v>139</v>
      </c>
      <c r="D289" s="21">
        <f>SUM(D272:D285)</f>
        <v>98617</v>
      </c>
      <c r="E289" s="21">
        <f>IF(+'2017'!O289="","",+'2017'!O289)</f>
        <v>98616.999999999985</v>
      </c>
      <c r="F289" s="22">
        <f>IF(+E289="","",IF($F$4="Per Unit",(IF($F$3="Monthly",+E289/Setup!$B$12/12,+E289/Setup!$B$12)),IF($F$3="Monthly",+E289/Setup!$B$13/12,+E289/Setup!$B$13)))</f>
        <v>448.25909090909084</v>
      </c>
      <c r="G289" s="102"/>
      <c r="H289" s="377">
        <f>+'2017'!C289</f>
        <v>8218.0833333333339</v>
      </c>
      <c r="I289" s="377">
        <f>+'2017'!D289</f>
        <v>8218.0833333333339</v>
      </c>
      <c r="J289" s="377">
        <f>+'2017'!E289</f>
        <v>8218.0833333333339</v>
      </c>
      <c r="K289" s="377">
        <f>+'2017'!F289</f>
        <v>8218.0833333333339</v>
      </c>
      <c r="L289" s="377">
        <f>+'2017'!G289</f>
        <v>8218.0833333333339</v>
      </c>
      <c r="M289" s="377">
        <f>+'2017'!H289</f>
        <v>8218.0833333333339</v>
      </c>
      <c r="N289" s="377">
        <f>+'2017'!I289</f>
        <v>8218.0833333333339</v>
      </c>
      <c r="O289" s="377">
        <f>+'2017'!J289</f>
        <v>8218.0833333333339</v>
      </c>
      <c r="P289" s="377">
        <f>+'2017'!K289</f>
        <v>8218.0833333333339</v>
      </c>
      <c r="Q289" s="377">
        <f>+'2017'!L289</f>
        <v>8218.0833333333339</v>
      </c>
      <c r="R289" s="377">
        <f>+'2017'!M289</f>
        <v>8218.0833333333339</v>
      </c>
      <c r="S289" s="377">
        <f>+'2017'!N289</f>
        <v>8218.0833333333339</v>
      </c>
    </row>
    <row r="290" spans="1:21" s="4" customFormat="1" ht="10.5" customHeight="1">
      <c r="A290" s="10" t="str">
        <f>IF(ISNA(VLOOKUP(B290,Setup!$A$74:$A$197,1,FALSE)),"","X")</f>
        <v/>
      </c>
      <c r="B290" s="161"/>
      <c r="C290" s="165"/>
      <c r="D290" s="21"/>
      <c r="E290" s="21" t="str">
        <f>IF(+'2017'!O290="","",+'2017'!O290)</f>
        <v/>
      </c>
      <c r="F290" s="22" t="str">
        <f>IF(+E290="","",IF($F$4="Per Unit",(IF($F$3="Monthly",+E290/Setup!$B$12/12,+E290/Setup!$B$12)),IF($F$3="Monthly",+E290/Setup!$B$13/12,+E290/Setup!$B$13)))</f>
        <v/>
      </c>
      <c r="G290" s="102"/>
      <c r="H290" s="377"/>
      <c r="I290" s="377"/>
      <c r="J290" s="377"/>
      <c r="K290" s="377"/>
      <c r="L290" s="377"/>
      <c r="M290" s="377"/>
      <c r="N290" s="377"/>
      <c r="O290" s="377"/>
      <c r="P290" s="377"/>
      <c r="Q290" s="377"/>
      <c r="R290" s="377"/>
      <c r="S290" s="377"/>
    </row>
    <row r="291" spans="1:21" s="4" customFormat="1" ht="10.5" customHeight="1">
      <c r="A291" s="10" t="str">
        <f>IF(ISNA(VLOOKUP(B291,Setup!$A$74:$A$197,1,FALSE)),"","X")</f>
        <v/>
      </c>
      <c r="B291" s="161"/>
      <c r="C291" s="160" t="s">
        <v>401</v>
      </c>
      <c r="D291" s="21"/>
      <c r="E291" s="21" t="str">
        <f>IF(+'2017'!O291="","",+'2017'!O291)</f>
        <v/>
      </c>
      <c r="F291" s="22" t="str">
        <f>IF(+E291="","",IF($F$4="Per Unit",(IF($F$3="Monthly",+E291/Setup!$B$12/12,+E291/Setup!$B$12)),IF($F$3="Monthly",+E291/Setup!$B$13/12,+E291/Setup!$B$13)))</f>
        <v/>
      </c>
      <c r="G291" s="102"/>
      <c r="H291" s="377"/>
      <c r="I291" s="377"/>
      <c r="J291" s="377"/>
      <c r="K291" s="377"/>
      <c r="L291" s="377"/>
      <c r="M291" s="377"/>
      <c r="N291" s="377"/>
      <c r="O291" s="377"/>
      <c r="P291" s="377"/>
      <c r="Q291" s="377"/>
      <c r="R291" s="377"/>
      <c r="S291" s="377"/>
    </row>
    <row r="292" spans="1:21" s="4" customFormat="1" ht="10.5" customHeight="1">
      <c r="A292" s="10" t="str">
        <f>IF(ISNA(VLOOKUP(B292,Setup!$A$74:$A$197,1,FALSE)),"","X")</f>
        <v/>
      </c>
      <c r="B292" s="161">
        <v>911105</v>
      </c>
      <c r="C292" s="161" t="s">
        <v>402</v>
      </c>
      <c r="D292" s="21">
        <f>SUMIF('2016'!$A:$A,Input!$B292,'2016'!O:O)</f>
        <v>0</v>
      </c>
      <c r="E292" s="21">
        <f>IF(+'2017'!O292="","",+'2017'!O292)</f>
        <v>0</v>
      </c>
      <c r="F292" s="22">
        <f>IF(+E292="","",IF($F$4="Per Unit",(IF($F$3="Monthly",+E292/Setup!$B$12/12,+E292/Setup!$B$12)),IF($F$3="Monthly",+E292/Setup!$B$13/12,+E292/Setup!$B$13)))</f>
        <v>0</v>
      </c>
      <c r="G292" s="33"/>
      <c r="H292" s="381"/>
      <c r="I292" s="381"/>
      <c r="J292" s="381"/>
      <c r="K292" s="381"/>
      <c r="L292" s="381"/>
      <c r="M292" s="381"/>
      <c r="N292" s="381"/>
      <c r="O292" s="381"/>
      <c r="P292" s="381"/>
      <c r="Q292" s="381"/>
      <c r="R292" s="381"/>
      <c r="S292" s="381"/>
      <c r="T292" s="362"/>
      <c r="U292" s="383"/>
    </row>
    <row r="293" spans="1:21" s="4" customFormat="1" ht="10.5" customHeight="1">
      <c r="A293" s="10" t="str">
        <f>IF(ISNA(VLOOKUP(B293,Setup!$A$74:$A$197,1,FALSE)),"","X")</f>
        <v/>
      </c>
      <c r="B293" s="161">
        <v>911110</v>
      </c>
      <c r="C293" s="161" t="s">
        <v>403</v>
      </c>
      <c r="D293" s="21">
        <f>SUMIF('2016'!$A:$A,Input!$B293,'2016'!O:O)</f>
        <v>0</v>
      </c>
      <c r="E293" s="21">
        <f>IF(+'2017'!O293="","",+'2017'!O293)</f>
        <v>0</v>
      </c>
      <c r="F293" s="22">
        <f>IF(+E293="","",IF($F$4="Per Unit",(IF($F$3="Monthly",+E293/Setup!$B$12/12,+E293/Setup!$B$12)),IF($F$3="Monthly",+E293/Setup!$B$13/12,+E293/Setup!$B$13)))</f>
        <v>0</v>
      </c>
      <c r="G293" s="33"/>
      <c r="H293" s="492"/>
      <c r="I293" s="492"/>
      <c r="J293" s="492"/>
      <c r="K293" s="492"/>
      <c r="L293" s="492"/>
      <c r="M293" s="492"/>
      <c r="N293" s="492"/>
      <c r="O293" s="492"/>
      <c r="P293" s="492"/>
      <c r="Q293" s="492"/>
      <c r="R293" s="492"/>
      <c r="S293" s="492"/>
      <c r="T293" s="492"/>
      <c r="U293" s="383"/>
    </row>
    <row r="294" spans="1:21" s="17" customFormat="1" ht="10.5" customHeight="1">
      <c r="A294" s="10" t="str">
        <f>IF(ISNA(VLOOKUP(B294,Setup!$A$74:$A$197,1,FALSE)),"","X")</f>
        <v/>
      </c>
      <c r="B294" s="161">
        <v>912145</v>
      </c>
      <c r="C294" s="161" t="s">
        <v>404</v>
      </c>
      <c r="D294" s="21">
        <f>SUMIF('2016'!$A:$A,Input!$B294,'2016'!O:O)</f>
        <v>0</v>
      </c>
      <c r="E294" s="21">
        <f>IF(+'2017'!O294="","",+'2017'!O294)</f>
        <v>0</v>
      </c>
      <c r="F294" s="22">
        <f>IF(+E294="","",IF($F$4="Per Unit",(IF($F$3="Monthly",+E294/Setup!$B$12/12,+E294/Setup!$B$12)),IF($F$3="Monthly",+E294/Setup!$B$13/12,+E294/Setup!$B$13)))</f>
        <v>0</v>
      </c>
      <c r="G294" s="33"/>
      <c r="H294" s="492"/>
      <c r="I294" s="492"/>
      <c r="J294" s="492"/>
      <c r="K294" s="492"/>
      <c r="L294" s="492"/>
      <c r="M294" s="492"/>
      <c r="N294" s="492"/>
      <c r="O294" s="492"/>
      <c r="P294" s="492"/>
      <c r="Q294" s="492"/>
      <c r="R294" s="492"/>
      <c r="S294" s="492"/>
      <c r="T294" s="492"/>
      <c r="U294" s="383"/>
    </row>
    <row r="295" spans="1:21" s="18" customFormat="1" ht="10.5" customHeight="1">
      <c r="A295" s="10" t="str">
        <f>IF(ISNA(VLOOKUP(B295,Setup!$A$74:$A$197,1,FALSE)),"","X")</f>
        <v/>
      </c>
      <c r="B295" s="161">
        <v>912162</v>
      </c>
      <c r="C295" s="161" t="s">
        <v>405</v>
      </c>
      <c r="D295" s="21">
        <f>SUMIF('2016'!$A:$A,Input!$B295,'2016'!O:O)</f>
        <v>0</v>
      </c>
      <c r="E295" s="21">
        <f>IF(+'2017'!O295="","",+'2017'!O295)</f>
        <v>0</v>
      </c>
      <c r="F295" s="22">
        <f>IF(+E295="","",IF($F$4="Per Unit",(IF($F$3="Monthly",+E295/Setup!$B$12/12,+E295/Setup!$B$12)),IF($F$3="Monthly",+E295/Setup!$B$13/12,+E295/Setup!$B$13)))</f>
        <v>0</v>
      </c>
      <c r="G295" s="33"/>
      <c r="H295" s="492"/>
      <c r="I295" s="492"/>
      <c r="J295" s="492"/>
      <c r="K295" s="492"/>
      <c r="L295" s="492"/>
      <c r="M295" s="492"/>
      <c r="N295" s="492"/>
      <c r="O295" s="492"/>
      <c r="P295" s="492"/>
      <c r="Q295" s="492"/>
      <c r="R295" s="492"/>
      <c r="S295" s="492"/>
      <c r="T295" s="492"/>
      <c r="U295" s="383"/>
    </row>
    <row r="296" spans="1:21" s="4" customFormat="1" ht="10.5" customHeight="1">
      <c r="A296" s="10" t="str">
        <f>IF(ISNA(VLOOKUP(B296,Setup!$A$74:$A$197,1,FALSE)),"","X")</f>
        <v/>
      </c>
      <c r="B296" s="161">
        <v>913105</v>
      </c>
      <c r="C296" s="161" t="s">
        <v>406</v>
      </c>
      <c r="D296" s="21">
        <f>SUMIF('2016'!$A:$A,Input!$B296,'2016'!O:O)</f>
        <v>2984</v>
      </c>
      <c r="E296" s="21">
        <f>IF(+'2017'!O296="","",+'2017'!O296)</f>
        <v>2983.9999999999995</v>
      </c>
      <c r="F296" s="22">
        <f>IF(+E296="","",IF($F$4="Per Unit",(IF($F$3="Monthly",+E296/Setup!$B$12/12,+E296/Setup!$B$12)),IF($F$3="Monthly",+E296/Setup!$B$13/12,+E296/Setup!$B$13)))</f>
        <v>13.563636363636361</v>
      </c>
      <c r="G296" s="33">
        <f t="shared" ref="G296:G297" si="24">+D296/12</f>
        <v>248.66666666666666</v>
      </c>
      <c r="H296" s="492"/>
      <c r="I296" s="492"/>
      <c r="J296" s="492"/>
      <c r="K296" s="492"/>
      <c r="L296" s="492"/>
      <c r="M296" s="492"/>
      <c r="N296" s="492"/>
      <c r="O296" s="492"/>
      <c r="P296" s="492"/>
      <c r="Q296" s="492"/>
      <c r="R296" s="492"/>
      <c r="S296" s="492"/>
      <c r="T296" s="492"/>
      <c r="U296" s="383"/>
    </row>
    <row r="297" spans="1:21" s="10" customFormat="1" ht="10.5" customHeight="1">
      <c r="A297" s="10" t="str">
        <f>IF(ISNA(VLOOKUP(B297,Setup!$A$74:$A$197,1,FALSE)),"","X")</f>
        <v/>
      </c>
      <c r="B297" s="161">
        <v>913110</v>
      </c>
      <c r="C297" s="161" t="s">
        <v>407</v>
      </c>
      <c r="D297" s="21">
        <f>SUMIF('2016'!$A:$A,Input!$B297,'2016'!O:O)</f>
        <v>-3384</v>
      </c>
      <c r="E297" s="21">
        <f>IF(+'2017'!O297="","",+'2017'!O297)</f>
        <v>-3384</v>
      </c>
      <c r="F297" s="22">
        <f>IF(+E297="","",IF($F$4="Per Unit",(IF($F$3="Monthly",+E297/Setup!$B$12/12,+E297/Setup!$B$12)),IF($F$3="Monthly",+E297/Setup!$B$13/12,+E297/Setup!$B$13)))</f>
        <v>-15.381818181818181</v>
      </c>
      <c r="G297" s="33">
        <f t="shared" si="24"/>
        <v>-282</v>
      </c>
      <c r="H297" s="492"/>
      <c r="I297" s="492"/>
      <c r="J297" s="492"/>
      <c r="K297" s="492"/>
      <c r="L297" s="492"/>
      <c r="M297" s="492"/>
      <c r="N297" s="492"/>
      <c r="O297" s="492"/>
      <c r="P297" s="492"/>
      <c r="Q297" s="492"/>
      <c r="R297" s="492"/>
      <c r="S297" s="492"/>
      <c r="T297" s="492"/>
      <c r="U297" s="383"/>
    </row>
    <row r="298" spans="1:21" s="4" customFormat="1" ht="10.5" customHeight="1">
      <c r="A298" s="10" t="str">
        <f>IF(ISNA(VLOOKUP(B298,Setup!$A$74:$A$197,1,FALSE)),"","X")</f>
        <v/>
      </c>
      <c r="B298" s="161"/>
      <c r="C298" s="163"/>
      <c r="D298" s="21"/>
      <c r="E298" s="21" t="str">
        <f>IF(+'2017'!O298="","",+'2017'!O298)</f>
        <v/>
      </c>
      <c r="F298" s="22" t="str">
        <f>IF(+E298="","",IF($F$4="Per Unit",(IF($F$3="Monthly",+E298/Setup!$B$12/12,+E298/Setup!$B$12)),IF($F$3="Monthly",+E298/Setup!$B$13/12,+E298/Setup!$B$13)))</f>
        <v/>
      </c>
      <c r="G298" s="102"/>
      <c r="H298" s="377"/>
      <c r="I298" s="377"/>
      <c r="J298" s="377"/>
      <c r="K298" s="377"/>
      <c r="L298" s="377"/>
      <c r="M298" s="377"/>
      <c r="N298" s="377"/>
      <c r="O298" s="377"/>
      <c r="P298" s="377"/>
      <c r="Q298" s="377"/>
      <c r="R298" s="377"/>
      <c r="S298" s="377"/>
    </row>
    <row r="299" spans="1:21" s="17" customFormat="1" ht="10.5" customHeight="1">
      <c r="A299" s="10" t="str">
        <f>IF(ISNA(VLOOKUP(B299,Setup!$A$74:$A$197,1,FALSE)),"","X")</f>
        <v/>
      </c>
      <c r="B299" s="161"/>
      <c r="C299" s="159" t="s">
        <v>408</v>
      </c>
      <c r="D299" s="21">
        <f>SUM(D292:D297)</f>
        <v>-400</v>
      </c>
      <c r="E299" s="21">
        <f>IF(+'2017'!O299="","",+'2017'!O299)</f>
        <v>-400.00000000000023</v>
      </c>
      <c r="F299" s="22">
        <f>IF(+E299="","",IF($F$4="Per Unit",(IF($F$3="Monthly",+E299/Setup!$B$12/12,+E299/Setup!$B$12)),IF($F$3="Monthly",+E299/Setup!$B$13/12,+E299/Setup!$B$13)))</f>
        <v>-1.8181818181818192</v>
      </c>
      <c r="G299" s="102"/>
      <c r="H299" s="377">
        <f>+'2017'!C299</f>
        <v>-33.333333333333343</v>
      </c>
      <c r="I299" s="377">
        <f>+'2017'!D299</f>
        <v>-33.333333333333343</v>
      </c>
      <c r="J299" s="377">
        <f>+'2017'!E299</f>
        <v>-33.333333333333343</v>
      </c>
      <c r="K299" s="377">
        <f>+'2017'!F299</f>
        <v>-33.333333333333343</v>
      </c>
      <c r="L299" s="377">
        <f>+'2017'!G299</f>
        <v>-33.333333333333343</v>
      </c>
      <c r="M299" s="377">
        <f>+'2017'!H299</f>
        <v>-33.333333333333343</v>
      </c>
      <c r="N299" s="377">
        <f>+'2017'!I299</f>
        <v>-33.333333333333343</v>
      </c>
      <c r="O299" s="377">
        <f>+'2017'!J299</f>
        <v>-33.333333333333343</v>
      </c>
      <c r="P299" s="377">
        <f>+'2017'!K299</f>
        <v>-33.333333333333343</v>
      </c>
      <c r="Q299" s="377">
        <f>+'2017'!L299</f>
        <v>-33.333333333333343</v>
      </c>
      <c r="R299" s="377">
        <f>+'2017'!M299</f>
        <v>-33.333333333333343</v>
      </c>
      <c r="S299" s="377">
        <f>+'2017'!N299</f>
        <v>-33.333333333333343</v>
      </c>
      <c r="T299" s="4"/>
      <c r="U299" s="4"/>
    </row>
    <row r="300" spans="1:21" s="4" customFormat="1" ht="10.5" customHeight="1">
      <c r="A300" s="10" t="str">
        <f>IF(ISNA(VLOOKUP(B300,Setup!$A$74:$A$197,1,FALSE)),"","X")</f>
        <v/>
      </c>
      <c r="B300" s="161"/>
      <c r="C300" s="163"/>
      <c r="D300" s="21"/>
      <c r="E300" s="21" t="str">
        <f>IF(+'2017'!O300="","",+'2017'!O300)</f>
        <v/>
      </c>
      <c r="F300" s="22" t="str">
        <f>IF(+E300="","",IF($F$4="Per Unit",(IF($F$3="Monthly",+E300/Setup!$B$12/12,+E300/Setup!$B$12)),IF($F$3="Monthly",+E300/Setup!$B$13/12,+E300/Setup!$B$13)))</f>
        <v/>
      </c>
      <c r="G300" s="102"/>
      <c r="H300" s="377"/>
      <c r="I300" s="377"/>
      <c r="J300" s="377"/>
      <c r="K300" s="377"/>
      <c r="L300" s="377"/>
      <c r="M300" s="377"/>
      <c r="N300" s="377"/>
      <c r="O300" s="377"/>
      <c r="P300" s="377"/>
      <c r="Q300" s="377"/>
      <c r="R300" s="377"/>
      <c r="S300" s="377"/>
    </row>
    <row r="301" spans="1:21" s="4" customFormat="1" ht="10.5" customHeight="1">
      <c r="A301" s="10" t="str">
        <f>IF(ISNA(VLOOKUP(B301,Setup!$A$74:$A$197,1,FALSE)),"","X")</f>
        <v/>
      </c>
      <c r="B301" s="161"/>
      <c r="C301" s="165"/>
      <c r="D301" s="21"/>
      <c r="E301" s="21" t="str">
        <f>IF(+'2017'!O301="","",+'2017'!O301)</f>
        <v/>
      </c>
      <c r="F301" s="22" t="str">
        <f>IF(+E301="","",IF($F$4="Per Unit",(IF($F$3="Monthly",+E301/Setup!$B$12/12,+E301/Setup!$B$12)),IF($F$3="Monthly",+E301/Setup!$B$13/12,+E301/Setup!$B$13)))</f>
        <v/>
      </c>
      <c r="G301" s="102"/>
      <c r="H301" s="377"/>
      <c r="I301" s="377"/>
      <c r="J301" s="377"/>
      <c r="K301" s="377"/>
      <c r="L301" s="377"/>
      <c r="M301" s="377"/>
      <c r="N301" s="377"/>
      <c r="O301" s="377"/>
      <c r="P301" s="377"/>
      <c r="Q301" s="377"/>
      <c r="R301" s="377"/>
      <c r="S301" s="377"/>
    </row>
    <row r="302" spans="1:21" s="4" customFormat="1" ht="10.5" customHeight="1">
      <c r="A302" s="10" t="str">
        <f>IF(ISNA(VLOOKUP(B302,Setup!$A$74:$A$197,1,FALSE)),"","X")</f>
        <v/>
      </c>
      <c r="B302" s="161"/>
      <c r="C302" s="161" t="s">
        <v>140</v>
      </c>
      <c r="D302" s="21">
        <f>+D269-D289-D299</f>
        <v>1267566</v>
      </c>
      <c r="E302" s="21">
        <f>IF(+'2017'!O302="","",+'2017'!O302)</f>
        <v>2048318.7316363635</v>
      </c>
      <c r="F302" s="22">
        <f>IF(+E302="","",IF($F$4="Per Unit",(IF($F$3="Monthly",+E302/Setup!$B$12/12,+E302/Setup!$B$12)),IF($F$3="Monthly",+E302/Setup!$B$13/12,+E302/Setup!$B$13)))</f>
        <v>9310.5396892561985</v>
      </c>
      <c r="G302" s="102"/>
      <c r="H302" s="377">
        <f>+'2017'!C302</f>
        <v>163847.30566666665</v>
      </c>
      <c r="I302" s="377">
        <f>+'2017'!D302</f>
        <v>165108.30566666665</v>
      </c>
      <c r="J302" s="377">
        <f>+'2017'!E302</f>
        <v>166369.30566666665</v>
      </c>
      <c r="K302" s="377">
        <f>+'2017'!F302</f>
        <v>167106.94657575755</v>
      </c>
      <c r="L302" s="377">
        <f>+'2017'!G302</f>
        <v>167626.33748484848</v>
      </c>
      <c r="M302" s="377">
        <f>+'2017'!H302</f>
        <v>170259.44657575755</v>
      </c>
      <c r="N302" s="377">
        <f>+'2017'!I302</f>
        <v>173348.23521212122</v>
      </c>
      <c r="O302" s="377">
        <f>+'2017'!J302</f>
        <v>175908.59430303029</v>
      </c>
      <c r="P302" s="377">
        <f>+'2017'!K302</f>
        <v>174943.66475757578</v>
      </c>
      <c r="Q302" s="377">
        <f>+'2017'!L302</f>
        <v>174784.05566666665</v>
      </c>
      <c r="R302" s="377">
        <f>+'2017'!M302</f>
        <v>174624.44657575755</v>
      </c>
      <c r="S302" s="377">
        <f>+'2017'!N302</f>
        <v>174392.08748484848</v>
      </c>
    </row>
    <row r="303" spans="1:21" s="4" customFormat="1" ht="10.5" customHeight="1">
      <c r="A303" s="10" t="str">
        <f>IF(ISNA(VLOOKUP(B303,Setup!$A$74:$A$197,1,FALSE)),"","X")</f>
        <v/>
      </c>
      <c r="B303" s="161"/>
      <c r="C303" s="165"/>
      <c r="D303" s="21"/>
      <c r="E303" s="21" t="str">
        <f>IF(+'2017'!O303="","",+'2017'!O303)</f>
        <v/>
      </c>
      <c r="F303" s="22" t="str">
        <f>IF(+E303="","",IF($F$4="Per Unit",(IF($F$3="Monthly",+E303/Setup!$B$12/12,+E303/Setup!$B$12)),IF($F$3="Monthly",+E303/Setup!$B$13/12,+E303/Setup!$B$13)))</f>
        <v/>
      </c>
      <c r="G303" s="102"/>
      <c r="H303" s="377"/>
      <c r="I303" s="377"/>
      <c r="J303" s="377"/>
      <c r="K303" s="377"/>
      <c r="L303" s="377"/>
      <c r="M303" s="377"/>
      <c r="N303" s="377"/>
      <c r="O303" s="377"/>
      <c r="P303" s="377"/>
      <c r="Q303" s="377"/>
      <c r="R303" s="377"/>
      <c r="S303" s="377"/>
    </row>
    <row r="304" spans="1:21" s="4" customFormat="1" ht="10.5" customHeight="1">
      <c r="A304" s="10" t="str">
        <f>IF(ISNA(VLOOKUP(B304,Setup!$A$74:$A$197,1,FALSE)),"","X")</f>
        <v/>
      </c>
      <c r="B304" s="161"/>
      <c r="C304" s="160" t="s">
        <v>409</v>
      </c>
      <c r="D304" s="21"/>
      <c r="E304" s="21" t="str">
        <f>IF(+'2017'!O304="","",+'2017'!O304)</f>
        <v/>
      </c>
      <c r="F304" s="22" t="str">
        <f>IF(+E304="","",IF($F$4="Per Unit",(IF($F$3="Monthly",+E304/Setup!$B$12/12,+E304/Setup!$B$12)),IF($F$3="Monthly",+E304/Setup!$B$13/12,+E304/Setup!$B$13)))</f>
        <v/>
      </c>
      <c r="G304" s="102"/>
      <c r="H304" s="377"/>
      <c r="I304" s="377"/>
      <c r="J304" s="377"/>
      <c r="K304" s="377"/>
      <c r="L304" s="377"/>
      <c r="M304" s="377"/>
      <c r="N304" s="377"/>
      <c r="O304" s="377"/>
      <c r="P304" s="377"/>
      <c r="Q304" s="377"/>
      <c r="R304" s="377"/>
      <c r="S304" s="377"/>
    </row>
    <row r="305" spans="1:21" s="4" customFormat="1" ht="10.5" customHeight="1">
      <c r="A305" s="10" t="str">
        <f>IF(ISNA(VLOOKUP(B305,Setup!$A$74:$A$197,1,FALSE)),"","X")</f>
        <v/>
      </c>
      <c r="B305" s="161">
        <v>811105</v>
      </c>
      <c r="C305" s="161" t="s">
        <v>410</v>
      </c>
      <c r="D305" s="21">
        <f>SUMIF('2016'!$A:$A,Input!$B305,'2016'!O:O)</f>
        <v>498630</v>
      </c>
      <c r="E305" s="21">
        <f>IF(+'2017'!O305="","",+'2017'!O305)</f>
        <v>498630</v>
      </c>
      <c r="F305" s="22">
        <f>IF(+E305="","",IF($F$4="Per Unit",(IF($F$3="Monthly",+E305/Setup!$B$12/12,+E305/Setup!$B$12)),IF($F$3="Monthly",+E305/Setup!$B$13/12,+E305/Setup!$B$13)))</f>
        <v>2266.5</v>
      </c>
      <c r="G305" s="33">
        <f t="shared" ref="G305" si="25">+D305/12</f>
        <v>41552.5</v>
      </c>
      <c r="H305" s="381"/>
      <c r="I305" s="381"/>
      <c r="J305" s="381"/>
      <c r="K305" s="381"/>
      <c r="L305" s="381"/>
      <c r="M305" s="381"/>
      <c r="N305" s="381"/>
      <c r="O305" s="381"/>
      <c r="P305" s="381"/>
      <c r="Q305" s="381"/>
      <c r="R305" s="381"/>
      <c r="S305" s="381"/>
      <c r="T305" s="362"/>
      <c r="U305" s="383"/>
    </row>
    <row r="306" spans="1:21" s="4" customFormat="1" ht="10.5" customHeight="1">
      <c r="A306" s="10" t="str">
        <f>IF(ISNA(VLOOKUP(B306,Setup!$A$74:$A$197,1,FALSE)),"","X")</f>
        <v/>
      </c>
      <c r="B306" s="161">
        <v>811110</v>
      </c>
      <c r="C306" s="161" t="s">
        <v>411</v>
      </c>
      <c r="D306" s="21">
        <f>SUMIF('2016'!$A:$A,Input!$B306,'2016'!O:O)</f>
        <v>0</v>
      </c>
      <c r="E306" s="21">
        <f>IF(+'2017'!O306="","",+'2017'!O306)</f>
        <v>0</v>
      </c>
      <c r="F306" s="22">
        <f>IF(+E306="","",IF($F$4="Per Unit",(IF($F$3="Monthly",+E306/Setup!$B$12/12,+E306/Setup!$B$12)),IF($F$3="Monthly",+E306/Setup!$B$13/12,+E306/Setup!$B$13)))</f>
        <v>0</v>
      </c>
      <c r="G306" s="33"/>
      <c r="H306" s="381"/>
      <c r="I306" s="381"/>
      <c r="J306" s="381"/>
      <c r="K306" s="381"/>
      <c r="L306" s="381"/>
      <c r="M306" s="381"/>
      <c r="N306" s="381"/>
      <c r="O306" s="381"/>
      <c r="P306" s="381"/>
      <c r="Q306" s="381"/>
      <c r="R306" s="381"/>
      <c r="S306" s="381"/>
      <c r="T306" s="362"/>
      <c r="U306" s="383"/>
    </row>
    <row r="307" spans="1:21" s="4" customFormat="1" ht="10.5" customHeight="1">
      <c r="A307" s="10" t="str">
        <f>IF(ISNA(VLOOKUP(B307,Setup!$A$74:$A$197,1,FALSE)),"","X")</f>
        <v/>
      </c>
      <c r="B307" s="161">
        <v>811115</v>
      </c>
      <c r="C307" s="161" t="s">
        <v>412</v>
      </c>
      <c r="D307" s="21">
        <f>SUMIF('2016'!$A:$A,Input!$B307,'2016'!O:O)</f>
        <v>0</v>
      </c>
      <c r="E307" s="21">
        <f>IF(+'2017'!O307="","",+'2017'!O307)</f>
        <v>0</v>
      </c>
      <c r="F307" s="22">
        <f>IF(+E307="","",IF($F$4="Per Unit",(IF($F$3="Monthly",+E307/Setup!$B$12/12,+E307/Setup!$B$12)),IF($F$3="Monthly",+E307/Setup!$B$13/12,+E307/Setup!$B$13)))</f>
        <v>0</v>
      </c>
      <c r="G307" s="33"/>
      <c r="H307" s="381"/>
      <c r="I307" s="381"/>
      <c r="J307" s="381"/>
      <c r="K307" s="381"/>
      <c r="L307" s="381"/>
      <c r="M307" s="381"/>
      <c r="N307" s="381"/>
      <c r="O307" s="381"/>
      <c r="P307" s="381"/>
      <c r="Q307" s="381"/>
      <c r="R307" s="381"/>
      <c r="S307" s="381"/>
      <c r="T307" s="362"/>
      <c r="U307" s="383"/>
    </row>
    <row r="308" spans="1:21" s="4" customFormat="1" ht="10.5" customHeight="1">
      <c r="A308" s="10" t="str">
        <f>IF(ISNA(VLOOKUP(B308,Setup!$A$74:$A$197,1,FALSE)),"","X")</f>
        <v/>
      </c>
      <c r="B308" s="161">
        <v>811116</v>
      </c>
      <c r="C308" s="161" t="s">
        <v>413</v>
      </c>
      <c r="D308" s="21">
        <f>SUMIF('2016'!$A:$A,Input!$B308,'2016'!O:O)</f>
        <v>0</v>
      </c>
      <c r="E308" s="21">
        <f>IF(+'2017'!O308="","",+'2017'!O308)</f>
        <v>0</v>
      </c>
      <c r="F308" s="22">
        <f>IF(+E308="","",IF($F$4="Per Unit",(IF($F$3="Monthly",+E308/Setup!$B$12/12,+E308/Setup!$B$12)),IF($F$3="Monthly",+E308/Setup!$B$13/12,+E308/Setup!$B$13)))</f>
        <v>0</v>
      </c>
      <c r="G308" s="33"/>
      <c r="H308" s="381"/>
      <c r="I308" s="381"/>
      <c r="J308" s="381"/>
      <c r="K308" s="381"/>
      <c r="L308" s="381"/>
      <c r="M308" s="381"/>
      <c r="N308" s="381"/>
      <c r="O308" s="381"/>
      <c r="P308" s="381"/>
      <c r="Q308" s="381"/>
      <c r="R308" s="381"/>
      <c r="S308" s="381"/>
      <c r="T308" s="362"/>
      <c r="U308" s="383"/>
    </row>
    <row r="309" spans="1:21" s="4" customFormat="1" ht="10.5" customHeight="1">
      <c r="A309" s="10" t="str">
        <f>IF(ISNA(VLOOKUP(B309,Setup!$A$74:$A$197,1,FALSE)),"","X")</f>
        <v/>
      </c>
      <c r="B309" s="161"/>
      <c r="C309" s="163"/>
      <c r="D309" s="21"/>
      <c r="E309" s="21" t="str">
        <f>IF(+'2017'!O309="","",+'2017'!O309)</f>
        <v/>
      </c>
      <c r="F309" s="22" t="str">
        <f>IF(+E309="","",IF($F$4="Per Unit",(IF($F$3="Monthly",+E309/Setup!$B$12/12,+E309/Setup!$B$12)),IF($F$3="Monthly",+E309/Setup!$B$13/12,+E309/Setup!$B$13)))</f>
        <v/>
      </c>
      <c r="G309" s="102"/>
      <c r="H309" s="377"/>
      <c r="I309" s="377"/>
      <c r="J309" s="377"/>
      <c r="K309" s="377"/>
      <c r="L309" s="377"/>
      <c r="M309" s="377"/>
      <c r="N309" s="377"/>
      <c r="O309" s="377"/>
      <c r="P309" s="377"/>
      <c r="Q309" s="377"/>
      <c r="R309" s="377"/>
      <c r="S309" s="377"/>
    </row>
    <row r="310" spans="1:21" s="4" customFormat="1" ht="10.5" customHeight="1">
      <c r="A310" s="10" t="str">
        <f>IF(ISNA(VLOOKUP(B310,Setup!$A$74:$A$197,1,FALSE)),"","X")</f>
        <v/>
      </c>
      <c r="B310" s="161"/>
      <c r="C310" s="159" t="s">
        <v>414</v>
      </c>
      <c r="D310" s="21">
        <f>SUM(D305:D308)</f>
        <v>498630</v>
      </c>
      <c r="E310" s="21">
        <f>IF(+'2017'!O310="","",+'2017'!O310)</f>
        <v>498630</v>
      </c>
      <c r="F310" s="22">
        <f>IF(+E310="","",IF($F$4="Per Unit",(IF($F$3="Monthly",+E310/Setup!$B$12/12,+E310/Setup!$B$12)),IF($F$3="Monthly",+E310/Setup!$B$13/12,+E310/Setup!$B$13)))</f>
        <v>2266.5</v>
      </c>
      <c r="G310" s="102"/>
      <c r="H310" s="377">
        <f>+'2017'!C310</f>
        <v>41552.5</v>
      </c>
      <c r="I310" s="377">
        <f>+'2017'!D310</f>
        <v>41552.5</v>
      </c>
      <c r="J310" s="377">
        <f>+'2017'!E310</f>
        <v>41552.5</v>
      </c>
      <c r="K310" s="377">
        <f>+'2017'!F310</f>
        <v>41552.5</v>
      </c>
      <c r="L310" s="377">
        <f>+'2017'!G310</f>
        <v>41552.5</v>
      </c>
      <c r="M310" s="377">
        <f>+'2017'!H310</f>
        <v>41552.5</v>
      </c>
      <c r="N310" s="377">
        <f>+'2017'!I310</f>
        <v>41552.5</v>
      </c>
      <c r="O310" s="377">
        <f>+'2017'!J310</f>
        <v>41552.5</v>
      </c>
      <c r="P310" s="377">
        <f>+'2017'!K310</f>
        <v>41552.5</v>
      </c>
      <c r="Q310" s="377">
        <f>+'2017'!L310</f>
        <v>41552.5</v>
      </c>
      <c r="R310" s="377">
        <f>+'2017'!M310</f>
        <v>41552.5</v>
      </c>
      <c r="S310" s="377">
        <f>+'2017'!N310</f>
        <v>41552.5</v>
      </c>
    </row>
    <row r="311" spans="1:21" s="2" customFormat="1" ht="10.5" customHeight="1">
      <c r="A311" s="10" t="str">
        <f>IF(ISNA(VLOOKUP(B311,Setup!$A$74:$A$197,1,FALSE)),"","X")</f>
        <v/>
      </c>
      <c r="B311" s="161"/>
      <c r="C311" s="165"/>
      <c r="D311" s="21"/>
      <c r="E311" s="21" t="str">
        <f>IF(+'2017'!O311="","",+'2017'!O311)</f>
        <v/>
      </c>
      <c r="F311" s="22" t="str">
        <f>IF(+E311="","",IF($F$4="Per Unit",(IF($F$3="Monthly",+E311/Setup!$B$12/12,+E311/Setup!$B$12)),IF($F$3="Monthly",+E311/Setup!$B$13/12,+E311/Setup!$B$13)))</f>
        <v/>
      </c>
      <c r="G311" s="102"/>
      <c r="H311" s="377"/>
      <c r="I311" s="377"/>
      <c r="J311" s="377"/>
      <c r="K311" s="377"/>
      <c r="L311" s="377"/>
      <c r="M311" s="377"/>
      <c r="N311" s="377"/>
      <c r="O311" s="377"/>
      <c r="P311" s="377"/>
      <c r="Q311" s="377"/>
      <c r="R311" s="377"/>
      <c r="S311" s="377"/>
      <c r="T311" s="4"/>
      <c r="U311" s="4"/>
    </row>
    <row r="312" spans="1:21" s="2" customFormat="1" ht="10.5" customHeight="1">
      <c r="A312" s="10" t="str">
        <f>IF(ISNA(VLOOKUP(B312,Setup!$A$74:$A$197,1,FALSE)),"","X")</f>
        <v/>
      </c>
      <c r="B312" s="161"/>
      <c r="C312" s="160" t="s">
        <v>142</v>
      </c>
      <c r="D312" s="21"/>
      <c r="E312" s="21" t="str">
        <f>IF(+'2017'!O312="","",+'2017'!O312)</f>
        <v/>
      </c>
      <c r="F312" s="22" t="str">
        <f>IF(+E312="","",IF($F$4="Per Unit",(IF($F$3="Monthly",+E312/Setup!$B$12/12,+E312/Setup!$B$12)),IF($F$3="Monthly",+E312/Setup!$B$13/12,+E312/Setup!$B$13)))</f>
        <v/>
      </c>
      <c r="G312" s="102"/>
      <c r="H312" s="377"/>
      <c r="I312" s="377"/>
      <c r="J312" s="377"/>
      <c r="K312" s="377"/>
      <c r="L312" s="377"/>
      <c r="M312" s="377"/>
      <c r="N312" s="377"/>
      <c r="O312" s="377"/>
      <c r="P312" s="377"/>
      <c r="Q312" s="377"/>
      <c r="R312" s="377"/>
      <c r="S312" s="377"/>
      <c r="T312" s="4"/>
      <c r="U312" s="4"/>
    </row>
    <row r="313" spans="1:21" s="4" customFormat="1" ht="10.5" customHeight="1">
      <c r="A313" s="10" t="str">
        <f>IF(ISNA(VLOOKUP(B313,Setup!$A$74:$A$197,1,FALSE)),"","X")</f>
        <v/>
      </c>
      <c r="B313" s="161">
        <v>914105</v>
      </c>
      <c r="C313" s="161" t="s">
        <v>415</v>
      </c>
      <c r="D313" s="21">
        <f>SUMIF('2016'!$A:$A,Input!$B313,'2016'!O:O)</f>
        <v>0</v>
      </c>
      <c r="E313" s="21">
        <f>IF(+'2017'!O313="","",+'2017'!O313)</f>
        <v>0</v>
      </c>
      <c r="F313" s="22">
        <f>IF(+E313="","",IF($F$4="Per Unit",(IF($F$3="Monthly",+E313/Setup!$B$12/12,+E313/Setup!$B$12)),IF($F$3="Monthly",+E313/Setup!$B$13/12,+E313/Setup!$B$13)))</f>
        <v>0</v>
      </c>
      <c r="G313" s="33"/>
      <c r="H313" s="381"/>
      <c r="I313" s="381"/>
      <c r="J313" s="381"/>
      <c r="K313" s="381"/>
      <c r="L313" s="381"/>
      <c r="M313" s="381"/>
      <c r="N313" s="381"/>
      <c r="O313" s="381"/>
      <c r="P313" s="381"/>
      <c r="Q313" s="381"/>
      <c r="R313" s="381"/>
      <c r="S313" s="381"/>
      <c r="T313" s="362"/>
      <c r="U313" s="383"/>
    </row>
    <row r="314" spans="1:21" s="4" customFormat="1" ht="10.5" customHeight="1">
      <c r="A314" s="10" t="str">
        <f>IF(ISNA(VLOOKUP(B314,Setup!$A$74:$A$197,1,FALSE)),"","X")</f>
        <v/>
      </c>
      <c r="B314" s="161">
        <v>914120</v>
      </c>
      <c r="C314" s="161" t="s">
        <v>416</v>
      </c>
      <c r="D314" s="21">
        <f>SUMIF('2016'!$A:$A,Input!$B314,'2016'!O:O)</f>
        <v>0</v>
      </c>
      <c r="E314" s="21">
        <f>IF(+'2017'!O314="","",+'2017'!O314)</f>
        <v>0</v>
      </c>
      <c r="F314" s="22">
        <f>IF(+E314="","",IF($F$4="Per Unit",(IF($F$3="Monthly",+E314/Setup!$B$12/12,+E314/Setup!$B$12)),IF($F$3="Monthly",+E314/Setup!$B$13/12,+E314/Setup!$B$13)))</f>
        <v>0</v>
      </c>
      <c r="G314" s="33"/>
      <c r="H314" s="381"/>
      <c r="I314" s="381"/>
      <c r="J314" s="381"/>
      <c r="K314" s="381"/>
      <c r="L314" s="381"/>
      <c r="M314" s="381"/>
      <c r="N314" s="381"/>
      <c r="O314" s="381"/>
      <c r="P314" s="381"/>
      <c r="Q314" s="381"/>
      <c r="R314" s="381"/>
      <c r="S314" s="381"/>
      <c r="T314" s="362"/>
      <c r="U314" s="383"/>
    </row>
    <row r="315" spans="1:21" s="10" customFormat="1" ht="10.5" customHeight="1">
      <c r="A315" s="10" t="str">
        <f>IF(ISNA(VLOOKUP(B315,Setup!$A$74:$A$197,1,FALSE)),"","X")</f>
        <v/>
      </c>
      <c r="B315" s="161"/>
      <c r="C315" s="163"/>
      <c r="D315" s="21"/>
      <c r="E315" s="21" t="str">
        <f>IF(+'2017'!O315="","",+'2017'!O315)</f>
        <v/>
      </c>
      <c r="F315" s="22" t="str">
        <f>IF(+E315="","",IF($F$4="Per Unit",(IF($F$3="Monthly",+E315/Setup!$B$12/12,+E315/Setup!$B$12)),IF($F$3="Monthly",+E315/Setup!$B$13/12,+E315/Setup!$B$13)))</f>
        <v/>
      </c>
      <c r="G315" s="102"/>
      <c r="H315" s="377"/>
      <c r="I315" s="377"/>
      <c r="J315" s="377"/>
      <c r="K315" s="377"/>
      <c r="L315" s="377"/>
      <c r="M315" s="377"/>
      <c r="N315" s="377"/>
      <c r="O315" s="377"/>
      <c r="P315" s="377"/>
      <c r="Q315" s="377"/>
      <c r="R315" s="377"/>
      <c r="S315" s="377"/>
      <c r="T315" s="4"/>
      <c r="U315" s="4"/>
    </row>
    <row r="316" spans="1:21" s="10" customFormat="1" ht="10.5" customHeight="1">
      <c r="A316" s="10" t="str">
        <f>IF(ISNA(VLOOKUP(B316,Setup!$A$74:$A$197,1,FALSE)),"","X")</f>
        <v/>
      </c>
      <c r="B316" s="161"/>
      <c r="C316" s="159" t="s">
        <v>143</v>
      </c>
      <c r="D316" s="21">
        <f>SUM(D313:D314)</f>
        <v>0</v>
      </c>
      <c r="E316" s="21">
        <f>IF(+'2017'!O316="","",+'2017'!O316)</f>
        <v>0</v>
      </c>
      <c r="F316" s="22">
        <f>IF(+E316="","",IF($F$4="Per Unit",(IF($F$3="Monthly",+E316/Setup!$B$12/12,+E316/Setup!$B$12)),IF($F$3="Monthly",+E316/Setup!$B$13/12,+E316/Setup!$B$13)))</f>
        <v>0</v>
      </c>
      <c r="G316" s="102"/>
      <c r="H316" s="377">
        <f>+'2017'!C316</f>
        <v>0</v>
      </c>
      <c r="I316" s="377">
        <f>+'2017'!D316</f>
        <v>0</v>
      </c>
      <c r="J316" s="377">
        <f>+'2017'!E316</f>
        <v>0</v>
      </c>
      <c r="K316" s="377">
        <f>+'2017'!F316</f>
        <v>0</v>
      </c>
      <c r="L316" s="377">
        <f>+'2017'!G316</f>
        <v>0</v>
      </c>
      <c r="M316" s="377">
        <f>+'2017'!H316</f>
        <v>0</v>
      </c>
      <c r="N316" s="377">
        <f>+'2017'!I316</f>
        <v>0</v>
      </c>
      <c r="O316" s="377">
        <f>+'2017'!J316</f>
        <v>0</v>
      </c>
      <c r="P316" s="377">
        <f>+'2017'!K316</f>
        <v>0</v>
      </c>
      <c r="Q316" s="377">
        <f>+'2017'!L316</f>
        <v>0</v>
      </c>
      <c r="R316" s="377">
        <f>+'2017'!M316</f>
        <v>0</v>
      </c>
      <c r="S316" s="377">
        <f>+'2017'!N316</f>
        <v>0</v>
      </c>
      <c r="T316" s="4"/>
      <c r="U316" s="4"/>
    </row>
    <row r="317" spans="1:21" s="10" customFormat="1" ht="10.5" customHeight="1">
      <c r="A317" s="10" t="str">
        <f>IF(ISNA(VLOOKUP(B317,Setup!$A$74:$A$197,1,FALSE)),"","X")</f>
        <v/>
      </c>
      <c r="B317" s="161"/>
      <c r="C317" s="163"/>
      <c r="D317" s="21"/>
      <c r="E317" s="21" t="str">
        <f>IF(+'2017'!O317="","",+'2017'!O317)</f>
        <v/>
      </c>
      <c r="F317" s="22" t="str">
        <f>IF(+E317="","",IF($F$4="Per Unit",(IF($F$3="Monthly",+E317/Setup!$B$12/12,+E317/Setup!$B$12)),IF($F$3="Monthly",+E317/Setup!$B$13/12,+E317/Setup!$B$13)))</f>
        <v/>
      </c>
      <c r="G317" s="102"/>
      <c r="H317" s="377"/>
      <c r="I317" s="377"/>
      <c r="J317" s="377"/>
      <c r="K317" s="377"/>
      <c r="L317" s="377"/>
      <c r="M317" s="377"/>
      <c r="N317" s="377"/>
      <c r="O317" s="377"/>
      <c r="P317" s="377"/>
      <c r="Q317" s="377"/>
      <c r="R317" s="377"/>
      <c r="S317" s="377"/>
      <c r="T317" s="4"/>
      <c r="U317" s="4"/>
    </row>
    <row r="318" spans="1:21" s="10" customFormat="1" ht="10.5" customHeight="1">
      <c r="A318" s="10" t="str">
        <f>IF(ISNA(VLOOKUP(B318,Setup!$A$74:$A$197,1,FALSE)),"","X")</f>
        <v/>
      </c>
      <c r="B318" s="161"/>
      <c r="C318" s="165"/>
      <c r="D318" s="21"/>
      <c r="E318" s="21" t="str">
        <f>IF(+'2017'!O318="","",+'2017'!O318)</f>
        <v/>
      </c>
      <c r="F318" s="22" t="str">
        <f>IF(+E318="","",IF($F$4="Per Unit",(IF($F$3="Monthly",+E318/Setup!$B$12/12,+E318/Setup!$B$12)),IF($F$3="Monthly",+E318/Setup!$B$13/12,+E318/Setup!$B$13)))</f>
        <v/>
      </c>
      <c r="G318" s="102"/>
      <c r="H318" s="377"/>
      <c r="I318" s="377"/>
      <c r="J318" s="377"/>
      <c r="K318" s="377"/>
      <c r="L318" s="377"/>
      <c r="M318" s="377"/>
      <c r="N318" s="377"/>
      <c r="O318" s="377"/>
      <c r="P318" s="377"/>
      <c r="Q318" s="377"/>
      <c r="R318" s="377"/>
      <c r="S318" s="377"/>
      <c r="T318" s="4"/>
      <c r="U318" s="4"/>
    </row>
    <row r="319" spans="1:21" s="10" customFormat="1" ht="10.5" customHeight="1">
      <c r="A319" s="10" t="str">
        <f>IF(ISNA(VLOOKUP(B319,Setup!$A$74:$A$197,1,FALSE)),"","X")</f>
        <v/>
      </c>
      <c r="B319" s="161"/>
      <c r="C319" s="161" t="s">
        <v>523</v>
      </c>
      <c r="D319" s="21">
        <f>+D302-D310-D316</f>
        <v>768936</v>
      </c>
      <c r="E319" s="21">
        <f>IF(+'2017'!O319="","",+'2017'!O319)</f>
        <v>1549688.7316363635</v>
      </c>
      <c r="F319" s="22">
        <f>IF(+E319="","",IF($F$4="Per Unit",(IF($F$3="Monthly",+E319/Setup!$B$12/12,+E319/Setup!$B$12)),IF($F$3="Monthly",+E319/Setup!$B$13/12,+E319/Setup!$B$13)))</f>
        <v>7044.0396892561976</v>
      </c>
      <c r="G319" s="102"/>
      <c r="H319" s="377">
        <f>+'2017'!C319</f>
        <v>122294.80566666665</v>
      </c>
      <c r="I319" s="377">
        <f>+'2017'!D319</f>
        <v>123555.80566666665</v>
      </c>
      <c r="J319" s="377">
        <f>+'2017'!E319</f>
        <v>124816.80566666665</v>
      </c>
      <c r="K319" s="377">
        <f>+'2017'!F319</f>
        <v>125554.44657575755</v>
      </c>
      <c r="L319" s="377">
        <f>+'2017'!G319</f>
        <v>126073.83748484848</v>
      </c>
      <c r="M319" s="377">
        <f>+'2017'!H319</f>
        <v>128706.94657575755</v>
      </c>
      <c r="N319" s="377">
        <f>+'2017'!I319</f>
        <v>131795.73521212122</v>
      </c>
      <c r="O319" s="377">
        <f>+'2017'!J319</f>
        <v>134356.09430303029</v>
      </c>
      <c r="P319" s="377">
        <f>+'2017'!K319</f>
        <v>133391.16475757578</v>
      </c>
      <c r="Q319" s="377">
        <f>+'2017'!L319</f>
        <v>133231.55566666665</v>
      </c>
      <c r="R319" s="377">
        <f>+'2017'!M319</f>
        <v>133071.94657575755</v>
      </c>
      <c r="S319" s="377">
        <f>+'2017'!N319</f>
        <v>132839.58748484848</v>
      </c>
      <c r="T319" s="4"/>
      <c r="U319" s="4"/>
    </row>
    <row r="320" spans="1:21" s="10" customFormat="1" ht="10.5" customHeight="1">
      <c r="A320" s="10" t="str">
        <f>IF(ISNA(VLOOKUP(B320,Setup!$A$74:$A$197,1,FALSE)),"","X")</f>
        <v/>
      </c>
      <c r="B320" s="161"/>
      <c r="C320" s="163"/>
      <c r="D320" s="21"/>
      <c r="E320" s="21" t="str">
        <f>IF(+'2017'!O320="","",+'2017'!O320)</f>
        <v/>
      </c>
      <c r="F320" s="22" t="str">
        <f>IF(+E320="","",IF($F$4="Per Unit",(IF($F$3="Monthly",+E320/Setup!$B$12/12,+E320/Setup!$B$12)),IF($F$3="Monthly",+E320/Setup!$B$13/12,+E320/Setup!$B$13)))</f>
        <v/>
      </c>
      <c r="G320" s="102"/>
      <c r="H320" s="377"/>
      <c r="I320" s="377"/>
      <c r="J320" s="377"/>
      <c r="K320" s="377"/>
      <c r="L320" s="377"/>
      <c r="M320" s="377"/>
      <c r="N320" s="377"/>
      <c r="O320" s="377"/>
      <c r="P320" s="377"/>
      <c r="Q320" s="377"/>
      <c r="R320" s="377"/>
      <c r="S320" s="377"/>
      <c r="T320" s="4"/>
      <c r="U320" s="4"/>
    </row>
    <row r="321" spans="1:21" s="10" customFormat="1" ht="10.5" customHeight="1">
      <c r="A321" s="10" t="str">
        <f>IF(ISNA(VLOOKUP(B321,Setup!$A$74:$A$197,1,FALSE)),"","X")</f>
        <v/>
      </c>
      <c r="B321" s="161"/>
      <c r="C321" s="165"/>
      <c r="D321" s="21"/>
      <c r="E321" s="21" t="str">
        <f>IF(+'2017'!O321="","",+'2017'!O321)</f>
        <v/>
      </c>
      <c r="F321" s="22" t="str">
        <f>IF(+E321="","",IF($F$4="Per Unit",(IF($F$3="Monthly",+E321/Setup!$B$12/12,+E321/Setup!$B$12)),IF($F$3="Monthly",+E321/Setup!$B$13/12,+E321/Setup!$B$13)))</f>
        <v/>
      </c>
      <c r="G321" s="102"/>
      <c r="H321" s="377"/>
      <c r="I321" s="377"/>
      <c r="J321" s="377"/>
      <c r="K321" s="377"/>
      <c r="L321" s="377"/>
      <c r="M321" s="377"/>
      <c r="N321" s="377"/>
      <c r="O321" s="377"/>
      <c r="P321" s="377"/>
      <c r="Q321" s="377"/>
      <c r="R321" s="377"/>
      <c r="S321" s="377"/>
      <c r="T321" s="4"/>
      <c r="U321" s="4"/>
    </row>
    <row r="322" spans="1:21" s="10" customFormat="1" ht="10.5" customHeight="1">
      <c r="A322" s="10" t="str">
        <f>IF(ISNA(VLOOKUP(B322,Setup!$A$74:$A$197,1,FALSE)),"","X")</f>
        <v/>
      </c>
      <c r="B322" s="161"/>
      <c r="C322" s="160" t="s">
        <v>505</v>
      </c>
      <c r="D322" s="21"/>
      <c r="E322" s="21" t="str">
        <f>IF(+'2017'!O322="","",+'2017'!O322)</f>
        <v/>
      </c>
      <c r="F322" s="22" t="str">
        <f>IF(+E322="","",IF($F$4="Per Unit",(IF($F$3="Monthly",+E322/Setup!$B$12/12,+E322/Setup!$B$12)),IF($F$3="Monthly",+E322/Setup!$B$13/12,+E322/Setup!$B$13)))</f>
        <v/>
      </c>
      <c r="G322" s="102"/>
      <c r="H322" s="377"/>
      <c r="I322" s="377"/>
      <c r="J322" s="377"/>
      <c r="K322" s="377"/>
      <c r="L322" s="377"/>
      <c r="M322" s="377"/>
      <c r="N322" s="377"/>
      <c r="O322" s="377"/>
      <c r="P322" s="377"/>
      <c r="Q322" s="377"/>
      <c r="R322" s="377"/>
      <c r="S322" s="377"/>
      <c r="T322" s="4"/>
      <c r="U322" s="4"/>
    </row>
    <row r="323" spans="1:21" s="4" customFormat="1" ht="10.5" customHeight="1">
      <c r="A323" s="10" t="str">
        <f>IF(ISNA(VLOOKUP(B323,Setup!$A$74:$A$197,1,FALSE)),"","X")</f>
        <v/>
      </c>
      <c r="B323" s="161">
        <v>921105</v>
      </c>
      <c r="C323" s="161" t="s">
        <v>509</v>
      </c>
      <c r="D323" s="21">
        <f>SUMIF('2016'!$A:$A,Input!$B323,'2016'!O:O)</f>
        <v>0</v>
      </c>
      <c r="E323" s="21">
        <f>IF(+'2017'!O323="","",+'2017'!O323)</f>
        <v>0</v>
      </c>
      <c r="F323" s="22">
        <f>IF(+E323="","",IF($F$4="Per Unit",(IF($F$3="Monthly",+E323/Setup!$B$12/12,+E323/Setup!$B$12)),IF($F$3="Monthly",+E323/Setup!$B$13/12,+E323/Setup!$B$13)))</f>
        <v>0</v>
      </c>
      <c r="G323" s="33"/>
      <c r="H323" s="381"/>
      <c r="I323" s="381"/>
      <c r="J323" s="381"/>
      <c r="K323" s="381"/>
      <c r="L323" s="381"/>
      <c r="M323" s="381"/>
      <c r="N323" s="381"/>
      <c r="O323" s="381"/>
      <c r="P323" s="381"/>
      <c r="Q323" s="381"/>
      <c r="R323" s="381"/>
      <c r="S323" s="381"/>
      <c r="T323" s="362"/>
      <c r="U323" s="383"/>
    </row>
    <row r="324" spans="1:21" s="4" customFormat="1" ht="10.5" customHeight="1">
      <c r="A324" s="10" t="str">
        <f>IF(ISNA(VLOOKUP(B324,Setup!$A$74:$A$197,1,FALSE)),"","X")</f>
        <v/>
      </c>
      <c r="B324" s="161">
        <v>921110</v>
      </c>
      <c r="C324" s="161" t="s">
        <v>510</v>
      </c>
      <c r="D324" s="21">
        <f>SUMIF('2016'!$A:$A,Input!$B324,'2016'!O:O)</f>
        <v>0</v>
      </c>
      <c r="E324" s="21">
        <f>IF(+'2017'!O324="","",+'2017'!O324)</f>
        <v>0</v>
      </c>
      <c r="F324" s="22">
        <f>IF(+E324="","",IF($F$4="Per Unit",(IF($F$3="Monthly",+E324/Setup!$B$12/12,+E324/Setup!$B$12)),IF($F$3="Monthly",+E324/Setup!$B$13/12,+E324/Setup!$B$13)))</f>
        <v>0</v>
      </c>
      <c r="G324" s="33"/>
      <c r="H324" s="381"/>
      <c r="I324" s="381"/>
      <c r="J324" s="381"/>
      <c r="K324" s="381"/>
      <c r="L324" s="381"/>
      <c r="M324" s="381"/>
      <c r="N324" s="381"/>
      <c r="O324" s="381"/>
      <c r="P324" s="381"/>
      <c r="Q324" s="381"/>
      <c r="R324" s="381"/>
      <c r="S324" s="381"/>
      <c r="T324" s="362"/>
      <c r="U324" s="383"/>
    </row>
    <row r="325" spans="1:21" ht="10.5" customHeight="1">
      <c r="A325" s="10" t="str">
        <f>IF(ISNA(VLOOKUP(B325,Setup!$A$74:$A$197,1,FALSE)),"","X")</f>
        <v/>
      </c>
      <c r="B325" s="161">
        <v>921115</v>
      </c>
      <c r="C325" s="161" t="s">
        <v>511</v>
      </c>
      <c r="D325" s="21">
        <f>SUMIF('2016'!$A:$A,Input!$B325,'2016'!O:O)</f>
        <v>0</v>
      </c>
      <c r="E325" s="21">
        <f>IF(+'2017'!O325="","",+'2017'!O325)</f>
        <v>0</v>
      </c>
      <c r="F325" s="22">
        <f>IF(+E325="","",IF($F$4="Per Unit",(IF($F$3="Monthly",+E325/Setup!$B$12/12,+E325/Setup!$B$12)),IF($F$3="Monthly",+E325/Setup!$B$13/12,+E325/Setup!$B$13)))</f>
        <v>0</v>
      </c>
      <c r="G325" s="33"/>
      <c r="H325" s="381"/>
      <c r="I325" s="381"/>
      <c r="J325" s="381"/>
      <c r="K325" s="381"/>
      <c r="L325" s="381"/>
      <c r="M325" s="381"/>
      <c r="N325" s="381"/>
      <c r="O325" s="381"/>
      <c r="P325" s="381"/>
      <c r="Q325" s="381"/>
      <c r="R325" s="381"/>
      <c r="S325" s="381"/>
      <c r="T325" s="362"/>
      <c r="U325" s="383"/>
    </row>
    <row r="326" spans="1:21" ht="10.5" customHeight="1">
      <c r="A326" s="10" t="str">
        <f>IF(ISNA(VLOOKUP(B326,Setup!$A$74:$A$197,1,FALSE)),"","X")</f>
        <v/>
      </c>
      <c r="B326" s="161">
        <v>921140</v>
      </c>
      <c r="C326" s="161" t="s">
        <v>512</v>
      </c>
      <c r="D326" s="21">
        <f>SUMIF('2016'!$A:$A,Input!$B326,'2016'!O:O)</f>
        <v>0</v>
      </c>
      <c r="E326" s="21">
        <f>IF(+'2017'!O326="","",+'2017'!O326)</f>
        <v>0</v>
      </c>
      <c r="F326" s="22">
        <f>IF(+E326="","",IF($F$4="Per Unit",(IF($F$3="Monthly",+E326/Setup!$B$12/12,+E326/Setup!$B$12)),IF($F$3="Monthly",+E326/Setup!$B$13/12,+E326/Setup!$B$13)))</f>
        <v>0</v>
      </c>
      <c r="G326" s="33"/>
      <c r="H326" s="381"/>
      <c r="I326" s="381"/>
      <c r="J326" s="381"/>
      <c r="K326" s="381"/>
      <c r="L326" s="381"/>
      <c r="M326" s="381"/>
      <c r="N326" s="381"/>
      <c r="O326" s="381"/>
      <c r="P326" s="381"/>
      <c r="Q326" s="381"/>
      <c r="R326" s="381"/>
      <c r="S326" s="381"/>
      <c r="T326" s="362"/>
      <c r="U326" s="383"/>
    </row>
    <row r="327" spans="1:21" ht="10.5" customHeight="1">
      <c r="A327" s="10" t="str">
        <f>IF(ISNA(VLOOKUP(B327,Setup!$A$74:$A$197,1,FALSE)),"","X")</f>
        <v/>
      </c>
      <c r="B327" s="161">
        <v>921145</v>
      </c>
      <c r="C327" s="161" t="s">
        <v>513</v>
      </c>
      <c r="D327" s="21">
        <f>SUMIF('2016'!$A:$A,Input!$B327,'2016'!O:O)</f>
        <v>0</v>
      </c>
      <c r="E327" s="21">
        <f>IF(+'2017'!O327="","",+'2017'!O327)</f>
        <v>0</v>
      </c>
      <c r="F327" s="22">
        <f>IF(+E327="","",IF($F$4="Per Unit",(IF($F$3="Monthly",+E327/Setup!$B$12/12,+E327/Setup!$B$12)),IF($F$3="Monthly",+E327/Setup!$B$13/12,+E327/Setup!$B$13)))</f>
        <v>0</v>
      </c>
      <c r="G327" s="33"/>
      <c r="H327" s="381"/>
      <c r="I327" s="381"/>
      <c r="J327" s="381"/>
      <c r="K327" s="381"/>
      <c r="L327" s="381"/>
      <c r="M327" s="381"/>
      <c r="N327" s="381"/>
      <c r="O327" s="381"/>
      <c r="P327" s="381"/>
      <c r="Q327" s="381"/>
      <c r="R327" s="381"/>
      <c r="S327" s="381"/>
      <c r="T327" s="362"/>
      <c r="U327" s="383"/>
    </row>
    <row r="328" spans="1:21" ht="10.5" customHeight="1">
      <c r="A328" s="10" t="str">
        <f>IF(ISNA(VLOOKUP(B328,Setup!$A$74:$A$197,1,FALSE)),"","X")</f>
        <v/>
      </c>
      <c r="B328" s="161">
        <v>921150</v>
      </c>
      <c r="C328" s="161" t="s">
        <v>514</v>
      </c>
      <c r="D328" s="21">
        <f>SUMIF('2016'!$A:$A,Input!$B328,'2016'!O:O)</f>
        <v>0</v>
      </c>
      <c r="E328" s="21">
        <f>IF(+'2017'!O328="","",+'2017'!O328)</f>
        <v>0</v>
      </c>
      <c r="F328" s="22">
        <f>IF(+E328="","",IF($F$4="Per Unit",(IF($F$3="Monthly",+E328/Setup!$B$12/12,+E328/Setup!$B$12)),IF($F$3="Monthly",+E328/Setup!$B$13/12,+E328/Setup!$B$13)))</f>
        <v>0</v>
      </c>
      <c r="G328" s="33"/>
      <c r="H328" s="381"/>
      <c r="I328" s="381"/>
      <c r="J328" s="381"/>
      <c r="K328" s="381"/>
      <c r="L328" s="381"/>
      <c r="M328" s="381"/>
      <c r="N328" s="381"/>
      <c r="O328" s="381"/>
      <c r="P328" s="381"/>
      <c r="Q328" s="381"/>
      <c r="R328" s="381"/>
      <c r="S328" s="381"/>
      <c r="T328" s="362"/>
      <c r="U328" s="383"/>
    </row>
    <row r="329" spans="1:21" ht="10.5" customHeight="1">
      <c r="A329" s="10" t="str">
        <f>IF(ISNA(VLOOKUP(B329,Setup!$A$74:$A$197,1,FALSE)),"","X")</f>
        <v/>
      </c>
      <c r="B329" s="161">
        <v>921155</v>
      </c>
      <c r="C329" s="161" t="s">
        <v>515</v>
      </c>
      <c r="D329" s="21">
        <f>SUMIF('2016'!$A:$A,Input!$B329,'2016'!O:O)</f>
        <v>0</v>
      </c>
      <c r="E329" s="21">
        <f>IF(+'2017'!O329="","",+'2017'!O329)</f>
        <v>0</v>
      </c>
      <c r="F329" s="22">
        <f>IF(+E329="","",IF($F$4="Per Unit",(IF($F$3="Monthly",+E329/Setup!$B$12/12,+E329/Setup!$B$12)),IF($F$3="Monthly",+E329/Setup!$B$13/12,+E329/Setup!$B$13)))</f>
        <v>0</v>
      </c>
      <c r="G329" s="33"/>
      <c r="H329" s="382"/>
      <c r="I329" s="382"/>
      <c r="J329" s="382"/>
      <c r="K329" s="382"/>
      <c r="L329" s="382"/>
      <c r="M329" s="382"/>
      <c r="N329" s="382"/>
      <c r="O329" s="382"/>
      <c r="P329" s="382"/>
      <c r="Q329" s="382"/>
      <c r="R329" s="382"/>
      <c r="S329" s="382"/>
      <c r="T329" s="371"/>
      <c r="U329" s="383"/>
    </row>
    <row r="330" spans="1:21" ht="10.5" customHeight="1">
      <c r="A330" s="10" t="str">
        <f>IF(ISNA(VLOOKUP(B330,Setup!$A$74:$A$197,1,FALSE)),"","X")</f>
        <v/>
      </c>
      <c r="B330" s="161">
        <v>921160</v>
      </c>
      <c r="C330" s="161" t="s">
        <v>516</v>
      </c>
      <c r="D330" s="21">
        <f>SUMIF('2016'!$A:$A,Input!$B330,'2016'!O:O)</f>
        <v>0</v>
      </c>
      <c r="E330" s="21">
        <f>IF(+'2017'!O330="","",+'2017'!O330)</f>
        <v>0</v>
      </c>
      <c r="F330" s="22">
        <f>IF(+E330="","",IF($F$4="Per Unit",(IF($F$3="Monthly",+E330/Setup!$B$12/12,+E330/Setup!$B$12)),IF($F$3="Monthly",+E330/Setup!$B$13/12,+E330/Setup!$B$13)))</f>
        <v>0</v>
      </c>
      <c r="G330" s="33"/>
      <c r="H330" s="382"/>
      <c r="I330" s="382"/>
      <c r="J330" s="382"/>
      <c r="K330" s="382"/>
      <c r="L330" s="382"/>
      <c r="M330" s="382"/>
      <c r="N330" s="382"/>
      <c r="O330" s="382"/>
      <c r="P330" s="382"/>
      <c r="Q330" s="382"/>
      <c r="R330" s="382"/>
      <c r="S330" s="382"/>
      <c r="T330" s="371"/>
      <c r="U330" s="383"/>
    </row>
    <row r="331" spans="1:21" ht="10.5" customHeight="1">
      <c r="A331" s="10" t="str">
        <f>IF(ISNA(VLOOKUP(B331,Setup!$A$74:$A$197,1,FALSE)),"","X")</f>
        <v/>
      </c>
      <c r="B331" s="161">
        <v>921165</v>
      </c>
      <c r="C331" s="161" t="s">
        <v>517</v>
      </c>
      <c r="D331" s="21">
        <f>SUMIF('2016'!$A:$A,Input!$B331,'2016'!O:O)</f>
        <v>0</v>
      </c>
      <c r="E331" s="21">
        <f>IF(+'2017'!O331="","",+'2017'!O331)</f>
        <v>0</v>
      </c>
      <c r="F331" s="22">
        <f>IF(+E331="","",IF($F$4="Per Unit",(IF($F$3="Monthly",+E331/Setup!$B$12/12,+E331/Setup!$B$12)),IF($F$3="Monthly",+E331/Setup!$B$13/12,+E331/Setup!$B$13)))</f>
        <v>0</v>
      </c>
      <c r="G331" s="33"/>
      <c r="H331" s="382"/>
      <c r="I331" s="382"/>
      <c r="J331" s="382"/>
      <c r="K331" s="382"/>
      <c r="L331" s="382"/>
      <c r="M331" s="382"/>
      <c r="N331" s="382"/>
      <c r="O331" s="382"/>
      <c r="P331" s="382"/>
      <c r="Q331" s="382"/>
      <c r="R331" s="382"/>
      <c r="S331" s="382"/>
      <c r="T331" s="371"/>
      <c r="U331" s="383"/>
    </row>
    <row r="332" spans="1:21" ht="10.5" customHeight="1">
      <c r="A332" s="10" t="str">
        <f>IF(ISNA(VLOOKUP(B332,Setup!$A$74:$A$197,1,FALSE)),"","X")</f>
        <v/>
      </c>
      <c r="B332" s="161"/>
      <c r="C332" s="163"/>
      <c r="D332" s="21"/>
      <c r="E332" s="21" t="str">
        <f>IF(+'2017'!O332="","",+'2017'!O332)</f>
        <v/>
      </c>
      <c r="F332" s="22" t="str">
        <f>IF(+E332="","",IF($F$4="Per Unit",(IF($F$3="Monthly",+E332/Setup!$B$12/12,+E332/Setup!$B$12)),IF($F$3="Monthly",+E332/Setup!$B$13/12,+E332/Setup!$B$13)))</f>
        <v/>
      </c>
      <c r="G332" s="102"/>
      <c r="H332" s="377"/>
      <c r="I332" s="377"/>
      <c r="J332" s="377"/>
      <c r="K332" s="377"/>
      <c r="L332" s="377"/>
      <c r="M332" s="377"/>
      <c r="N332" s="377"/>
      <c r="O332" s="377"/>
      <c r="P332" s="377"/>
      <c r="Q332" s="377"/>
      <c r="R332" s="377"/>
      <c r="S332" s="377"/>
      <c r="T332" s="4"/>
      <c r="U332" s="4"/>
    </row>
    <row r="333" spans="1:21" ht="10.5" customHeight="1">
      <c r="A333" s="10" t="str">
        <f>IF(ISNA(VLOOKUP(B333,Setup!$A$74:$A$197,1,FALSE)),"","X")</f>
        <v/>
      </c>
      <c r="B333" s="161"/>
      <c r="C333" s="159" t="s">
        <v>506</v>
      </c>
      <c r="D333" s="21">
        <f>SUM(D323:D331)</f>
        <v>0</v>
      </c>
      <c r="E333" s="21">
        <f>IF(+'2017'!O333="","",+'2017'!O333)</f>
        <v>0</v>
      </c>
      <c r="F333" s="22">
        <f>IF(+E333="","",IF($F$4="Per Unit",(IF($F$3="Monthly",+E333/Setup!$B$12/12,+E333/Setup!$B$12)),IF($F$3="Monthly",+E333/Setup!$B$13/12,+E333/Setup!$B$13)))</f>
        <v>0</v>
      </c>
      <c r="G333" s="102"/>
      <c r="H333" s="377">
        <f>+'2017'!C333</f>
        <v>0</v>
      </c>
      <c r="I333" s="377">
        <f>+'2017'!D333</f>
        <v>0</v>
      </c>
      <c r="J333" s="377">
        <f>+'2017'!E333</f>
        <v>0</v>
      </c>
      <c r="K333" s="377">
        <f>+'2017'!F333</f>
        <v>0</v>
      </c>
      <c r="L333" s="377">
        <f>+'2017'!G333</f>
        <v>0</v>
      </c>
      <c r="M333" s="377">
        <f>+'2017'!H333</f>
        <v>0</v>
      </c>
      <c r="N333" s="377">
        <f>+'2017'!I333</f>
        <v>0</v>
      </c>
      <c r="O333" s="377">
        <f>+'2017'!J333</f>
        <v>0</v>
      </c>
      <c r="P333" s="377">
        <f>+'2017'!K333</f>
        <v>0</v>
      </c>
      <c r="Q333" s="377">
        <f>+'2017'!L333</f>
        <v>0</v>
      </c>
      <c r="R333" s="377">
        <f>+'2017'!M333</f>
        <v>0</v>
      </c>
      <c r="S333" s="377">
        <f>+'2017'!N333</f>
        <v>0</v>
      </c>
      <c r="T333" s="4"/>
      <c r="U333" s="4"/>
    </row>
    <row r="334" spans="1:21" ht="10.5" customHeight="1">
      <c r="A334" s="10" t="str">
        <f>IF(ISNA(VLOOKUP(B334,Setup!$A$74:$A$197,1,FALSE)),"","X")</f>
        <v/>
      </c>
      <c r="B334" s="161"/>
      <c r="C334" s="163"/>
      <c r="D334" s="21"/>
      <c r="E334" s="21" t="str">
        <f>IF(+'2017'!O334="","",+'2017'!O334)</f>
        <v/>
      </c>
      <c r="F334" s="22" t="str">
        <f>IF(+E334="","",IF($F$4="Per Unit",(IF($F$3="Monthly",+E334/Setup!$B$12/12,+E334/Setup!$B$12)),IF($F$3="Monthly",+E334/Setup!$B$13/12,+E334/Setup!$B$13)))</f>
        <v/>
      </c>
      <c r="G334" s="102"/>
      <c r="H334" s="377"/>
      <c r="I334" s="377"/>
      <c r="J334" s="377"/>
      <c r="K334" s="377"/>
      <c r="L334" s="377"/>
      <c r="M334" s="377"/>
      <c r="N334" s="377"/>
      <c r="O334" s="377"/>
      <c r="P334" s="377"/>
      <c r="Q334" s="377"/>
      <c r="R334" s="377"/>
      <c r="S334" s="377"/>
      <c r="T334" s="4"/>
      <c r="U334" s="4"/>
    </row>
    <row r="335" spans="1:21" ht="10.5" customHeight="1">
      <c r="A335" s="10" t="str">
        <f>IF(ISNA(VLOOKUP(B335,Setup!$A$74:$A$197,1,FALSE)),"","X")</f>
        <v/>
      </c>
      <c r="B335" s="161"/>
      <c r="C335" s="165"/>
      <c r="D335" s="21"/>
      <c r="E335" s="21" t="str">
        <f>IF(+'2017'!O335="","",+'2017'!O335)</f>
        <v/>
      </c>
      <c r="F335" s="22" t="str">
        <f>IF(+E335="","",IF($F$4="Per Unit",(IF($F$3="Monthly",+E335/Setup!$B$12/12,+E335/Setup!$B$12)),IF($F$3="Monthly",+E335/Setup!$B$13/12,+E335/Setup!$B$13)))</f>
        <v/>
      </c>
      <c r="G335" s="102"/>
      <c r="H335" s="377"/>
      <c r="I335" s="377"/>
      <c r="J335" s="377"/>
      <c r="K335" s="377"/>
      <c r="L335" s="377"/>
      <c r="M335" s="377"/>
      <c r="N335" s="377"/>
      <c r="O335" s="377"/>
      <c r="P335" s="377"/>
      <c r="Q335" s="377"/>
      <c r="R335" s="377"/>
      <c r="S335" s="377"/>
      <c r="T335" s="4"/>
      <c r="U335" s="4"/>
    </row>
    <row r="336" spans="1:21" ht="10.5" customHeight="1">
      <c r="A336" s="10" t="str">
        <f>IF(ISNA(VLOOKUP(B336,Setup!$A$74:$A$197,1,FALSE)),"","X")</f>
        <v/>
      </c>
      <c r="B336" s="161"/>
      <c r="C336" s="161" t="s">
        <v>526</v>
      </c>
      <c r="D336" s="21">
        <f>+D319-D333</f>
        <v>768936</v>
      </c>
      <c r="E336" s="21">
        <f>IF(+'2017'!O336="","",+'2017'!O336)</f>
        <v>1549688.7316363635</v>
      </c>
      <c r="F336" s="22">
        <f>IF(+E336="","",IF($F$4="Per Unit",(IF($F$3="Monthly",+E336/Setup!$B$12/12,+E336/Setup!$B$12)),IF($F$3="Monthly",+E336/Setup!$B$13/12,+E336/Setup!$B$13)))</f>
        <v>7044.0396892561976</v>
      </c>
      <c r="G336" s="102"/>
      <c r="H336" s="377">
        <f>+'2017'!C336</f>
        <v>122294.80566666665</v>
      </c>
      <c r="I336" s="377">
        <f>+'2017'!D336</f>
        <v>123555.80566666665</v>
      </c>
      <c r="J336" s="377">
        <f>+'2017'!E336</f>
        <v>124816.80566666665</v>
      </c>
      <c r="K336" s="377">
        <f>+'2017'!F336</f>
        <v>125554.44657575755</v>
      </c>
      <c r="L336" s="377">
        <f>+'2017'!G336</f>
        <v>126073.83748484848</v>
      </c>
      <c r="M336" s="377">
        <f>+'2017'!H336</f>
        <v>128706.94657575755</v>
      </c>
      <c r="N336" s="377">
        <f>+'2017'!I336</f>
        <v>131795.73521212122</v>
      </c>
      <c r="O336" s="377">
        <f>+'2017'!J336</f>
        <v>134356.09430303029</v>
      </c>
      <c r="P336" s="377">
        <f>+'2017'!K336</f>
        <v>133391.16475757578</v>
      </c>
      <c r="Q336" s="377">
        <f>+'2017'!L336</f>
        <v>133231.55566666665</v>
      </c>
      <c r="R336" s="377">
        <f>+'2017'!M336</f>
        <v>133071.94657575755</v>
      </c>
      <c r="S336" s="377">
        <f>+'2017'!N336</f>
        <v>132839.58748484848</v>
      </c>
      <c r="T336" s="4"/>
      <c r="U336" s="4"/>
    </row>
    <row r="337" spans="1:21" ht="10.5" customHeight="1">
      <c r="A337" s="10" t="str">
        <f>IF(ISNA(VLOOKUP(B337,Setup!$A$74:$A$197,1,FALSE)),"","X")</f>
        <v/>
      </c>
      <c r="B337" s="161"/>
      <c r="C337" s="166"/>
      <c r="D337" s="21"/>
      <c r="E337" s="21" t="str">
        <f>IF(+'2017'!O337="","",+'2017'!O337)</f>
        <v/>
      </c>
      <c r="F337" s="22" t="str">
        <f>IF(+E337="","",IF($F$4="Per Unit",(IF($F$3="Monthly",+E337/Setup!$B$12/12,+E337/Setup!$B$12)),IF($F$3="Monthly",+E337/Setup!$B$13/12,+E337/Setup!$B$13)))</f>
        <v/>
      </c>
      <c r="G337" s="102"/>
      <c r="H337" s="377"/>
      <c r="I337" s="377"/>
      <c r="J337" s="377"/>
      <c r="K337" s="377"/>
      <c r="L337" s="377"/>
      <c r="M337" s="377"/>
      <c r="N337" s="377"/>
      <c r="O337" s="377"/>
      <c r="P337" s="377"/>
      <c r="Q337" s="377"/>
      <c r="R337" s="377"/>
      <c r="S337" s="377"/>
      <c r="T337" s="4"/>
      <c r="U337" s="4"/>
    </row>
    <row r="338" spans="1:21" ht="10.5" customHeight="1">
      <c r="A338" s="10" t="str">
        <f>IF(ISNA(VLOOKUP(B338,Setup!$A$74:$A$197,1,FALSE)),"","X")</f>
        <v/>
      </c>
      <c r="B338" s="161"/>
      <c r="C338" s="165"/>
      <c r="D338" s="21"/>
      <c r="E338" s="21" t="str">
        <f>IF(+'2017'!O338="","",+'2017'!O338)</f>
        <v/>
      </c>
      <c r="F338" s="22" t="str">
        <f>IF(+E338="","",IF($F$4="Per Unit",(IF($F$3="Monthly",+E338/Setup!$B$12/12,+E338/Setup!$B$12)),IF($F$3="Monthly",+E338/Setup!$B$13/12,+E338/Setup!$B$13)))</f>
        <v/>
      </c>
      <c r="G338" s="102"/>
      <c r="H338" s="377"/>
      <c r="I338" s="377"/>
      <c r="J338" s="377"/>
      <c r="K338" s="377"/>
      <c r="L338" s="377"/>
      <c r="M338" s="377"/>
      <c r="N338" s="377"/>
      <c r="O338" s="377"/>
      <c r="P338" s="377"/>
      <c r="Q338" s="377"/>
      <c r="R338" s="377"/>
      <c r="S338" s="377"/>
      <c r="T338" s="4"/>
      <c r="U338" s="4"/>
    </row>
    <row r="339" spans="1:21" ht="10.5" customHeight="1">
      <c r="A339" s="10" t="str">
        <f>IF(ISNA(VLOOKUP(B339,Setup!$A$74:$A$197,1,FALSE)),"","X")</f>
        <v/>
      </c>
      <c r="B339" s="161"/>
      <c r="C339" s="160" t="s">
        <v>73</v>
      </c>
      <c r="D339" s="21"/>
      <c r="E339" s="21" t="str">
        <f>IF(+'2017'!O339="","",+'2017'!O339)</f>
        <v/>
      </c>
      <c r="F339" s="22" t="str">
        <f>IF(+E339="","",IF($F$4="Per Unit",(IF($F$3="Monthly",+E339/Setup!$B$12/12,+E339/Setup!$B$12)),IF($F$3="Monthly",+E339/Setup!$B$13/12,+E339/Setup!$B$13)))</f>
        <v/>
      </c>
      <c r="G339" s="102"/>
      <c r="H339" s="377"/>
      <c r="I339" s="377"/>
      <c r="J339" s="377"/>
      <c r="K339" s="377"/>
      <c r="L339" s="377"/>
      <c r="M339" s="377"/>
      <c r="N339" s="377"/>
      <c r="O339" s="377"/>
      <c r="P339" s="377"/>
      <c r="Q339" s="377"/>
      <c r="R339" s="377"/>
      <c r="S339" s="377"/>
      <c r="T339" s="4"/>
      <c r="U339" s="4"/>
    </row>
    <row r="340" spans="1:21" ht="10.5" customHeight="1">
      <c r="A340" s="10" t="str">
        <f>IF(ISNA(VLOOKUP(B340,Setup!$A$74:$A$197,1,FALSE)),"","X")</f>
        <v/>
      </c>
      <c r="B340" s="161">
        <v>141105</v>
      </c>
      <c r="C340" s="161" t="s">
        <v>417</v>
      </c>
      <c r="D340" s="21">
        <f>SUMIF('2016'!$A:$A,Input!$B340,'2016'!O:O)</f>
        <v>0</v>
      </c>
      <c r="E340" s="21">
        <f>IF(+'2017'!O340="","",+'2017'!O340)</f>
        <v>0</v>
      </c>
      <c r="F340" s="22">
        <f>IF(+E340="","",IF($F$4="Per Unit",(IF($F$3="Monthly",+E340/Setup!$B$12/12,+E340/Setup!$B$12)),IF($F$3="Monthly",+E340/Setup!$B$13/12,+E340/Setup!$B$13)))</f>
        <v>0</v>
      </c>
      <c r="G340" s="33"/>
      <c r="H340" s="492"/>
      <c r="I340" s="492"/>
      <c r="J340" s="492"/>
      <c r="K340" s="492"/>
      <c r="L340" s="492"/>
      <c r="M340" s="492"/>
      <c r="N340" s="492"/>
      <c r="O340" s="492"/>
      <c r="P340" s="492"/>
      <c r="Q340" s="492"/>
      <c r="R340" s="492"/>
      <c r="S340" s="492"/>
      <c r="T340" s="492"/>
      <c r="U340" s="383"/>
    </row>
    <row r="341" spans="1:21" ht="10.5" customHeight="1">
      <c r="A341" s="10" t="str">
        <f>IF(ISNA(VLOOKUP(B341,Setup!$A$74:$A$197,1,FALSE)),"","X")</f>
        <v/>
      </c>
      <c r="B341" s="161">
        <v>141110</v>
      </c>
      <c r="C341" s="161" t="s">
        <v>418</v>
      </c>
      <c r="D341" s="21">
        <f>SUMIF('2016'!$A:$A,Input!$B341,'2016'!O:O)</f>
        <v>0</v>
      </c>
      <c r="E341" s="21">
        <f>IF(+'2017'!O341="","",+'2017'!O341)</f>
        <v>0</v>
      </c>
      <c r="F341" s="22">
        <f>IF(+E341="","",IF($F$4="Per Unit",(IF($F$3="Monthly",+E341/Setup!$B$12/12,+E341/Setup!$B$12)),IF($F$3="Monthly",+E341/Setup!$B$13/12,+E341/Setup!$B$13)))</f>
        <v>0</v>
      </c>
      <c r="G341" s="33"/>
      <c r="H341" s="492"/>
      <c r="I341" s="492"/>
      <c r="J341" s="492"/>
      <c r="K341" s="492"/>
      <c r="L341" s="492"/>
      <c r="M341" s="492"/>
      <c r="N341" s="492"/>
      <c r="O341" s="492"/>
      <c r="P341" s="492"/>
      <c r="Q341" s="492"/>
      <c r="R341" s="492"/>
      <c r="S341" s="492"/>
      <c r="T341" s="492"/>
      <c r="U341" s="383"/>
    </row>
    <row r="342" spans="1:21" ht="10.5" customHeight="1">
      <c r="A342" s="10" t="str">
        <f>IF(ISNA(VLOOKUP(B342,Setup!$A$74:$A$197,1,FALSE)),"","X")</f>
        <v/>
      </c>
      <c r="B342" s="161">
        <v>141115</v>
      </c>
      <c r="C342" s="161" t="s">
        <v>419</v>
      </c>
      <c r="D342" s="21">
        <f>SUMIF('2016'!$A:$A,Input!$B342,'2016'!O:O)</f>
        <v>0</v>
      </c>
      <c r="E342" s="21">
        <f>IF(+'2017'!O342="","",+'2017'!O342)</f>
        <v>0</v>
      </c>
      <c r="F342" s="22">
        <f>IF(+E342="","",IF($F$4="Per Unit",(IF($F$3="Monthly",+E342/Setup!$B$12/12,+E342/Setup!$B$12)),IF($F$3="Monthly",+E342/Setup!$B$13/12,+E342/Setup!$B$13)))</f>
        <v>0</v>
      </c>
      <c r="G342" s="33"/>
      <c r="H342" s="492"/>
      <c r="I342" s="492"/>
      <c r="J342" s="492"/>
      <c r="K342" s="492"/>
      <c r="L342" s="492"/>
      <c r="M342" s="492"/>
      <c r="N342" s="492"/>
      <c r="O342" s="492"/>
      <c r="P342" s="492"/>
      <c r="Q342" s="492"/>
      <c r="R342" s="492"/>
      <c r="S342" s="492"/>
      <c r="T342" s="492"/>
      <c r="U342" s="383"/>
    </row>
    <row r="343" spans="1:21" ht="10.5" customHeight="1">
      <c r="A343" s="10" t="str">
        <f>IF(ISNA(VLOOKUP(B343,Setup!$A$74:$A$197,1,FALSE)),"","X")</f>
        <v/>
      </c>
      <c r="B343" s="161">
        <v>141120</v>
      </c>
      <c r="C343" s="161" t="s">
        <v>420</v>
      </c>
      <c r="D343" s="21">
        <f>SUMIF('2016'!$A:$A,Input!$B343,'2016'!O:O)</f>
        <v>43877</v>
      </c>
      <c r="E343" s="21">
        <f>IF(+'2017'!O343="","",+'2017'!O343)</f>
        <v>43876.999999999993</v>
      </c>
      <c r="F343" s="22">
        <f>IF(+E343="","",IF($F$4="Per Unit",(IF($F$3="Monthly",+E343/Setup!$B$12/12,+E343/Setup!$B$12)),IF($F$3="Monthly",+E343/Setup!$B$13/12,+E343/Setup!$B$13)))</f>
        <v>199.44090909090906</v>
      </c>
      <c r="G343" s="33">
        <f t="shared" ref="G343:G344" si="26">+D343/12</f>
        <v>3656.4166666666665</v>
      </c>
      <c r="H343" s="492"/>
      <c r="I343" s="492"/>
      <c r="J343" s="492"/>
      <c r="K343" s="492"/>
      <c r="L343" s="492"/>
      <c r="M343" s="492"/>
      <c r="N343" s="492"/>
      <c r="O343" s="492"/>
      <c r="P343" s="492"/>
      <c r="Q343" s="492"/>
      <c r="R343" s="492"/>
      <c r="S343" s="492"/>
      <c r="T343" s="492"/>
      <c r="U343" s="383"/>
    </row>
    <row r="344" spans="1:21" ht="10.5" customHeight="1">
      <c r="A344" s="10" t="str">
        <f>IF(ISNA(VLOOKUP(B344,Setup!$A$74:$A$197,1,FALSE)),"","X")</f>
        <v/>
      </c>
      <c r="B344" s="161">
        <v>141125</v>
      </c>
      <c r="C344" s="161" t="s">
        <v>421</v>
      </c>
      <c r="D344" s="21">
        <f>SUMIF('2016'!$A:$A,Input!$B344,'2016'!O:O)</f>
        <v>157749</v>
      </c>
      <c r="E344" s="21">
        <f>IF(+'2017'!O344="","",+'2017'!O344)</f>
        <v>157749</v>
      </c>
      <c r="F344" s="22">
        <f>IF(+E344="","",IF($F$4="Per Unit",(IF($F$3="Monthly",+E344/Setup!$B$12/12,+E344/Setup!$B$12)),IF($F$3="Monthly",+E344/Setup!$B$13/12,+E344/Setup!$B$13)))</f>
        <v>717.04090909090905</v>
      </c>
      <c r="G344" s="33">
        <f t="shared" si="26"/>
        <v>13145.75</v>
      </c>
      <c r="H344" s="492"/>
      <c r="I344" s="492"/>
      <c r="J344" s="492"/>
      <c r="K344" s="492"/>
      <c r="L344" s="492"/>
      <c r="M344" s="492"/>
      <c r="N344" s="492"/>
      <c r="O344" s="492"/>
      <c r="P344" s="492"/>
      <c r="Q344" s="492"/>
      <c r="R344" s="492"/>
      <c r="S344" s="492"/>
      <c r="T344" s="492"/>
      <c r="U344" s="383"/>
    </row>
    <row r="345" spans="1:21" ht="10.5" customHeight="1">
      <c r="A345" s="10" t="str">
        <f>IF(ISNA(VLOOKUP(B345,Setup!$A$74:$A$197,1,FALSE)),"","X")</f>
        <v/>
      </c>
      <c r="B345" s="161">
        <v>141130</v>
      </c>
      <c r="C345" s="161" t="s">
        <v>422</v>
      </c>
      <c r="D345" s="21">
        <f>SUMIF('2016'!$A:$A,Input!$B345,'2016'!O:O)</f>
        <v>0</v>
      </c>
      <c r="E345" s="21">
        <f>IF(+'2017'!O345="","",+'2017'!O345)</f>
        <v>0</v>
      </c>
      <c r="F345" s="22">
        <f>IF(+E345="","",IF($F$4="Per Unit",(IF($F$3="Monthly",+E345/Setup!$B$12/12,+E345/Setup!$B$12)),IF($F$3="Monthly",+E345/Setup!$B$13/12,+E345/Setup!$B$13)))</f>
        <v>0</v>
      </c>
      <c r="G345" s="33"/>
      <c r="H345" s="492"/>
      <c r="I345" s="492"/>
      <c r="J345" s="492"/>
      <c r="K345" s="492"/>
      <c r="L345" s="492"/>
      <c r="M345" s="492"/>
      <c r="N345" s="492"/>
      <c r="O345" s="492"/>
      <c r="P345" s="492"/>
      <c r="Q345" s="492"/>
      <c r="R345" s="492"/>
      <c r="S345" s="492"/>
      <c r="T345" s="492"/>
      <c r="U345" s="383"/>
    </row>
    <row r="346" spans="1:21" ht="10.5" customHeight="1">
      <c r="A346" s="10" t="str">
        <f>IF(ISNA(VLOOKUP(B346,Setup!$A$74:$A$197,1,FALSE)),"","X")</f>
        <v/>
      </c>
      <c r="B346" s="161">
        <v>141135</v>
      </c>
      <c r="C346" s="161" t="s">
        <v>423</v>
      </c>
      <c r="D346" s="21">
        <f>SUMIF('2016'!$A:$A,Input!$B346,'2016'!O:O)</f>
        <v>0</v>
      </c>
      <c r="E346" s="21">
        <f>IF(+'2017'!O346="","",+'2017'!O346)</f>
        <v>0</v>
      </c>
      <c r="F346" s="22">
        <f>IF(+E346="","",IF($F$4="Per Unit",(IF($F$3="Monthly",+E346/Setup!$B$12/12,+E346/Setup!$B$12)),IF($F$3="Monthly",+E346/Setup!$B$13/12,+E346/Setup!$B$13)))</f>
        <v>0</v>
      </c>
      <c r="G346" s="33"/>
      <c r="H346" s="492"/>
      <c r="I346" s="492"/>
      <c r="J346" s="492"/>
      <c r="K346" s="492"/>
      <c r="L346" s="492"/>
      <c r="M346" s="492"/>
      <c r="N346" s="492"/>
      <c r="O346" s="492"/>
      <c r="P346" s="492"/>
      <c r="Q346" s="492"/>
      <c r="R346" s="492"/>
      <c r="S346" s="492"/>
      <c r="T346" s="492"/>
      <c r="U346" s="383"/>
    </row>
    <row r="347" spans="1:21" ht="10.5" customHeight="1">
      <c r="A347" s="10" t="str">
        <f>IF(ISNA(VLOOKUP(B347,Setup!$A$74:$A$197,1,FALSE)),"","X")</f>
        <v/>
      </c>
      <c r="B347" s="161">
        <v>141140</v>
      </c>
      <c r="C347" s="161" t="s">
        <v>424</v>
      </c>
      <c r="D347" s="21">
        <f>SUMIF('2016'!$A:$A,Input!$B347,'2016'!O:O)</f>
        <v>0</v>
      </c>
      <c r="E347" s="21">
        <f>IF(+'2017'!O347="","",+'2017'!O347)</f>
        <v>0</v>
      </c>
      <c r="F347" s="22">
        <f>IF(+E347="","",IF($F$4="Per Unit",(IF($F$3="Monthly",+E347/Setup!$B$12/12,+E347/Setup!$B$12)),IF($F$3="Monthly",+E347/Setup!$B$13/12,+E347/Setup!$B$13)))</f>
        <v>0</v>
      </c>
      <c r="G347" s="33"/>
      <c r="H347" s="492"/>
      <c r="I347" s="492"/>
      <c r="J347" s="492"/>
      <c r="K347" s="492"/>
      <c r="L347" s="492"/>
      <c r="M347" s="492"/>
      <c r="N347" s="492"/>
      <c r="O347" s="492"/>
      <c r="P347" s="492"/>
      <c r="Q347" s="492"/>
      <c r="R347" s="492"/>
      <c r="S347" s="492"/>
      <c r="T347" s="492"/>
      <c r="U347" s="383"/>
    </row>
    <row r="348" spans="1:21" ht="10.5" customHeight="1">
      <c r="A348" s="10" t="str">
        <f>IF(ISNA(VLOOKUP(B348,Setup!$A$74:$A$197,1,FALSE)),"","X")</f>
        <v/>
      </c>
      <c r="B348" s="161">
        <v>141145</v>
      </c>
      <c r="C348" s="161" t="s">
        <v>425</v>
      </c>
      <c r="D348" s="21">
        <f>SUMIF('2016'!$A:$A,Input!$B348,'2016'!O:O)</f>
        <v>0</v>
      </c>
      <c r="E348" s="21">
        <f>IF(+'2017'!O348="","",+'2017'!O348)</f>
        <v>0</v>
      </c>
      <c r="F348" s="22">
        <f>IF(+E348="","",IF($F$4="Per Unit",(IF($F$3="Monthly",+E348/Setup!$B$12/12,+E348/Setup!$B$12)),IF($F$3="Monthly",+E348/Setup!$B$13/12,+E348/Setup!$B$13)))</f>
        <v>0</v>
      </c>
      <c r="G348" s="33"/>
      <c r="H348" s="492"/>
      <c r="I348" s="492"/>
      <c r="J348" s="492"/>
      <c r="K348" s="492"/>
      <c r="L348" s="492"/>
      <c r="M348" s="492"/>
      <c r="N348" s="492"/>
      <c r="O348" s="492"/>
      <c r="P348" s="492"/>
      <c r="Q348" s="492"/>
      <c r="R348" s="492"/>
      <c r="S348" s="492"/>
      <c r="T348" s="492"/>
      <c r="U348" s="383"/>
    </row>
    <row r="349" spans="1:21" ht="10.5" customHeight="1">
      <c r="A349" s="10" t="str">
        <f>IF(ISNA(VLOOKUP(B349,Setup!$A$74:$A$197,1,FALSE)),"","X")</f>
        <v/>
      </c>
      <c r="B349" s="161">
        <v>141150</v>
      </c>
      <c r="C349" s="161" t="s">
        <v>426</v>
      </c>
      <c r="D349" s="21">
        <f>SUMIF('2016'!$A:$A,Input!$B349,'2016'!O:O)</f>
        <v>0</v>
      </c>
      <c r="E349" s="21">
        <f>IF(+'2017'!O349="","",+'2017'!O349)</f>
        <v>0</v>
      </c>
      <c r="F349" s="22">
        <f>IF(+E349="","",IF($F$4="Per Unit",(IF($F$3="Monthly",+E349/Setup!$B$12/12,+E349/Setup!$B$12)),IF($F$3="Monthly",+E349/Setup!$B$13/12,+E349/Setup!$B$13)))</f>
        <v>0</v>
      </c>
      <c r="G349" s="33"/>
      <c r="H349" s="492"/>
      <c r="I349" s="492"/>
      <c r="J349" s="492"/>
      <c r="K349" s="492"/>
      <c r="L349" s="492"/>
      <c r="M349" s="492"/>
      <c r="N349" s="492"/>
      <c r="O349" s="492"/>
      <c r="P349" s="492"/>
      <c r="Q349" s="492"/>
      <c r="R349" s="492"/>
      <c r="S349" s="492"/>
      <c r="T349" s="492"/>
      <c r="U349" s="383"/>
    </row>
    <row r="350" spans="1:21" ht="10.5" customHeight="1">
      <c r="A350" s="10" t="str">
        <f>IF(ISNA(VLOOKUP(B350,Setup!$A$74:$A$197,1,FALSE)),"","X")</f>
        <v/>
      </c>
      <c r="B350" s="161">
        <v>141155</v>
      </c>
      <c r="C350" s="161" t="s">
        <v>427</v>
      </c>
      <c r="D350" s="21">
        <f>SUMIF('2016'!$A:$A,Input!$B350,'2016'!O:O)</f>
        <v>0</v>
      </c>
      <c r="E350" s="21">
        <f>IF(+'2017'!O350="","",+'2017'!O350)</f>
        <v>0</v>
      </c>
      <c r="F350" s="22">
        <f>IF(+E350="","",IF($F$4="Per Unit",(IF($F$3="Monthly",+E350/Setup!$B$12/12,+E350/Setup!$B$12)),IF($F$3="Monthly",+E350/Setup!$B$13/12,+E350/Setup!$B$13)))</f>
        <v>0</v>
      </c>
      <c r="G350" s="33"/>
      <c r="H350" s="492"/>
      <c r="I350" s="492"/>
      <c r="J350" s="492"/>
      <c r="K350" s="492"/>
      <c r="L350" s="492"/>
      <c r="M350" s="492"/>
      <c r="N350" s="492"/>
      <c r="O350" s="492"/>
      <c r="P350" s="492"/>
      <c r="Q350" s="492"/>
      <c r="R350" s="492"/>
      <c r="S350" s="492"/>
      <c r="T350" s="492"/>
      <c r="U350" s="383"/>
    </row>
    <row r="351" spans="1:21" ht="10.5" customHeight="1">
      <c r="A351" s="10" t="str">
        <f>IF(ISNA(VLOOKUP(B351,Setup!$A$74:$A$197,1,FALSE)),"","X")</f>
        <v/>
      </c>
      <c r="B351" s="161">
        <v>141160</v>
      </c>
      <c r="C351" s="161" t="s">
        <v>428</v>
      </c>
      <c r="D351" s="21">
        <f>SUMIF('2016'!$A:$A,Input!$B351,'2016'!O:O)</f>
        <v>0</v>
      </c>
      <c r="E351" s="21">
        <f>IF(+'2017'!O351="","",+'2017'!O351)</f>
        <v>0</v>
      </c>
      <c r="F351" s="22">
        <f>IF(+E351="","",IF($F$4="Per Unit",(IF($F$3="Monthly",+E351/Setup!$B$12/12,+E351/Setup!$B$12)),IF($F$3="Monthly",+E351/Setup!$B$13/12,+E351/Setup!$B$13)))</f>
        <v>0</v>
      </c>
      <c r="G351" s="33"/>
      <c r="H351" s="492"/>
      <c r="I351" s="492"/>
      <c r="J351" s="492"/>
      <c r="K351" s="492"/>
      <c r="L351" s="492"/>
      <c r="M351" s="492"/>
      <c r="N351" s="492"/>
      <c r="O351" s="492"/>
      <c r="P351" s="492"/>
      <c r="Q351" s="492"/>
      <c r="R351" s="492"/>
      <c r="S351" s="492"/>
      <c r="T351" s="492"/>
      <c r="U351" s="383"/>
    </row>
    <row r="352" spans="1:21" ht="10.5" customHeight="1">
      <c r="A352" s="10" t="str">
        <f>IF(ISNA(VLOOKUP(B352,Setup!$A$74:$A$197,1,FALSE)),"","X")</f>
        <v/>
      </c>
      <c r="B352" s="161">
        <v>141165</v>
      </c>
      <c r="C352" s="161" t="s">
        <v>429</v>
      </c>
      <c r="D352" s="21">
        <f>SUMIF('2016'!$A:$A,Input!$B352,'2016'!O:O)</f>
        <v>0</v>
      </c>
      <c r="E352" s="21">
        <f>IF(+'2017'!O352="","",+'2017'!O352)</f>
        <v>0</v>
      </c>
      <c r="F352" s="22">
        <f>IF(+E352="","",IF($F$4="Per Unit",(IF($F$3="Monthly",+E352/Setup!$B$12/12,+E352/Setup!$B$12)),IF($F$3="Monthly",+E352/Setup!$B$13/12,+E352/Setup!$B$13)))</f>
        <v>0</v>
      </c>
      <c r="G352" s="33"/>
      <c r="H352" s="492"/>
      <c r="I352" s="492"/>
      <c r="J352" s="492"/>
      <c r="K352" s="492"/>
      <c r="L352" s="492"/>
      <c r="M352" s="492"/>
      <c r="N352" s="492"/>
      <c r="O352" s="492"/>
      <c r="P352" s="492"/>
      <c r="Q352" s="492"/>
      <c r="R352" s="492"/>
      <c r="S352" s="492"/>
      <c r="T352" s="492"/>
      <c r="U352" s="383"/>
    </row>
    <row r="353" spans="1:21" ht="10.5" customHeight="1">
      <c r="A353" s="10" t="str">
        <f>IF(ISNA(VLOOKUP(B353,Setup!$A$74:$A$197,1,FALSE)),"","X")</f>
        <v/>
      </c>
      <c r="B353" s="161">
        <v>141170</v>
      </c>
      <c r="C353" s="161" t="s">
        <v>430</v>
      </c>
      <c r="D353" s="21">
        <f>SUMIF('2016'!$A:$A,Input!$B353,'2016'!O:O)</f>
        <v>0</v>
      </c>
      <c r="E353" s="21">
        <f>IF(+'2017'!O353="","",+'2017'!O353)</f>
        <v>0</v>
      </c>
      <c r="F353" s="22">
        <f>IF(+E353="","",IF($F$4="Per Unit",(IF($F$3="Monthly",+E353/Setup!$B$12/12,+E353/Setup!$B$12)),IF($F$3="Monthly",+E353/Setup!$B$13/12,+E353/Setup!$B$13)))</f>
        <v>0</v>
      </c>
      <c r="G353" s="33"/>
      <c r="H353" s="492"/>
      <c r="I353" s="492"/>
      <c r="J353" s="492"/>
      <c r="K353" s="492"/>
      <c r="L353" s="492"/>
      <c r="M353" s="492"/>
      <c r="N353" s="492"/>
      <c r="O353" s="492"/>
      <c r="P353" s="492"/>
      <c r="Q353" s="492"/>
      <c r="R353" s="492"/>
      <c r="S353" s="492"/>
      <c r="T353" s="492"/>
      <c r="U353" s="383"/>
    </row>
    <row r="354" spans="1:21" ht="10.5" customHeight="1">
      <c r="A354" s="10" t="str">
        <f>IF(ISNA(VLOOKUP(B354,Setup!$A$74:$A$197,1,FALSE)),"","X")</f>
        <v/>
      </c>
      <c r="B354" s="161">
        <v>141175</v>
      </c>
      <c r="C354" s="161" t="s">
        <v>431</v>
      </c>
      <c r="D354" s="21">
        <f>SUMIF('2016'!$A:$A,Input!$B354,'2016'!O:O)</f>
        <v>0</v>
      </c>
      <c r="E354" s="21">
        <f>IF(+'2017'!O354="","",+'2017'!O354)</f>
        <v>0</v>
      </c>
      <c r="F354" s="22">
        <f>IF(+E354="","",IF($F$4="Per Unit",(IF($F$3="Monthly",+E354/Setup!$B$12/12,+E354/Setup!$B$12)),IF($F$3="Monthly",+E354/Setup!$B$13/12,+E354/Setup!$B$13)))</f>
        <v>0</v>
      </c>
      <c r="G354" s="33"/>
      <c r="H354" s="492"/>
      <c r="I354" s="492"/>
      <c r="J354" s="492"/>
      <c r="K354" s="492"/>
      <c r="L354" s="492"/>
      <c r="M354" s="492"/>
      <c r="N354" s="492"/>
      <c r="O354" s="492"/>
      <c r="P354" s="492"/>
      <c r="Q354" s="492"/>
      <c r="R354" s="492"/>
      <c r="S354" s="492"/>
      <c r="T354" s="492"/>
      <c r="U354" s="383"/>
    </row>
    <row r="355" spans="1:21" ht="10.5" customHeight="1">
      <c r="A355" s="10" t="str">
        <f>IF(ISNA(VLOOKUP(B355,Setup!$A$74:$A$197,1,FALSE)),"","X")</f>
        <v/>
      </c>
      <c r="B355" s="161">
        <v>141180</v>
      </c>
      <c r="C355" s="161" t="s">
        <v>432</v>
      </c>
      <c r="D355" s="21">
        <f>SUMIF('2016'!$A:$A,Input!$B355,'2016'!O:O)</f>
        <v>0</v>
      </c>
      <c r="E355" s="21">
        <f>IF(+'2017'!O355="","",+'2017'!O355)</f>
        <v>0</v>
      </c>
      <c r="F355" s="22">
        <f>IF(+E355="","",IF($F$4="Per Unit",(IF($F$3="Monthly",+E355/Setup!$B$12/12,+E355/Setup!$B$12)),IF($F$3="Monthly",+E355/Setup!$B$13/12,+E355/Setup!$B$13)))</f>
        <v>0</v>
      </c>
      <c r="G355" s="33"/>
      <c r="H355" s="492"/>
      <c r="I355" s="492"/>
      <c r="J355" s="492"/>
      <c r="K355" s="492"/>
      <c r="L355" s="492"/>
      <c r="M355" s="492"/>
      <c r="N355" s="492"/>
      <c r="O355" s="492"/>
      <c r="P355" s="492"/>
      <c r="Q355" s="492"/>
      <c r="R355" s="492"/>
      <c r="S355" s="492"/>
      <c r="T355" s="492"/>
      <c r="U355" s="383"/>
    </row>
    <row r="356" spans="1:21" ht="10.5" customHeight="1">
      <c r="A356" s="10" t="str">
        <f>IF(ISNA(VLOOKUP(B356,Setup!$A$74:$A$197,1,FALSE)),"","X")</f>
        <v/>
      </c>
      <c r="B356" s="161">
        <v>141185</v>
      </c>
      <c r="C356" s="161" t="s">
        <v>433</v>
      </c>
      <c r="D356" s="21">
        <f>SUMIF('2016'!$A:$A,Input!$B356,'2016'!O:O)</f>
        <v>0</v>
      </c>
      <c r="E356" s="21">
        <f>IF(+'2017'!O356="","",+'2017'!O356)</f>
        <v>0</v>
      </c>
      <c r="F356" s="22">
        <f>IF(+E356="","",IF($F$4="Per Unit",(IF($F$3="Monthly",+E356/Setup!$B$12/12,+E356/Setup!$B$12)),IF($F$3="Monthly",+E356/Setup!$B$13/12,+E356/Setup!$B$13)))</f>
        <v>0</v>
      </c>
      <c r="G356" s="33"/>
      <c r="H356" s="492"/>
      <c r="I356" s="492"/>
      <c r="J356" s="492"/>
      <c r="K356" s="492"/>
      <c r="L356" s="492"/>
      <c r="M356" s="492"/>
      <c r="N356" s="492"/>
      <c r="O356" s="492"/>
      <c r="P356" s="492"/>
      <c r="Q356" s="492"/>
      <c r="R356" s="492"/>
      <c r="S356" s="492"/>
      <c r="T356" s="492"/>
      <c r="U356" s="383"/>
    </row>
    <row r="357" spans="1:21" ht="10.5" customHeight="1">
      <c r="A357" s="10" t="str">
        <f>IF(ISNA(VLOOKUP(B357,Setup!$A$74:$A$197,1,FALSE)),"","X")</f>
        <v/>
      </c>
      <c r="B357" s="161">
        <v>141190</v>
      </c>
      <c r="C357" s="161" t="s">
        <v>434</v>
      </c>
      <c r="D357" s="21">
        <f>SUMIF('2016'!$A:$A,Input!$B357,'2016'!O:O)</f>
        <v>0</v>
      </c>
      <c r="E357" s="21">
        <f>IF(+'2017'!O357="","",+'2017'!O357)</f>
        <v>0</v>
      </c>
      <c r="F357" s="22">
        <f>IF(+E357="","",IF($F$4="Per Unit",(IF($F$3="Monthly",+E357/Setup!$B$12/12,+E357/Setup!$B$12)),IF($F$3="Monthly",+E357/Setup!$B$13/12,+E357/Setup!$B$13)))</f>
        <v>0</v>
      </c>
      <c r="G357" s="33"/>
      <c r="H357" s="492"/>
      <c r="I357" s="492"/>
      <c r="J357" s="492"/>
      <c r="K357" s="492"/>
      <c r="L357" s="492"/>
      <c r="M357" s="492"/>
      <c r="N357" s="492"/>
      <c r="O357" s="492"/>
      <c r="P357" s="492"/>
      <c r="Q357" s="492"/>
      <c r="R357" s="492"/>
      <c r="S357" s="492"/>
      <c r="T357" s="492"/>
      <c r="U357" s="383"/>
    </row>
    <row r="358" spans="1:21" ht="10.5" customHeight="1">
      <c r="A358" s="10" t="str">
        <f>IF(ISNA(VLOOKUP(B358,Setup!$A$74:$A$197,1,FALSE)),"","X")</f>
        <v/>
      </c>
      <c r="B358" s="161">
        <v>141195</v>
      </c>
      <c r="C358" s="161" t="s">
        <v>435</v>
      </c>
      <c r="D358" s="21">
        <f>SUMIF('2016'!$A:$A,Input!$B358,'2016'!O:O)</f>
        <v>0</v>
      </c>
      <c r="E358" s="21">
        <f>IF(+'2017'!O358="","",+'2017'!O358)</f>
        <v>0</v>
      </c>
      <c r="F358" s="22">
        <f>IF(+E358="","",IF($F$4="Per Unit",(IF($F$3="Monthly",+E358/Setup!$B$12/12,+E358/Setup!$B$12)),IF($F$3="Monthly",+E358/Setup!$B$13/12,+E358/Setup!$B$13)))</f>
        <v>0</v>
      </c>
      <c r="G358" s="33"/>
      <c r="H358" s="492"/>
      <c r="I358" s="492"/>
      <c r="J358" s="492"/>
      <c r="K358" s="492"/>
      <c r="L358" s="492"/>
      <c r="M358" s="492"/>
      <c r="N358" s="492"/>
      <c r="O358" s="492"/>
      <c r="P358" s="492"/>
      <c r="Q358" s="492"/>
      <c r="R358" s="492"/>
      <c r="S358" s="492"/>
      <c r="T358" s="492"/>
      <c r="U358" s="383"/>
    </row>
    <row r="359" spans="1:21" ht="10.5" customHeight="1">
      <c r="A359" s="10" t="str">
        <f>IF(ISNA(VLOOKUP(B359,Setup!$A$74:$A$197,1,FALSE)),"","X")</f>
        <v/>
      </c>
      <c r="B359" s="161">
        <v>141200</v>
      </c>
      <c r="C359" s="161" t="s">
        <v>436</v>
      </c>
      <c r="D359" s="21">
        <f>SUMIF('2016'!$A:$A,Input!$B359,'2016'!O:O)</f>
        <v>0</v>
      </c>
      <c r="E359" s="21">
        <f>IF(+'2017'!O359="","",+'2017'!O359)</f>
        <v>0</v>
      </c>
      <c r="F359" s="22">
        <f>IF(+E359="","",IF($F$4="Per Unit",(IF($F$3="Monthly",+E359/Setup!$B$12/12,+E359/Setup!$B$12)),IF($F$3="Monthly",+E359/Setup!$B$13/12,+E359/Setup!$B$13)))</f>
        <v>0</v>
      </c>
      <c r="G359" s="33"/>
      <c r="H359" s="492"/>
      <c r="I359" s="492"/>
      <c r="J359" s="492"/>
      <c r="K359" s="492"/>
      <c r="L359" s="492"/>
      <c r="M359" s="492"/>
      <c r="N359" s="492"/>
      <c r="O359" s="492"/>
      <c r="P359" s="492"/>
      <c r="Q359" s="492"/>
      <c r="R359" s="492"/>
      <c r="S359" s="492"/>
      <c r="T359" s="492"/>
      <c r="U359" s="383"/>
    </row>
    <row r="360" spans="1:21" ht="10.5" customHeight="1">
      <c r="A360" s="10" t="str">
        <f>IF(ISNA(VLOOKUP(B360,Setup!$A$74:$A$197,1,FALSE)),"","X")</f>
        <v/>
      </c>
      <c r="B360" s="161">
        <v>141205</v>
      </c>
      <c r="C360" s="161" t="s">
        <v>437</v>
      </c>
      <c r="D360" s="21">
        <f>SUMIF('2016'!$A:$A,Input!$B360,'2016'!O:O)</f>
        <v>0</v>
      </c>
      <c r="E360" s="21">
        <f>IF(+'2017'!O360="","",+'2017'!O360)</f>
        <v>0</v>
      </c>
      <c r="F360" s="22">
        <f>IF(+E360="","",IF($F$4="Per Unit",(IF($F$3="Monthly",+E360/Setup!$B$12/12,+E360/Setup!$B$12)),IF($F$3="Monthly",+E360/Setup!$B$13/12,+E360/Setup!$B$13)))</f>
        <v>0</v>
      </c>
      <c r="G360" s="33"/>
      <c r="H360" s="492"/>
      <c r="I360" s="492"/>
      <c r="J360" s="492"/>
      <c r="K360" s="492"/>
      <c r="L360" s="492"/>
      <c r="M360" s="492"/>
      <c r="N360" s="492"/>
      <c r="O360" s="492"/>
      <c r="P360" s="492"/>
      <c r="Q360" s="492"/>
      <c r="R360" s="492"/>
      <c r="S360" s="492"/>
      <c r="T360" s="492"/>
      <c r="U360" s="383"/>
    </row>
    <row r="361" spans="1:21" ht="10.5" customHeight="1">
      <c r="A361" s="10" t="str">
        <f>IF(ISNA(VLOOKUP(B361,Setup!$A$74:$A$197,1,FALSE)),"","X")</f>
        <v/>
      </c>
      <c r="B361" s="161">
        <v>141210</v>
      </c>
      <c r="C361" s="161" t="s">
        <v>438</v>
      </c>
      <c r="D361" s="21">
        <f>SUMIF('2016'!$A:$A,Input!$B361,'2016'!O:O)</f>
        <v>0</v>
      </c>
      <c r="E361" s="21">
        <f>IF(+'2017'!O361="","",+'2017'!O361)</f>
        <v>0</v>
      </c>
      <c r="F361" s="22">
        <f>IF(+E361="","",IF($F$4="Per Unit",(IF($F$3="Monthly",+E361/Setup!$B$12/12,+E361/Setup!$B$12)),IF($F$3="Monthly",+E361/Setup!$B$13/12,+E361/Setup!$B$13)))</f>
        <v>0</v>
      </c>
      <c r="G361" s="33"/>
      <c r="H361" s="492"/>
      <c r="I361" s="492"/>
      <c r="J361" s="492"/>
      <c r="K361" s="492"/>
      <c r="L361" s="492"/>
      <c r="M361" s="492"/>
      <c r="N361" s="492"/>
      <c r="O361" s="492"/>
      <c r="P361" s="492"/>
      <c r="Q361" s="492"/>
      <c r="R361" s="492"/>
      <c r="S361" s="492"/>
      <c r="T361" s="492"/>
      <c r="U361" s="383"/>
    </row>
    <row r="362" spans="1:21" ht="10.5" customHeight="1">
      <c r="A362" s="10" t="str">
        <f>IF(ISNA(VLOOKUP(B362,Setup!$A$74:$A$197,1,FALSE)),"","X")</f>
        <v/>
      </c>
      <c r="B362" s="161">
        <v>141215</v>
      </c>
      <c r="C362" s="161" t="s">
        <v>439</v>
      </c>
      <c r="D362" s="21">
        <f>SUMIF('2016'!$A:$A,Input!$B362,'2016'!O:O)</f>
        <v>0</v>
      </c>
      <c r="E362" s="21">
        <f>IF(+'2017'!O362="","",+'2017'!O362)</f>
        <v>0</v>
      </c>
      <c r="F362" s="22">
        <f>IF(+E362="","",IF($F$4="Per Unit",(IF($F$3="Monthly",+E362/Setup!$B$12/12,+E362/Setup!$B$12)),IF($F$3="Monthly",+E362/Setup!$B$13/12,+E362/Setup!$B$13)))</f>
        <v>0</v>
      </c>
      <c r="G362" s="33"/>
      <c r="H362" s="492"/>
      <c r="I362" s="492"/>
      <c r="J362" s="492"/>
      <c r="K362" s="492"/>
      <c r="L362" s="492"/>
      <c r="M362" s="492"/>
      <c r="N362" s="492"/>
      <c r="O362" s="492"/>
      <c r="P362" s="492"/>
      <c r="Q362" s="492"/>
      <c r="R362" s="492"/>
      <c r="S362" s="492"/>
      <c r="T362" s="492"/>
      <c r="U362" s="383"/>
    </row>
    <row r="363" spans="1:21" ht="10.5" customHeight="1">
      <c r="A363" s="10" t="str">
        <f>IF(ISNA(VLOOKUP(B363,Setup!$A$74:$A$197,1,FALSE)),"","X")</f>
        <v/>
      </c>
      <c r="B363" s="161">
        <v>141220</v>
      </c>
      <c r="C363" s="161" t="s">
        <v>440</v>
      </c>
      <c r="D363" s="21">
        <f>SUMIF('2016'!$A:$A,Input!$B363,'2016'!O:O)</f>
        <v>0</v>
      </c>
      <c r="E363" s="21">
        <f>IF(+'2017'!O363="","",+'2017'!O363)</f>
        <v>0</v>
      </c>
      <c r="F363" s="22">
        <f>IF(+E363="","",IF($F$4="Per Unit",(IF($F$3="Monthly",+E363/Setup!$B$12/12,+E363/Setup!$B$12)),IF($F$3="Monthly",+E363/Setup!$B$13/12,+E363/Setup!$B$13)))</f>
        <v>0</v>
      </c>
      <c r="G363" s="33"/>
      <c r="H363" s="492"/>
      <c r="I363" s="492"/>
      <c r="J363" s="492"/>
      <c r="K363" s="492"/>
      <c r="L363" s="492"/>
      <c r="M363" s="492"/>
      <c r="N363" s="492"/>
      <c r="O363" s="492"/>
      <c r="P363" s="492"/>
      <c r="Q363" s="492"/>
      <c r="R363" s="492"/>
      <c r="S363" s="492"/>
      <c r="T363" s="492"/>
      <c r="U363" s="383"/>
    </row>
    <row r="364" spans="1:21" ht="10.5" customHeight="1">
      <c r="A364" s="10" t="str">
        <f>IF(ISNA(VLOOKUP(B364,Setup!$A$74:$A$197,1,FALSE)),"","X")</f>
        <v/>
      </c>
      <c r="B364" s="161">
        <v>141225</v>
      </c>
      <c r="C364" s="161" t="s">
        <v>441</v>
      </c>
      <c r="D364" s="21">
        <f>SUMIF('2016'!$A:$A,Input!$B364,'2016'!O:O)</f>
        <v>0</v>
      </c>
      <c r="E364" s="21">
        <f>IF(+'2017'!O364="","",+'2017'!O364)</f>
        <v>0</v>
      </c>
      <c r="F364" s="22">
        <f>IF(+E364="","",IF($F$4="Per Unit",(IF($F$3="Monthly",+E364/Setup!$B$12/12,+E364/Setup!$B$12)),IF($F$3="Monthly",+E364/Setup!$B$13/12,+E364/Setup!$B$13)))</f>
        <v>0</v>
      </c>
      <c r="G364" s="33"/>
      <c r="H364" s="492"/>
      <c r="I364" s="492"/>
      <c r="J364" s="492"/>
      <c r="K364" s="492"/>
      <c r="L364" s="492"/>
      <c r="M364" s="492"/>
      <c r="N364" s="492"/>
      <c r="O364" s="492"/>
      <c r="P364" s="492"/>
      <c r="Q364" s="492"/>
      <c r="R364" s="492"/>
      <c r="S364" s="492"/>
      <c r="T364" s="492"/>
      <c r="U364" s="383"/>
    </row>
    <row r="365" spans="1:21" ht="10.5" customHeight="1">
      <c r="A365" s="10" t="str">
        <f>IF(ISNA(VLOOKUP(B365,Setup!$A$74:$A$197,1,FALSE)),"","X")</f>
        <v/>
      </c>
      <c r="B365" s="161">
        <v>141230</v>
      </c>
      <c r="C365" s="161" t="s">
        <v>442</v>
      </c>
      <c r="D365" s="21">
        <f>SUMIF('2016'!$A:$A,Input!$B365,'2016'!O:O)</f>
        <v>0</v>
      </c>
      <c r="E365" s="21">
        <f>IF(+'2017'!O365="","",+'2017'!O365)</f>
        <v>0</v>
      </c>
      <c r="F365" s="22">
        <f>IF(+E365="","",IF($F$4="Per Unit",(IF($F$3="Monthly",+E365/Setup!$B$12/12,+E365/Setup!$B$12)),IF($F$3="Monthly",+E365/Setup!$B$13/12,+E365/Setup!$B$13)))</f>
        <v>0</v>
      </c>
      <c r="G365" s="33"/>
      <c r="H365" s="492"/>
      <c r="I365" s="492"/>
      <c r="J365" s="492"/>
      <c r="K365" s="492"/>
      <c r="L365" s="492"/>
      <c r="M365" s="492"/>
      <c r="N365" s="492"/>
      <c r="O365" s="492"/>
      <c r="P365" s="492"/>
      <c r="Q365" s="492"/>
      <c r="R365" s="492"/>
      <c r="S365" s="492"/>
      <c r="T365" s="492"/>
      <c r="U365" s="383"/>
    </row>
    <row r="366" spans="1:21" ht="10.5" customHeight="1">
      <c r="A366" s="10" t="str">
        <f>IF(ISNA(VLOOKUP(B366,Setup!$A$74:$A$197,1,FALSE)),"","X")</f>
        <v/>
      </c>
      <c r="B366" s="161">
        <v>141235</v>
      </c>
      <c r="C366" s="161" t="s">
        <v>443</v>
      </c>
      <c r="D366" s="21">
        <f>SUMIF('2016'!$A:$A,Input!$B366,'2016'!O:O)</f>
        <v>0</v>
      </c>
      <c r="E366" s="21">
        <f>IF(+'2017'!O366="","",+'2017'!O366)</f>
        <v>0</v>
      </c>
      <c r="F366" s="22">
        <f>IF(+E366="","",IF($F$4="Per Unit",(IF($F$3="Monthly",+E366/Setup!$B$12/12,+E366/Setup!$B$12)),IF($F$3="Monthly",+E366/Setup!$B$13/12,+E366/Setup!$B$13)))</f>
        <v>0</v>
      </c>
      <c r="G366" s="33"/>
      <c r="H366" s="492"/>
      <c r="I366" s="492"/>
      <c r="J366" s="492"/>
      <c r="K366" s="492"/>
      <c r="L366" s="492"/>
      <c r="M366" s="492"/>
      <c r="N366" s="492"/>
      <c r="O366" s="492"/>
      <c r="P366" s="492"/>
      <c r="Q366" s="492"/>
      <c r="R366" s="492"/>
      <c r="S366" s="492"/>
      <c r="T366" s="492"/>
      <c r="U366" s="383"/>
    </row>
    <row r="367" spans="1:21" ht="10.5" customHeight="1">
      <c r="A367" s="10" t="str">
        <f>IF(ISNA(VLOOKUP(B367,Setup!$A$74:$A$197,1,FALSE)),"","X")</f>
        <v/>
      </c>
      <c r="B367" s="161">
        <v>141240</v>
      </c>
      <c r="C367" s="161" t="s">
        <v>444</v>
      </c>
      <c r="D367" s="21">
        <f>SUMIF('2016'!$A:$A,Input!$B367,'2016'!O:O)</f>
        <v>0</v>
      </c>
      <c r="E367" s="21">
        <f>IF(+'2017'!O367="","",+'2017'!O367)</f>
        <v>0</v>
      </c>
      <c r="F367" s="22">
        <f>IF(+E367="","",IF($F$4="Per Unit",(IF($F$3="Monthly",+E367/Setup!$B$12/12,+E367/Setup!$B$12)),IF($F$3="Monthly",+E367/Setup!$B$13/12,+E367/Setup!$B$13)))</f>
        <v>0</v>
      </c>
      <c r="G367" s="33"/>
      <c r="H367" s="492"/>
      <c r="I367" s="492"/>
      <c r="J367" s="492"/>
      <c r="K367" s="492"/>
      <c r="L367" s="492"/>
      <c r="M367" s="492"/>
      <c r="N367" s="492"/>
      <c r="O367" s="492"/>
      <c r="P367" s="492"/>
      <c r="Q367" s="492"/>
      <c r="R367" s="492"/>
      <c r="S367" s="492"/>
      <c r="T367" s="492"/>
      <c r="U367" s="383"/>
    </row>
    <row r="368" spans="1:21" ht="10.5" customHeight="1">
      <c r="A368" s="10" t="str">
        <f>IF(ISNA(VLOOKUP(B368,Setup!$A$74:$A$197,1,FALSE)),"","X")</f>
        <v/>
      </c>
      <c r="B368" s="161">
        <v>141245</v>
      </c>
      <c r="C368" s="161" t="s">
        <v>445</v>
      </c>
      <c r="D368" s="21">
        <f>SUMIF('2016'!$A:$A,Input!$B368,'2016'!O:O)</f>
        <v>0</v>
      </c>
      <c r="E368" s="21">
        <f>IF(+'2017'!O368="","",+'2017'!O368)</f>
        <v>0</v>
      </c>
      <c r="F368" s="22">
        <f>IF(+E368="","",IF($F$4="Per Unit",(IF($F$3="Monthly",+E368/Setup!$B$12/12,+E368/Setup!$B$12)),IF($F$3="Monthly",+E368/Setup!$B$13/12,+E368/Setup!$B$13)))</f>
        <v>0</v>
      </c>
      <c r="G368" s="33"/>
      <c r="H368" s="492"/>
      <c r="I368" s="492"/>
      <c r="J368" s="492"/>
      <c r="K368" s="492"/>
      <c r="L368" s="492"/>
      <c r="M368" s="492"/>
      <c r="N368" s="492"/>
      <c r="O368" s="492"/>
      <c r="P368" s="492"/>
      <c r="Q368" s="492"/>
      <c r="R368" s="492"/>
      <c r="S368" s="492"/>
      <c r="T368" s="492"/>
      <c r="U368" s="383"/>
    </row>
    <row r="369" spans="1:21" ht="10.5" customHeight="1">
      <c r="A369" s="10" t="str">
        <f>IF(ISNA(VLOOKUP(B369,Setup!$A$74:$A$197,1,FALSE)),"","X")</f>
        <v/>
      </c>
      <c r="B369" s="161">
        <v>141250</v>
      </c>
      <c r="C369" s="161" t="s">
        <v>446</v>
      </c>
      <c r="D369" s="21">
        <f>SUMIF('2016'!$A:$A,Input!$B369,'2016'!O:O)</f>
        <v>20168</v>
      </c>
      <c r="E369" s="21">
        <f>IF(+'2017'!O369="","",+'2017'!O369)</f>
        <v>20168</v>
      </c>
      <c r="F369" s="22">
        <f>IF(+E369="","",IF($F$4="Per Unit",(IF($F$3="Monthly",+E369/Setup!$B$12/12,+E369/Setup!$B$12)),IF($F$3="Monthly",+E369/Setup!$B$13/12,+E369/Setup!$B$13)))</f>
        <v>91.672727272727272</v>
      </c>
      <c r="G369" s="33">
        <f t="shared" ref="G369:G397" si="27">+D369/12</f>
        <v>1680.6666666666667</v>
      </c>
      <c r="H369" s="492"/>
      <c r="I369" s="492"/>
      <c r="J369" s="492"/>
      <c r="K369" s="492"/>
      <c r="L369" s="492"/>
      <c r="M369" s="492"/>
      <c r="N369" s="492"/>
      <c r="O369" s="492"/>
      <c r="P369" s="492"/>
      <c r="Q369" s="492"/>
      <c r="R369" s="492"/>
      <c r="S369" s="492"/>
      <c r="T369" s="492"/>
      <c r="U369" s="383"/>
    </row>
    <row r="370" spans="1:21" ht="10.5" customHeight="1">
      <c r="A370" s="10" t="str">
        <f>IF(ISNA(VLOOKUP(B370,Setup!$A$74:$A$197,1,FALSE)),"","X")</f>
        <v/>
      </c>
      <c r="B370" s="161">
        <v>141255</v>
      </c>
      <c r="C370" s="161" t="s">
        <v>447</v>
      </c>
      <c r="D370" s="21">
        <f>SUMIF('2016'!$A:$A,Input!$B370,'2016'!O:O)</f>
        <v>0</v>
      </c>
      <c r="E370" s="21">
        <f>IF(+'2017'!O370="","",+'2017'!O370)</f>
        <v>0</v>
      </c>
      <c r="F370" s="22">
        <f>IF(+E370="","",IF($F$4="Per Unit",(IF($F$3="Monthly",+E370/Setup!$B$12/12,+E370/Setup!$B$12)),IF($F$3="Monthly",+E370/Setup!$B$13/12,+E370/Setup!$B$13)))</f>
        <v>0</v>
      </c>
      <c r="G370" s="33">
        <f t="shared" si="27"/>
        <v>0</v>
      </c>
      <c r="H370" s="492"/>
      <c r="I370" s="492"/>
      <c r="J370" s="492"/>
      <c r="K370" s="492"/>
      <c r="L370" s="492"/>
      <c r="M370" s="492"/>
      <c r="N370" s="492"/>
      <c r="O370" s="492"/>
      <c r="P370" s="492"/>
      <c r="Q370" s="492"/>
      <c r="R370" s="492"/>
      <c r="S370" s="492"/>
      <c r="T370" s="492"/>
      <c r="U370" s="383"/>
    </row>
    <row r="371" spans="1:21" ht="10.5" customHeight="1">
      <c r="A371" s="10" t="str">
        <f>IF(ISNA(VLOOKUP(B371,Setup!$A$74:$A$197,1,FALSE)),"","X")</f>
        <v/>
      </c>
      <c r="B371" s="161">
        <v>141260</v>
      </c>
      <c r="C371" s="161" t="s">
        <v>448</v>
      </c>
      <c r="D371" s="21">
        <f>SUMIF('2016'!$A:$A,Input!$B371,'2016'!O:O)</f>
        <v>11753</v>
      </c>
      <c r="E371" s="21">
        <f>IF(+'2017'!O371="","",+'2017'!O371)</f>
        <v>11752.999999999998</v>
      </c>
      <c r="F371" s="22">
        <f>IF(+E371="","",IF($F$4="Per Unit",(IF($F$3="Monthly",+E371/Setup!$B$12/12,+E371/Setup!$B$12)),IF($F$3="Monthly",+E371/Setup!$B$13/12,+E371/Setup!$B$13)))</f>
        <v>53.422727272727265</v>
      </c>
      <c r="G371" s="33">
        <f t="shared" si="27"/>
        <v>979.41666666666663</v>
      </c>
      <c r="H371" s="492"/>
      <c r="I371" s="492"/>
      <c r="J371" s="492"/>
      <c r="K371" s="492"/>
      <c r="L371" s="492"/>
      <c r="M371" s="492"/>
      <c r="N371" s="492"/>
      <c r="O371" s="492"/>
      <c r="P371" s="492"/>
      <c r="Q371" s="492"/>
      <c r="R371" s="492"/>
      <c r="S371" s="492"/>
      <c r="T371" s="492"/>
      <c r="U371" s="383"/>
    </row>
    <row r="372" spans="1:21" ht="10.5" customHeight="1">
      <c r="A372" s="10" t="str">
        <f>IF(ISNA(VLOOKUP(B372,Setup!$A$74:$A$197,1,FALSE)),"","X")</f>
        <v/>
      </c>
      <c r="B372" s="161">
        <v>141265</v>
      </c>
      <c r="C372" s="161" t="s">
        <v>449</v>
      </c>
      <c r="D372" s="21">
        <f>SUMIF('2016'!$A:$A,Input!$B372,'2016'!O:O)</f>
        <v>2274</v>
      </c>
      <c r="E372" s="21">
        <f>IF(+'2017'!O372="","",+'2017'!O372)</f>
        <v>2274</v>
      </c>
      <c r="F372" s="22">
        <f>IF(+E372="","",IF($F$4="Per Unit",(IF($F$3="Monthly",+E372/Setup!$B$12/12,+E372/Setup!$B$12)),IF($F$3="Monthly",+E372/Setup!$B$13/12,+E372/Setup!$B$13)))</f>
        <v>10.336363636363636</v>
      </c>
      <c r="G372" s="33">
        <f t="shared" si="27"/>
        <v>189.5</v>
      </c>
      <c r="H372" s="492"/>
      <c r="I372" s="492"/>
      <c r="J372" s="492"/>
      <c r="K372" s="492"/>
      <c r="L372" s="492"/>
      <c r="M372" s="492"/>
      <c r="N372" s="492"/>
      <c r="O372" s="492"/>
      <c r="P372" s="492"/>
      <c r="Q372" s="492"/>
      <c r="R372" s="492"/>
      <c r="S372" s="492"/>
      <c r="T372" s="492"/>
      <c r="U372" s="383"/>
    </row>
    <row r="373" spans="1:21" ht="10.5" customHeight="1">
      <c r="A373" s="10" t="str">
        <f>IF(ISNA(VLOOKUP(B373,Setup!$A$74:$A$197,1,FALSE)),"","X")</f>
        <v/>
      </c>
      <c r="B373" s="161">
        <v>141270</v>
      </c>
      <c r="C373" s="161" t="s">
        <v>450</v>
      </c>
      <c r="D373" s="21">
        <f>SUMIF('2016'!$A:$A,Input!$B373,'2016'!O:O)</f>
        <v>0</v>
      </c>
      <c r="E373" s="21">
        <f>IF(+'2017'!O373="","",+'2017'!O373)</f>
        <v>0</v>
      </c>
      <c r="F373" s="22">
        <f>IF(+E373="","",IF($F$4="Per Unit",(IF($F$3="Monthly",+E373/Setup!$B$12/12,+E373/Setup!$B$12)),IF($F$3="Monthly",+E373/Setup!$B$13/12,+E373/Setup!$B$13)))</f>
        <v>0</v>
      </c>
      <c r="G373" s="33">
        <f t="shared" si="27"/>
        <v>0</v>
      </c>
      <c r="H373" s="492"/>
      <c r="I373" s="492"/>
      <c r="J373" s="492"/>
      <c r="K373" s="492"/>
      <c r="L373" s="492"/>
      <c r="M373" s="492"/>
      <c r="N373" s="492"/>
      <c r="O373" s="492"/>
      <c r="P373" s="492"/>
      <c r="Q373" s="492"/>
      <c r="R373" s="492"/>
      <c r="S373" s="492"/>
      <c r="T373" s="492"/>
      <c r="U373" s="383"/>
    </row>
    <row r="374" spans="1:21" ht="10.5" customHeight="1">
      <c r="A374" s="10" t="str">
        <f>IF(ISNA(VLOOKUP(B374,Setup!$A$74:$A$197,1,FALSE)),"","X")</f>
        <v/>
      </c>
      <c r="B374" s="161">
        <v>141275</v>
      </c>
      <c r="C374" s="161" t="s">
        <v>451</v>
      </c>
      <c r="D374" s="21">
        <f>SUMIF('2016'!$A:$A,Input!$B374,'2016'!O:O)</f>
        <v>0</v>
      </c>
      <c r="E374" s="21">
        <f>IF(+'2017'!O374="","",+'2017'!O374)</f>
        <v>0</v>
      </c>
      <c r="F374" s="22">
        <f>IF(+E374="","",IF($F$4="Per Unit",(IF($F$3="Monthly",+E374/Setup!$B$12/12,+E374/Setup!$B$12)),IF($F$3="Monthly",+E374/Setup!$B$13/12,+E374/Setup!$B$13)))</f>
        <v>0</v>
      </c>
      <c r="G374" s="33">
        <f t="shared" si="27"/>
        <v>0</v>
      </c>
      <c r="H374" s="492"/>
      <c r="I374" s="492"/>
      <c r="J374" s="492"/>
      <c r="K374" s="492"/>
      <c r="L374" s="492"/>
      <c r="M374" s="492"/>
      <c r="N374" s="492"/>
      <c r="O374" s="492"/>
      <c r="P374" s="492"/>
      <c r="Q374" s="492"/>
      <c r="R374" s="492"/>
      <c r="S374" s="492"/>
      <c r="T374" s="492"/>
      <c r="U374" s="383"/>
    </row>
    <row r="375" spans="1:21" ht="10.5" customHeight="1">
      <c r="A375" s="10" t="str">
        <f>IF(ISNA(VLOOKUP(B375,Setup!$A$74:$A$197,1,FALSE)),"","X")</f>
        <v/>
      </c>
      <c r="B375" s="161">
        <v>141280</v>
      </c>
      <c r="C375" s="161" t="s">
        <v>452</v>
      </c>
      <c r="D375" s="21">
        <f>SUMIF('2016'!$A:$A,Input!$B375,'2016'!O:O)</f>
        <v>0</v>
      </c>
      <c r="E375" s="21">
        <f>IF(+'2017'!O375="","",+'2017'!O375)</f>
        <v>0</v>
      </c>
      <c r="F375" s="22">
        <f>IF(+E375="","",IF($F$4="Per Unit",(IF($F$3="Monthly",+E375/Setup!$B$12/12,+E375/Setup!$B$12)),IF($F$3="Monthly",+E375/Setup!$B$13/12,+E375/Setup!$B$13)))</f>
        <v>0</v>
      </c>
      <c r="G375" s="33">
        <f t="shared" si="27"/>
        <v>0</v>
      </c>
      <c r="H375" s="492"/>
      <c r="I375" s="492"/>
      <c r="J375" s="492"/>
      <c r="K375" s="492"/>
      <c r="L375" s="492"/>
      <c r="M375" s="492"/>
      <c r="N375" s="492"/>
      <c r="O375" s="492"/>
      <c r="P375" s="492"/>
      <c r="Q375" s="492"/>
      <c r="R375" s="492"/>
      <c r="S375" s="492"/>
      <c r="T375" s="492"/>
      <c r="U375" s="383"/>
    </row>
    <row r="376" spans="1:21" ht="10.5" customHeight="1">
      <c r="A376" s="10" t="str">
        <f>IF(ISNA(VLOOKUP(B376,Setup!$A$74:$A$197,1,FALSE)),"","X")</f>
        <v/>
      </c>
      <c r="B376" s="161">
        <v>141285</v>
      </c>
      <c r="C376" s="161" t="s">
        <v>453</v>
      </c>
      <c r="D376" s="21">
        <f>SUMIF('2016'!$A:$A,Input!$B376,'2016'!O:O)</f>
        <v>27352</v>
      </c>
      <c r="E376" s="21">
        <f>IF(+'2017'!O376="","",+'2017'!O376)</f>
        <v>27351.999999999996</v>
      </c>
      <c r="F376" s="22">
        <f>IF(+E376="","",IF($F$4="Per Unit",(IF($F$3="Monthly",+E376/Setup!$B$12/12,+E376/Setup!$B$12)),IF($F$3="Monthly",+E376/Setup!$B$13/12,+E376/Setup!$B$13)))</f>
        <v>124.32727272727271</v>
      </c>
      <c r="G376" s="33">
        <f t="shared" si="27"/>
        <v>2279.3333333333335</v>
      </c>
      <c r="H376" s="492"/>
      <c r="I376" s="492"/>
      <c r="J376" s="492"/>
      <c r="K376" s="492"/>
      <c r="L376" s="492"/>
      <c r="M376" s="492"/>
      <c r="N376" s="492"/>
      <c r="O376" s="492"/>
      <c r="P376" s="492"/>
      <c r="Q376" s="492"/>
      <c r="R376" s="492"/>
      <c r="S376" s="492"/>
      <c r="T376" s="492"/>
      <c r="U376" s="383"/>
    </row>
    <row r="377" spans="1:21" ht="10.5" customHeight="1">
      <c r="A377" s="10" t="str">
        <f>IF(ISNA(VLOOKUP(B377,Setup!$A$74:$A$197,1,FALSE)),"","X")</f>
        <v/>
      </c>
      <c r="B377" s="161">
        <v>141290</v>
      </c>
      <c r="C377" s="161" t="s">
        <v>454</v>
      </c>
      <c r="D377" s="21">
        <f>SUMIF('2016'!$A:$A,Input!$B377,'2016'!O:O)</f>
        <v>0</v>
      </c>
      <c r="E377" s="21">
        <f>IF(+'2017'!O377="","",+'2017'!O377)</f>
        <v>0</v>
      </c>
      <c r="F377" s="22">
        <f>IF(+E377="","",IF($F$4="Per Unit",(IF($F$3="Monthly",+E377/Setup!$B$12/12,+E377/Setup!$B$12)),IF($F$3="Monthly",+E377/Setup!$B$13/12,+E377/Setup!$B$13)))</f>
        <v>0</v>
      </c>
      <c r="G377" s="33">
        <f t="shared" si="27"/>
        <v>0</v>
      </c>
      <c r="H377" s="492"/>
      <c r="I377" s="492"/>
      <c r="J377" s="492"/>
      <c r="K377" s="492"/>
      <c r="L377" s="492"/>
      <c r="M377" s="492"/>
      <c r="N377" s="492"/>
      <c r="O377" s="492"/>
      <c r="P377" s="492"/>
      <c r="Q377" s="492"/>
      <c r="R377" s="492"/>
      <c r="S377" s="492"/>
      <c r="T377" s="492"/>
      <c r="U377" s="383"/>
    </row>
    <row r="378" spans="1:21" ht="10.5" customHeight="1">
      <c r="A378" s="10" t="str">
        <f>IF(ISNA(VLOOKUP(B378,Setup!$A$74:$A$197,1,FALSE)),"","X")</f>
        <v/>
      </c>
      <c r="B378" s="161">
        <v>141295</v>
      </c>
      <c r="C378" s="161" t="s">
        <v>455</v>
      </c>
      <c r="D378" s="21">
        <f>SUMIF('2016'!$A:$A,Input!$B378,'2016'!O:O)</f>
        <v>0</v>
      </c>
      <c r="E378" s="21">
        <f>IF(+'2017'!O378="","",+'2017'!O378)</f>
        <v>0</v>
      </c>
      <c r="F378" s="22">
        <f>IF(+E378="","",IF($F$4="Per Unit",(IF($F$3="Monthly",+E378/Setup!$B$12/12,+E378/Setup!$B$12)),IF($F$3="Monthly",+E378/Setup!$B$13/12,+E378/Setup!$B$13)))</f>
        <v>0</v>
      </c>
      <c r="G378" s="33">
        <f t="shared" si="27"/>
        <v>0</v>
      </c>
      <c r="H378" s="492"/>
      <c r="I378" s="492"/>
      <c r="J378" s="492"/>
      <c r="K378" s="492"/>
      <c r="L378" s="492"/>
      <c r="M378" s="492"/>
      <c r="N378" s="492"/>
      <c r="O378" s="492"/>
      <c r="P378" s="492"/>
      <c r="Q378" s="492"/>
      <c r="R378" s="492"/>
      <c r="S378" s="492"/>
      <c r="T378" s="492"/>
      <c r="U378" s="383"/>
    </row>
    <row r="379" spans="1:21" ht="10.5" customHeight="1">
      <c r="A379" s="10" t="str">
        <f>IF(ISNA(VLOOKUP(B379,Setup!$A$74:$A$197,1,FALSE)),"","X")</f>
        <v/>
      </c>
      <c r="B379" s="161">
        <v>141300</v>
      </c>
      <c r="C379" s="161" t="s">
        <v>456</v>
      </c>
      <c r="D379" s="21">
        <f>SUMIF('2016'!$A:$A,Input!$B379,'2016'!O:O)</f>
        <v>0</v>
      </c>
      <c r="E379" s="21">
        <f>IF(+'2017'!O379="","",+'2017'!O379)</f>
        <v>0</v>
      </c>
      <c r="F379" s="22">
        <f>IF(+E379="","",IF($F$4="Per Unit",(IF($F$3="Monthly",+E379/Setup!$B$12/12,+E379/Setup!$B$12)),IF($F$3="Monthly",+E379/Setup!$B$13/12,+E379/Setup!$B$13)))</f>
        <v>0</v>
      </c>
      <c r="G379" s="33">
        <f t="shared" si="27"/>
        <v>0</v>
      </c>
      <c r="H379" s="492"/>
      <c r="I379" s="492"/>
      <c r="J379" s="492"/>
      <c r="K379" s="492"/>
      <c r="L379" s="492"/>
      <c r="M379" s="492"/>
      <c r="N379" s="492"/>
      <c r="O379" s="492"/>
      <c r="P379" s="492"/>
      <c r="Q379" s="492"/>
      <c r="R379" s="492"/>
      <c r="S379" s="492"/>
      <c r="T379" s="492"/>
      <c r="U379" s="383"/>
    </row>
    <row r="380" spans="1:21" ht="10.5" customHeight="1">
      <c r="A380" s="10" t="str">
        <f>IF(ISNA(VLOOKUP(B380,Setup!$A$74:$A$197,1,FALSE)),"","X")</f>
        <v/>
      </c>
      <c r="B380" s="161">
        <v>141305</v>
      </c>
      <c r="C380" s="161" t="s">
        <v>457</v>
      </c>
      <c r="D380" s="21">
        <f>SUMIF('2016'!$A:$A,Input!$B380,'2016'!O:O)</f>
        <v>0</v>
      </c>
      <c r="E380" s="21">
        <f>IF(+'2017'!O380="","",+'2017'!O380)</f>
        <v>0</v>
      </c>
      <c r="F380" s="22">
        <f>IF(+E380="","",IF($F$4="Per Unit",(IF($F$3="Monthly",+E380/Setup!$B$12/12,+E380/Setup!$B$12)),IF($F$3="Monthly",+E380/Setup!$B$13/12,+E380/Setup!$B$13)))</f>
        <v>0</v>
      </c>
      <c r="G380" s="33">
        <f t="shared" si="27"/>
        <v>0</v>
      </c>
      <c r="H380" s="492"/>
      <c r="I380" s="492"/>
      <c r="J380" s="492"/>
      <c r="K380" s="492"/>
      <c r="L380" s="492"/>
      <c r="M380" s="492"/>
      <c r="N380" s="492"/>
      <c r="O380" s="492"/>
      <c r="P380" s="492"/>
      <c r="Q380" s="492"/>
      <c r="R380" s="492"/>
      <c r="S380" s="492"/>
      <c r="T380" s="492"/>
      <c r="U380" s="383"/>
    </row>
    <row r="381" spans="1:21" ht="10.5" customHeight="1">
      <c r="A381" s="10" t="str">
        <f>IF(ISNA(VLOOKUP(B381,Setup!$A$74:$A$197,1,FALSE)),"","X")</f>
        <v/>
      </c>
      <c r="B381" s="161">
        <v>141310</v>
      </c>
      <c r="C381" s="161" t="s">
        <v>458</v>
      </c>
      <c r="D381" s="21">
        <f>SUMIF('2016'!$A:$A,Input!$B381,'2016'!O:O)</f>
        <v>95692</v>
      </c>
      <c r="E381" s="21">
        <f>IF(+'2017'!O381="","",+'2017'!O381)</f>
        <v>95691.999999999985</v>
      </c>
      <c r="F381" s="22">
        <f>IF(+E381="","",IF($F$4="Per Unit",(IF($F$3="Monthly",+E381/Setup!$B$12/12,+E381/Setup!$B$12)),IF($F$3="Monthly",+E381/Setup!$B$13/12,+E381/Setup!$B$13)))</f>
        <v>434.96363636363628</v>
      </c>
      <c r="G381" s="33">
        <f t="shared" si="27"/>
        <v>7974.333333333333</v>
      </c>
      <c r="H381" s="492"/>
      <c r="I381" s="492"/>
      <c r="J381" s="492"/>
      <c r="K381" s="492"/>
      <c r="L381" s="492"/>
      <c r="M381" s="492"/>
      <c r="N381" s="492"/>
      <c r="O381" s="492"/>
      <c r="P381" s="492"/>
      <c r="Q381" s="492"/>
      <c r="R381" s="492"/>
      <c r="S381" s="492"/>
      <c r="T381" s="492"/>
      <c r="U381" s="383"/>
    </row>
    <row r="382" spans="1:21" ht="10.5" customHeight="1">
      <c r="A382" s="10" t="str">
        <f>IF(ISNA(VLOOKUP(B382,Setup!$A$74:$A$197,1,FALSE)),"","X")</f>
        <v/>
      </c>
      <c r="B382" s="161">
        <v>141315</v>
      </c>
      <c r="C382" s="161" t="s">
        <v>459</v>
      </c>
      <c r="D382" s="21">
        <f>SUMIF('2016'!$A:$A,Input!$B382,'2016'!O:O)</f>
        <v>0</v>
      </c>
      <c r="E382" s="21">
        <f>IF(+'2017'!O382="","",+'2017'!O382)</f>
        <v>0</v>
      </c>
      <c r="F382" s="22">
        <f>IF(+E382="","",IF($F$4="Per Unit",(IF($F$3="Monthly",+E382/Setup!$B$12/12,+E382/Setup!$B$12)),IF($F$3="Monthly",+E382/Setup!$B$13/12,+E382/Setup!$B$13)))</f>
        <v>0</v>
      </c>
      <c r="G382" s="33">
        <f t="shared" si="27"/>
        <v>0</v>
      </c>
      <c r="H382" s="492"/>
      <c r="I382" s="492"/>
      <c r="J382" s="492"/>
      <c r="K382" s="492"/>
      <c r="L382" s="492"/>
      <c r="M382" s="492"/>
      <c r="N382" s="492"/>
      <c r="O382" s="492"/>
      <c r="P382" s="492"/>
      <c r="Q382" s="492"/>
      <c r="R382" s="492"/>
      <c r="S382" s="492"/>
      <c r="T382" s="492"/>
      <c r="U382" s="383"/>
    </row>
    <row r="383" spans="1:21" ht="10.5" customHeight="1">
      <c r="A383" s="10" t="str">
        <f>IF(ISNA(VLOOKUP(B383,Setup!$A$74:$A$197,1,FALSE)),"","X")</f>
        <v/>
      </c>
      <c r="B383" s="161">
        <v>141320</v>
      </c>
      <c r="C383" s="161" t="s">
        <v>460</v>
      </c>
      <c r="D383" s="21">
        <f>SUMIF('2016'!$A:$A,Input!$B383,'2016'!O:O)</f>
        <v>86721</v>
      </c>
      <c r="E383" s="21">
        <f>IF(+'2017'!O383="","",+'2017'!O383)</f>
        <v>86721</v>
      </c>
      <c r="F383" s="22">
        <f>IF(+E383="","",IF($F$4="Per Unit",(IF($F$3="Monthly",+E383/Setup!$B$12/12,+E383/Setup!$B$12)),IF($F$3="Monthly",+E383/Setup!$B$13/12,+E383/Setup!$B$13)))</f>
        <v>394.18636363636364</v>
      </c>
      <c r="G383" s="33">
        <f t="shared" si="27"/>
        <v>7226.75</v>
      </c>
      <c r="H383" s="492"/>
      <c r="I383" s="492"/>
      <c r="J383" s="492"/>
      <c r="K383" s="492"/>
      <c r="L383" s="492"/>
      <c r="M383" s="492"/>
      <c r="N383" s="492"/>
      <c r="O383" s="492"/>
      <c r="P383" s="492"/>
      <c r="Q383" s="492"/>
      <c r="R383" s="492"/>
      <c r="S383" s="492"/>
      <c r="T383" s="492"/>
      <c r="U383" s="383"/>
    </row>
    <row r="384" spans="1:21" ht="10.5" customHeight="1">
      <c r="A384" s="10" t="str">
        <f>IF(ISNA(VLOOKUP(B384,Setup!$A$74:$A$197,1,FALSE)),"","X")</f>
        <v/>
      </c>
      <c r="B384" s="161">
        <v>141325</v>
      </c>
      <c r="C384" s="161" t="s">
        <v>461</v>
      </c>
      <c r="D384" s="21">
        <f>SUMIF('2016'!$A:$A,Input!$B384,'2016'!O:O)</f>
        <v>0</v>
      </c>
      <c r="E384" s="21">
        <f>IF(+'2017'!O384="","",+'2017'!O384)</f>
        <v>0</v>
      </c>
      <c r="F384" s="22">
        <f>IF(+E384="","",IF($F$4="Per Unit",(IF($F$3="Monthly",+E384/Setup!$B$12/12,+E384/Setup!$B$12)),IF($F$3="Monthly",+E384/Setup!$B$13/12,+E384/Setup!$B$13)))</f>
        <v>0</v>
      </c>
      <c r="G384" s="33">
        <f t="shared" si="27"/>
        <v>0</v>
      </c>
      <c r="H384" s="492"/>
      <c r="I384" s="492"/>
      <c r="J384" s="492"/>
      <c r="K384" s="492"/>
      <c r="L384" s="492"/>
      <c r="M384" s="492"/>
      <c r="N384" s="492"/>
      <c r="O384" s="492"/>
      <c r="P384" s="492"/>
      <c r="Q384" s="492"/>
      <c r="R384" s="492"/>
      <c r="S384" s="492"/>
      <c r="T384" s="492"/>
      <c r="U384" s="383"/>
    </row>
    <row r="385" spans="1:21" ht="10.5" customHeight="1">
      <c r="A385" s="10" t="str">
        <f>IF(ISNA(VLOOKUP(B385,Setup!$A$74:$A$197,1,FALSE)),"","X")</f>
        <v/>
      </c>
      <c r="B385" s="161">
        <v>141330</v>
      </c>
      <c r="C385" s="161" t="s">
        <v>462</v>
      </c>
      <c r="D385" s="21">
        <f>SUMIF('2016'!$A:$A,Input!$B385,'2016'!O:O)</f>
        <v>0</v>
      </c>
      <c r="E385" s="21">
        <f>IF(+'2017'!O385="","",+'2017'!O385)</f>
        <v>0</v>
      </c>
      <c r="F385" s="22">
        <f>IF(+E385="","",IF($F$4="Per Unit",(IF($F$3="Monthly",+E385/Setup!$B$12/12,+E385/Setup!$B$12)),IF($F$3="Monthly",+E385/Setup!$B$13/12,+E385/Setup!$B$13)))</f>
        <v>0</v>
      </c>
      <c r="G385" s="33">
        <f t="shared" si="27"/>
        <v>0</v>
      </c>
      <c r="H385" s="492"/>
      <c r="I385" s="492"/>
      <c r="J385" s="492"/>
      <c r="K385" s="492"/>
      <c r="L385" s="492"/>
      <c r="M385" s="492"/>
      <c r="N385" s="492"/>
      <c r="O385" s="492"/>
      <c r="P385" s="492"/>
      <c r="Q385" s="492"/>
      <c r="R385" s="492"/>
      <c r="S385" s="492"/>
      <c r="T385" s="492"/>
      <c r="U385" s="383"/>
    </row>
    <row r="386" spans="1:21" ht="10.5" customHeight="1">
      <c r="A386" s="10" t="str">
        <f>IF(ISNA(VLOOKUP(B386,Setup!$A$74:$A$197,1,FALSE)),"","X")</f>
        <v/>
      </c>
      <c r="B386" s="161">
        <v>141335</v>
      </c>
      <c r="C386" s="161" t="s">
        <v>463</v>
      </c>
      <c r="D386" s="21">
        <f>SUMIF('2016'!$A:$A,Input!$B386,'2016'!O:O)</f>
        <v>0</v>
      </c>
      <c r="E386" s="21">
        <f>IF(+'2017'!O386="","",+'2017'!O386)</f>
        <v>0</v>
      </c>
      <c r="F386" s="22">
        <f>IF(+E386="","",IF($F$4="Per Unit",(IF($F$3="Monthly",+E386/Setup!$B$12/12,+E386/Setup!$B$12)),IF($F$3="Monthly",+E386/Setup!$B$13/12,+E386/Setup!$B$13)))</f>
        <v>0</v>
      </c>
      <c r="G386" s="33">
        <f t="shared" si="27"/>
        <v>0</v>
      </c>
      <c r="H386" s="492"/>
      <c r="I386" s="492"/>
      <c r="J386" s="492"/>
      <c r="K386" s="492"/>
      <c r="L386" s="492"/>
      <c r="M386" s="492"/>
      <c r="N386" s="492"/>
      <c r="O386" s="492"/>
      <c r="P386" s="492"/>
      <c r="Q386" s="492"/>
      <c r="R386" s="492"/>
      <c r="S386" s="492"/>
      <c r="T386" s="492"/>
      <c r="U386" s="383"/>
    </row>
    <row r="387" spans="1:21" ht="10.5" customHeight="1">
      <c r="A387" s="10" t="str">
        <f>IF(ISNA(VLOOKUP(B387,Setup!$A$74:$A$197,1,FALSE)),"","X")</f>
        <v/>
      </c>
      <c r="B387" s="161">
        <v>141340</v>
      </c>
      <c r="C387" s="161" t="s">
        <v>464</v>
      </c>
      <c r="D387" s="21">
        <f>SUMIF('2016'!$A:$A,Input!$B387,'2016'!O:O)</f>
        <v>0</v>
      </c>
      <c r="E387" s="21">
        <f>IF(+'2017'!O387="","",+'2017'!O387)</f>
        <v>0</v>
      </c>
      <c r="F387" s="22">
        <f>IF(+E387="","",IF($F$4="Per Unit",(IF($F$3="Monthly",+E387/Setup!$B$12/12,+E387/Setup!$B$12)),IF($F$3="Monthly",+E387/Setup!$B$13/12,+E387/Setup!$B$13)))</f>
        <v>0</v>
      </c>
      <c r="G387" s="33">
        <f t="shared" si="27"/>
        <v>0</v>
      </c>
      <c r="H387" s="492"/>
      <c r="I387" s="492"/>
      <c r="J387" s="492"/>
      <c r="K387" s="492"/>
      <c r="L387" s="492"/>
      <c r="M387" s="492"/>
      <c r="N387" s="492"/>
      <c r="O387" s="492"/>
      <c r="P387" s="492"/>
      <c r="Q387" s="492"/>
      <c r="R387" s="492"/>
      <c r="S387" s="492"/>
      <c r="T387" s="492"/>
      <c r="U387" s="383"/>
    </row>
    <row r="388" spans="1:21" ht="10.5" customHeight="1">
      <c r="A388" s="10" t="str">
        <f>IF(ISNA(VLOOKUP(B388,Setup!$A$74:$A$197,1,FALSE)),"","X")</f>
        <v/>
      </c>
      <c r="B388" s="161">
        <v>141345</v>
      </c>
      <c r="C388" s="161" t="s">
        <v>465</v>
      </c>
      <c r="D388" s="21">
        <f>SUMIF('2016'!$A:$A,Input!$B388,'2016'!O:O)</f>
        <v>0</v>
      </c>
      <c r="E388" s="21">
        <f>IF(+'2017'!O388="","",+'2017'!O388)</f>
        <v>0</v>
      </c>
      <c r="F388" s="22">
        <f>IF(+E388="","",IF($F$4="Per Unit",(IF($F$3="Monthly",+E388/Setup!$B$12/12,+E388/Setup!$B$12)),IF($F$3="Monthly",+E388/Setup!$B$13/12,+E388/Setup!$B$13)))</f>
        <v>0</v>
      </c>
      <c r="G388" s="33">
        <f t="shared" si="27"/>
        <v>0</v>
      </c>
      <c r="H388" s="492"/>
      <c r="I388" s="492"/>
      <c r="J388" s="492"/>
      <c r="K388" s="492"/>
      <c r="L388" s="492"/>
      <c r="M388" s="492"/>
      <c r="N388" s="492"/>
      <c r="O388" s="492"/>
      <c r="P388" s="492"/>
      <c r="Q388" s="492"/>
      <c r="R388" s="492"/>
      <c r="S388" s="492"/>
      <c r="T388" s="492"/>
      <c r="U388" s="383"/>
    </row>
    <row r="389" spans="1:21" ht="10.5" customHeight="1">
      <c r="A389" s="10" t="str">
        <f>IF(ISNA(VLOOKUP(B389,Setup!$A$74:$A$197,1,FALSE)),"","X")</f>
        <v/>
      </c>
      <c r="B389" s="161">
        <v>141350</v>
      </c>
      <c r="C389" s="161" t="s">
        <v>466</v>
      </c>
      <c r="D389" s="21">
        <f>SUMIF('2016'!$A:$A,Input!$B389,'2016'!O:O)</f>
        <v>0</v>
      </c>
      <c r="E389" s="21">
        <f>IF(+'2017'!O389="","",+'2017'!O389)</f>
        <v>0</v>
      </c>
      <c r="F389" s="22">
        <f>IF(+E389="","",IF($F$4="Per Unit",(IF($F$3="Monthly",+E389/Setup!$B$12/12,+E389/Setup!$B$12)),IF($F$3="Monthly",+E389/Setup!$B$13/12,+E389/Setup!$B$13)))</f>
        <v>0</v>
      </c>
      <c r="G389" s="33">
        <f t="shared" si="27"/>
        <v>0</v>
      </c>
      <c r="H389" s="492"/>
      <c r="I389" s="492"/>
      <c r="J389" s="492"/>
      <c r="K389" s="492"/>
      <c r="L389" s="492"/>
      <c r="M389" s="492"/>
      <c r="N389" s="492"/>
      <c r="O389" s="492"/>
      <c r="P389" s="492"/>
      <c r="Q389" s="492"/>
      <c r="R389" s="492"/>
      <c r="S389" s="492"/>
      <c r="T389" s="492"/>
      <c r="U389" s="383"/>
    </row>
    <row r="390" spans="1:21" ht="10.5" customHeight="1">
      <c r="A390" s="10" t="str">
        <f>IF(ISNA(VLOOKUP(B390,Setup!$A$74:$A$197,1,FALSE)),"","X")</f>
        <v/>
      </c>
      <c r="B390" s="161">
        <v>141355</v>
      </c>
      <c r="C390" s="161" t="s">
        <v>467</v>
      </c>
      <c r="D390" s="21">
        <f>SUMIF('2016'!$A:$A,Input!$B390,'2016'!O:O)</f>
        <v>0</v>
      </c>
      <c r="E390" s="21">
        <f>IF(+'2017'!O390="","",+'2017'!O390)</f>
        <v>0</v>
      </c>
      <c r="F390" s="22">
        <f>IF(+E390="","",IF($F$4="Per Unit",(IF($F$3="Monthly",+E390/Setup!$B$12/12,+E390/Setup!$B$12)),IF($F$3="Monthly",+E390/Setup!$B$13/12,+E390/Setup!$B$13)))</f>
        <v>0</v>
      </c>
      <c r="G390" s="33">
        <f t="shared" si="27"/>
        <v>0</v>
      </c>
      <c r="H390" s="492"/>
      <c r="I390" s="492"/>
      <c r="J390" s="492"/>
      <c r="K390" s="492"/>
      <c r="L390" s="492"/>
      <c r="M390" s="492"/>
      <c r="N390" s="492"/>
      <c r="O390" s="492"/>
      <c r="P390" s="492"/>
      <c r="Q390" s="492"/>
      <c r="R390" s="492"/>
      <c r="S390" s="492"/>
      <c r="T390" s="492"/>
      <c r="U390" s="383"/>
    </row>
    <row r="391" spans="1:21" ht="10.5" customHeight="1">
      <c r="A391" s="10" t="str">
        <f>IF(ISNA(VLOOKUP(B391,Setup!$A$74:$A$197,1,FALSE)),"","X")</f>
        <v/>
      </c>
      <c r="B391" s="161">
        <v>141360</v>
      </c>
      <c r="C391" s="161" t="s">
        <v>468</v>
      </c>
      <c r="D391" s="21">
        <f>SUMIF('2016'!$A:$A,Input!$B391,'2016'!O:O)</f>
        <v>0</v>
      </c>
      <c r="E391" s="21">
        <f>IF(+'2017'!O391="","",+'2017'!O391)</f>
        <v>0</v>
      </c>
      <c r="F391" s="22">
        <f>IF(+E391="","",IF($F$4="Per Unit",(IF($F$3="Monthly",+E391/Setup!$B$12/12,+E391/Setup!$B$12)),IF($F$3="Monthly",+E391/Setup!$B$13/12,+E391/Setup!$B$13)))</f>
        <v>0</v>
      </c>
      <c r="G391" s="33">
        <f t="shared" si="27"/>
        <v>0</v>
      </c>
      <c r="H391" s="492"/>
      <c r="I391" s="492"/>
      <c r="J391" s="492"/>
      <c r="K391" s="492"/>
      <c r="L391" s="492"/>
      <c r="M391" s="492"/>
      <c r="N391" s="492"/>
      <c r="O391" s="492"/>
      <c r="P391" s="492"/>
      <c r="Q391" s="492"/>
      <c r="R391" s="492"/>
      <c r="S391" s="492"/>
      <c r="T391" s="492"/>
      <c r="U391" s="383"/>
    </row>
    <row r="392" spans="1:21" ht="10.5" customHeight="1">
      <c r="A392" s="10" t="str">
        <f>IF(ISNA(VLOOKUP(B392,Setup!$A$74:$A$197,1,FALSE)),"","X")</f>
        <v/>
      </c>
      <c r="B392" s="161">
        <v>141365</v>
      </c>
      <c r="C392" s="161" t="s">
        <v>469</v>
      </c>
      <c r="D392" s="21">
        <f>SUMIF('2016'!$A:$A,Input!$B392,'2016'!O:O)</f>
        <v>0</v>
      </c>
      <c r="E392" s="21">
        <f>IF(+'2017'!O392="","",+'2017'!O392)</f>
        <v>0</v>
      </c>
      <c r="F392" s="22">
        <f>IF(+E392="","",IF($F$4="Per Unit",(IF($F$3="Monthly",+E392/Setup!$B$12/12,+E392/Setup!$B$12)),IF($F$3="Monthly",+E392/Setup!$B$13/12,+E392/Setup!$B$13)))</f>
        <v>0</v>
      </c>
      <c r="G392" s="33">
        <f t="shared" si="27"/>
        <v>0</v>
      </c>
      <c r="H392" s="492"/>
      <c r="I392" s="492"/>
      <c r="J392" s="492"/>
      <c r="K392" s="492"/>
      <c r="L392" s="492"/>
      <c r="M392" s="492"/>
      <c r="N392" s="492"/>
      <c r="O392" s="492"/>
      <c r="P392" s="492"/>
      <c r="Q392" s="492"/>
      <c r="R392" s="492"/>
      <c r="S392" s="492"/>
      <c r="T392" s="492"/>
      <c r="U392" s="383"/>
    </row>
    <row r="393" spans="1:21" ht="10.5" customHeight="1">
      <c r="A393" s="10" t="str">
        <f>IF(ISNA(VLOOKUP(B393,Setup!$A$74:$A$197,1,FALSE)),"","X")</f>
        <v/>
      </c>
      <c r="B393" s="161">
        <v>141370</v>
      </c>
      <c r="C393" s="161" t="s">
        <v>470</v>
      </c>
      <c r="D393" s="21">
        <f>SUMIF('2016'!$A:$A,Input!$B393,'2016'!O:O)</f>
        <v>0</v>
      </c>
      <c r="E393" s="21">
        <f>IF(+'2017'!O393="","",+'2017'!O393)</f>
        <v>0</v>
      </c>
      <c r="F393" s="22">
        <f>IF(+E393="","",IF($F$4="Per Unit",(IF($F$3="Monthly",+E393/Setup!$B$12/12,+E393/Setup!$B$12)),IF($F$3="Monthly",+E393/Setup!$B$13/12,+E393/Setup!$B$13)))</f>
        <v>0</v>
      </c>
      <c r="G393" s="33">
        <f t="shared" si="27"/>
        <v>0</v>
      </c>
      <c r="H393" s="492"/>
      <c r="I393" s="492"/>
      <c r="J393" s="492"/>
      <c r="K393" s="492"/>
      <c r="L393" s="492"/>
      <c r="M393" s="492"/>
      <c r="N393" s="492"/>
      <c r="O393" s="492"/>
      <c r="P393" s="492"/>
      <c r="Q393" s="492"/>
      <c r="R393" s="492"/>
      <c r="S393" s="492"/>
      <c r="T393" s="492"/>
      <c r="U393" s="383"/>
    </row>
    <row r="394" spans="1:21" ht="10.5" customHeight="1">
      <c r="A394" s="10" t="str">
        <f>IF(ISNA(VLOOKUP(B394,Setup!$A$74:$A$197,1,FALSE)),"","X")</f>
        <v/>
      </c>
      <c r="B394" s="161">
        <v>141375</v>
      </c>
      <c r="C394" s="161" t="s">
        <v>471</v>
      </c>
      <c r="D394" s="21">
        <f>SUMIF('2016'!$A:$A,Input!$B394,'2016'!O:O)</f>
        <v>0</v>
      </c>
      <c r="E394" s="21">
        <f>IF(+'2017'!O394="","",+'2017'!O394)</f>
        <v>0</v>
      </c>
      <c r="F394" s="22">
        <f>IF(+E394="","",IF($F$4="Per Unit",(IF($F$3="Monthly",+E394/Setup!$B$12/12,+E394/Setup!$B$12)),IF($F$3="Monthly",+E394/Setup!$B$13/12,+E394/Setup!$B$13)))</f>
        <v>0</v>
      </c>
      <c r="G394" s="33">
        <f t="shared" si="27"/>
        <v>0</v>
      </c>
      <c r="H394" s="492"/>
      <c r="I394" s="492"/>
      <c r="J394" s="492"/>
      <c r="K394" s="492"/>
      <c r="L394" s="492"/>
      <c r="M394" s="492"/>
      <c r="N394" s="492"/>
      <c r="O394" s="492"/>
      <c r="P394" s="492"/>
      <c r="Q394" s="492"/>
      <c r="R394" s="492"/>
      <c r="S394" s="492"/>
      <c r="T394" s="492"/>
      <c r="U394" s="383"/>
    </row>
    <row r="395" spans="1:21" ht="10.5" customHeight="1">
      <c r="A395" s="10" t="str">
        <f>IF(ISNA(VLOOKUP(B395,Setup!$A$74:$A$197,1,FALSE)),"","X")</f>
        <v/>
      </c>
      <c r="B395" s="161">
        <v>141380</v>
      </c>
      <c r="C395" s="161" t="s">
        <v>472</v>
      </c>
      <c r="D395" s="21">
        <f>SUMIF('2016'!$A:$A,Input!$B395,'2016'!O:O)</f>
        <v>0</v>
      </c>
      <c r="E395" s="21">
        <f>IF(+'2017'!O395="","",+'2017'!O395)</f>
        <v>0</v>
      </c>
      <c r="F395" s="22">
        <f>IF(+E395="","",IF($F$4="Per Unit",(IF($F$3="Monthly",+E395/Setup!$B$12/12,+E395/Setup!$B$12)),IF($F$3="Monthly",+E395/Setup!$B$13/12,+E395/Setup!$B$13)))</f>
        <v>0</v>
      </c>
      <c r="G395" s="33">
        <f t="shared" si="27"/>
        <v>0</v>
      </c>
      <c r="H395" s="492"/>
      <c r="I395" s="492"/>
      <c r="J395" s="492"/>
      <c r="K395" s="492"/>
      <c r="L395" s="492"/>
      <c r="M395" s="492"/>
      <c r="N395" s="492"/>
      <c r="O395" s="492"/>
      <c r="P395" s="492"/>
      <c r="Q395" s="492"/>
      <c r="R395" s="492"/>
      <c r="S395" s="492"/>
      <c r="T395" s="492"/>
      <c r="U395" s="383"/>
    </row>
    <row r="396" spans="1:21" ht="10.5" customHeight="1">
      <c r="A396" s="10" t="str">
        <f>IF(ISNA(VLOOKUP(B396,Setup!$A$74:$A$197,1,FALSE)),"","X")</f>
        <v/>
      </c>
      <c r="B396" s="161">
        <v>141385</v>
      </c>
      <c r="C396" s="161" t="s">
        <v>473</v>
      </c>
      <c r="D396" s="21">
        <f>SUMIF('2016'!$A:$A,Input!$B396,'2016'!O:O)</f>
        <v>0</v>
      </c>
      <c r="E396" s="21">
        <f>IF(+'2017'!O396="","",+'2017'!O396)</f>
        <v>0</v>
      </c>
      <c r="F396" s="22">
        <f>IF(+E396="","",IF($F$4="Per Unit",(IF($F$3="Monthly",+E396/Setup!$B$12/12,+E396/Setup!$B$12)),IF($F$3="Monthly",+E396/Setup!$B$13/12,+E396/Setup!$B$13)))</f>
        <v>0</v>
      </c>
      <c r="G396" s="33">
        <f t="shared" si="27"/>
        <v>0</v>
      </c>
      <c r="H396" s="492"/>
      <c r="I396" s="492"/>
      <c r="J396" s="492"/>
      <c r="K396" s="492"/>
      <c r="L396" s="492"/>
      <c r="M396" s="492"/>
      <c r="N396" s="492"/>
      <c r="O396" s="492"/>
      <c r="P396" s="492"/>
      <c r="Q396" s="492"/>
      <c r="R396" s="492"/>
      <c r="S396" s="492"/>
      <c r="T396" s="492"/>
      <c r="U396" s="383"/>
    </row>
    <row r="397" spans="1:21" ht="10.5" customHeight="1">
      <c r="A397" s="10" t="str">
        <f>IF(ISNA(VLOOKUP(B397,Setup!$A$74:$A$197,1,FALSE)),"","X")</f>
        <v/>
      </c>
      <c r="B397" s="161">
        <v>141390</v>
      </c>
      <c r="C397" s="161" t="s">
        <v>474</v>
      </c>
      <c r="D397" s="21">
        <f>SUMIF('2016'!$A:$A,Input!$B397,'2016'!O:O)</f>
        <v>0</v>
      </c>
      <c r="E397" s="21">
        <f>IF(+'2017'!O397="","",+'2017'!O397)</f>
        <v>0</v>
      </c>
      <c r="F397" s="22">
        <f>IF(+E397="","",IF($F$4="Per Unit",(IF($F$3="Monthly",+E397/Setup!$B$12/12,+E397/Setup!$B$12)),IF($F$3="Monthly",+E397/Setup!$B$13/12,+E397/Setup!$B$13)))</f>
        <v>0</v>
      </c>
      <c r="G397" s="33">
        <f t="shared" si="27"/>
        <v>0</v>
      </c>
      <c r="H397" s="492"/>
      <c r="I397" s="492"/>
      <c r="J397" s="492"/>
      <c r="K397" s="492"/>
      <c r="L397" s="492"/>
      <c r="M397" s="492"/>
      <c r="N397" s="492"/>
      <c r="O397" s="492"/>
      <c r="P397" s="492"/>
      <c r="Q397" s="492"/>
      <c r="R397" s="492"/>
      <c r="S397" s="492"/>
      <c r="T397" s="492"/>
      <c r="U397" s="383"/>
    </row>
    <row r="398" spans="1:21" ht="10.5" customHeight="1">
      <c r="A398" s="10" t="str">
        <f>IF(ISNA(VLOOKUP(B398,Setup!$A$74:$A$197,1,FALSE)),"","X")</f>
        <v/>
      </c>
      <c r="B398" s="161">
        <v>141395</v>
      </c>
      <c r="C398" s="161" t="s">
        <v>475</v>
      </c>
      <c r="D398" s="21">
        <f>SUMIF('2016'!$A:$A,Input!$B398,'2016'!O:O)</f>
        <v>56547</v>
      </c>
      <c r="E398" s="21">
        <f>IF(+'2017'!O398="","",+'2017'!O398)</f>
        <v>56547</v>
      </c>
      <c r="F398" s="22">
        <f>IF(+E398="","",IF($F$4="Per Unit",(IF($F$3="Monthly",+E398/Setup!$B$12/12,+E398/Setup!$B$12)),IF($F$3="Monthly",+E398/Setup!$B$13/12,+E398/Setup!$B$13)))</f>
        <v>257.03181818181821</v>
      </c>
      <c r="G398" s="33">
        <f t="shared" ref="G398:G405" si="28">+D398/12</f>
        <v>4712.25</v>
      </c>
      <c r="H398" s="492"/>
      <c r="I398" s="492"/>
      <c r="J398" s="492"/>
      <c r="K398" s="492"/>
      <c r="L398" s="492"/>
      <c r="M398" s="492"/>
      <c r="N398" s="492"/>
      <c r="O398" s="492"/>
      <c r="P398" s="492"/>
      <c r="Q398" s="492"/>
      <c r="R398" s="492"/>
      <c r="S398" s="492"/>
      <c r="T398" s="492"/>
      <c r="U398" s="383"/>
    </row>
    <row r="399" spans="1:21" ht="10.5" customHeight="1">
      <c r="A399" s="10" t="str">
        <f>IF(ISNA(VLOOKUP(B399,Setup!$A$74:$A$197,1,FALSE)),"","X")</f>
        <v/>
      </c>
      <c r="B399" s="161">
        <v>141400</v>
      </c>
      <c r="C399" s="161" t="s">
        <v>476</v>
      </c>
      <c r="D399" s="21">
        <f>SUMIF('2016'!$A:$A,Input!$B399,'2016'!O:O)</f>
        <v>0</v>
      </c>
      <c r="E399" s="21">
        <f>IF(+'2017'!O399="","",+'2017'!O399)</f>
        <v>0</v>
      </c>
      <c r="F399" s="22">
        <f>IF(+E399="","",IF($F$4="Per Unit",(IF($F$3="Monthly",+E399/Setup!$B$12/12,+E399/Setup!$B$12)),IF($F$3="Monthly",+E399/Setup!$B$13/12,+E399/Setup!$B$13)))</f>
        <v>0</v>
      </c>
      <c r="G399" s="33">
        <f t="shared" si="28"/>
        <v>0</v>
      </c>
      <c r="H399" s="492"/>
      <c r="I399" s="492"/>
      <c r="J399" s="492"/>
      <c r="K399" s="492"/>
      <c r="L399" s="492"/>
      <c r="M399" s="492"/>
      <c r="N399" s="492"/>
      <c r="O399" s="492"/>
      <c r="P399" s="492"/>
      <c r="Q399" s="492"/>
      <c r="R399" s="492"/>
      <c r="S399" s="492"/>
      <c r="T399" s="492"/>
      <c r="U399" s="383"/>
    </row>
    <row r="400" spans="1:21" ht="10.5" customHeight="1">
      <c r="A400" s="10" t="str">
        <f>IF(ISNA(VLOOKUP(B400,Setup!$A$74:$A$197,1,FALSE)),"","X")</f>
        <v/>
      </c>
      <c r="B400" s="161">
        <v>141405</v>
      </c>
      <c r="C400" s="161" t="s">
        <v>477</v>
      </c>
      <c r="D400" s="21">
        <f>SUMIF('2016'!$A:$A,Input!$B400,'2016'!O:O)</f>
        <v>0</v>
      </c>
      <c r="E400" s="21">
        <f>IF(+'2017'!O400="","",+'2017'!O400)</f>
        <v>0</v>
      </c>
      <c r="F400" s="22">
        <f>IF(+E400="","",IF($F$4="Per Unit",(IF($F$3="Monthly",+E400/Setup!$B$12/12,+E400/Setup!$B$12)),IF($F$3="Monthly",+E400/Setup!$B$13/12,+E400/Setup!$B$13)))</f>
        <v>0</v>
      </c>
      <c r="G400" s="33">
        <f t="shared" si="28"/>
        <v>0</v>
      </c>
      <c r="H400" s="492"/>
      <c r="I400" s="492"/>
      <c r="J400" s="492"/>
      <c r="K400" s="492"/>
      <c r="L400" s="492"/>
      <c r="M400" s="492"/>
      <c r="N400" s="492"/>
      <c r="O400" s="492"/>
      <c r="P400" s="492"/>
      <c r="Q400" s="492"/>
      <c r="R400" s="492"/>
      <c r="S400" s="492"/>
      <c r="T400" s="492"/>
      <c r="U400" s="383"/>
    </row>
    <row r="401" spans="1:21" ht="10.5" customHeight="1">
      <c r="A401" s="10" t="str">
        <f>IF(ISNA(VLOOKUP(B401,Setup!$A$74:$A$197,1,FALSE)),"","X")</f>
        <v/>
      </c>
      <c r="B401" s="161">
        <v>141410</v>
      </c>
      <c r="C401" s="161" t="s">
        <v>478</v>
      </c>
      <c r="D401" s="21">
        <f>SUMIF('2016'!$A:$A,Input!$B401,'2016'!O:O)</f>
        <v>0</v>
      </c>
      <c r="E401" s="21">
        <f>IF(+'2017'!O401="","",+'2017'!O401)</f>
        <v>0</v>
      </c>
      <c r="F401" s="22">
        <f>IF(+E401="","",IF($F$4="Per Unit",(IF($F$3="Monthly",+E401/Setup!$B$12/12,+E401/Setup!$B$12)),IF($F$3="Monthly",+E401/Setup!$B$13/12,+E401/Setup!$B$13)))</f>
        <v>0</v>
      </c>
      <c r="G401" s="33">
        <f t="shared" si="28"/>
        <v>0</v>
      </c>
      <c r="H401" s="492"/>
      <c r="I401" s="492"/>
      <c r="J401" s="492"/>
      <c r="K401" s="492"/>
      <c r="L401" s="492"/>
      <c r="M401" s="492"/>
      <c r="N401" s="492"/>
      <c r="O401" s="492"/>
      <c r="P401" s="492"/>
      <c r="Q401" s="492"/>
      <c r="R401" s="492"/>
      <c r="S401" s="492"/>
      <c r="T401" s="492"/>
      <c r="U401" s="383"/>
    </row>
    <row r="402" spans="1:21" ht="10.5" customHeight="1">
      <c r="A402" s="10" t="str">
        <f>IF(ISNA(VLOOKUP(B402,Setup!$A$74:$A$197,1,FALSE)),"","X")</f>
        <v/>
      </c>
      <c r="B402" s="161">
        <v>141415</v>
      </c>
      <c r="C402" s="161" t="s">
        <v>479</v>
      </c>
      <c r="D402" s="21">
        <f>SUMIF('2016'!$A:$A,Input!$B402,'2016'!O:O)</f>
        <v>0</v>
      </c>
      <c r="E402" s="21">
        <f>IF(+'2017'!O402="","",+'2017'!O402)</f>
        <v>0</v>
      </c>
      <c r="F402" s="22">
        <f>IF(+E402="","",IF($F$4="Per Unit",(IF($F$3="Monthly",+E402/Setup!$B$12/12,+E402/Setup!$B$12)),IF($F$3="Monthly",+E402/Setup!$B$13/12,+E402/Setup!$B$13)))</f>
        <v>0</v>
      </c>
      <c r="G402" s="33">
        <f t="shared" si="28"/>
        <v>0</v>
      </c>
      <c r="H402" s="492"/>
      <c r="I402" s="492"/>
      <c r="J402" s="492"/>
      <c r="K402" s="492"/>
      <c r="L402" s="492"/>
      <c r="M402" s="492"/>
      <c r="N402" s="492"/>
      <c r="O402" s="492"/>
      <c r="P402" s="492"/>
      <c r="Q402" s="492"/>
      <c r="R402" s="492"/>
      <c r="S402" s="492"/>
      <c r="T402" s="492"/>
      <c r="U402" s="383"/>
    </row>
    <row r="403" spans="1:21" ht="10.5" customHeight="1">
      <c r="A403" s="10"/>
      <c r="B403" s="161">
        <v>141420</v>
      </c>
      <c r="C403" s="4" t="s">
        <v>658</v>
      </c>
      <c r="D403" s="21">
        <f>SUMIF('2016'!$A:$A,Input!$B403,'2016'!O:O)</f>
        <v>0</v>
      </c>
      <c r="E403" s="21">
        <f>IF(+'2017'!O404="","",+'2017'!O404)</f>
        <v>0</v>
      </c>
      <c r="F403" s="22">
        <f>IF(+E403="","",IF($F$4="Per Unit",(IF($F$3="Monthly",+E403/Setup!$B$12/12,+E403/Setup!$B$12)),IF($F$3="Monthly",+E403/Setup!$B$13/12,+E403/Setup!$B$13)))</f>
        <v>0</v>
      </c>
      <c r="G403" s="33">
        <f t="shared" si="28"/>
        <v>0</v>
      </c>
      <c r="H403" s="492"/>
      <c r="I403" s="492"/>
      <c r="J403" s="492"/>
      <c r="K403" s="492"/>
      <c r="L403" s="492"/>
      <c r="M403" s="492"/>
      <c r="N403" s="492"/>
      <c r="O403" s="492"/>
      <c r="P403" s="492"/>
      <c r="Q403" s="492"/>
      <c r="R403" s="492"/>
      <c r="S403" s="492"/>
      <c r="T403" s="492"/>
      <c r="U403" s="383"/>
    </row>
    <row r="404" spans="1:21" ht="10.5" customHeight="1">
      <c r="A404" s="10" t="str">
        <f>IF(ISNA(VLOOKUP(B404,Setup!$A$74:$A$197,1,FALSE)),"","X")</f>
        <v/>
      </c>
      <c r="B404" s="161">
        <v>141425</v>
      </c>
      <c r="C404" s="161" t="s">
        <v>480</v>
      </c>
      <c r="D404" s="21">
        <f>SUMIF('2016'!$A:$A,Input!$B404,'2016'!O:O)</f>
        <v>0</v>
      </c>
      <c r="E404" s="21">
        <f>IF(+'2017'!O404="","",+'2017'!O404)</f>
        <v>0</v>
      </c>
      <c r="F404" s="22">
        <f>IF(+E404="","",IF($F$4="Per Unit",(IF($F$3="Monthly",+E404/Setup!$B$12/12,+E404/Setup!$B$12)),IF($F$3="Monthly",+E404/Setup!$B$13/12,+E404/Setup!$B$13)))</f>
        <v>0</v>
      </c>
      <c r="G404" s="33">
        <f t="shared" si="28"/>
        <v>0</v>
      </c>
      <c r="H404" s="492"/>
      <c r="I404" s="492"/>
      <c r="J404" s="492"/>
      <c r="K404" s="492"/>
      <c r="L404" s="492"/>
      <c r="M404" s="492"/>
      <c r="N404" s="492"/>
      <c r="O404" s="492"/>
      <c r="P404" s="492"/>
      <c r="Q404" s="492"/>
      <c r="R404" s="492"/>
      <c r="S404" s="492"/>
      <c r="T404" s="492"/>
      <c r="U404" s="383"/>
    </row>
    <row r="405" spans="1:21" ht="10.5" customHeight="1">
      <c r="A405" s="10" t="str">
        <f>IF(ISNA(VLOOKUP(B405,Setup!$A$74:$A$197,1,FALSE)),"","X")</f>
        <v/>
      </c>
      <c r="B405" s="161">
        <v>141430</v>
      </c>
      <c r="C405" s="161" t="s">
        <v>481</v>
      </c>
      <c r="D405" s="21">
        <f>SUMIF('2016'!$A:$A,Input!$B405,'2016'!O:O)</f>
        <v>404168</v>
      </c>
      <c r="E405" s="21">
        <f>IF(+'2017'!O405="","",+'2017'!O405)</f>
        <v>404168.00000000006</v>
      </c>
      <c r="F405" s="22">
        <f>IF(+E405="","",IF($F$4="Per Unit",(IF($F$3="Monthly",+E405/Setup!$B$12/12,+E405/Setup!$B$12)),IF($F$3="Monthly",+E405/Setup!$B$13/12,+E405/Setup!$B$13)))</f>
        <v>1837.1272727272731</v>
      </c>
      <c r="G405" s="33">
        <f t="shared" si="28"/>
        <v>33680.666666666664</v>
      </c>
      <c r="H405" s="492"/>
      <c r="I405" s="492"/>
      <c r="J405" s="492"/>
      <c r="K405" s="492"/>
      <c r="L405" s="492"/>
      <c r="M405" s="492"/>
      <c r="N405" s="492"/>
      <c r="O405" s="492"/>
      <c r="P405" s="492"/>
      <c r="Q405" s="492"/>
      <c r="R405" s="492"/>
      <c r="S405" s="492"/>
      <c r="T405" s="492"/>
      <c r="U405" s="383"/>
    </row>
    <row r="406" spans="1:21" ht="10.5" customHeight="1">
      <c r="A406" s="10" t="str">
        <f>IF(ISNA(VLOOKUP(B406,Setup!$A$74:$A$197,1,FALSE)),"","X")</f>
        <v/>
      </c>
      <c r="B406" s="161">
        <v>141435</v>
      </c>
      <c r="C406" s="161" t="s">
        <v>482</v>
      </c>
      <c r="D406" s="21">
        <f>SUMIF('2016'!$A:$A,Input!$B406,'2016'!O:O)</f>
        <v>0</v>
      </c>
      <c r="E406" s="21">
        <f>IF(+'2017'!O406="","",+'2017'!O406)</f>
        <v>0</v>
      </c>
      <c r="F406" s="22">
        <f>IF(+E406="","",IF($F$4="Per Unit",(IF($F$3="Monthly",+E406/Setup!$B$12/12,+E406/Setup!$B$12)),IF($F$3="Monthly",+E406/Setup!$B$13/12,+E406/Setup!$B$13)))</f>
        <v>0</v>
      </c>
      <c r="G406" s="33"/>
      <c r="H406" s="492"/>
      <c r="I406" s="492"/>
      <c r="J406" s="492"/>
      <c r="K406" s="492"/>
      <c r="L406" s="492"/>
      <c r="M406" s="492"/>
      <c r="N406" s="492"/>
      <c r="O406" s="492"/>
      <c r="P406" s="492"/>
      <c r="Q406" s="492"/>
      <c r="R406" s="492"/>
      <c r="S406" s="492"/>
      <c r="T406" s="492"/>
      <c r="U406" s="383"/>
    </row>
    <row r="407" spans="1:21" ht="10.5" customHeight="1">
      <c r="A407" s="10" t="str">
        <f>IF(ISNA(VLOOKUP(B407,Setup!$A$74:$A$197,1,FALSE)),"","X")</f>
        <v/>
      </c>
      <c r="B407" s="161"/>
      <c r="C407" s="163"/>
      <c r="D407" s="21"/>
      <c r="E407" s="21" t="str">
        <f>IF(+'2017'!O407="","",+'2017'!O407)</f>
        <v/>
      </c>
      <c r="F407" s="22" t="str">
        <f>IF(+E407="","",IF($F$4="Per Unit",(IF($F$3="Monthly",+E407/Setup!$B$12/12,+E407/Setup!$B$12)),IF($F$3="Monthly",+E407/Setup!$B$13/12,+E407/Setup!$B$13)))</f>
        <v/>
      </c>
      <c r="G407" s="102"/>
      <c r="H407" s="377"/>
      <c r="I407" s="377"/>
      <c r="J407" s="377"/>
      <c r="K407" s="377"/>
      <c r="L407" s="377"/>
      <c r="M407" s="377"/>
      <c r="N407" s="377"/>
      <c r="O407" s="377"/>
      <c r="P407" s="377"/>
      <c r="Q407" s="377"/>
      <c r="R407" s="377"/>
      <c r="S407" s="377"/>
      <c r="T407" s="4"/>
      <c r="U407" s="4"/>
    </row>
    <row r="408" spans="1:21" ht="10.5" customHeight="1">
      <c r="A408" s="10" t="str">
        <f>IF(ISNA(VLOOKUP(B408,Setup!$A$74:$A$197,1,FALSE)),"","X")</f>
        <v/>
      </c>
      <c r="B408" s="161"/>
      <c r="C408" s="170" t="s">
        <v>73</v>
      </c>
      <c r="D408" s="21">
        <f>SUM(D340:D406)</f>
        <v>906301</v>
      </c>
      <c r="E408" s="21">
        <f>IF(+'2017'!O408="","",+'2017'!O408)</f>
        <v>906301.00000000035</v>
      </c>
      <c r="F408" s="22">
        <f>IF(+E408="","",IF($F$4="Per Unit",(IF($F$3="Monthly",+E408/Setup!$B$12/12,+E408/Setup!$B$12)),IF($F$3="Monthly",+E408/Setup!$B$13/12,+E408/Setup!$B$13)))</f>
        <v>4119.550000000002</v>
      </c>
      <c r="G408" s="102"/>
      <c r="H408" s="377">
        <f>+'2017'!C408</f>
        <v>75525.083333333343</v>
      </c>
      <c r="I408" s="377">
        <f>+'2017'!D408</f>
        <v>75525.083333333343</v>
      </c>
      <c r="J408" s="377">
        <f>+'2017'!E408</f>
        <v>75525.083333333343</v>
      </c>
      <c r="K408" s="377">
        <f>+'2017'!F408</f>
        <v>75525.083333333343</v>
      </c>
      <c r="L408" s="377">
        <f>+'2017'!G408</f>
        <v>75525.083333333343</v>
      </c>
      <c r="M408" s="377">
        <f>+'2017'!H408</f>
        <v>75525.083333333343</v>
      </c>
      <c r="N408" s="377">
        <f>+'2017'!I408</f>
        <v>75525.083333333343</v>
      </c>
      <c r="O408" s="377">
        <f>+'2017'!J408</f>
        <v>75525.083333333343</v>
      </c>
      <c r="P408" s="377">
        <f>+'2017'!K408</f>
        <v>75525.083333333343</v>
      </c>
      <c r="Q408" s="377">
        <f>+'2017'!L408</f>
        <v>75525.083333333343</v>
      </c>
      <c r="R408" s="377">
        <f>+'2017'!M408</f>
        <v>75525.083333333343</v>
      </c>
      <c r="S408" s="377">
        <f>+'2017'!N408</f>
        <v>75525.083333333343</v>
      </c>
      <c r="T408" s="4"/>
      <c r="U408" s="4"/>
    </row>
    <row r="409" spans="1:21" ht="10.5" customHeight="1">
      <c r="A409" s="10" t="str">
        <f>IF(ISNA(VLOOKUP(B409,Setup!$A$74:$A$197,1,FALSE)),"","X")</f>
        <v/>
      </c>
      <c r="B409" s="161"/>
      <c r="C409" s="165"/>
      <c r="D409" s="21"/>
      <c r="E409" s="21" t="str">
        <f>IF(+'2017'!O409="","",+'2017'!O409)</f>
        <v/>
      </c>
      <c r="F409" s="22" t="str">
        <f>IF(+E409="","",IF($F$4="Per Unit",(IF($F$3="Monthly",+E409/Setup!$B$12/12,+E409/Setup!$B$12)),IF($F$3="Monthly",+E409/Setup!$B$13/12,+E409/Setup!$B$13)))</f>
        <v/>
      </c>
      <c r="G409" s="102"/>
      <c r="H409" s="377"/>
      <c r="I409" s="377"/>
      <c r="J409" s="377"/>
      <c r="K409" s="377"/>
      <c r="L409" s="377"/>
      <c r="M409" s="377"/>
      <c r="N409" s="377"/>
      <c r="O409" s="377"/>
      <c r="P409" s="377"/>
      <c r="Q409" s="377"/>
      <c r="R409" s="377"/>
      <c r="S409" s="377"/>
      <c r="T409" s="4"/>
      <c r="U409" s="4"/>
    </row>
    <row r="410" spans="1:21" ht="10.5" customHeight="1">
      <c r="A410" s="10" t="str">
        <f>IF(ISNA(VLOOKUP(B410,Setup!$A$74:$A$197,1,FALSE)),"","X")</f>
        <v/>
      </c>
      <c r="B410" s="161"/>
      <c r="C410" s="160" t="s">
        <v>144</v>
      </c>
      <c r="D410" s="21"/>
      <c r="E410" s="21" t="str">
        <f>IF(+'2017'!O410="","",+'2017'!O410)</f>
        <v/>
      </c>
      <c r="F410" s="22" t="str">
        <f>IF(+E410="","",IF($F$4="Per Unit",(IF($F$3="Monthly",+E410/Setup!$B$12/12,+E410/Setup!$B$12)),IF($F$3="Monthly",+E410/Setup!$B$13/12,+E410/Setup!$B$13)))</f>
        <v/>
      </c>
      <c r="G410" s="102"/>
      <c r="H410" s="377"/>
      <c r="I410" s="377"/>
      <c r="J410" s="377"/>
      <c r="K410" s="377"/>
      <c r="L410" s="377"/>
      <c r="M410" s="377"/>
      <c r="N410" s="377"/>
      <c r="O410" s="377"/>
      <c r="P410" s="377"/>
      <c r="Q410" s="377"/>
      <c r="R410" s="377"/>
      <c r="S410" s="377"/>
      <c r="T410" s="4"/>
      <c r="U410" s="4"/>
    </row>
    <row r="411" spans="1:21" ht="10.5" customHeight="1">
      <c r="A411" s="10" t="str">
        <f>IF(ISNA(VLOOKUP(B411,Setup!$A$74:$A$197,1,FALSE)),"","X")</f>
        <v/>
      </c>
      <c r="B411" s="161">
        <v>111305</v>
      </c>
      <c r="C411" s="161" t="s">
        <v>483</v>
      </c>
      <c r="D411" s="21">
        <f>SUMIF('2016'!$A:$A,Input!$B411,'2016'!O:O)</f>
        <v>36449</v>
      </c>
      <c r="E411" s="21">
        <f>IF(+'2017'!O411="","",+'2017'!O411)</f>
        <v>36449</v>
      </c>
      <c r="F411" s="22">
        <f>IF(+E411="","",IF($F$4="Per Unit",(IF($F$3="Monthly",+E411/Setup!$B$12/12,+E411/Setup!$B$12)),IF($F$3="Monthly",+E411/Setup!$B$13/12,+E411/Setup!$B$13)))</f>
        <v>165.67727272727274</v>
      </c>
      <c r="G411" s="33">
        <f t="shared" ref="G411:G418" si="29">+D411/12</f>
        <v>3037.4166666666665</v>
      </c>
      <c r="H411" s="381"/>
      <c r="I411" s="381"/>
      <c r="J411" s="381"/>
      <c r="K411" s="381"/>
      <c r="L411" s="381"/>
      <c r="M411" s="381"/>
      <c r="N411" s="381"/>
      <c r="O411" s="381"/>
      <c r="P411" s="381"/>
      <c r="Q411" s="381"/>
      <c r="R411" s="381"/>
      <c r="S411" s="381"/>
      <c r="T411" s="362"/>
      <c r="U411" s="383"/>
    </row>
    <row r="412" spans="1:21" ht="10.5" customHeight="1">
      <c r="A412" s="10" t="str">
        <f>IF(ISNA(VLOOKUP(B412,Setup!$A$74:$A$197,1,FALSE)),"","X")</f>
        <v/>
      </c>
      <c r="B412" s="161">
        <v>111306</v>
      </c>
      <c r="C412" s="4" t="s">
        <v>483</v>
      </c>
      <c r="D412" s="21">
        <f>SUMIF('2016'!$A:$A,Input!$B412,'2016'!O:O)</f>
        <v>0</v>
      </c>
      <c r="E412" s="21">
        <f>IF(+'2017'!O412="","",+'2017'!O412)</f>
        <v>0</v>
      </c>
      <c r="F412" s="22">
        <f>IF(+E412="","",IF($F$4="Per Unit",(IF($F$3="Monthly",+E412/Setup!$B$12/12,+E412/Setup!$B$12)),IF($F$3="Monthly",+E412/Setup!$B$13/12,+E412/Setup!$B$13)))</f>
        <v>0</v>
      </c>
      <c r="G412" s="33">
        <f t="shared" si="29"/>
        <v>0</v>
      </c>
      <c r="H412" s="381"/>
      <c r="I412" s="381"/>
      <c r="J412" s="381"/>
      <c r="K412" s="381"/>
      <c r="L412" s="381"/>
      <c r="M412" s="381"/>
      <c r="N412" s="381"/>
      <c r="O412" s="381"/>
      <c r="P412" s="381"/>
      <c r="Q412" s="381"/>
      <c r="R412" s="381"/>
      <c r="S412" s="381"/>
      <c r="T412" s="362"/>
      <c r="U412" s="383"/>
    </row>
    <row r="413" spans="1:21" ht="10.5" customHeight="1">
      <c r="A413" s="10" t="str">
        <f>IF(ISNA(VLOOKUP(B413,Setup!$A$74:$A$197,1,FALSE)),"","X")</f>
        <v/>
      </c>
      <c r="B413" s="161">
        <v>111310</v>
      </c>
      <c r="C413" s="161" t="s">
        <v>485</v>
      </c>
      <c r="D413" s="21">
        <f>SUMIF('2016'!$A:$A,Input!$B413,'2016'!O:O)</f>
        <v>206056</v>
      </c>
      <c r="E413" s="21">
        <f>IF(+'2017'!O413="","",+'2017'!O413)</f>
        <v>206056.00000000003</v>
      </c>
      <c r="F413" s="22">
        <f>IF(+E413="","",IF($F$4="Per Unit",(IF($F$3="Monthly",+E413/Setup!$B$12/12,+E413/Setup!$B$12)),IF($F$3="Monthly",+E413/Setup!$B$13/12,+E413/Setup!$B$13)))</f>
        <v>936.61818181818194</v>
      </c>
      <c r="G413" s="33">
        <f t="shared" si="29"/>
        <v>17171.333333333332</v>
      </c>
      <c r="H413" s="381"/>
      <c r="I413" s="381"/>
      <c r="J413" s="381"/>
      <c r="K413" s="381"/>
      <c r="L413" s="381"/>
      <c r="M413" s="381"/>
      <c r="N413" s="381"/>
      <c r="O413" s="381"/>
      <c r="P413" s="381"/>
      <c r="Q413" s="381"/>
      <c r="R413" s="381"/>
      <c r="S413" s="381"/>
      <c r="T413" s="362"/>
      <c r="U413" s="383"/>
    </row>
    <row r="414" spans="1:21" ht="10.5" customHeight="1">
      <c r="A414" s="10" t="str">
        <f>IF(ISNA(VLOOKUP(B414,Setup!$A$74:$A$197,1,FALSE)),"","X")</f>
        <v/>
      </c>
      <c r="B414" s="161">
        <v>111315</v>
      </c>
      <c r="C414" s="161" t="s">
        <v>486</v>
      </c>
      <c r="D414" s="21">
        <f>SUMIF('2016'!$A:$A,Input!$B414,'2016'!O:O)</f>
        <v>152639</v>
      </c>
      <c r="E414" s="21">
        <f>IF(+'2017'!O414="","",+'2017'!O414)</f>
        <v>152639</v>
      </c>
      <c r="F414" s="22">
        <f>IF(+E414="","",IF($F$4="Per Unit",(IF($F$3="Monthly",+E414/Setup!$B$12/12,+E414/Setup!$B$12)),IF($F$3="Monthly",+E414/Setup!$B$13/12,+E414/Setup!$B$13)))</f>
        <v>693.81363636363642</v>
      </c>
      <c r="G414" s="33">
        <f t="shared" si="29"/>
        <v>12719.916666666666</v>
      </c>
      <c r="H414" s="381"/>
      <c r="I414" s="381"/>
      <c r="J414" s="381"/>
      <c r="K414" s="381"/>
      <c r="L414" s="381"/>
      <c r="M414" s="381"/>
      <c r="N414" s="381"/>
      <c r="O414" s="381"/>
      <c r="P414" s="381"/>
      <c r="Q414" s="381"/>
      <c r="R414" s="381"/>
      <c r="S414" s="381"/>
      <c r="T414" s="362"/>
      <c r="U414" s="383"/>
    </row>
    <row r="415" spans="1:21" ht="10.5" customHeight="1">
      <c r="A415" s="10" t="str">
        <f>IF(ISNA(VLOOKUP(B415,Setup!$A$74:$A$197,1,FALSE)),"","X")</f>
        <v/>
      </c>
      <c r="B415" s="161">
        <v>111320</v>
      </c>
      <c r="C415" s="161" t="s">
        <v>487</v>
      </c>
      <c r="D415" s="21">
        <f>SUMIF('2016'!$A:$A,Input!$B415,'2016'!O:O)</f>
        <v>0</v>
      </c>
      <c r="E415" s="21">
        <f>IF(+'2017'!O415="","",+'2017'!O415)</f>
        <v>0</v>
      </c>
      <c r="F415" s="22">
        <f>IF(+E415="","",IF($F$4="Per Unit",(IF($F$3="Monthly",+E415/Setup!$B$12/12,+E415/Setup!$B$12)),IF($F$3="Monthly",+E415/Setup!$B$13/12,+E415/Setup!$B$13)))</f>
        <v>0</v>
      </c>
      <c r="G415" s="33">
        <f t="shared" si="29"/>
        <v>0</v>
      </c>
      <c r="H415" s="381"/>
      <c r="I415" s="381"/>
      <c r="J415" s="381"/>
      <c r="K415" s="381"/>
      <c r="L415" s="381"/>
      <c r="M415" s="381"/>
      <c r="N415" s="381"/>
      <c r="O415" s="381"/>
      <c r="P415" s="381"/>
      <c r="Q415" s="381"/>
      <c r="R415" s="381"/>
      <c r="S415" s="381"/>
      <c r="T415" s="362"/>
      <c r="U415" s="383"/>
    </row>
    <row r="416" spans="1:21" ht="10.5" customHeight="1">
      <c r="A416" s="10" t="str">
        <f>IF(ISNA(VLOOKUP(B416,Setup!$A$74:$A$197,1,FALSE)),"","X")</f>
        <v/>
      </c>
      <c r="B416" s="161">
        <v>111325</v>
      </c>
      <c r="C416" s="161" t="s">
        <v>488</v>
      </c>
      <c r="D416" s="21">
        <f>SUMIF('2016'!$A:$A,Input!$B416,'2016'!O:O)</f>
        <v>0</v>
      </c>
      <c r="E416" s="21">
        <f>IF(+'2017'!O416="","",+'2017'!O416)</f>
        <v>0</v>
      </c>
      <c r="F416" s="22">
        <f>IF(+E416="","",IF($F$4="Per Unit",(IF($F$3="Monthly",+E416/Setup!$B$12/12,+E416/Setup!$B$12)),IF($F$3="Monthly",+E416/Setup!$B$13/12,+E416/Setup!$B$13)))</f>
        <v>0</v>
      </c>
      <c r="G416" s="33">
        <f t="shared" si="29"/>
        <v>0</v>
      </c>
      <c r="H416" s="381"/>
      <c r="I416" s="381"/>
      <c r="J416" s="381"/>
      <c r="K416" s="381"/>
      <c r="L416" s="381"/>
      <c r="M416" s="381"/>
      <c r="N416" s="381"/>
      <c r="O416" s="381"/>
      <c r="P416" s="381"/>
      <c r="Q416" s="381"/>
      <c r="R416" s="381"/>
      <c r="S416" s="381"/>
      <c r="T416" s="362"/>
      <c r="U416" s="383"/>
    </row>
    <row r="417" spans="1:21" ht="10.5" customHeight="1">
      <c r="A417" s="10" t="str">
        <f>IF(ISNA(VLOOKUP(B417,Setup!$A$74:$A$197,1,FALSE)),"","X")</f>
        <v/>
      </c>
      <c r="B417" s="161">
        <v>111330</v>
      </c>
      <c r="C417" s="161" t="s">
        <v>489</v>
      </c>
      <c r="D417" s="21">
        <f>SUMIF('2016'!$A:$A,Input!$B417,'2016'!O:O)</f>
        <v>0</v>
      </c>
      <c r="E417" s="21">
        <f>IF(+'2017'!O417="","",+'2017'!O417)</f>
        <v>0</v>
      </c>
      <c r="F417" s="22">
        <f>IF(+E417="","",IF($F$4="Per Unit",(IF($F$3="Monthly",+E417/Setup!$B$12/12,+E417/Setup!$B$12)),IF($F$3="Monthly",+E417/Setup!$B$13/12,+E417/Setup!$B$13)))</f>
        <v>0</v>
      </c>
      <c r="G417" s="33">
        <f t="shared" si="29"/>
        <v>0</v>
      </c>
      <c r="H417" s="381"/>
      <c r="I417" s="381"/>
      <c r="J417" s="381"/>
      <c r="K417" s="381"/>
      <c r="L417" s="381"/>
      <c r="M417" s="381"/>
      <c r="N417" s="381"/>
      <c r="O417" s="381"/>
      <c r="P417" s="381"/>
      <c r="Q417" s="381"/>
      <c r="R417" s="381"/>
      <c r="S417" s="381"/>
      <c r="T417" s="362"/>
      <c r="U417" s="383"/>
    </row>
    <row r="418" spans="1:21" ht="10.5" customHeight="1">
      <c r="A418" s="10" t="str">
        <f>IF(ISNA(VLOOKUP(B418,Setup!$A$74:$A$197,1,FALSE)),"","X")</f>
        <v/>
      </c>
      <c r="B418" s="161">
        <v>111335</v>
      </c>
      <c r="C418" s="161" t="s">
        <v>490</v>
      </c>
      <c r="D418" s="21">
        <f>SUMIF('2016'!$A:$A,Input!$B418,'2016'!O:O)</f>
        <v>0</v>
      </c>
      <c r="E418" s="21">
        <f>IF(+'2017'!O418="","",+'2017'!O418)</f>
        <v>0</v>
      </c>
      <c r="F418" s="22">
        <f>IF(+E418="","",IF($F$4="Per Unit",(IF($F$3="Monthly",+E418/Setup!$B$12/12,+E418/Setup!$B$12)),IF($F$3="Monthly",+E418/Setup!$B$13/12,+E418/Setup!$B$13)))</f>
        <v>0</v>
      </c>
      <c r="G418" s="33">
        <f t="shared" si="29"/>
        <v>0</v>
      </c>
      <c r="H418" s="381"/>
      <c r="I418" s="381"/>
      <c r="J418" s="381"/>
      <c r="K418" s="381"/>
      <c r="L418" s="381"/>
      <c r="M418" s="381"/>
      <c r="N418" s="381"/>
      <c r="O418" s="381"/>
      <c r="P418" s="381"/>
      <c r="Q418" s="381"/>
      <c r="R418" s="381"/>
      <c r="S418" s="381"/>
      <c r="T418" s="362"/>
      <c r="U418" s="383"/>
    </row>
    <row r="419" spans="1:21" ht="10.5" customHeight="1">
      <c r="A419" s="10" t="str">
        <f>IF(ISNA(VLOOKUP(B419,Setup!$A$74:$A$197,1,FALSE)),"","X")</f>
        <v/>
      </c>
      <c r="B419" s="161"/>
      <c r="C419" s="163"/>
      <c r="D419" s="21"/>
      <c r="E419" s="21" t="str">
        <f>IF(+'2017'!O419="","",+'2017'!O419)</f>
        <v/>
      </c>
      <c r="F419" s="22" t="str">
        <f>IF(+E419="","",IF($F$4="Per Unit",(IF($F$3="Monthly",+E419/Setup!$B$12/12,+E419/Setup!$B$12)),IF($F$3="Monthly",+E419/Setup!$B$13/12,+E419/Setup!$B$13)))</f>
        <v/>
      </c>
      <c r="G419" s="102"/>
      <c r="H419" s="377"/>
      <c r="I419" s="377"/>
      <c r="J419" s="377"/>
      <c r="K419" s="377"/>
      <c r="L419" s="377"/>
      <c r="M419" s="377"/>
      <c r="N419" s="377"/>
      <c r="O419" s="377"/>
      <c r="P419" s="377"/>
      <c r="Q419" s="377"/>
      <c r="R419" s="377"/>
      <c r="S419" s="377"/>
      <c r="T419" s="4"/>
      <c r="U419" s="4"/>
    </row>
    <row r="420" spans="1:21" ht="10.5" customHeight="1">
      <c r="A420" s="10" t="str">
        <f>IF(ISNA(VLOOKUP(B420,Setup!$A$74:$A$197,1,FALSE)),"","X")</f>
        <v/>
      </c>
      <c r="B420" s="161"/>
      <c r="C420" s="170" t="s">
        <v>144</v>
      </c>
      <c r="D420" s="21">
        <f>SUM(D411:D418)</f>
        <v>395144</v>
      </c>
      <c r="E420" s="21">
        <f>IF(+'2017'!O420="","",+'2017'!O420)</f>
        <v>395144</v>
      </c>
      <c r="F420" s="22">
        <f>IF(+E420="","",IF($F$4="Per Unit",(IF($F$3="Monthly",+E420/Setup!$B$12/12,+E420/Setup!$B$12)),IF($F$3="Monthly",+E420/Setup!$B$13/12,+E420/Setup!$B$13)))</f>
        <v>1796.1090909090908</v>
      </c>
      <c r="G420" s="102"/>
      <c r="H420" s="377">
        <f>+'2017'!C420</f>
        <v>32928.666666666664</v>
      </c>
      <c r="I420" s="377">
        <f>+'2017'!D420</f>
        <v>32928.666666666664</v>
      </c>
      <c r="J420" s="377">
        <f>+'2017'!E420</f>
        <v>32928.666666666664</v>
      </c>
      <c r="K420" s="377">
        <f>+'2017'!F420</f>
        <v>32928.666666666664</v>
      </c>
      <c r="L420" s="377">
        <f>+'2017'!G420</f>
        <v>32928.666666666664</v>
      </c>
      <c r="M420" s="377">
        <f>+'2017'!H420</f>
        <v>32928.666666666664</v>
      </c>
      <c r="N420" s="377">
        <f>+'2017'!I420</f>
        <v>32928.666666666664</v>
      </c>
      <c r="O420" s="377">
        <f>+'2017'!J420</f>
        <v>32928.666666666664</v>
      </c>
      <c r="P420" s="377">
        <f>+'2017'!K420</f>
        <v>32928.666666666664</v>
      </c>
      <c r="Q420" s="377">
        <f>+'2017'!L420</f>
        <v>32928.666666666664</v>
      </c>
      <c r="R420" s="377">
        <f>+'2017'!M420</f>
        <v>32928.666666666664</v>
      </c>
      <c r="S420" s="377">
        <f>+'2017'!N420</f>
        <v>32928.666666666664</v>
      </c>
      <c r="T420" s="4"/>
      <c r="U420" s="4"/>
    </row>
    <row r="421" spans="1:21" ht="10.5" customHeight="1">
      <c r="A421" s="10" t="str">
        <f>IF(ISNA(VLOOKUP(B421,Setup!$A$74:$A$197,1,FALSE)),"","X")</f>
        <v/>
      </c>
      <c r="B421" s="161"/>
      <c r="C421" s="165"/>
      <c r="D421" s="21"/>
      <c r="E421" s="21" t="str">
        <f>IF(+'2017'!O421="","",+'2017'!O421)</f>
        <v/>
      </c>
      <c r="F421" s="22" t="str">
        <f>IF(+E421="","",IF($F$4="Per Unit",(IF($F$3="Monthly",+E421/Setup!$B$12/12,+E421/Setup!$B$12)),IF($F$3="Monthly",+E421/Setup!$B$13/12,+E421/Setup!$B$13)))</f>
        <v/>
      </c>
      <c r="G421" s="102"/>
      <c r="H421" s="377"/>
      <c r="I421" s="377"/>
      <c r="J421" s="377"/>
      <c r="K421" s="377"/>
      <c r="L421" s="377"/>
      <c r="M421" s="377"/>
      <c r="N421" s="377"/>
      <c r="O421" s="377"/>
      <c r="P421" s="377"/>
      <c r="Q421" s="377"/>
      <c r="R421" s="377"/>
      <c r="S421" s="377"/>
      <c r="T421" s="4"/>
      <c r="U421" s="4"/>
    </row>
    <row r="422" spans="1:21" ht="10.5" customHeight="1">
      <c r="A422" s="10" t="str">
        <f>IF(ISNA(VLOOKUP(B422,Setup!$A$74:$A$197,1,FALSE)),"","X")</f>
        <v/>
      </c>
      <c r="B422" s="161"/>
      <c r="C422" s="160" t="s">
        <v>145</v>
      </c>
      <c r="D422" s="21"/>
      <c r="E422" s="21" t="str">
        <f>IF(+'2017'!O422="","",+'2017'!O422)</f>
        <v/>
      </c>
      <c r="F422" s="22" t="str">
        <f>IF(+E422="","",IF($F$4="Per Unit",(IF($F$3="Monthly",+E422/Setup!$B$12/12,+E422/Setup!$B$12)),IF($F$3="Monthly",+E422/Setup!$B$13/12,+E422/Setup!$B$13)))</f>
        <v/>
      </c>
      <c r="G422" s="102"/>
      <c r="H422" s="377"/>
      <c r="I422" s="377"/>
      <c r="J422" s="377"/>
      <c r="K422" s="377"/>
      <c r="L422" s="377"/>
      <c r="M422" s="377"/>
      <c r="N422" s="377"/>
      <c r="O422" s="377"/>
      <c r="P422" s="377"/>
      <c r="Q422" s="377"/>
      <c r="R422" s="377"/>
      <c r="S422" s="377"/>
      <c r="T422" s="4"/>
      <c r="U422" s="4"/>
    </row>
    <row r="423" spans="1:21" ht="10.5" customHeight="1">
      <c r="A423" s="10" t="str">
        <f>IF(ISNA(VLOOKUP(B423,Setup!$A$74:$A$197,1,FALSE)),"","X")</f>
        <v/>
      </c>
      <c r="B423" s="161">
        <v>241105</v>
      </c>
      <c r="C423" s="161" t="s">
        <v>491</v>
      </c>
      <c r="D423" s="21">
        <f>SUMIF('2016'!$A:$A,Input!$B423,'2016'!O:O)</f>
        <v>81900000</v>
      </c>
      <c r="E423" s="21">
        <f>IF(+'2017'!O423="","",+'2017'!O423)</f>
        <v>0</v>
      </c>
      <c r="F423" s="22">
        <f>IF(+E423="","",IF($F$4="Per Unit",(IF($F$3="Monthly",+E423/Setup!$B$12/12,+E423/Setup!$B$12)),IF($F$3="Monthly",+E423/Setup!$B$13/12,+E423/Setup!$B$13)))</f>
        <v>0</v>
      </c>
      <c r="G423" s="33"/>
      <c r="H423" s="381"/>
      <c r="I423" s="381"/>
      <c r="J423" s="381"/>
      <c r="K423" s="381"/>
      <c r="L423" s="381"/>
      <c r="M423" s="381"/>
      <c r="N423" s="381"/>
      <c r="O423" s="381"/>
      <c r="P423" s="381"/>
      <c r="Q423" s="381"/>
      <c r="R423" s="381"/>
      <c r="S423" s="381"/>
      <c r="T423" s="362"/>
      <c r="U423" s="383"/>
    </row>
    <row r="424" spans="1:21" ht="10.5" customHeight="1">
      <c r="A424" s="10" t="str">
        <f>IF(ISNA(VLOOKUP(B424,Setup!$A$74:$A$197,1,FALSE)),"","X")</f>
        <v/>
      </c>
      <c r="B424" s="161">
        <v>241110</v>
      </c>
      <c r="C424" s="161" t="s">
        <v>492</v>
      </c>
      <c r="D424" s="21">
        <f>SUMIF('2016'!$A:$A,Input!$B424,'2016'!O:O)</f>
        <v>-4906283</v>
      </c>
      <c r="E424" s="21">
        <f>IF(+'2017'!O424="","",+'2017'!O424)</f>
        <v>0</v>
      </c>
      <c r="F424" s="22">
        <f>IF(+E424="","",IF($F$4="Per Unit",(IF($F$3="Monthly",+E424/Setup!$B$12/12,+E424/Setup!$B$12)),IF($F$3="Monthly",+E424/Setup!$B$13/12,+E424/Setup!$B$13)))</f>
        <v>0</v>
      </c>
      <c r="G424" s="33"/>
      <c r="H424" s="381"/>
      <c r="I424" s="381"/>
      <c r="J424" s="381"/>
      <c r="K424" s="381"/>
      <c r="L424" s="381"/>
      <c r="M424" s="381"/>
      <c r="N424" s="381"/>
      <c r="O424" s="381"/>
      <c r="P424" s="381"/>
      <c r="Q424" s="381"/>
      <c r="R424" s="381"/>
      <c r="S424" s="381"/>
      <c r="T424" s="362"/>
      <c r="U424" s="383"/>
    </row>
    <row r="425" spans="1:21" ht="10.5" customHeight="1">
      <c r="A425" s="10"/>
      <c r="B425" s="161">
        <v>241115</v>
      </c>
      <c r="C425" s="161" t="s">
        <v>493</v>
      </c>
      <c r="D425" s="21">
        <f>SUMIF('2016'!$A:$A,Input!$B425,'2016'!O:O)</f>
        <v>0</v>
      </c>
      <c r="E425" s="21">
        <f>IF(+'2017'!O425="","",+'2017'!O425)</f>
        <v>0</v>
      </c>
      <c r="F425" s="22">
        <f>IF(+E425="","",IF($F$4="Per Unit",(IF($F$3="Monthly",+E425/Setup!$B$12/12,+E425/Setup!$B$12)),IF($F$3="Monthly",+E425/Setup!$B$13/12,+E425/Setup!$B$13)))</f>
        <v>0</v>
      </c>
      <c r="G425" s="33"/>
      <c r="H425" s="381"/>
      <c r="I425" s="381"/>
      <c r="J425" s="381"/>
      <c r="K425" s="381"/>
      <c r="L425" s="381"/>
      <c r="M425" s="381"/>
      <c r="N425" s="381"/>
      <c r="O425" s="381"/>
      <c r="P425" s="381"/>
      <c r="Q425" s="381"/>
      <c r="R425" s="381"/>
      <c r="S425" s="381"/>
      <c r="T425" s="362"/>
      <c r="U425" s="383"/>
    </row>
    <row r="426" spans="1:21" s="127" customFormat="1" ht="10.5" customHeight="1">
      <c r="B426" s="161">
        <v>241120</v>
      </c>
      <c r="C426" s="161" t="s">
        <v>494</v>
      </c>
      <c r="D426" s="21">
        <f>SUMIF('2016'!$A:$A,Input!$B426,'2016'!O:O)</f>
        <v>0</v>
      </c>
      <c r="E426" s="21">
        <f>IF(+'2017'!O426="","",+'2017'!O426)</f>
        <v>0</v>
      </c>
      <c r="F426" s="22">
        <f>IF(+E426="","",IF($F$4="Per Unit",(IF($F$3="Monthly",+E426/Setup!$B$12/12,+E426/Setup!$B$12)),IF($F$3="Monthly",+E426/Setup!$B$13/12,+E426/Setup!$B$13)))</f>
        <v>0</v>
      </c>
      <c r="G426" s="33"/>
      <c r="H426" s="381"/>
      <c r="I426" s="381"/>
      <c r="J426" s="381"/>
      <c r="K426" s="381"/>
      <c r="L426" s="381"/>
      <c r="M426" s="381"/>
      <c r="N426" s="381"/>
      <c r="O426" s="381"/>
      <c r="P426" s="381"/>
      <c r="Q426" s="381"/>
      <c r="R426" s="381"/>
      <c r="S426" s="381"/>
      <c r="T426" s="362"/>
      <c r="U426" s="383"/>
    </row>
    <row r="427" spans="1:21" s="127" customFormat="1" ht="10.5" customHeight="1">
      <c r="B427" s="161">
        <v>241125</v>
      </c>
      <c r="C427" s="161" t="s">
        <v>495</v>
      </c>
      <c r="D427" s="21">
        <f>SUMIF('2016'!$A:$A,Input!$B427,'2016'!O:O)</f>
        <v>0</v>
      </c>
      <c r="E427" s="21">
        <f>IF(+'2017'!O427="","",+'2017'!O427)</f>
        <v>0</v>
      </c>
      <c r="F427" s="22">
        <f>IF(+E427="","",IF($F$4="Per Unit",(IF($F$3="Monthly",+E427/Setup!$B$12/12,+E427/Setup!$B$12)),IF($F$3="Monthly",+E427/Setup!$B$13/12,+E427/Setup!$B$13)))</f>
        <v>0</v>
      </c>
      <c r="G427" s="33"/>
      <c r="H427" s="381"/>
      <c r="I427" s="381"/>
      <c r="J427" s="381"/>
      <c r="K427" s="381"/>
      <c r="L427" s="381"/>
      <c r="M427" s="381"/>
      <c r="N427" s="381"/>
      <c r="O427" s="381"/>
      <c r="P427" s="381"/>
      <c r="Q427" s="381"/>
      <c r="R427" s="381"/>
      <c r="S427" s="381"/>
      <c r="T427" s="362"/>
      <c r="U427" s="383"/>
    </row>
    <row r="428" spans="1:21" s="127" customFormat="1" ht="10.5" customHeight="1">
      <c r="B428" s="161">
        <v>241130</v>
      </c>
      <c r="C428" s="161" t="s">
        <v>496</v>
      </c>
      <c r="D428" s="21">
        <f>SUMIF('2016'!$A:$A,Input!$B428,'2016'!O:O)</f>
        <v>0</v>
      </c>
      <c r="E428" s="21">
        <f>IF(+'2017'!O428="","",+'2017'!O428)</f>
        <v>0</v>
      </c>
      <c r="F428" s="22">
        <f>IF(+E428="","",IF($F$4="Per Unit",(IF($F$3="Monthly",+E428/Setup!$B$12/12,+E428/Setup!$B$12)),IF($F$3="Monthly",+E428/Setup!$B$13/12,+E428/Setup!$B$13)))</f>
        <v>0</v>
      </c>
      <c r="G428" s="33"/>
      <c r="H428" s="381"/>
      <c r="I428" s="381"/>
      <c r="J428" s="381"/>
      <c r="K428" s="381"/>
      <c r="L428" s="381"/>
      <c r="M428" s="381"/>
      <c r="N428" s="381"/>
      <c r="O428" s="381"/>
      <c r="P428" s="381"/>
      <c r="Q428" s="381"/>
      <c r="R428" s="381"/>
      <c r="S428" s="381"/>
      <c r="T428" s="362"/>
      <c r="U428" s="383"/>
    </row>
    <row r="429" spans="1:21" s="127" customFormat="1" ht="10.5" customHeight="1">
      <c r="B429" s="161">
        <v>241135</v>
      </c>
      <c r="C429" s="161" t="s">
        <v>497</v>
      </c>
      <c r="D429" s="21">
        <f>SUMIF('2016'!$A:$A,Input!$B429,'2016'!O:O)</f>
        <v>0</v>
      </c>
      <c r="E429" s="21">
        <f>IF(+'2017'!O429="","",+'2017'!O429)</f>
        <v>0</v>
      </c>
      <c r="F429" s="22">
        <f>IF(+E429="","",IF($F$4="Per Unit",(IF($F$3="Monthly",+E429/Setup!$B$12/12,+E429/Setup!$B$12)),IF($F$3="Monthly",+E429/Setup!$B$13/12,+E429/Setup!$B$13)))</f>
        <v>0</v>
      </c>
      <c r="G429" s="33"/>
      <c r="H429" s="381"/>
      <c r="I429" s="381"/>
      <c r="J429" s="381"/>
      <c r="K429" s="381"/>
      <c r="L429" s="381"/>
      <c r="M429" s="381"/>
      <c r="N429" s="381"/>
      <c r="O429" s="381"/>
      <c r="P429" s="381"/>
      <c r="Q429" s="381"/>
      <c r="R429" s="381"/>
      <c r="S429" s="381"/>
      <c r="T429" s="362"/>
      <c r="U429" s="383"/>
    </row>
    <row r="430" spans="1:21" s="127" customFormat="1" ht="10.5" customHeight="1">
      <c r="B430" s="161">
        <v>241140</v>
      </c>
      <c r="C430" s="161" t="s">
        <v>498</v>
      </c>
      <c r="D430" s="21">
        <f>SUMIF('2016'!$A:$A,Input!$B430,'2016'!O:O)</f>
        <v>0</v>
      </c>
      <c r="E430" s="21">
        <f>IF(+'2017'!O430="","",+'2017'!O430)</f>
        <v>0</v>
      </c>
      <c r="F430" s="22">
        <f>IF(+E430="","",IF($F$4="Per Unit",(IF($F$3="Monthly",+E430/Setup!$B$12/12,+E430/Setup!$B$12)),IF($F$3="Monthly",+E430/Setup!$B$13/12,+E430/Setup!$B$13)))</f>
        <v>0</v>
      </c>
      <c r="G430" s="33"/>
      <c r="H430" s="381"/>
      <c r="I430" s="381"/>
      <c r="J430" s="381"/>
      <c r="K430" s="381"/>
      <c r="L430" s="381"/>
      <c r="M430" s="381"/>
      <c r="N430" s="381"/>
      <c r="O430" s="381"/>
      <c r="P430" s="381"/>
      <c r="Q430" s="381"/>
      <c r="R430" s="381"/>
      <c r="S430" s="381"/>
      <c r="T430" s="362"/>
      <c r="U430" s="383"/>
    </row>
    <row r="431" spans="1:21" s="127" customFormat="1" ht="10.5" customHeight="1">
      <c r="B431" s="161">
        <v>241145</v>
      </c>
      <c r="C431" s="161" t="s">
        <v>499</v>
      </c>
      <c r="D431" s="21">
        <f>SUMIF('2016'!$A:$A,Input!$B431,'2016'!O:O)</f>
        <v>0</v>
      </c>
      <c r="E431" s="21">
        <f>IF(+'2017'!O431="","",+'2017'!O431)</f>
        <v>0</v>
      </c>
      <c r="F431" s="22">
        <f>IF(+E431="","",IF($F$4="Per Unit",(IF($F$3="Monthly",+E431/Setup!$B$12/12,+E431/Setup!$B$12)),IF($F$3="Monthly",+E431/Setup!$B$13/12,+E431/Setup!$B$13)))</f>
        <v>0</v>
      </c>
      <c r="G431" s="33"/>
      <c r="H431" s="381"/>
      <c r="I431" s="381"/>
      <c r="J431" s="381"/>
      <c r="K431" s="381"/>
      <c r="L431" s="381"/>
      <c r="M431" s="381"/>
      <c r="N431" s="381"/>
      <c r="O431" s="381"/>
      <c r="P431" s="381"/>
      <c r="Q431" s="381"/>
      <c r="R431" s="381"/>
      <c r="S431" s="381"/>
      <c r="T431" s="362"/>
      <c r="U431" s="383"/>
    </row>
    <row r="432" spans="1:21" s="127" customFormat="1" ht="10.5" customHeight="1">
      <c r="B432" s="161">
        <v>241150</v>
      </c>
      <c r="C432" s="161" t="s">
        <v>500</v>
      </c>
      <c r="D432" s="21">
        <f>SUMIF('2016'!$A:$A,Input!$B432,'2016'!O:O)</f>
        <v>0</v>
      </c>
      <c r="E432" s="21">
        <f>IF(+'2017'!O432="","",+'2017'!O432)</f>
        <v>0</v>
      </c>
      <c r="F432" s="22">
        <f>IF(+E432="","",IF($F$4="Per Unit",(IF($F$3="Monthly",+E432/Setup!$B$12/12,+E432/Setup!$B$12)),IF($F$3="Monthly",+E432/Setup!$B$13/12,+E432/Setup!$B$13)))</f>
        <v>0</v>
      </c>
      <c r="G432" s="33"/>
      <c r="H432" s="381"/>
      <c r="I432" s="381"/>
      <c r="J432" s="381"/>
      <c r="K432" s="381"/>
      <c r="L432" s="381"/>
      <c r="M432" s="381"/>
      <c r="N432" s="381"/>
      <c r="O432" s="381"/>
      <c r="P432" s="381"/>
      <c r="Q432" s="381"/>
      <c r="R432" s="381"/>
      <c r="S432" s="381"/>
      <c r="T432" s="362"/>
      <c r="U432" s="383"/>
    </row>
    <row r="433" spans="2:21" s="127" customFormat="1" ht="10.5" customHeight="1">
      <c r="B433" s="161">
        <v>241155</v>
      </c>
      <c r="C433" s="161" t="s">
        <v>501</v>
      </c>
      <c r="D433" s="21">
        <f>SUMIF('2016'!$A:$A,Input!$B433,'2016'!O:O)</f>
        <v>0</v>
      </c>
      <c r="E433" s="21">
        <f>IF(+'2017'!O433="","",+'2017'!O433)</f>
        <v>0</v>
      </c>
      <c r="F433" s="22">
        <f>IF(+E433="","",IF($F$4="Per Unit",(IF($F$3="Monthly",+E433/Setup!$B$12/12,+E433/Setup!$B$12)),IF($F$3="Monthly",+E433/Setup!$B$13/12,+E433/Setup!$B$13)))</f>
        <v>0</v>
      </c>
      <c r="G433" s="33"/>
      <c r="H433" s="381"/>
      <c r="I433" s="381"/>
      <c r="J433" s="381"/>
      <c r="K433" s="381"/>
      <c r="L433" s="381"/>
      <c r="M433" s="381"/>
      <c r="N433" s="381"/>
      <c r="O433" s="381"/>
      <c r="P433" s="381"/>
      <c r="Q433" s="381"/>
      <c r="R433" s="381"/>
      <c r="S433" s="381"/>
      <c r="T433" s="362"/>
      <c r="U433" s="383"/>
    </row>
    <row r="434" spans="2:21" s="127" customFormat="1" ht="10.5" customHeight="1">
      <c r="B434" s="161">
        <v>241160</v>
      </c>
      <c r="C434" s="161" t="s">
        <v>502</v>
      </c>
      <c r="D434" s="21">
        <f>SUMIF('2016'!$A:$A,Input!$B434,'2016'!O:O)</f>
        <v>0</v>
      </c>
      <c r="E434" s="21">
        <f>IF(+'2017'!O434="","",+'2017'!O434)</f>
        <v>0</v>
      </c>
      <c r="F434" s="22">
        <f>IF(+E434="","",IF($F$4="Per Unit",(IF($F$3="Monthly",+E434/Setup!$B$12/12,+E434/Setup!$B$12)),IF($F$3="Monthly",+E434/Setup!$B$13/12,+E434/Setup!$B$13)))</f>
        <v>0</v>
      </c>
      <c r="G434" s="33"/>
      <c r="H434" s="381"/>
      <c r="I434" s="381"/>
      <c r="J434" s="381"/>
      <c r="K434" s="381"/>
      <c r="L434" s="381"/>
      <c r="M434" s="381"/>
      <c r="N434" s="381"/>
      <c r="O434" s="381"/>
      <c r="P434" s="381"/>
      <c r="Q434" s="381"/>
      <c r="R434" s="381"/>
      <c r="S434" s="381"/>
      <c r="T434" s="362"/>
      <c r="U434" s="383"/>
    </row>
    <row r="435" spans="2:21" s="127" customFormat="1" ht="10.5" customHeight="1">
      <c r="B435" s="161">
        <v>242725</v>
      </c>
      <c r="C435" s="161" t="s">
        <v>503</v>
      </c>
      <c r="D435" s="21">
        <f>SUMIF('2016'!$A:$A,Input!$B435,'2016'!O:O)</f>
        <v>0</v>
      </c>
      <c r="E435" s="21">
        <f>IF(+'2017'!O435="","",+'2017'!O435)</f>
        <v>0</v>
      </c>
      <c r="F435" s="22">
        <f>IF(+E435="","",IF($F$4="Per Unit",(IF($F$3="Monthly",+E435/Setup!$B$12/12,+E435/Setup!$B$12)),IF($F$3="Monthly",+E435/Setup!$B$13/12,+E435/Setup!$B$13)))</f>
        <v>0</v>
      </c>
      <c r="G435" s="33"/>
      <c r="H435" s="381"/>
      <c r="I435" s="381"/>
      <c r="J435" s="381"/>
      <c r="K435" s="381"/>
      <c r="L435" s="381"/>
      <c r="M435" s="381"/>
      <c r="N435" s="381"/>
      <c r="O435" s="381"/>
      <c r="P435" s="381"/>
      <c r="Q435" s="381"/>
      <c r="R435" s="381"/>
      <c r="S435" s="381"/>
      <c r="T435" s="362"/>
      <c r="U435" s="383"/>
    </row>
    <row r="436" spans="2:21" s="127" customFormat="1" ht="10.5" customHeight="1">
      <c r="B436" s="161">
        <v>242726</v>
      </c>
      <c r="C436" s="161" t="s">
        <v>504</v>
      </c>
      <c r="D436" s="21">
        <f>SUMIF('2016'!$A:$A,Input!$B436,'2016'!O:O)</f>
        <v>0</v>
      </c>
      <c r="E436" s="21">
        <f>IF(+'2017'!O436="","",+'2017'!O436)</f>
        <v>0</v>
      </c>
      <c r="F436" s="22">
        <f>IF(+E436="","",IF($F$4="Per Unit",(IF($F$3="Monthly",+E436/Setup!$B$12/12,+E436/Setup!$B$12)),IF($F$3="Monthly",+E436/Setup!$B$13/12,+E436/Setup!$B$13)))</f>
        <v>0</v>
      </c>
      <c r="G436" s="33"/>
      <c r="H436" s="381"/>
      <c r="I436" s="381"/>
      <c r="J436" s="381"/>
      <c r="K436" s="381"/>
      <c r="L436" s="381"/>
      <c r="M436" s="381"/>
      <c r="N436" s="381"/>
      <c r="O436" s="381"/>
      <c r="P436" s="381"/>
      <c r="Q436" s="381"/>
      <c r="R436" s="381"/>
      <c r="S436" s="381"/>
      <c r="T436" s="362"/>
      <c r="U436" s="383"/>
    </row>
    <row r="437" spans="2:21" s="127" customFormat="1" ht="10.5" customHeight="1">
      <c r="C437" s="163"/>
      <c r="D437" s="21"/>
      <c r="E437" s="21" t="str">
        <f>IF(+'2017'!O437="","",+'2017'!O437)</f>
        <v/>
      </c>
      <c r="F437" s="22" t="str">
        <f>IF(+E437="","",IF($F$4="Per Unit",(IF($F$3="Monthly",+E437/Setup!$B$12/12,+E437/Setup!$B$12)),IF($F$3="Monthly",+E437/Setup!$B$13/12,+E437/Setup!$B$13)))</f>
        <v/>
      </c>
      <c r="G437" s="102"/>
      <c r="H437" s="377"/>
      <c r="I437" s="377"/>
      <c r="J437" s="377"/>
      <c r="K437" s="377"/>
      <c r="L437" s="377"/>
      <c r="M437" s="377"/>
      <c r="N437" s="377"/>
      <c r="O437" s="377"/>
      <c r="P437" s="377"/>
      <c r="Q437" s="377"/>
      <c r="R437" s="377"/>
      <c r="S437" s="377"/>
      <c r="T437" s="4"/>
      <c r="U437" s="4"/>
    </row>
    <row r="438" spans="2:21" s="127" customFormat="1" ht="10.5" customHeight="1">
      <c r="C438" s="170" t="s">
        <v>518</v>
      </c>
      <c r="D438" s="21">
        <f>SUM(D423:D436)</f>
        <v>76993717</v>
      </c>
      <c r="E438" s="21">
        <f>IF(+'2017'!O438="","",+'2017'!O438)</f>
        <v>0</v>
      </c>
      <c r="F438" s="22">
        <f>IF(+E438="","",IF($F$4="Per Unit",(IF($F$3="Monthly",+E438/Setup!$B$12/12,+E438/Setup!$B$12)),IF($F$3="Monthly",+E438/Setup!$B$13/12,+E438/Setup!$B$13)))</f>
        <v>0</v>
      </c>
      <c r="G438" s="102"/>
      <c r="H438" s="377">
        <f>+'2017'!C438</f>
        <v>0</v>
      </c>
      <c r="I438" s="377">
        <f>+'2017'!D438</f>
        <v>0</v>
      </c>
      <c r="J438" s="377">
        <f>+'2017'!E438</f>
        <v>0</v>
      </c>
      <c r="K438" s="377">
        <f>+'2017'!F438</f>
        <v>0</v>
      </c>
      <c r="L438" s="377">
        <f>+'2017'!G438</f>
        <v>0</v>
      </c>
      <c r="M438" s="377">
        <f>+'2017'!H438</f>
        <v>0</v>
      </c>
      <c r="N438" s="377">
        <f>+'2017'!I438</f>
        <v>0</v>
      </c>
      <c r="O438" s="377">
        <f>+'2017'!J438</f>
        <v>0</v>
      </c>
      <c r="P438" s="377">
        <f>+'2017'!K438</f>
        <v>0</v>
      </c>
      <c r="Q438" s="377">
        <f>+'2017'!L438</f>
        <v>0</v>
      </c>
      <c r="R438" s="377">
        <f>+'2017'!M438</f>
        <v>0</v>
      </c>
      <c r="S438" s="377">
        <f>+'2017'!N438</f>
        <v>0</v>
      </c>
      <c r="T438" s="4"/>
      <c r="U438" s="4"/>
    </row>
  </sheetData>
  <phoneticPr fontId="18" type="noConversion"/>
  <conditionalFormatting sqref="B6:B40">
    <cfRule type="expression" dxfId="8" priority="9">
      <formula>+A6="x"</formula>
    </cfRule>
  </conditionalFormatting>
  <conditionalFormatting sqref="V427:IV438 A437:B438 A427:A436">
    <cfRule type="expression" dxfId="7" priority="7">
      <formula>+XFD427="x"</formula>
    </cfRule>
  </conditionalFormatting>
  <conditionalFormatting sqref="V426:IV426 A426">
    <cfRule type="expression" dxfId="6" priority="6">
      <formula>+XFD426="x"</formula>
    </cfRule>
  </conditionalFormatting>
  <conditionalFormatting sqref="B41:B436">
    <cfRule type="expression" dxfId="5" priority="1">
      <formula>+A41="x"</formula>
    </cfRule>
  </conditionalFormatting>
  <dataValidations disablePrompts="1" count="2">
    <dataValidation type="list" allowBlank="1" showInputMessage="1" showErrorMessage="1" promptTitle="Compute Annual or Monthly" sqref="F3">
      <formula1>$T$1:$T$2</formula1>
    </dataValidation>
    <dataValidation type="list" allowBlank="1" showErrorMessage="1" sqref="F4">
      <formula1>$U$1:$U$2</formula1>
    </dataValidation>
  </dataValidations>
  <printOptions gridLines="1"/>
  <pageMargins left="0.25" right="0.25" top="0.25" bottom="0" header="0" footer="0"/>
  <pageSetup paperSize="5" scale="84" fitToHeight="0" orientation="landscape"/>
  <ignoredErrors>
    <ignoredError sqref="G155 G157" unlockedFormula="1"/>
    <ignoredError sqref="J159:K159 I160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4:R69"/>
  <sheetViews>
    <sheetView topLeftCell="A4" workbookViewId="0">
      <pane xSplit="2" ySplit="5" topLeftCell="C9" activePane="bottomRight" state="frozen"/>
      <selection activeCell="H6" sqref="H6"/>
      <selection pane="topRight" activeCell="H6" sqref="H6"/>
      <selection pane="bottomLeft" activeCell="H6" sqref="H6"/>
      <selection pane="bottomRight" activeCell="A22" sqref="A22:XFD22"/>
    </sheetView>
  </sheetViews>
  <sheetFormatPr baseColWidth="10" defaultColWidth="9.1640625" defaultRowHeight="14" x14ac:dyDescent="0"/>
  <cols>
    <col min="1" max="1" width="2.6640625" style="3" customWidth="1"/>
    <col min="2" max="2" width="25.6640625" style="3" customWidth="1"/>
    <col min="3" max="14" width="9.33203125" style="3" customWidth="1"/>
    <col min="15" max="15" width="11.6640625" style="446" bestFit="1" customWidth="1"/>
    <col min="16" max="16" width="8.5" style="3" bestFit="1" customWidth="1"/>
    <col min="17" max="17" width="10" style="3" hidden="1" customWidth="1"/>
    <col min="18" max="16384" width="9.1640625" style="11"/>
  </cols>
  <sheetData>
    <row r="4" spans="1:18" s="29" customFormat="1" ht="4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444"/>
      <c r="P4" s="122"/>
      <c r="Q4" s="122"/>
    </row>
    <row r="5" spans="1:18" s="121" customFormat="1" ht="15" customHeight="1">
      <c r="A5" s="142"/>
      <c r="B5" s="465" t="str">
        <f>+Setup!B10</f>
        <v>Budget Master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444"/>
      <c r="P5" s="123"/>
      <c r="Q5" s="123"/>
    </row>
    <row r="6" spans="1:18" s="29" customFormat="1" ht="12" customHeight="1">
      <c r="A6" s="144"/>
      <c r="B6" s="445">
        <f>+Setup!B9</f>
        <v>2018</v>
      </c>
      <c r="C6" s="212">
        <f>+'2017'!C3</f>
        <v>43101</v>
      </c>
      <c r="D6" s="212">
        <f>+'2017'!D3</f>
        <v>43132</v>
      </c>
      <c r="E6" s="212">
        <f>+'2017'!E3</f>
        <v>43160</v>
      </c>
      <c r="F6" s="212">
        <f>+'2017'!F3</f>
        <v>43191</v>
      </c>
      <c r="G6" s="212">
        <f>+'2017'!G3</f>
        <v>43221</v>
      </c>
      <c r="H6" s="212">
        <f>+'2017'!H3</f>
        <v>43252</v>
      </c>
      <c r="I6" s="212">
        <f>+'2017'!I3</f>
        <v>43282</v>
      </c>
      <c r="J6" s="212">
        <f>+'2017'!J3</f>
        <v>43313</v>
      </c>
      <c r="K6" s="212">
        <f>+'2017'!K3</f>
        <v>43344</v>
      </c>
      <c r="L6" s="212">
        <f>+'2017'!L3</f>
        <v>43374</v>
      </c>
      <c r="M6" s="212">
        <f>+'2017'!M3</f>
        <v>43405</v>
      </c>
      <c r="N6" s="212">
        <f>+'2017'!N3</f>
        <v>43435</v>
      </c>
      <c r="O6" s="464">
        <f>+B6</f>
        <v>2018</v>
      </c>
      <c r="P6" s="145" t="s">
        <v>180</v>
      </c>
      <c r="Q6" s="146">
        <f>+B6-1</f>
        <v>2017</v>
      </c>
    </row>
    <row r="7" spans="1:18" s="29" customFormat="1" ht="10.5" customHeight="1">
      <c r="A7" s="147"/>
      <c r="B7" s="144"/>
      <c r="C7" s="145" t="s">
        <v>70</v>
      </c>
      <c r="D7" s="145" t="s">
        <v>70</v>
      </c>
      <c r="E7" s="145" t="s">
        <v>70</v>
      </c>
      <c r="F7" s="145" t="s">
        <v>70</v>
      </c>
      <c r="G7" s="145" t="s">
        <v>70</v>
      </c>
      <c r="H7" s="145" t="s">
        <v>70</v>
      </c>
      <c r="I7" s="145" t="s">
        <v>70</v>
      </c>
      <c r="J7" s="145" t="s">
        <v>70</v>
      </c>
      <c r="K7" s="145" t="s">
        <v>70</v>
      </c>
      <c r="L7" s="145" t="s">
        <v>70</v>
      </c>
      <c r="M7" s="145" t="s">
        <v>70</v>
      </c>
      <c r="N7" s="145" t="s">
        <v>70</v>
      </c>
      <c r="O7" s="452" t="s">
        <v>70</v>
      </c>
      <c r="P7" s="145" t="s">
        <v>99</v>
      </c>
      <c r="Q7" s="145" t="s">
        <v>69</v>
      </c>
    </row>
    <row r="8" spans="1:18" s="17" customFormat="1" ht="10.5" customHeight="1">
      <c r="A8" s="129"/>
      <c r="B8" s="127" t="s">
        <v>135</v>
      </c>
      <c r="C8" s="156">
        <f t="shared" ref="C8:Q8" si="0">1+C14/C10</f>
        <v>0.95</v>
      </c>
      <c r="D8" s="156">
        <f t="shared" si="0"/>
        <v>0.95</v>
      </c>
      <c r="E8" s="156">
        <f t="shared" si="0"/>
        <v>0.95</v>
      </c>
      <c r="F8" s="156">
        <f t="shared" si="0"/>
        <v>0.94545454545454544</v>
      </c>
      <c r="G8" s="156">
        <f t="shared" si="0"/>
        <v>0.94090909090909092</v>
      </c>
      <c r="H8" s="156">
        <f t="shared" si="0"/>
        <v>0.94545454545454544</v>
      </c>
      <c r="I8" s="156">
        <f t="shared" si="0"/>
        <v>0.95227272727272727</v>
      </c>
      <c r="J8" s="156">
        <f t="shared" si="0"/>
        <v>0.95681818181818179</v>
      </c>
      <c r="K8" s="156">
        <f t="shared" si="0"/>
        <v>0.95454545454545459</v>
      </c>
      <c r="L8" s="156">
        <f t="shared" si="0"/>
        <v>0.95</v>
      </c>
      <c r="M8" s="156">
        <f t="shared" si="0"/>
        <v>0.94545454545454544</v>
      </c>
      <c r="N8" s="156">
        <f t="shared" si="0"/>
        <v>0.94090909090909092</v>
      </c>
      <c r="O8" s="453">
        <f t="shared" si="0"/>
        <v>0.94846476055711904</v>
      </c>
      <c r="P8" s="139"/>
      <c r="Q8" s="125">
        <f t="shared" si="0"/>
        <v>2.0050804091049965</v>
      </c>
    </row>
    <row r="9" spans="1:18" s="4" customFormat="1" ht="10.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454"/>
    </row>
    <row r="10" spans="1:18" s="10" customFormat="1" ht="11" customHeight="1">
      <c r="A10" s="127"/>
      <c r="B10" s="127" t="s">
        <v>10</v>
      </c>
      <c r="C10" s="152">
        <f>IF(Input!H7=0,+Input!$G7,+Input!$G7+Input!H7)</f>
        <v>234200</v>
      </c>
      <c r="D10" s="152">
        <f>IF(Input!I7=0,+Input!$G7,+Input!$G7+Input!I7)</f>
        <v>234200</v>
      </c>
      <c r="E10" s="152">
        <f>IF(Input!J7=0,+Input!$G7,+Input!$G7+Input!J7)</f>
        <v>234200</v>
      </c>
      <c r="F10" s="152">
        <f>IF(Input!K7=0,+Input!$G7,+Input!$G7+Input!K7)</f>
        <v>239700</v>
      </c>
      <c r="G10" s="152">
        <f>IF(Input!L7=0,+Input!$G7,+Input!$G7+Input!L7)</f>
        <v>239700</v>
      </c>
      <c r="H10" s="152">
        <f>IF(Input!M7=0,+Input!$G7,+Input!$G7+Input!M7)</f>
        <v>239700</v>
      </c>
      <c r="I10" s="152">
        <f>IF(Input!N7=0,+Input!$G7,+Input!$G7+Input!N7)</f>
        <v>239700</v>
      </c>
      <c r="J10" s="152">
        <f>IF(Input!O7=0,+Input!$G7,+Input!$G7+Input!O7)</f>
        <v>239700</v>
      </c>
      <c r="K10" s="152">
        <f>IF(Input!P7=0,+Input!$G7,+Input!$G7+Input!P7)</f>
        <v>250700</v>
      </c>
      <c r="L10" s="152">
        <f>IF(Input!Q7=0,+Input!$G7,+Input!$G7+Input!Q7)</f>
        <v>250700</v>
      </c>
      <c r="M10" s="152">
        <f>IF(Input!R7=0,+Input!$G7,+Input!$G7+Input!R7)</f>
        <v>250700</v>
      </c>
      <c r="N10" s="152">
        <f>IF(Input!S7=0,+Input!$G7,+Input!$G7+Input!S7)</f>
        <v>250700</v>
      </c>
      <c r="O10" s="455">
        <f>SUM(C10:N10)</f>
        <v>2903900</v>
      </c>
      <c r="P10" s="140">
        <f>IF(O10=0,"",+O10/Setup!$B$12)</f>
        <v>13199.545454545454</v>
      </c>
      <c r="Q10" s="140">
        <f>+'2017'!O7</f>
        <v>2903900</v>
      </c>
      <c r="R10" s="4"/>
    </row>
    <row r="11" spans="1:18" s="17" customFormat="1" ht="11" customHeight="1">
      <c r="A11" s="127"/>
      <c r="B11" s="127" t="s">
        <v>11</v>
      </c>
      <c r="C11" s="202">
        <f>IF(Input!H8=0,+Input!$G8,+Input!$G8+Input!H8)</f>
        <v>1244</v>
      </c>
      <c r="D11" s="202">
        <f>IF(Input!I8=0,+Input!$G8,+Input!$G8+Input!I8)</f>
        <v>2544</v>
      </c>
      <c r="E11" s="202">
        <f>IF(Input!J8=0,+Input!$G8,+Input!$G8+Input!J8)</f>
        <v>3844</v>
      </c>
      <c r="F11" s="202">
        <f>IF(Input!K8=0,+Input!$G8,+Input!$G8+Input!K8)</f>
        <v>-31</v>
      </c>
      <c r="G11" s="202">
        <f>IF(Input!L8=0,+Input!$G8,+Input!$G8+Input!L8)</f>
        <v>1594</v>
      </c>
      <c r="H11" s="202">
        <f>IF(Input!M8=0,+Input!$G8,+Input!$G8+Input!M8)</f>
        <v>3219</v>
      </c>
      <c r="I11" s="202">
        <f>IF(Input!N8=0,+Input!$G8,+Input!$G8+Input!N8)</f>
        <v>4769</v>
      </c>
      <c r="J11" s="202">
        <f>IF(Input!O8=0,+Input!$G8,+Input!$G8+Input!O8)</f>
        <v>6319</v>
      </c>
      <c r="K11" s="202">
        <f>IF(Input!P8=0,+Input!$G8,+Input!$G8+Input!P8)</f>
        <v>-3631</v>
      </c>
      <c r="L11" s="202">
        <f>IF(Input!Q8=0,+Input!$G8,+Input!$G8+Input!Q8)</f>
        <v>-2656</v>
      </c>
      <c r="M11" s="202">
        <f>IF(Input!R8=0,+Input!$G8,+Input!$G8+Input!R8)</f>
        <v>-1681</v>
      </c>
      <c r="N11" s="202">
        <f>IF(Input!S8=0,+Input!$G8,+Input!$G8+Input!S8)</f>
        <v>-781</v>
      </c>
      <c r="O11" s="456">
        <f>SUM(C11:N11)</f>
        <v>14753</v>
      </c>
      <c r="P11" s="203">
        <f>IF(O11=0,"",+O11/Setup!$B$12)</f>
        <v>67.059090909090912</v>
      </c>
      <c r="Q11" s="203">
        <f>+'2017'!O8</f>
        <v>14753</v>
      </c>
      <c r="R11" s="4"/>
    </row>
    <row r="12" spans="1:18" s="4" customFormat="1" ht="11" customHeight="1">
      <c r="A12" s="128"/>
      <c r="B12" s="128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457"/>
      <c r="P12" s="140"/>
      <c r="Q12" s="140" t="str">
        <f>IF(P12="","",+'2017'!O10)</f>
        <v/>
      </c>
      <c r="R12" s="10"/>
    </row>
    <row r="13" spans="1:18" s="4" customFormat="1" ht="11" customHeight="1">
      <c r="A13" s="129"/>
      <c r="B13" s="127" t="s">
        <v>49</v>
      </c>
      <c r="C13" s="152">
        <f>IF(Input!H10=0,+Input!$G10,+Input!$G10+Input!H10)</f>
        <v>235444</v>
      </c>
      <c r="D13" s="152">
        <f>IF(Input!I10=0,+Input!$G10,+Input!$G10+Input!I10)</f>
        <v>236744</v>
      </c>
      <c r="E13" s="152">
        <f>IF(Input!J10=0,+Input!$G10,+Input!$G10+Input!J10)</f>
        <v>238044</v>
      </c>
      <c r="F13" s="152">
        <f>IF(Input!K10=0,+Input!$G10,+Input!$G10+Input!K10)</f>
        <v>239669</v>
      </c>
      <c r="G13" s="152">
        <f>IF(Input!L10=0,+Input!$G10,+Input!$G10+Input!L10)</f>
        <v>241294</v>
      </c>
      <c r="H13" s="152">
        <f>IF(Input!M10=0,+Input!$G10,+Input!$G10+Input!M10)</f>
        <v>242919</v>
      </c>
      <c r="I13" s="152">
        <f>IF(Input!N10=0,+Input!$G10,+Input!$G10+Input!N10)</f>
        <v>244469</v>
      </c>
      <c r="J13" s="152">
        <f>IF(Input!O10=0,+Input!$G10,+Input!$G10+Input!O10)</f>
        <v>246019</v>
      </c>
      <c r="K13" s="152">
        <f>IF(Input!P10=0,+Input!$G10,+Input!$G10+Input!P10)</f>
        <v>247069</v>
      </c>
      <c r="L13" s="152">
        <f>IF(Input!Q10=0,+Input!$G10,+Input!$G10+Input!Q10)</f>
        <v>248044</v>
      </c>
      <c r="M13" s="152">
        <f>IF(Input!R10=0,+Input!$G10,+Input!$G10+Input!R10)</f>
        <v>249019</v>
      </c>
      <c r="N13" s="152">
        <f>IF(Input!S10=0,+Input!$G10,+Input!$G10+Input!S10)</f>
        <v>249919</v>
      </c>
      <c r="O13" s="455">
        <f>+O10+O11</f>
        <v>2918653</v>
      </c>
      <c r="P13" s="140">
        <f>+P10+P11</f>
        <v>13266.604545454546</v>
      </c>
      <c r="Q13" s="140">
        <f>+Q10+Q11</f>
        <v>2918653</v>
      </c>
      <c r="R13" s="17"/>
    </row>
    <row r="14" spans="1:18" s="4" customFormat="1" ht="11" customHeight="1">
      <c r="A14" s="127"/>
      <c r="B14" s="127" t="s">
        <v>12</v>
      </c>
      <c r="C14" s="202">
        <f>IF(Input!H11=0,+Input!$G11,+Input!$G11+Input!H11)</f>
        <v>-11710.000000000011</v>
      </c>
      <c r="D14" s="202">
        <f>IF(Input!I11=0,+Input!$G11,+Input!$G11+Input!I11)</f>
        <v>-11710.000000000011</v>
      </c>
      <c r="E14" s="202">
        <f>IF(Input!J11=0,+Input!$G11,+Input!$G11+Input!J11)</f>
        <v>-11710.000000000011</v>
      </c>
      <c r="F14" s="202">
        <f>IF(Input!K11=0,+Input!$G11,+Input!$G11+Input!K11)</f>
        <v>-13074.54545454546</v>
      </c>
      <c r="G14" s="202">
        <f>IF(Input!L11=0,+Input!$G11,+Input!$G11+Input!L11)</f>
        <v>-14164.090909090906</v>
      </c>
      <c r="H14" s="202">
        <f>IF(Input!M11=0,+Input!$G11,+Input!$G11+Input!M11)</f>
        <v>-13074.54545454546</v>
      </c>
      <c r="I14" s="202">
        <f>IF(Input!N11=0,+Input!$G11,+Input!$G11+Input!N11)</f>
        <v>-11440.227272727274</v>
      </c>
      <c r="J14" s="202">
        <f>IF(Input!O11=0,+Input!$G11,+Input!$G11+Input!O11)</f>
        <v>-10350.681818181825</v>
      </c>
      <c r="K14" s="202">
        <f>IF(Input!P11=0,+Input!$G11,+Input!$G11+Input!P11)</f>
        <v>-11395.454545454535</v>
      </c>
      <c r="L14" s="202">
        <f>IF(Input!Q11=0,+Input!$G11,+Input!$G11+Input!Q11)</f>
        <v>-12535.000000000011</v>
      </c>
      <c r="M14" s="202">
        <f>IF(Input!R11=0,+Input!$G11,+Input!$G11+Input!R11)</f>
        <v>-13674.54545454546</v>
      </c>
      <c r="N14" s="202">
        <f>IF(Input!S11=0,+Input!$G11,+Input!$G11+Input!S11)</f>
        <v>-14814.090909090906</v>
      </c>
      <c r="O14" s="456">
        <f>SUM(C14:N14)</f>
        <v>-149653.18181818188</v>
      </c>
      <c r="P14" s="203">
        <f>IF(O14=0,"",+O14/Setup!$B$12)</f>
        <v>-680.24173553719038</v>
      </c>
      <c r="Q14" s="203">
        <f>+'2017'!O10</f>
        <v>2918653</v>
      </c>
    </row>
    <row r="15" spans="1:18" s="4" customFormat="1" ht="11" customHeight="1">
      <c r="A15" s="127"/>
      <c r="B15" s="127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455"/>
      <c r="P15" s="140"/>
      <c r="Q15" s="140"/>
    </row>
    <row r="16" spans="1:18" s="4" customFormat="1" ht="11" customHeight="1">
      <c r="A16" s="127"/>
      <c r="B16" s="4" t="s">
        <v>15</v>
      </c>
      <c r="C16" s="152">
        <f>IF(Input!H13=0,+Input!$G13,+Input!$G13+Input!H13)</f>
        <v>223734</v>
      </c>
      <c r="D16" s="132">
        <f t="shared" ref="D16:P16" si="1">+D13+D14</f>
        <v>225034</v>
      </c>
      <c r="E16" s="132">
        <f t="shared" si="1"/>
        <v>226334</v>
      </c>
      <c r="F16" s="132">
        <f t="shared" si="1"/>
        <v>226594.45454545453</v>
      </c>
      <c r="G16" s="132">
        <f t="shared" si="1"/>
        <v>227129.90909090909</v>
      </c>
      <c r="H16" s="132">
        <f t="shared" si="1"/>
        <v>229844.45454545453</v>
      </c>
      <c r="I16" s="132">
        <f t="shared" si="1"/>
        <v>233028.77272727274</v>
      </c>
      <c r="J16" s="132">
        <f t="shared" si="1"/>
        <v>235668.31818181818</v>
      </c>
      <c r="K16" s="132">
        <f t="shared" si="1"/>
        <v>235673.54545454547</v>
      </c>
      <c r="L16" s="132">
        <f t="shared" si="1"/>
        <v>235509</v>
      </c>
      <c r="M16" s="132">
        <f t="shared" si="1"/>
        <v>235344.45454545453</v>
      </c>
      <c r="N16" s="132">
        <f t="shared" si="1"/>
        <v>235104.90909090909</v>
      </c>
      <c r="O16" s="458">
        <f t="shared" si="1"/>
        <v>2768999.8181818184</v>
      </c>
      <c r="P16" s="132">
        <f t="shared" si="1"/>
        <v>12586.362809917355</v>
      </c>
      <c r="Q16" s="132">
        <f>+Q13+Q14</f>
        <v>5837306</v>
      </c>
    </row>
    <row r="17" spans="1:18" s="4" customFormat="1" ht="11" customHeight="1">
      <c r="A17" s="127"/>
      <c r="B17" s="4" t="s">
        <v>199</v>
      </c>
      <c r="C17" s="202">
        <f>SUM('2017'!C14:C20)</f>
        <v>2000</v>
      </c>
      <c r="D17" s="202">
        <f>SUM('2017'!D14:D20)</f>
        <v>2000</v>
      </c>
      <c r="E17" s="202">
        <f>SUM('2017'!E14:E20)</f>
        <v>2000</v>
      </c>
      <c r="F17" s="202">
        <f>SUM('2017'!F14:F20)</f>
        <v>2500</v>
      </c>
      <c r="G17" s="202">
        <f>SUM('2017'!G14:G20)</f>
        <v>2500</v>
      </c>
      <c r="H17" s="202">
        <f>SUM('2017'!H14:H20)</f>
        <v>2500</v>
      </c>
      <c r="I17" s="202">
        <f>SUM('2017'!I14:I20)</f>
        <v>2500</v>
      </c>
      <c r="J17" s="202">
        <f>SUM('2017'!J14:J20)</f>
        <v>2500</v>
      </c>
      <c r="K17" s="202">
        <f>SUM('2017'!K14:K20)</f>
        <v>1500</v>
      </c>
      <c r="L17" s="202">
        <f>SUM('2017'!L14:L20)</f>
        <v>1500</v>
      </c>
      <c r="M17" s="202">
        <f>SUM('2017'!M14:M20)</f>
        <v>1500</v>
      </c>
      <c r="N17" s="202">
        <f>SUM('2017'!N14:N20)</f>
        <v>1500</v>
      </c>
      <c r="O17" s="459">
        <f>SUM('2017'!O14:O20)</f>
        <v>24500</v>
      </c>
      <c r="P17" s="202">
        <f>SUM('2017'!P14:P20)</f>
        <v>111.36363636363636</v>
      </c>
      <c r="Q17" s="202">
        <f>SUM('2017'!O12:O18)</f>
        <v>2793499.8181818184</v>
      </c>
    </row>
    <row r="18" spans="1:18" s="17" customFormat="1" ht="11" customHeight="1">
      <c r="A18" s="128"/>
      <c r="B18" s="128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460"/>
      <c r="P18" s="133"/>
      <c r="Q18" s="133"/>
      <c r="R18" s="4"/>
    </row>
    <row r="19" spans="1:18" s="4" customFormat="1" ht="11" customHeight="1">
      <c r="A19" s="129"/>
      <c r="B19" s="127" t="s">
        <v>50</v>
      </c>
      <c r="C19" s="132">
        <f t="shared" ref="C19:P19" si="2">+C16+C17</f>
        <v>225734</v>
      </c>
      <c r="D19" s="132">
        <f t="shared" si="2"/>
        <v>227034</v>
      </c>
      <c r="E19" s="132">
        <f t="shared" si="2"/>
        <v>228334</v>
      </c>
      <c r="F19" s="132">
        <f t="shared" si="2"/>
        <v>229094.45454545453</v>
      </c>
      <c r="G19" s="132">
        <f t="shared" si="2"/>
        <v>229629.90909090909</v>
      </c>
      <c r="H19" s="132">
        <f t="shared" si="2"/>
        <v>232344.45454545453</v>
      </c>
      <c r="I19" s="132">
        <f t="shared" si="2"/>
        <v>235528.77272727274</v>
      </c>
      <c r="J19" s="132">
        <f t="shared" si="2"/>
        <v>238168.31818181818</v>
      </c>
      <c r="K19" s="132">
        <f t="shared" si="2"/>
        <v>237173.54545454547</v>
      </c>
      <c r="L19" s="132">
        <f t="shared" si="2"/>
        <v>237009</v>
      </c>
      <c r="M19" s="132">
        <f t="shared" si="2"/>
        <v>236844.45454545453</v>
      </c>
      <c r="N19" s="132">
        <f t="shared" si="2"/>
        <v>236604.90909090909</v>
      </c>
      <c r="O19" s="458">
        <f t="shared" si="2"/>
        <v>2793499.8181818184</v>
      </c>
      <c r="P19" s="132">
        <f t="shared" si="2"/>
        <v>12697.726446280991</v>
      </c>
      <c r="Q19" s="132">
        <f>+Q16+Q17</f>
        <v>8630805.8181818184</v>
      </c>
      <c r="R19" s="10"/>
    </row>
    <row r="20" spans="1:18" s="18" customFormat="1" ht="11" customHeight="1">
      <c r="A20" s="129"/>
      <c r="B20" s="127" t="s">
        <v>16</v>
      </c>
      <c r="C20" s="204">
        <f>+'2017'!C60</f>
        <v>13301.25</v>
      </c>
      <c r="D20" s="204">
        <f>+'2017'!D60</f>
        <v>13301.25</v>
      </c>
      <c r="E20" s="204">
        <f>+'2017'!E60</f>
        <v>13301.25</v>
      </c>
      <c r="F20" s="204">
        <f>+'2017'!F60</f>
        <v>13301.25</v>
      </c>
      <c r="G20" s="204">
        <f>+'2017'!G60</f>
        <v>13301.25</v>
      </c>
      <c r="H20" s="204">
        <f>+'2017'!H60</f>
        <v>13301.25</v>
      </c>
      <c r="I20" s="204">
        <f>+'2017'!I60</f>
        <v>13301.25</v>
      </c>
      <c r="J20" s="204">
        <f>+'2017'!J60</f>
        <v>13301.25</v>
      </c>
      <c r="K20" s="204">
        <f>+'2017'!K60</f>
        <v>13301.25</v>
      </c>
      <c r="L20" s="204">
        <f>+'2017'!L60</f>
        <v>13301.25</v>
      </c>
      <c r="M20" s="204">
        <f>+'2017'!M60</f>
        <v>13301.25</v>
      </c>
      <c r="N20" s="204">
        <f>+'2017'!N60</f>
        <v>13301.25</v>
      </c>
      <c r="O20" s="459">
        <f>+'2017'!O60</f>
        <v>159615</v>
      </c>
      <c r="P20" s="204">
        <f>+'2017'!P60</f>
        <v>725.52272727272725</v>
      </c>
      <c r="Q20" s="204">
        <f>+'2017'!O53</f>
        <v>0</v>
      </c>
      <c r="R20" s="10"/>
    </row>
    <row r="21" spans="1:18" s="17" customFormat="1" ht="11" customHeight="1">
      <c r="A21" s="137"/>
      <c r="B21" s="128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460"/>
      <c r="P21" s="133"/>
      <c r="Q21" s="133"/>
    </row>
    <row r="22" spans="1:18" s="451" customFormat="1" ht="12">
      <c r="A22" s="443"/>
      <c r="B22" s="447" t="s">
        <v>106</v>
      </c>
      <c r="C22" s="448">
        <f>+C20+C19</f>
        <v>239035.25</v>
      </c>
      <c r="D22" s="448">
        <f t="shared" ref="D22:P22" si="3">+D20+D19</f>
        <v>240335.25</v>
      </c>
      <c r="E22" s="448">
        <f t="shared" si="3"/>
        <v>241635.25</v>
      </c>
      <c r="F22" s="448">
        <f t="shared" si="3"/>
        <v>242395.70454545453</v>
      </c>
      <c r="G22" s="448">
        <f t="shared" si="3"/>
        <v>242931.15909090909</v>
      </c>
      <c r="H22" s="448">
        <f t="shared" si="3"/>
        <v>245645.70454545453</v>
      </c>
      <c r="I22" s="448">
        <f t="shared" si="3"/>
        <v>248830.02272727274</v>
      </c>
      <c r="J22" s="448">
        <f t="shared" si="3"/>
        <v>251469.56818181818</v>
      </c>
      <c r="K22" s="448">
        <f t="shared" si="3"/>
        <v>250474.79545454547</v>
      </c>
      <c r="L22" s="448">
        <f t="shared" si="3"/>
        <v>250310.25</v>
      </c>
      <c r="M22" s="448">
        <f t="shared" si="3"/>
        <v>250145.70454545453</v>
      </c>
      <c r="N22" s="448">
        <f t="shared" si="3"/>
        <v>249906.15909090909</v>
      </c>
      <c r="O22" s="461">
        <f t="shared" si="3"/>
        <v>2953114.8181818184</v>
      </c>
      <c r="P22" s="448">
        <f t="shared" si="3"/>
        <v>13423.249173553719</v>
      </c>
      <c r="Q22" s="448">
        <f>+Q20+Q19</f>
        <v>8630805.8181818184</v>
      </c>
    </row>
    <row r="23" spans="1:18" s="4" customFormat="1" ht="11" customHeight="1">
      <c r="A23" s="134"/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455"/>
      <c r="P23" s="140"/>
      <c r="Q23" s="140"/>
      <c r="R23" s="17"/>
    </row>
    <row r="24" spans="1:18" s="17" customFormat="1" ht="11" customHeight="1">
      <c r="A24" s="131"/>
      <c r="B24" s="139" t="s">
        <v>51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455"/>
      <c r="P24" s="140"/>
      <c r="Q24" s="140"/>
      <c r="R24" s="18"/>
    </row>
    <row r="25" spans="1:18" s="4" customFormat="1" ht="11" customHeight="1">
      <c r="A25" s="129"/>
      <c r="B25" s="127" t="s">
        <v>17</v>
      </c>
      <c r="C25" s="132">
        <f>+'2017'!C66</f>
        <v>7171.0874999999996</v>
      </c>
      <c r="D25" s="132">
        <f>+'2017'!D66</f>
        <v>7210.0874999999996</v>
      </c>
      <c r="E25" s="132">
        <f>+'2017'!E66</f>
        <v>7249.0874999999996</v>
      </c>
      <c r="F25" s="132">
        <f>+'2017'!F66</f>
        <v>7271.9011363636355</v>
      </c>
      <c r="G25" s="132">
        <f>+'2017'!G66</f>
        <v>7287.9647727272722</v>
      </c>
      <c r="H25" s="132">
        <f>+'2017'!H66</f>
        <v>7369.4011363636355</v>
      </c>
      <c r="I25" s="132">
        <f>+'2017'!I66</f>
        <v>7464.9306818181813</v>
      </c>
      <c r="J25" s="132">
        <f>+'2017'!J66</f>
        <v>7544.1170454545445</v>
      </c>
      <c r="K25" s="132">
        <f>+'2017'!K66</f>
        <v>7514.2738636363638</v>
      </c>
      <c r="L25" s="132">
        <f>+'2017'!L66</f>
        <v>7509.3374999999996</v>
      </c>
      <c r="M25" s="132">
        <f>+'2017'!M66</f>
        <v>7504.4011363636355</v>
      </c>
      <c r="N25" s="132">
        <f>+'2017'!N66</f>
        <v>7497.2147727272722</v>
      </c>
      <c r="O25" s="458">
        <f>+'2017'!O66</f>
        <v>88593.804545454521</v>
      </c>
      <c r="P25" s="132">
        <f>+'2017'!P66</f>
        <v>402.69911157024779</v>
      </c>
      <c r="Q25" s="132">
        <f>+'2017'!Q66</f>
        <v>65004</v>
      </c>
      <c r="R25" s="17"/>
    </row>
    <row r="26" spans="1:18" s="10" customFormat="1" ht="11" customHeight="1">
      <c r="A26" s="129"/>
      <c r="B26" s="127" t="s">
        <v>52</v>
      </c>
      <c r="C26" s="132">
        <f>+'2017'!C78</f>
        <v>2029.1666666666665</v>
      </c>
      <c r="D26" s="132">
        <f>+'2017'!D78</f>
        <v>2029.1666666666665</v>
      </c>
      <c r="E26" s="132">
        <f>+'2017'!E78</f>
        <v>2029.1666666666665</v>
      </c>
      <c r="F26" s="132">
        <f>+'2017'!F78</f>
        <v>2029.1666666666665</v>
      </c>
      <c r="G26" s="132">
        <f>+'2017'!G78</f>
        <v>2029.1666666666665</v>
      </c>
      <c r="H26" s="132">
        <f>+'2017'!H78</f>
        <v>2029.1666666666665</v>
      </c>
      <c r="I26" s="132">
        <f>+'2017'!I78</f>
        <v>2029.1666666666665</v>
      </c>
      <c r="J26" s="132">
        <f>+'2017'!J78</f>
        <v>2029.1666666666665</v>
      </c>
      <c r="K26" s="132">
        <f>+'2017'!K78</f>
        <v>2029.1666666666665</v>
      </c>
      <c r="L26" s="132">
        <f>+'2017'!L78</f>
        <v>2029.1666666666665</v>
      </c>
      <c r="M26" s="132">
        <f>+'2017'!M78</f>
        <v>2029.1666666666665</v>
      </c>
      <c r="N26" s="132">
        <f>+'2017'!N78</f>
        <v>2029.1666666666665</v>
      </c>
      <c r="O26" s="458">
        <f>+'2017'!O78</f>
        <v>24350</v>
      </c>
      <c r="P26" s="132">
        <f>+'2017'!P78</f>
        <v>110.68181818181819</v>
      </c>
      <c r="Q26" s="132">
        <f>+'2017'!Q78</f>
        <v>24186</v>
      </c>
      <c r="R26" s="4"/>
    </row>
    <row r="27" spans="1:18" s="10" customFormat="1" ht="11" customHeight="1">
      <c r="A27" s="129"/>
      <c r="B27" s="127" t="s">
        <v>53</v>
      </c>
      <c r="C27" s="132">
        <f>+'2017'!C87</f>
        <v>276.99666666666667</v>
      </c>
      <c r="D27" s="132">
        <f>+'2017'!D87</f>
        <v>276.99666666666667</v>
      </c>
      <c r="E27" s="132">
        <f>+'2017'!E87</f>
        <v>276.99666666666667</v>
      </c>
      <c r="F27" s="132">
        <f>+'2017'!F87</f>
        <v>276.99666666666667</v>
      </c>
      <c r="G27" s="132">
        <f>+'2017'!G87</f>
        <v>276.99666666666667</v>
      </c>
      <c r="H27" s="132">
        <f>+'2017'!H87</f>
        <v>276.99666666666667</v>
      </c>
      <c r="I27" s="132">
        <f>+'2017'!I87</f>
        <v>276.99666666666667</v>
      </c>
      <c r="J27" s="132">
        <f>+'2017'!J87</f>
        <v>276.99666666666667</v>
      </c>
      <c r="K27" s="132">
        <f>+'2017'!K87</f>
        <v>276.99666666666667</v>
      </c>
      <c r="L27" s="132">
        <f>+'2017'!L87</f>
        <v>276.99666666666667</v>
      </c>
      <c r="M27" s="132">
        <f>+'2017'!M87</f>
        <v>276.99666666666667</v>
      </c>
      <c r="N27" s="132">
        <f>+'2017'!N87</f>
        <v>276.99666666666667</v>
      </c>
      <c r="O27" s="458">
        <f>+'2017'!O87</f>
        <v>3323.9600000000009</v>
      </c>
      <c r="P27" s="132">
        <f>+'2017'!P87</f>
        <v>15.108909090909096</v>
      </c>
      <c r="Q27" s="132">
        <f>+'2017'!Q87</f>
        <v>9837</v>
      </c>
      <c r="R27" s="4"/>
    </row>
    <row r="28" spans="1:18" s="10" customFormat="1" ht="11" customHeight="1">
      <c r="A28" s="129"/>
      <c r="B28" s="127" t="s">
        <v>54</v>
      </c>
      <c r="C28" s="132">
        <f>+'2017'!C117</f>
        <v>1625.4833333333333</v>
      </c>
      <c r="D28" s="132">
        <f>+'2017'!D117</f>
        <v>1625.4833333333333</v>
      </c>
      <c r="E28" s="132">
        <f>+'2017'!E117</f>
        <v>1625.4833333333333</v>
      </c>
      <c r="F28" s="132">
        <f>+'2017'!F117</f>
        <v>1625.4833333333333</v>
      </c>
      <c r="G28" s="132">
        <f>+'2017'!G117</f>
        <v>1625.4833333333333</v>
      </c>
      <c r="H28" s="132">
        <f>+'2017'!H117</f>
        <v>1625.4833333333333</v>
      </c>
      <c r="I28" s="132">
        <f>+'2017'!I117</f>
        <v>1625.4833333333333</v>
      </c>
      <c r="J28" s="132">
        <f>+'2017'!J117</f>
        <v>1625.4833333333333</v>
      </c>
      <c r="K28" s="132">
        <f>+'2017'!K117</f>
        <v>1625.4833333333333</v>
      </c>
      <c r="L28" s="132">
        <f>+'2017'!L117</f>
        <v>1625.4833333333333</v>
      </c>
      <c r="M28" s="132">
        <f>+'2017'!M117</f>
        <v>1625.4833333333333</v>
      </c>
      <c r="N28" s="132">
        <f>+'2017'!N117</f>
        <v>1625.4833333333333</v>
      </c>
      <c r="O28" s="458">
        <f>+'2017'!O117</f>
        <v>19505.8</v>
      </c>
      <c r="P28" s="132">
        <f>+'2017'!P117</f>
        <v>88.662727272727267</v>
      </c>
      <c r="Q28" s="132">
        <f>+'2017'!Q117</f>
        <v>38880</v>
      </c>
      <c r="R28" s="4"/>
    </row>
    <row r="29" spans="1:18" s="10" customFormat="1" ht="11" customHeight="1">
      <c r="A29" s="129"/>
      <c r="B29" s="127" t="s">
        <v>55</v>
      </c>
      <c r="C29" s="132">
        <f>+'2017'!C126</f>
        <v>111.58333333333333</v>
      </c>
      <c r="D29" s="132">
        <f>+'2017'!D126</f>
        <v>111.58333333333333</v>
      </c>
      <c r="E29" s="132">
        <f>+'2017'!E126</f>
        <v>111.58333333333333</v>
      </c>
      <c r="F29" s="132">
        <f>+'2017'!F126</f>
        <v>111.58333333333333</v>
      </c>
      <c r="G29" s="132">
        <f>+'2017'!G126</f>
        <v>111.58333333333333</v>
      </c>
      <c r="H29" s="132">
        <f>+'2017'!H126</f>
        <v>111.58333333333333</v>
      </c>
      <c r="I29" s="132">
        <f>+'2017'!I126</f>
        <v>111.58333333333333</v>
      </c>
      <c r="J29" s="132">
        <f>+'2017'!J126</f>
        <v>111.58333333333333</v>
      </c>
      <c r="K29" s="132">
        <f>+'2017'!K126</f>
        <v>111.58333333333333</v>
      </c>
      <c r="L29" s="132">
        <f>+'2017'!L126</f>
        <v>111.58333333333333</v>
      </c>
      <c r="M29" s="132">
        <f>+'2017'!M126</f>
        <v>111.58333333333333</v>
      </c>
      <c r="N29" s="132">
        <f>+'2017'!N126</f>
        <v>111.58333333333333</v>
      </c>
      <c r="O29" s="458">
        <f>+'2017'!O126</f>
        <v>1339</v>
      </c>
      <c r="P29" s="132">
        <f>+'2017'!P126</f>
        <v>6.086363636363636</v>
      </c>
      <c r="Q29" s="132">
        <f>+'2017'!Q126</f>
        <v>1339</v>
      </c>
      <c r="R29" s="4"/>
    </row>
    <row r="30" spans="1:18" s="10" customFormat="1" ht="11" customHeight="1">
      <c r="A30" s="129"/>
      <c r="B30" s="127" t="s">
        <v>56</v>
      </c>
      <c r="C30" s="132">
        <f>+'2017'!C131</f>
        <v>0</v>
      </c>
      <c r="D30" s="132">
        <f>+'2017'!D131</f>
        <v>0</v>
      </c>
      <c r="E30" s="132">
        <f>+'2017'!E131</f>
        <v>0</v>
      </c>
      <c r="F30" s="132">
        <f>+'2017'!F131</f>
        <v>0</v>
      </c>
      <c r="G30" s="132">
        <f>+'2017'!G131</f>
        <v>0</v>
      </c>
      <c r="H30" s="132">
        <f>+'2017'!H131</f>
        <v>0</v>
      </c>
      <c r="I30" s="132">
        <f>+'2017'!I131</f>
        <v>0</v>
      </c>
      <c r="J30" s="132">
        <f>+'2017'!J131</f>
        <v>0</v>
      </c>
      <c r="K30" s="132">
        <f>+'2017'!K131</f>
        <v>0</v>
      </c>
      <c r="L30" s="132">
        <f>+'2017'!L131</f>
        <v>0</v>
      </c>
      <c r="M30" s="132">
        <f>+'2017'!M131</f>
        <v>0</v>
      </c>
      <c r="N30" s="132">
        <f>+'2017'!N131</f>
        <v>0</v>
      </c>
      <c r="O30" s="458">
        <f>+'2017'!O131</f>
        <v>0</v>
      </c>
      <c r="P30" s="132">
        <f>+'2017'!P131</f>
        <v>0</v>
      </c>
      <c r="Q30" s="132">
        <f>+'2017'!Q131</f>
        <v>4196</v>
      </c>
      <c r="R30" s="4"/>
    </row>
    <row r="31" spans="1:18" s="17" customFormat="1" ht="11" customHeight="1">
      <c r="A31" s="129"/>
      <c r="B31" s="127" t="s">
        <v>43</v>
      </c>
      <c r="C31" s="132">
        <f>+'2017'!C151</f>
        <v>19320</v>
      </c>
      <c r="D31" s="132">
        <f>+'2017'!D151</f>
        <v>19320</v>
      </c>
      <c r="E31" s="132">
        <f>+'2017'!E151</f>
        <v>19320</v>
      </c>
      <c r="F31" s="132">
        <f>+'2017'!F151</f>
        <v>19320</v>
      </c>
      <c r="G31" s="132">
        <f>+'2017'!G151</f>
        <v>19320</v>
      </c>
      <c r="H31" s="132">
        <f>+'2017'!H151</f>
        <v>19320</v>
      </c>
      <c r="I31" s="132">
        <f>+'2017'!I151</f>
        <v>19320</v>
      </c>
      <c r="J31" s="132">
        <f>+'2017'!J151</f>
        <v>19320</v>
      </c>
      <c r="K31" s="132">
        <f>+'2017'!K151</f>
        <v>19320</v>
      </c>
      <c r="L31" s="132">
        <f>+'2017'!L151</f>
        <v>19320</v>
      </c>
      <c r="M31" s="132">
        <f>+'2017'!M151</f>
        <v>19320</v>
      </c>
      <c r="N31" s="132">
        <f>+'2017'!N151</f>
        <v>19320</v>
      </c>
      <c r="O31" s="458">
        <f>+'2017'!O151</f>
        <v>231840</v>
      </c>
      <c r="P31" s="132">
        <f>+'2017'!P151</f>
        <v>1053.8181818181818</v>
      </c>
      <c r="Q31" s="132">
        <f>+'2017'!Q151</f>
        <v>227061</v>
      </c>
      <c r="R31" s="4"/>
    </row>
    <row r="32" spans="1:18" s="17" customFormat="1" ht="11" customHeight="1">
      <c r="A32" s="129"/>
      <c r="B32" s="127" t="s">
        <v>57</v>
      </c>
      <c r="C32" s="132">
        <f>+'2017'!C164</f>
        <v>3960.0434999999998</v>
      </c>
      <c r="D32" s="132">
        <f>+'2017'!D164</f>
        <v>3960.0434999999998</v>
      </c>
      <c r="E32" s="132">
        <f>+'2017'!E164</f>
        <v>3960.0434999999998</v>
      </c>
      <c r="F32" s="132">
        <f>+'2017'!F164</f>
        <v>3960.0434999999998</v>
      </c>
      <c r="G32" s="132">
        <f>+'2017'!G164</f>
        <v>3960.0434999999998</v>
      </c>
      <c r="H32" s="132">
        <f>+'2017'!H164</f>
        <v>3960.0434999999998</v>
      </c>
      <c r="I32" s="132">
        <f>+'2017'!I164</f>
        <v>3960.0434999999998</v>
      </c>
      <c r="J32" s="132">
        <f>+'2017'!J164</f>
        <v>3960.0434999999998</v>
      </c>
      <c r="K32" s="132">
        <f>+'2017'!K164</f>
        <v>3960.0434999999998</v>
      </c>
      <c r="L32" s="132">
        <f>+'2017'!L164</f>
        <v>3960.0434999999998</v>
      </c>
      <c r="M32" s="132">
        <f>+'2017'!M164</f>
        <v>3960.0434999999998</v>
      </c>
      <c r="N32" s="132">
        <f>+'2017'!N164</f>
        <v>3960.0434999999998</v>
      </c>
      <c r="O32" s="458">
        <f>+'2017'!O164</f>
        <v>47520.521999999997</v>
      </c>
      <c r="P32" s="132">
        <f>+'2017'!P164</f>
        <v>216.00237272727273</v>
      </c>
      <c r="Q32" s="132">
        <f>+'2017'!Q164</f>
        <v>45566</v>
      </c>
      <c r="R32" s="4"/>
    </row>
    <row r="33" spans="1:18" s="17" customFormat="1" ht="11" customHeight="1">
      <c r="A33" s="129"/>
      <c r="B33" s="127" t="s">
        <v>136</v>
      </c>
      <c r="C33" s="132">
        <f>+'2017'!C180</f>
        <v>3051.5833333333335</v>
      </c>
      <c r="D33" s="132">
        <f>+'2017'!D180</f>
        <v>3051.5833333333335</v>
      </c>
      <c r="E33" s="132">
        <f>+'2017'!E180</f>
        <v>3051.5833333333335</v>
      </c>
      <c r="F33" s="132">
        <f>+'2017'!F180</f>
        <v>3051.5833333333335</v>
      </c>
      <c r="G33" s="132">
        <f>+'2017'!G180</f>
        <v>3051.5833333333335</v>
      </c>
      <c r="H33" s="132">
        <f>+'2017'!H180</f>
        <v>3051.5833333333335</v>
      </c>
      <c r="I33" s="132">
        <f>+'2017'!I180</f>
        <v>3051.5833333333335</v>
      </c>
      <c r="J33" s="132">
        <f>+'2017'!J180</f>
        <v>3051.5833333333335</v>
      </c>
      <c r="K33" s="132">
        <f>+'2017'!K180</f>
        <v>3051.5833333333335</v>
      </c>
      <c r="L33" s="132">
        <f>+'2017'!L180</f>
        <v>3051.5833333333335</v>
      </c>
      <c r="M33" s="132">
        <f>+'2017'!M180</f>
        <v>3051.5833333333335</v>
      </c>
      <c r="N33" s="132">
        <f>+'2017'!N180</f>
        <v>3051.5833333333335</v>
      </c>
      <c r="O33" s="458">
        <f>+'2017'!O180</f>
        <v>36619</v>
      </c>
      <c r="P33" s="132">
        <f>+'2017'!P180</f>
        <v>166.45</v>
      </c>
      <c r="Q33" s="132">
        <f>+'2017'!Q180</f>
        <v>36619</v>
      </c>
      <c r="R33" s="10"/>
    </row>
    <row r="34" spans="1:18" s="17" customFormat="1" ht="11" customHeight="1">
      <c r="A34" s="129"/>
      <c r="B34" s="127" t="s">
        <v>58</v>
      </c>
      <c r="C34" s="132">
        <f>+'2017'!C197</f>
        <v>1056.1666666666667</v>
      </c>
      <c r="D34" s="132">
        <f>+'2017'!D197</f>
        <v>1056.1666666666667</v>
      </c>
      <c r="E34" s="132">
        <f>+'2017'!E197</f>
        <v>1056.1666666666667</v>
      </c>
      <c r="F34" s="132">
        <f>+'2017'!F197</f>
        <v>1056.1666666666667</v>
      </c>
      <c r="G34" s="132">
        <f>+'2017'!G197</f>
        <v>1056.1666666666667</v>
      </c>
      <c r="H34" s="132">
        <f>+'2017'!H197</f>
        <v>1056.1666666666667</v>
      </c>
      <c r="I34" s="132">
        <f>+'2017'!I197</f>
        <v>1056.1666666666667</v>
      </c>
      <c r="J34" s="132">
        <f>+'2017'!J197</f>
        <v>1056.1666666666667</v>
      </c>
      <c r="K34" s="132">
        <f>+'2017'!K197</f>
        <v>1056.1666666666667</v>
      </c>
      <c r="L34" s="132">
        <f>+'2017'!L197</f>
        <v>1056.1666666666667</v>
      </c>
      <c r="M34" s="132">
        <f>+'2017'!M197</f>
        <v>1056.1666666666667</v>
      </c>
      <c r="N34" s="132">
        <f>+'2017'!N197</f>
        <v>1056.1666666666667</v>
      </c>
      <c r="O34" s="458">
        <f>+'2017'!O197</f>
        <v>12673.999999999998</v>
      </c>
      <c r="P34" s="132">
        <f>+'2017'!P197</f>
        <v>57.609090909090902</v>
      </c>
      <c r="Q34" s="132">
        <f>+'2017'!Q197</f>
        <v>15776</v>
      </c>
      <c r="R34" s="10"/>
    </row>
    <row r="35" spans="1:18" s="17" customFormat="1" ht="11" customHeight="1">
      <c r="A35" s="129"/>
      <c r="B35" s="127" t="s">
        <v>59</v>
      </c>
      <c r="C35" s="132">
        <f>+'2017'!C204</f>
        <v>480.58333333333337</v>
      </c>
      <c r="D35" s="132">
        <f>+'2017'!D204</f>
        <v>480.58333333333337</v>
      </c>
      <c r="E35" s="132">
        <f>+'2017'!E204</f>
        <v>480.58333333333337</v>
      </c>
      <c r="F35" s="132">
        <f>+'2017'!F204</f>
        <v>480.58333333333337</v>
      </c>
      <c r="G35" s="132">
        <f>+'2017'!G204</f>
        <v>480.58333333333337</v>
      </c>
      <c r="H35" s="132">
        <f>+'2017'!H204</f>
        <v>480.58333333333337</v>
      </c>
      <c r="I35" s="132">
        <f>+'2017'!I204</f>
        <v>480.58333333333337</v>
      </c>
      <c r="J35" s="132">
        <f>+'2017'!J204</f>
        <v>480.58333333333337</v>
      </c>
      <c r="K35" s="132">
        <f>+'2017'!K204</f>
        <v>480.58333333333337</v>
      </c>
      <c r="L35" s="132">
        <f>+'2017'!L204</f>
        <v>480.58333333333337</v>
      </c>
      <c r="M35" s="132">
        <f>+'2017'!M204</f>
        <v>480.58333333333337</v>
      </c>
      <c r="N35" s="132">
        <f>+'2017'!N204</f>
        <v>480.58333333333337</v>
      </c>
      <c r="O35" s="458">
        <f>+'2017'!O204</f>
        <v>5767</v>
      </c>
      <c r="P35" s="132">
        <f>+'2017'!P204</f>
        <v>26.213636363636365</v>
      </c>
      <c r="Q35" s="132">
        <f>+'2017'!Q204</f>
        <v>5767</v>
      </c>
      <c r="R35" s="10"/>
    </row>
    <row r="36" spans="1:18" s="17" customFormat="1" ht="11" customHeight="1">
      <c r="A36" s="129"/>
      <c r="B36" s="127" t="s">
        <v>60</v>
      </c>
      <c r="C36" s="132">
        <f>+'2017'!C223</f>
        <v>2047.1666666666665</v>
      </c>
      <c r="D36" s="132">
        <f>+'2017'!D223</f>
        <v>2047.1666666666665</v>
      </c>
      <c r="E36" s="132">
        <f>+'2017'!E223</f>
        <v>2047.1666666666665</v>
      </c>
      <c r="F36" s="132">
        <f>+'2017'!F223</f>
        <v>2047.1666666666665</v>
      </c>
      <c r="G36" s="132">
        <f>+'2017'!G223</f>
        <v>2047.1666666666665</v>
      </c>
      <c r="H36" s="132">
        <f>+'2017'!H223</f>
        <v>2047.1666666666665</v>
      </c>
      <c r="I36" s="132">
        <f>+'2017'!I223</f>
        <v>2047.1666666666665</v>
      </c>
      <c r="J36" s="132">
        <f>+'2017'!J223</f>
        <v>2047.1666666666665</v>
      </c>
      <c r="K36" s="132">
        <f>+'2017'!K223</f>
        <v>2047.1666666666665</v>
      </c>
      <c r="L36" s="132">
        <f>+'2017'!L223</f>
        <v>2047.1666666666665</v>
      </c>
      <c r="M36" s="132">
        <f>+'2017'!M223</f>
        <v>2047.1666666666665</v>
      </c>
      <c r="N36" s="132">
        <f>+'2017'!N223</f>
        <v>2047.1666666666665</v>
      </c>
      <c r="O36" s="458">
        <f>+'2017'!O223</f>
        <v>24566</v>
      </c>
      <c r="P36" s="132">
        <f>+'2017'!P223</f>
        <v>111.66363636363636</v>
      </c>
      <c r="Q36" s="132">
        <f>+'2017'!Q223</f>
        <v>24566</v>
      </c>
      <c r="R36" s="10"/>
    </row>
    <row r="37" spans="1:18" s="18" customFormat="1" ht="11" customHeight="1">
      <c r="A37" s="129"/>
      <c r="B37" s="127" t="s">
        <v>61</v>
      </c>
      <c r="C37" s="132">
        <f>+'2017'!C233</f>
        <v>50</v>
      </c>
      <c r="D37" s="132">
        <f>+'2017'!D233</f>
        <v>50</v>
      </c>
      <c r="E37" s="132">
        <f>+'2017'!E233</f>
        <v>50</v>
      </c>
      <c r="F37" s="132">
        <f>+'2017'!F233</f>
        <v>50</v>
      </c>
      <c r="G37" s="132">
        <f>+'2017'!G233</f>
        <v>50</v>
      </c>
      <c r="H37" s="132">
        <f>+'2017'!H233</f>
        <v>50</v>
      </c>
      <c r="I37" s="132">
        <f>+'2017'!I233</f>
        <v>50</v>
      </c>
      <c r="J37" s="132">
        <f>+'2017'!J233</f>
        <v>50</v>
      </c>
      <c r="K37" s="132">
        <f>+'2017'!K233</f>
        <v>50</v>
      </c>
      <c r="L37" s="132">
        <f>+'2017'!L233</f>
        <v>50</v>
      </c>
      <c r="M37" s="132">
        <f>+'2017'!M233</f>
        <v>50</v>
      </c>
      <c r="N37" s="132">
        <f>+'2017'!N233</f>
        <v>50</v>
      </c>
      <c r="O37" s="458">
        <f>+'2017'!O233</f>
        <v>600</v>
      </c>
      <c r="P37" s="132">
        <f>+'2017'!P233</f>
        <v>2.7272727272727271</v>
      </c>
      <c r="Q37" s="132">
        <f>+'2017'!Q233</f>
        <v>55129</v>
      </c>
      <c r="R37" s="10"/>
    </row>
    <row r="38" spans="1:18" s="17" customFormat="1" ht="11" customHeight="1">
      <c r="A38" s="129"/>
      <c r="B38" s="127" t="s">
        <v>62</v>
      </c>
      <c r="C38" s="204">
        <f>+'2017'!C246</f>
        <v>12664.666666666666</v>
      </c>
      <c r="D38" s="204">
        <f>+'2017'!D246</f>
        <v>12664.666666666666</v>
      </c>
      <c r="E38" s="204">
        <f>+'2017'!E246</f>
        <v>12664.666666666666</v>
      </c>
      <c r="F38" s="204">
        <f>+'2017'!F246</f>
        <v>12664.666666666666</v>
      </c>
      <c r="G38" s="204">
        <f>+'2017'!G246</f>
        <v>12664.666666666666</v>
      </c>
      <c r="H38" s="204">
        <f>+'2017'!H246</f>
        <v>12664.666666666666</v>
      </c>
      <c r="I38" s="204">
        <f>+'2017'!I246</f>
        <v>12664.666666666666</v>
      </c>
      <c r="J38" s="204">
        <f>+'2017'!J246</f>
        <v>12664.666666666666</v>
      </c>
      <c r="K38" s="204">
        <f>+'2017'!K246</f>
        <v>12664.666666666666</v>
      </c>
      <c r="L38" s="204">
        <f>+'2017'!L246</f>
        <v>12664.666666666666</v>
      </c>
      <c r="M38" s="204">
        <f>+'2017'!M246</f>
        <v>12664.666666666666</v>
      </c>
      <c r="N38" s="204">
        <f>+'2017'!N246</f>
        <v>12664.666666666666</v>
      </c>
      <c r="O38" s="459">
        <f>+'2017'!O246</f>
        <v>151976</v>
      </c>
      <c r="P38" s="204">
        <f>+'2017'!P246</f>
        <v>690.8</v>
      </c>
      <c r="Q38" s="204">
        <f>+'2017'!Q246</f>
        <v>154292</v>
      </c>
    </row>
    <row r="39" spans="1:18" s="17" customFormat="1" ht="11" customHeight="1">
      <c r="A39" s="134"/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462"/>
      <c r="P39" s="135"/>
      <c r="Q39" s="135"/>
    </row>
    <row r="40" spans="1:18" s="4" customFormat="1" ht="11" customHeight="1">
      <c r="A40" s="129"/>
      <c r="B40" s="127" t="s">
        <v>51</v>
      </c>
      <c r="C40" s="132">
        <f>SUM(C25:C38)</f>
        <v>53844.527666666661</v>
      </c>
      <c r="D40" s="132">
        <f t="shared" ref="D40:N40" si="4">SUM(D25:D38)</f>
        <v>53883.527666666661</v>
      </c>
      <c r="E40" s="132">
        <f t="shared" si="4"/>
        <v>53922.527666666661</v>
      </c>
      <c r="F40" s="132">
        <f t="shared" si="4"/>
        <v>53945.341303030298</v>
      </c>
      <c r="G40" s="132">
        <f t="shared" si="4"/>
        <v>53961.404939393935</v>
      </c>
      <c r="H40" s="132">
        <f t="shared" si="4"/>
        <v>54042.841303030298</v>
      </c>
      <c r="I40" s="132">
        <f t="shared" si="4"/>
        <v>54138.370848484847</v>
      </c>
      <c r="J40" s="132">
        <f t="shared" si="4"/>
        <v>54217.55721212121</v>
      </c>
      <c r="K40" s="132">
        <f t="shared" si="4"/>
        <v>54187.714030303025</v>
      </c>
      <c r="L40" s="132">
        <f t="shared" si="4"/>
        <v>54182.777666666661</v>
      </c>
      <c r="M40" s="132">
        <f t="shared" si="4"/>
        <v>54177.841303030298</v>
      </c>
      <c r="N40" s="132">
        <f t="shared" si="4"/>
        <v>54170.654939393935</v>
      </c>
      <c r="O40" s="458">
        <f>SUM(O25:O38)</f>
        <v>648675.08654545457</v>
      </c>
      <c r="P40" s="132">
        <f>SUM(P25:P38)</f>
        <v>2948.5231206611561</v>
      </c>
      <c r="Q40" s="132">
        <f>SUM(Q25:Q38)</f>
        <v>708218</v>
      </c>
      <c r="R40" s="17"/>
    </row>
    <row r="41" spans="1:18" s="4" customFormat="1" ht="11" customHeight="1">
      <c r="A41" s="134"/>
      <c r="B41" s="134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462"/>
      <c r="P41" s="135"/>
      <c r="Q41" s="135"/>
      <c r="R41" s="17"/>
    </row>
    <row r="42" spans="1:18" s="4" customFormat="1" ht="11" customHeight="1">
      <c r="A42" s="129"/>
      <c r="B42" s="127" t="s">
        <v>63</v>
      </c>
      <c r="C42" s="178">
        <f>+'2017'!C257</f>
        <v>10761.5</v>
      </c>
      <c r="D42" s="178">
        <f>+'2017'!D257</f>
        <v>10761.5</v>
      </c>
      <c r="E42" s="178">
        <f>+'2017'!E257</f>
        <v>10761.5</v>
      </c>
      <c r="F42" s="178">
        <f>+'2017'!F257</f>
        <v>10761.5</v>
      </c>
      <c r="G42" s="178">
        <f>+'2017'!G257</f>
        <v>10761.5</v>
      </c>
      <c r="H42" s="178">
        <f>+'2017'!H257</f>
        <v>10761.5</v>
      </c>
      <c r="I42" s="178">
        <f>+'2017'!I257</f>
        <v>10761.5</v>
      </c>
      <c r="J42" s="178">
        <f>+'2017'!J257</f>
        <v>10761.5</v>
      </c>
      <c r="K42" s="178">
        <f>+'2017'!K257</f>
        <v>10761.5</v>
      </c>
      <c r="L42" s="178">
        <f>+'2017'!L257</f>
        <v>10761.5</v>
      </c>
      <c r="M42" s="178">
        <f>+'2017'!M257</f>
        <v>10761.5</v>
      </c>
      <c r="N42" s="178">
        <f>+'2017'!N257</f>
        <v>10761.5</v>
      </c>
      <c r="O42" s="458">
        <f>+'2017'!O257</f>
        <v>129138</v>
      </c>
      <c r="P42" s="178">
        <f>+'2017'!P257</f>
        <v>586.9909090909091</v>
      </c>
      <c r="Q42" s="178">
        <f>+'2017'!Q257</f>
        <v>129138</v>
      </c>
    </row>
    <row r="43" spans="1:18" s="17" customFormat="1" ht="11" customHeight="1">
      <c r="A43" s="129"/>
      <c r="B43" s="127" t="s">
        <v>64</v>
      </c>
      <c r="C43" s="204">
        <f>+'2017'!C263</f>
        <v>2397.1666666666665</v>
      </c>
      <c r="D43" s="204">
        <f>+'2017'!D263</f>
        <v>2397.1666666666665</v>
      </c>
      <c r="E43" s="204">
        <f>+'2017'!E263</f>
        <v>2397.1666666666665</v>
      </c>
      <c r="F43" s="204">
        <f>+'2017'!F263</f>
        <v>2397.1666666666665</v>
      </c>
      <c r="G43" s="204">
        <f>+'2017'!G263</f>
        <v>2397.1666666666665</v>
      </c>
      <c r="H43" s="204">
        <f>+'2017'!H263</f>
        <v>2397.1666666666665</v>
      </c>
      <c r="I43" s="204">
        <f>+'2017'!I263</f>
        <v>2397.1666666666665</v>
      </c>
      <c r="J43" s="204">
        <f>+'2017'!J263</f>
        <v>2397.1666666666665</v>
      </c>
      <c r="K43" s="204">
        <f>+'2017'!K263</f>
        <v>2397.1666666666665</v>
      </c>
      <c r="L43" s="204">
        <f>+'2017'!L263</f>
        <v>2397.1666666666665</v>
      </c>
      <c r="M43" s="204">
        <f>+'2017'!M263</f>
        <v>2397.1666666666665</v>
      </c>
      <c r="N43" s="204">
        <f>+'2017'!N263</f>
        <v>2397.1666666666665</v>
      </c>
      <c r="O43" s="459">
        <f>+'2017'!O263</f>
        <v>28766.000000000004</v>
      </c>
      <c r="P43" s="204">
        <f>+'2017'!P263</f>
        <v>130.75454545454548</v>
      </c>
      <c r="Q43" s="204">
        <f>+'2017'!Q263</f>
        <v>28766</v>
      </c>
    </row>
    <row r="44" spans="1:18" s="4" customFormat="1" ht="11" customHeight="1">
      <c r="A44" s="134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462"/>
      <c r="P44" s="135"/>
      <c r="Q44" s="135"/>
    </row>
    <row r="45" spans="1:18" s="4" customFormat="1" ht="11" customHeight="1">
      <c r="A45" s="129"/>
      <c r="B45" s="127" t="s">
        <v>137</v>
      </c>
      <c r="C45" s="204">
        <f>+C40+C42+C43</f>
        <v>67003.194333333333</v>
      </c>
      <c r="D45" s="204">
        <f t="shared" ref="D45:N45" si="5">+D40+D42+D43</f>
        <v>67042.194333333333</v>
      </c>
      <c r="E45" s="204">
        <f t="shared" si="5"/>
        <v>67081.194333333333</v>
      </c>
      <c r="F45" s="204">
        <f t="shared" si="5"/>
        <v>67104.007969696962</v>
      </c>
      <c r="G45" s="204">
        <f t="shared" si="5"/>
        <v>67120.071606060606</v>
      </c>
      <c r="H45" s="204">
        <f t="shared" si="5"/>
        <v>67201.507969696962</v>
      </c>
      <c r="I45" s="204">
        <f t="shared" si="5"/>
        <v>67297.037515151518</v>
      </c>
      <c r="J45" s="204">
        <f t="shared" si="5"/>
        <v>67376.223878787874</v>
      </c>
      <c r="K45" s="204">
        <f t="shared" si="5"/>
        <v>67346.380696969689</v>
      </c>
      <c r="L45" s="204">
        <f t="shared" si="5"/>
        <v>67341.444333333333</v>
      </c>
      <c r="M45" s="204">
        <f t="shared" si="5"/>
        <v>67336.507969696962</v>
      </c>
      <c r="N45" s="204">
        <f t="shared" si="5"/>
        <v>67329.321606060606</v>
      </c>
      <c r="O45" s="459">
        <f>+O40+O42+O43</f>
        <v>806579.08654545457</v>
      </c>
      <c r="P45" s="204">
        <f>+P40+P42+P43</f>
        <v>3666.2685752066109</v>
      </c>
      <c r="Q45" s="204">
        <f>+Q40+Q42+Q43</f>
        <v>866122</v>
      </c>
    </row>
    <row r="46" spans="1:18" s="10" customFormat="1" ht="11" customHeight="1">
      <c r="A46" s="134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462"/>
      <c r="P46" s="135"/>
      <c r="Q46" s="135"/>
      <c r="R46" s="4"/>
    </row>
    <row r="47" spans="1:18" s="443" customFormat="1" ht="15" customHeight="1">
      <c r="B47" s="447" t="s">
        <v>66</v>
      </c>
      <c r="C47" s="448">
        <f>+C22-C45</f>
        <v>172032.05566666665</v>
      </c>
      <c r="D47" s="448">
        <f t="shared" ref="D47:N47" si="6">+D22-D45</f>
        <v>173293.05566666665</v>
      </c>
      <c r="E47" s="448">
        <f t="shared" si="6"/>
        <v>174554.05566666665</v>
      </c>
      <c r="F47" s="448">
        <f t="shared" si="6"/>
        <v>175291.69657575758</v>
      </c>
      <c r="G47" s="448">
        <f t="shared" si="6"/>
        <v>175811.08748484848</v>
      </c>
      <c r="H47" s="448">
        <f t="shared" si="6"/>
        <v>178444.19657575758</v>
      </c>
      <c r="I47" s="448">
        <f t="shared" si="6"/>
        <v>181532.98521212122</v>
      </c>
      <c r="J47" s="448">
        <f t="shared" si="6"/>
        <v>184093.34430303029</v>
      </c>
      <c r="K47" s="448">
        <f t="shared" si="6"/>
        <v>183128.41475757578</v>
      </c>
      <c r="L47" s="448">
        <f t="shared" si="6"/>
        <v>182968.80566666665</v>
      </c>
      <c r="M47" s="448">
        <f t="shared" si="6"/>
        <v>182809.19657575758</v>
      </c>
      <c r="N47" s="448">
        <f t="shared" si="6"/>
        <v>182576.83748484848</v>
      </c>
      <c r="O47" s="461">
        <f>+O22-O45</f>
        <v>2146535.731636364</v>
      </c>
      <c r="P47" s="448">
        <f>+P22-P45</f>
        <v>9756.9805983471088</v>
      </c>
      <c r="Q47" s="448">
        <f t="shared" ref="Q47" si="7">+Q22-Q45</f>
        <v>7764683.8181818184</v>
      </c>
      <c r="R47" s="447"/>
    </row>
    <row r="48" spans="1:18" s="17" customFormat="1" ht="11" customHeight="1">
      <c r="A48" s="134"/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462"/>
      <c r="P48" s="135"/>
      <c r="Q48" s="135"/>
      <c r="R48" s="10"/>
    </row>
    <row r="49" spans="1:18" s="10" customFormat="1" ht="11" customHeight="1">
      <c r="A49" s="129"/>
      <c r="B49" s="4" t="s">
        <v>200</v>
      </c>
      <c r="C49" s="132">
        <f>+'2017'!C289</f>
        <v>8218.0833333333339</v>
      </c>
      <c r="D49" s="132">
        <f>+'2017'!D289</f>
        <v>8218.0833333333339</v>
      </c>
      <c r="E49" s="132">
        <f>+'2017'!E289</f>
        <v>8218.0833333333339</v>
      </c>
      <c r="F49" s="132">
        <f>+'2017'!F289</f>
        <v>8218.0833333333339</v>
      </c>
      <c r="G49" s="132">
        <f>+'2017'!G289</f>
        <v>8218.0833333333339</v>
      </c>
      <c r="H49" s="132">
        <f>+'2017'!H289</f>
        <v>8218.0833333333339</v>
      </c>
      <c r="I49" s="132">
        <f>+'2017'!I289</f>
        <v>8218.0833333333339</v>
      </c>
      <c r="J49" s="132">
        <f>+'2017'!J289</f>
        <v>8218.0833333333339</v>
      </c>
      <c r="K49" s="132">
        <f>+'2017'!K289</f>
        <v>8218.0833333333339</v>
      </c>
      <c r="L49" s="132">
        <f>+'2017'!L289</f>
        <v>8218.0833333333339</v>
      </c>
      <c r="M49" s="132">
        <f>+'2017'!M289</f>
        <v>8218.0833333333339</v>
      </c>
      <c r="N49" s="132">
        <f>+'2017'!N289</f>
        <v>8218.0833333333339</v>
      </c>
      <c r="O49" s="458">
        <f>+'2017'!O289</f>
        <v>98616.999999999985</v>
      </c>
      <c r="P49" s="132">
        <f>+'2017'!P289</f>
        <v>448.25909090909084</v>
      </c>
      <c r="Q49" s="132">
        <f>+'2017'!Q289</f>
        <v>98617</v>
      </c>
      <c r="R49" s="4"/>
    </row>
    <row r="50" spans="1:18" s="4" customFormat="1" ht="11" customHeight="1">
      <c r="A50" s="129"/>
      <c r="B50" s="4" t="s">
        <v>65</v>
      </c>
      <c r="C50" s="204">
        <f>+'2017'!C299</f>
        <v>-33.333333333333343</v>
      </c>
      <c r="D50" s="204">
        <f>+'2017'!D299</f>
        <v>-33.333333333333343</v>
      </c>
      <c r="E50" s="204">
        <f>+'2017'!E299</f>
        <v>-33.333333333333343</v>
      </c>
      <c r="F50" s="204">
        <f>+'2017'!F299</f>
        <v>-33.333333333333343</v>
      </c>
      <c r="G50" s="204">
        <f>+'2017'!G299</f>
        <v>-33.333333333333343</v>
      </c>
      <c r="H50" s="204">
        <f>+'2017'!H299</f>
        <v>-33.333333333333343</v>
      </c>
      <c r="I50" s="204">
        <f>+'2017'!I299</f>
        <v>-33.333333333333343</v>
      </c>
      <c r="J50" s="204">
        <f>+'2017'!J299</f>
        <v>-33.333333333333343</v>
      </c>
      <c r="K50" s="204">
        <f>+'2017'!K299</f>
        <v>-33.333333333333343</v>
      </c>
      <c r="L50" s="204">
        <f>+'2017'!L299</f>
        <v>-33.333333333333343</v>
      </c>
      <c r="M50" s="204">
        <f>+'2017'!M299</f>
        <v>-33.333333333333343</v>
      </c>
      <c r="N50" s="204">
        <f>+'2017'!N299</f>
        <v>-33.333333333333343</v>
      </c>
      <c r="O50" s="459">
        <f>+'2017'!O299</f>
        <v>-400.00000000000023</v>
      </c>
      <c r="P50" s="204">
        <f>+'2017'!P299</f>
        <v>-1.8181818181818192</v>
      </c>
      <c r="Q50" s="204">
        <f>+'2017'!Q299</f>
        <v>-735.15151515151558</v>
      </c>
    </row>
    <row r="51" spans="1:18" s="17" customFormat="1" ht="11" customHeight="1">
      <c r="A51" s="134"/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462"/>
      <c r="P51" s="135"/>
      <c r="Q51" s="135"/>
      <c r="R51" s="4"/>
    </row>
    <row r="52" spans="1:18" s="18" customFormat="1" ht="11" customHeight="1">
      <c r="A52" s="129"/>
      <c r="B52" s="157" t="s">
        <v>140</v>
      </c>
      <c r="C52" s="132">
        <f>+C47-C49-C50</f>
        <v>163847.30566666665</v>
      </c>
      <c r="D52" s="132">
        <f t="shared" ref="D52:Q52" si="8">+D47-D49-D50</f>
        <v>165108.30566666665</v>
      </c>
      <c r="E52" s="132">
        <f t="shared" si="8"/>
        <v>166369.30566666665</v>
      </c>
      <c r="F52" s="132">
        <f t="shared" si="8"/>
        <v>167106.94657575758</v>
      </c>
      <c r="G52" s="132">
        <f t="shared" si="8"/>
        <v>167626.33748484848</v>
      </c>
      <c r="H52" s="132">
        <f t="shared" si="8"/>
        <v>170259.44657575758</v>
      </c>
      <c r="I52" s="132">
        <f t="shared" si="8"/>
        <v>173348.23521212122</v>
      </c>
      <c r="J52" s="132">
        <f t="shared" si="8"/>
        <v>175908.59430303029</v>
      </c>
      <c r="K52" s="132">
        <f t="shared" si="8"/>
        <v>174943.66475757578</v>
      </c>
      <c r="L52" s="132">
        <f t="shared" si="8"/>
        <v>174784.05566666665</v>
      </c>
      <c r="M52" s="132">
        <f t="shared" si="8"/>
        <v>174624.44657575758</v>
      </c>
      <c r="N52" s="132">
        <f t="shared" si="8"/>
        <v>174392.08748484848</v>
      </c>
      <c r="O52" s="458">
        <f t="shared" si="8"/>
        <v>2048318.731636364</v>
      </c>
      <c r="P52" s="132">
        <f t="shared" si="8"/>
        <v>9310.5396892562003</v>
      </c>
      <c r="Q52" s="132">
        <f t="shared" si="8"/>
        <v>7666801.9696969697</v>
      </c>
      <c r="R52" s="10"/>
    </row>
    <row r="53" spans="1:18" s="4" customFormat="1" ht="11" customHeight="1">
      <c r="A53" s="137"/>
      <c r="B53" s="128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455"/>
      <c r="P53" s="140"/>
      <c r="Q53" s="140"/>
      <c r="R53" s="17"/>
    </row>
    <row r="54" spans="1:18" s="17" customFormat="1" ht="11" customHeight="1">
      <c r="A54" s="134"/>
      <c r="B54" s="134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455"/>
      <c r="P54" s="140"/>
      <c r="Q54" s="140"/>
      <c r="R54" s="18"/>
    </row>
    <row r="55" spans="1:18" s="4" customFormat="1" ht="11" customHeight="1">
      <c r="A55" s="129"/>
      <c r="B55" s="127" t="s">
        <v>22</v>
      </c>
      <c r="C55" s="132">
        <f>+'2017'!C310</f>
        <v>41552.5</v>
      </c>
      <c r="D55" s="132">
        <f>+'2017'!D310</f>
        <v>41552.5</v>
      </c>
      <c r="E55" s="132">
        <f>+'2017'!E310</f>
        <v>41552.5</v>
      </c>
      <c r="F55" s="132">
        <f>+'2017'!F310</f>
        <v>41552.5</v>
      </c>
      <c r="G55" s="132">
        <f>+'2017'!G310</f>
        <v>41552.5</v>
      </c>
      <c r="H55" s="132">
        <f>+'2017'!H310</f>
        <v>41552.5</v>
      </c>
      <c r="I55" s="132">
        <f>+'2017'!I310</f>
        <v>41552.5</v>
      </c>
      <c r="J55" s="132">
        <f>+'2017'!J310</f>
        <v>41552.5</v>
      </c>
      <c r="K55" s="132">
        <f>+'2017'!K310</f>
        <v>41552.5</v>
      </c>
      <c r="L55" s="132">
        <f>+'2017'!L310</f>
        <v>41552.5</v>
      </c>
      <c r="M55" s="132">
        <f>+'2017'!M310</f>
        <v>41552.5</v>
      </c>
      <c r="N55" s="132">
        <f>+'2017'!N310</f>
        <v>41552.5</v>
      </c>
      <c r="O55" s="458">
        <f>+'2017'!O310</f>
        <v>498630</v>
      </c>
      <c r="P55" s="132">
        <f>+'2017'!P310</f>
        <v>2266.5</v>
      </c>
      <c r="Q55" s="132">
        <f>+'2017'!Q310</f>
        <v>498630</v>
      </c>
      <c r="R55" s="242"/>
    </row>
    <row r="56" spans="1:18" s="4" customFormat="1" ht="11" customHeight="1">
      <c r="A56" s="129"/>
      <c r="B56" s="4" t="s">
        <v>201</v>
      </c>
      <c r="C56" s="204">
        <f>+'2017'!C316</f>
        <v>0</v>
      </c>
      <c r="D56" s="204">
        <f>+'2017'!D316</f>
        <v>0</v>
      </c>
      <c r="E56" s="204">
        <f>+'2017'!E316</f>
        <v>0</v>
      </c>
      <c r="F56" s="204">
        <f>+'2017'!F316</f>
        <v>0</v>
      </c>
      <c r="G56" s="204">
        <f>+'2017'!G316</f>
        <v>0</v>
      </c>
      <c r="H56" s="204">
        <f>+'2017'!H316</f>
        <v>0</v>
      </c>
      <c r="I56" s="204">
        <f>+'2017'!I316</f>
        <v>0</v>
      </c>
      <c r="J56" s="204">
        <f>+'2017'!J316</f>
        <v>0</v>
      </c>
      <c r="K56" s="204">
        <f>+'2017'!K316</f>
        <v>0</v>
      </c>
      <c r="L56" s="204">
        <f>+'2017'!L316</f>
        <v>0</v>
      </c>
      <c r="M56" s="204">
        <f>+'2017'!M316</f>
        <v>0</v>
      </c>
      <c r="N56" s="204">
        <f>+'2017'!N316</f>
        <v>0</v>
      </c>
      <c r="O56" s="459">
        <f>+'2017'!O316</f>
        <v>0</v>
      </c>
      <c r="P56" s="204">
        <f>+'2017'!P316</f>
        <v>0</v>
      </c>
      <c r="Q56" s="204">
        <f>+'2017'!Q316</f>
        <v>0</v>
      </c>
    </row>
    <row r="57" spans="1:18" s="4" customFormat="1" ht="11" customHeight="1">
      <c r="A57" s="134"/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462"/>
      <c r="P57" s="135"/>
      <c r="Q57" s="135"/>
    </row>
    <row r="58" spans="1:18" s="4" customFormat="1" ht="11" customHeight="1">
      <c r="A58" s="129"/>
      <c r="B58" s="157" t="s">
        <v>524</v>
      </c>
      <c r="C58" s="132">
        <f>+C52-C55-C56</f>
        <v>122294.80566666665</v>
      </c>
      <c r="D58" s="132">
        <f t="shared" ref="D58:Q58" si="9">+D52-D55-D56</f>
        <v>123555.80566666665</v>
      </c>
      <c r="E58" s="132">
        <f t="shared" si="9"/>
        <v>124816.80566666665</v>
      </c>
      <c r="F58" s="132">
        <f t="shared" si="9"/>
        <v>125554.44657575758</v>
      </c>
      <c r="G58" s="132">
        <f t="shared" si="9"/>
        <v>126073.83748484848</v>
      </c>
      <c r="H58" s="132">
        <f t="shared" si="9"/>
        <v>128706.94657575758</v>
      </c>
      <c r="I58" s="132">
        <f t="shared" si="9"/>
        <v>131795.73521212122</v>
      </c>
      <c r="J58" s="132">
        <f t="shared" si="9"/>
        <v>134356.09430303029</v>
      </c>
      <c r="K58" s="132">
        <f t="shared" si="9"/>
        <v>133391.16475757578</v>
      </c>
      <c r="L58" s="132">
        <f t="shared" si="9"/>
        <v>133231.55566666665</v>
      </c>
      <c r="M58" s="132">
        <f t="shared" si="9"/>
        <v>133071.94657575758</v>
      </c>
      <c r="N58" s="132">
        <f t="shared" si="9"/>
        <v>132839.58748484848</v>
      </c>
      <c r="O58" s="458">
        <f t="shared" si="9"/>
        <v>1549688.731636364</v>
      </c>
      <c r="P58" s="132">
        <f t="shared" si="9"/>
        <v>7044.0396892562003</v>
      </c>
      <c r="Q58" s="132">
        <f t="shared" si="9"/>
        <v>7168171.9696969697</v>
      </c>
    </row>
    <row r="59" spans="1:18" s="4" customFormat="1" ht="11" customHeight="1">
      <c r="A59" s="137"/>
      <c r="B59" s="138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460"/>
      <c r="P59" s="133"/>
      <c r="Q59" s="133"/>
    </row>
    <row r="60" spans="1:18" s="4" customFormat="1" ht="11" customHeight="1">
      <c r="A60" s="129"/>
      <c r="B60" s="4" t="s">
        <v>505</v>
      </c>
      <c r="C60" s="132">
        <f>+'2017'!C333</f>
        <v>0</v>
      </c>
      <c r="D60" s="132">
        <f>+'2017'!D333</f>
        <v>0</v>
      </c>
      <c r="E60" s="132">
        <f>+'2017'!E333</f>
        <v>0</v>
      </c>
      <c r="F60" s="132">
        <f>+'2017'!F333</f>
        <v>0</v>
      </c>
      <c r="G60" s="132">
        <f>+'2017'!G333</f>
        <v>0</v>
      </c>
      <c r="H60" s="132">
        <f>+'2017'!H333</f>
        <v>0</v>
      </c>
      <c r="I60" s="132">
        <f>+'2017'!I333</f>
        <v>0</v>
      </c>
      <c r="J60" s="132">
        <f>+'2017'!J333</f>
        <v>0</v>
      </c>
      <c r="K60" s="132">
        <f>+'2017'!K333</f>
        <v>0</v>
      </c>
      <c r="L60" s="132">
        <f>+'2017'!L333</f>
        <v>0</v>
      </c>
      <c r="M60" s="132">
        <f>+'2017'!M333</f>
        <v>0</v>
      </c>
      <c r="N60" s="132">
        <f>+'2017'!N333</f>
        <v>0</v>
      </c>
      <c r="O60" s="458">
        <f>+'2017'!O333</f>
        <v>0</v>
      </c>
      <c r="P60" s="132">
        <f>+'2017'!P333</f>
        <v>0</v>
      </c>
      <c r="Q60" s="132">
        <f>+'2017'!Q333</f>
        <v>0</v>
      </c>
    </row>
    <row r="61" spans="1:18" s="4" customFormat="1" ht="11" customHeight="1">
      <c r="A61" s="129"/>
      <c r="B61" s="4" t="s">
        <v>525</v>
      </c>
      <c r="C61" s="132">
        <f>+'2017'!C408</f>
        <v>75525.083333333343</v>
      </c>
      <c r="D61" s="132">
        <f>+'2017'!D408</f>
        <v>75525.083333333343</v>
      </c>
      <c r="E61" s="132">
        <f>+'2017'!E408</f>
        <v>75525.083333333343</v>
      </c>
      <c r="F61" s="132">
        <f>+'2017'!F408</f>
        <v>75525.083333333343</v>
      </c>
      <c r="G61" s="132">
        <f>+'2017'!G408</f>
        <v>75525.083333333343</v>
      </c>
      <c r="H61" s="132">
        <f>+'2017'!H408</f>
        <v>75525.083333333343</v>
      </c>
      <c r="I61" s="132">
        <f>+'2017'!I408</f>
        <v>75525.083333333343</v>
      </c>
      <c r="J61" s="132">
        <f>+'2017'!J408</f>
        <v>75525.083333333343</v>
      </c>
      <c r="K61" s="132">
        <f>+'2017'!K408</f>
        <v>75525.083333333343</v>
      </c>
      <c r="L61" s="132">
        <f>+'2017'!L408</f>
        <v>75525.083333333343</v>
      </c>
      <c r="M61" s="132">
        <f>+'2017'!M408</f>
        <v>75525.083333333343</v>
      </c>
      <c r="N61" s="132">
        <f>+'2017'!N408</f>
        <v>75525.083333333343</v>
      </c>
      <c r="O61" s="458">
        <f>+'2017'!O408</f>
        <v>906301.00000000035</v>
      </c>
      <c r="P61" s="132">
        <f>+'2017'!P408</f>
        <v>4119.550000000002</v>
      </c>
      <c r="Q61" s="132">
        <f>+'2017'!Q408</f>
        <v>18.725227272727281</v>
      </c>
    </row>
    <row r="62" spans="1:18" s="17" customFormat="1" ht="11" customHeight="1">
      <c r="A62" s="129"/>
      <c r="B62" s="4" t="s">
        <v>144</v>
      </c>
      <c r="C62" s="132">
        <f>+'2017'!C420</f>
        <v>32928.666666666664</v>
      </c>
      <c r="D62" s="132">
        <f>+'2017'!D420</f>
        <v>32928.666666666664</v>
      </c>
      <c r="E62" s="132">
        <f>+'2017'!E420</f>
        <v>32928.666666666664</v>
      </c>
      <c r="F62" s="132">
        <f>+'2017'!F420</f>
        <v>32928.666666666664</v>
      </c>
      <c r="G62" s="132">
        <f>+'2017'!G420</f>
        <v>32928.666666666664</v>
      </c>
      <c r="H62" s="132">
        <f>+'2017'!H420</f>
        <v>32928.666666666664</v>
      </c>
      <c r="I62" s="132">
        <f>+'2017'!I420</f>
        <v>32928.666666666664</v>
      </c>
      <c r="J62" s="132">
        <f>+'2017'!J420</f>
        <v>32928.666666666664</v>
      </c>
      <c r="K62" s="132">
        <f>+'2017'!K420</f>
        <v>32928.666666666664</v>
      </c>
      <c r="L62" s="132">
        <f>+'2017'!L420</f>
        <v>32928.666666666664</v>
      </c>
      <c r="M62" s="132">
        <f>+'2017'!M420</f>
        <v>32928.666666666664</v>
      </c>
      <c r="N62" s="132">
        <f>+'2017'!N420</f>
        <v>32928.666666666664</v>
      </c>
      <c r="O62" s="458">
        <f>+'2017'!O420</f>
        <v>395144</v>
      </c>
      <c r="P62" s="132">
        <f>+'2017'!P420</f>
        <v>1796.1090909090913</v>
      </c>
      <c r="Q62" s="132">
        <f>+'2017'!Q420</f>
        <v>395144</v>
      </c>
      <c r="R62" s="141"/>
    </row>
    <row r="63" spans="1:18" s="4" customFormat="1" ht="11" customHeight="1">
      <c r="A63" s="129"/>
      <c r="B63" s="4" t="s">
        <v>141</v>
      </c>
      <c r="C63" s="204">
        <f>+'2017'!C438</f>
        <v>0</v>
      </c>
      <c r="D63" s="204">
        <f>+'2017'!D438</f>
        <v>0</v>
      </c>
      <c r="E63" s="204">
        <f>+'2017'!E438</f>
        <v>0</v>
      </c>
      <c r="F63" s="204">
        <f>+'2017'!F438</f>
        <v>0</v>
      </c>
      <c r="G63" s="204">
        <f>+'2017'!G438</f>
        <v>0</v>
      </c>
      <c r="H63" s="204">
        <f>+'2017'!H438</f>
        <v>0</v>
      </c>
      <c r="I63" s="204">
        <f>+'2017'!I438</f>
        <v>0</v>
      </c>
      <c r="J63" s="204">
        <f>+'2017'!J438</f>
        <v>0</v>
      </c>
      <c r="K63" s="204">
        <f>+'2017'!K438</f>
        <v>0</v>
      </c>
      <c r="L63" s="204">
        <f>+'2017'!L438</f>
        <v>0</v>
      </c>
      <c r="M63" s="204">
        <f>+'2017'!M438</f>
        <v>0</v>
      </c>
      <c r="N63" s="204">
        <f>+'2017'!N438</f>
        <v>0</v>
      </c>
      <c r="O63" s="459">
        <f>+'2017'!O438</f>
        <v>0</v>
      </c>
      <c r="P63" s="204">
        <f>+'2017'!P438</f>
        <v>0</v>
      </c>
      <c r="Q63" s="204">
        <f>+'2017'!Q438</f>
        <v>0</v>
      </c>
    </row>
    <row r="64" spans="1:18" s="4" customFormat="1" ht="11" customHeight="1">
      <c r="A64" s="129"/>
      <c r="B64" s="139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458"/>
      <c r="P64" s="132"/>
      <c r="Q64" s="132"/>
    </row>
    <row r="65" spans="1:17" s="447" customFormat="1" ht="13" thickBot="1">
      <c r="A65" s="443"/>
      <c r="B65" s="449" t="s">
        <v>508</v>
      </c>
      <c r="C65" s="450">
        <f>+C58-C60-C61-C62-C63</f>
        <v>13841.055666666645</v>
      </c>
      <c r="D65" s="450">
        <f t="shared" ref="D65:Q65" si="10">+D58-D60-D61-D62-D63</f>
        <v>15102.055666666645</v>
      </c>
      <c r="E65" s="450">
        <f t="shared" si="10"/>
        <v>16363.055666666645</v>
      </c>
      <c r="F65" s="450">
        <f t="shared" si="10"/>
        <v>17100.696575757574</v>
      </c>
      <c r="G65" s="450">
        <f t="shared" si="10"/>
        <v>17620.087484848475</v>
      </c>
      <c r="H65" s="450">
        <f t="shared" si="10"/>
        <v>20253.196575757574</v>
      </c>
      <c r="I65" s="450">
        <f t="shared" si="10"/>
        <v>23341.98521212121</v>
      </c>
      <c r="J65" s="450">
        <f t="shared" si="10"/>
        <v>25902.344303030281</v>
      </c>
      <c r="K65" s="450">
        <f t="shared" si="10"/>
        <v>24937.414757575774</v>
      </c>
      <c r="L65" s="450">
        <f t="shared" si="10"/>
        <v>24777.805666666645</v>
      </c>
      <c r="M65" s="450">
        <f t="shared" si="10"/>
        <v>24618.196575757574</v>
      </c>
      <c r="N65" s="450">
        <f t="shared" si="10"/>
        <v>24385.837484848475</v>
      </c>
      <c r="O65" s="463">
        <f t="shared" si="10"/>
        <v>248243.73163636366</v>
      </c>
      <c r="P65" s="450">
        <f t="shared" si="10"/>
        <v>1128.380598347107</v>
      </c>
      <c r="Q65" s="450">
        <f t="shared" si="10"/>
        <v>6773009.2444696967</v>
      </c>
    </row>
    <row r="66" spans="1:17" s="4" customFormat="1" ht="10.5" customHeight="1">
      <c r="A66" s="129"/>
      <c r="B66" s="139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</row>
    <row r="67" spans="1:17">
      <c r="C67" s="201"/>
      <c r="O67" s="3"/>
    </row>
    <row r="68" spans="1:17">
      <c r="O68" s="3"/>
    </row>
    <row r="69" spans="1:17">
      <c r="O69" s="3"/>
    </row>
  </sheetData>
  <phoneticPr fontId="30" type="noConversion"/>
  <conditionalFormatting sqref="A13:A59">
    <cfRule type="expression" dxfId="4" priority="1" stopIfTrue="1">
      <formula>#REF!</formula>
    </cfRule>
  </conditionalFormatting>
  <printOptions horizontalCentered="1" verticalCentered="1" gridLines="1"/>
  <pageMargins left="0.25" right="0.25" top="0.25" bottom="0.2" header="0" footer="0"/>
  <pageSetup scale="8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C00000"/>
    <pageSetUpPr fitToPage="1"/>
  </sheetPr>
  <dimension ref="A1:U458"/>
  <sheetViews>
    <sheetView zoomScaleSheetLayoutView="100" workbookViewId="0">
      <pane xSplit="2" ySplit="4" topLeftCell="C5" activePane="bottomRight" state="frozen"/>
      <selection activeCell="H6" sqref="H6"/>
      <selection pane="topRight" activeCell="H6" sqref="H6"/>
      <selection pane="bottomLeft" activeCell="H6" sqref="H6"/>
      <selection pane="bottomRight" activeCell="C5" sqref="C5"/>
    </sheetView>
  </sheetViews>
  <sheetFormatPr baseColWidth="10" defaultColWidth="9.1640625" defaultRowHeight="14" x14ac:dyDescent="0"/>
  <cols>
    <col min="1" max="1" width="8.33203125" style="3" customWidth="1"/>
    <col min="2" max="2" width="25.6640625" style="3" customWidth="1"/>
    <col min="3" max="14" width="9.33203125" style="3" customWidth="1"/>
    <col min="15" max="15" width="10.1640625" style="3" customWidth="1"/>
    <col min="16" max="16" width="6.83203125" style="3" customWidth="1"/>
    <col min="17" max="17" width="10.1640625" style="3" bestFit="1" customWidth="1"/>
    <col min="18" max="18" width="9.1640625" style="3"/>
    <col min="19" max="19" width="8.33203125" style="3" customWidth="1"/>
    <col min="20" max="20" width="25.6640625" style="3" customWidth="1"/>
    <col min="21" max="21" width="9.1640625" style="3"/>
    <col min="22" max="16384" width="9.1640625" style="11"/>
  </cols>
  <sheetData>
    <row r="1" spans="1:20" s="29" customFormat="1" ht="10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44"/>
    </row>
    <row r="2" spans="1:20" s="121" customFormat="1" ht="10">
      <c r="A2" s="142"/>
      <c r="B2" s="143" t="str">
        <f>+Setup!B10</f>
        <v>Budget Master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45"/>
    </row>
    <row r="3" spans="1:20" s="29" customFormat="1" ht="10.5" customHeight="1">
      <c r="A3" s="144"/>
      <c r="B3" s="145">
        <f>+Setup!B9</f>
        <v>2018</v>
      </c>
      <c r="C3" s="211">
        <f>EDATE(DATE($B$3,1,1),0)</f>
        <v>43101</v>
      </c>
      <c r="D3" s="211">
        <f>EDATE(DATE($B$3,1,1),1)</f>
        <v>43132</v>
      </c>
      <c r="E3" s="211">
        <f>EDATE(DATE($B$3,1,1),2)</f>
        <v>43160</v>
      </c>
      <c r="F3" s="211">
        <f>EDATE(DATE($B$3,1,1),3)</f>
        <v>43191</v>
      </c>
      <c r="G3" s="211">
        <f>EDATE(DATE($B$3,1,1),4)</f>
        <v>43221</v>
      </c>
      <c r="H3" s="211">
        <f>EDATE(DATE($B$3,1,1),5)</f>
        <v>43252</v>
      </c>
      <c r="I3" s="211">
        <f>EDATE(DATE($B$3,1,1),6)</f>
        <v>43282</v>
      </c>
      <c r="J3" s="211">
        <f>EDATE(DATE($B$3,1,1),7)</f>
        <v>43313</v>
      </c>
      <c r="K3" s="211">
        <f>EDATE(DATE($B$3,1,1),8)</f>
        <v>43344</v>
      </c>
      <c r="L3" s="211">
        <f>EDATE(DATE($B$3,1,1),9)</f>
        <v>43374</v>
      </c>
      <c r="M3" s="211">
        <f>EDATE(DATE($B$3,1,1),10)</f>
        <v>43405</v>
      </c>
      <c r="N3" s="211">
        <f>EDATE(DATE($B$3,1,1),11)</f>
        <v>43435</v>
      </c>
      <c r="O3" s="145">
        <f>+B3</f>
        <v>2018</v>
      </c>
      <c r="P3" s="124" t="s">
        <v>180</v>
      </c>
      <c r="Q3" s="146">
        <f>+B3-1</f>
        <v>2017</v>
      </c>
      <c r="R3" s="146"/>
      <c r="S3" s="146"/>
      <c r="T3" s="257"/>
    </row>
    <row r="4" spans="1:20" s="29" customFormat="1" ht="10.5" customHeight="1">
      <c r="A4" s="147"/>
      <c r="B4" s="144"/>
      <c r="C4" s="124" t="s">
        <v>70</v>
      </c>
      <c r="D4" s="124" t="s">
        <v>70</v>
      </c>
      <c r="E4" s="124" t="s">
        <v>70</v>
      </c>
      <c r="F4" s="124" t="s">
        <v>70</v>
      </c>
      <c r="G4" s="124" t="s">
        <v>70</v>
      </c>
      <c r="H4" s="124" t="s">
        <v>70</v>
      </c>
      <c r="I4" s="124" t="s">
        <v>70</v>
      </c>
      <c r="J4" s="124" t="s">
        <v>70</v>
      </c>
      <c r="K4" s="124" t="s">
        <v>70</v>
      </c>
      <c r="L4" s="124" t="s">
        <v>70</v>
      </c>
      <c r="M4" s="124" t="s">
        <v>70</v>
      </c>
      <c r="N4" s="124" t="s">
        <v>70</v>
      </c>
      <c r="O4" s="145" t="s">
        <v>70</v>
      </c>
      <c r="P4" s="124" t="s">
        <v>99</v>
      </c>
      <c r="Q4" s="145" t="s">
        <v>69</v>
      </c>
      <c r="R4" s="145"/>
      <c r="S4" s="145"/>
      <c r="T4" s="257"/>
    </row>
    <row r="5" spans="1:20" s="17" customFormat="1" ht="10.5" customHeight="1">
      <c r="A5" s="159"/>
      <c r="B5" s="161" t="s">
        <v>135</v>
      </c>
      <c r="C5" s="130">
        <f t="shared" ref="C5:Q5" si="0">1+C11/C7</f>
        <v>0.95</v>
      </c>
      <c r="D5" s="130">
        <f t="shared" si="0"/>
        <v>0.95</v>
      </c>
      <c r="E5" s="130">
        <f t="shared" si="0"/>
        <v>0.95</v>
      </c>
      <c r="F5" s="130">
        <f t="shared" si="0"/>
        <v>0.94545454545454544</v>
      </c>
      <c r="G5" s="130">
        <f t="shared" si="0"/>
        <v>0.94090909090909092</v>
      </c>
      <c r="H5" s="130">
        <f t="shared" si="0"/>
        <v>0.94545454545454544</v>
      </c>
      <c r="I5" s="130">
        <f t="shared" si="0"/>
        <v>0.95227272727272727</v>
      </c>
      <c r="J5" s="130">
        <f t="shared" si="0"/>
        <v>0.95681818181818179</v>
      </c>
      <c r="K5" s="130">
        <f t="shared" si="0"/>
        <v>0.95454545454545459</v>
      </c>
      <c r="L5" s="130">
        <f t="shared" si="0"/>
        <v>0.95</v>
      </c>
      <c r="M5" s="130">
        <f t="shared" si="0"/>
        <v>0.94545454545454544</v>
      </c>
      <c r="N5" s="130">
        <f t="shared" si="0"/>
        <v>0.94090909090909092</v>
      </c>
      <c r="O5" s="130">
        <f t="shared" si="0"/>
        <v>0.94846476055711904</v>
      </c>
      <c r="P5" s="139"/>
      <c r="Q5" s="130">
        <f t="shared" si="0"/>
        <v>0.9567722225375026</v>
      </c>
      <c r="S5" s="273"/>
      <c r="T5" s="320"/>
    </row>
    <row r="6" spans="1:20" s="4" customFormat="1" ht="10.5" customHeight="1">
      <c r="A6" s="160"/>
      <c r="B6" s="16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R6" s="161"/>
      <c r="S6" s="273"/>
      <c r="T6" s="320"/>
    </row>
    <row r="7" spans="1:20" s="4" customFormat="1" ht="10.5" customHeight="1">
      <c r="A7" s="409" t="s">
        <v>743</v>
      </c>
      <c r="B7" s="161" t="s">
        <v>203</v>
      </c>
      <c r="C7" s="174">
        <f>IF(Input!H7=0,+Input!$G7,+Input!$G7+Input!H7)</f>
        <v>234200</v>
      </c>
      <c r="D7" s="174">
        <f>IF(Input!I7=0,+Input!$G7,+Input!$G7+Input!I7)</f>
        <v>234200</v>
      </c>
      <c r="E7" s="174">
        <f>IF(Input!J7=0,+Input!$G7,+Input!$G7+Input!J7)</f>
        <v>234200</v>
      </c>
      <c r="F7" s="174">
        <f>IF(Input!K7=0,+Input!$G7,+Input!$G7+Input!K7)</f>
        <v>239700</v>
      </c>
      <c r="G7" s="174">
        <f>IF(Input!L7=0,+Input!$G7,+Input!$G7+Input!L7)</f>
        <v>239700</v>
      </c>
      <c r="H7" s="174">
        <f>IF(Input!M7=0,+Input!$G7,+Input!$G7+Input!M7)</f>
        <v>239700</v>
      </c>
      <c r="I7" s="174">
        <f>IF(Input!N7=0,+Input!$G7,+Input!$G7+Input!N7)</f>
        <v>239700</v>
      </c>
      <c r="J7" s="174">
        <f>IF(Input!O7=0,+Input!$G7,+Input!$G7+Input!O7)</f>
        <v>239700</v>
      </c>
      <c r="K7" s="174">
        <f>IF(Input!P7=0,+Input!$G7,+Input!$G7+Input!P7)</f>
        <v>250700</v>
      </c>
      <c r="L7" s="324">
        <f>IF(Input!Q7=0,+Input!$G7,+Input!$G7+Input!Q7)</f>
        <v>250700</v>
      </c>
      <c r="M7" s="174">
        <f>IF(Input!R7=0,+Input!$G7,+Input!$G7+Input!R7)</f>
        <v>250700</v>
      </c>
      <c r="N7" s="174">
        <f>IF(Input!S7=0,+Input!$G7,+Input!$G7+Input!S7)</f>
        <v>250700</v>
      </c>
      <c r="O7" s="175">
        <f>IF(N7="","",SUM(C7:N7))</f>
        <v>2903900</v>
      </c>
      <c r="P7" s="175">
        <f>IF(AND(O7=""),"",+O7/Setup!$B$12)</f>
        <v>13199.545454545454</v>
      </c>
      <c r="Q7" s="175">
        <f>IF(ISNA(IF(O7="","",(+VLOOKUP(A7,'2016'!$A:$P,15,FALSE)))),0,IF(O7="",0,(+VLOOKUP(A7,'2016'!$A:$P,15,FALSE))))</f>
        <v>2114520</v>
      </c>
      <c r="R7" s="169"/>
      <c r="S7" s="278"/>
      <c r="T7" s="321"/>
    </row>
    <row r="8" spans="1:20" s="10" customFormat="1" ht="10.5" customHeight="1">
      <c r="A8" s="410" t="s">
        <v>745</v>
      </c>
      <c r="B8" s="161" t="s">
        <v>204</v>
      </c>
      <c r="C8" s="174">
        <f>IF(Input!H8=0,+Input!$G8,+Input!$G8+Input!H8)</f>
        <v>1244</v>
      </c>
      <c r="D8" s="174">
        <f>IF(Input!I8=0,+Input!$G8,+Input!$G8+Input!I8)</f>
        <v>2544</v>
      </c>
      <c r="E8" s="174">
        <f>IF(Input!J8=0,+Input!$G8,+Input!$G8+Input!J8)</f>
        <v>3844</v>
      </c>
      <c r="F8" s="174">
        <f>IF(Input!K8=0,+Input!$G8,+Input!$G8+Input!K8)</f>
        <v>-31</v>
      </c>
      <c r="G8" s="174">
        <f>IF(Input!L8=0,+Input!$G8,+Input!$G8+Input!L8)</f>
        <v>1594</v>
      </c>
      <c r="H8" s="174">
        <f>IF(Input!M8=0,+Input!$G8,+Input!$G8+Input!M8)</f>
        <v>3219</v>
      </c>
      <c r="I8" s="174">
        <f>IF(Input!N8=0,+Input!$G8,+Input!$G8+Input!N8)</f>
        <v>4769</v>
      </c>
      <c r="J8" s="174">
        <f>IF(Input!O8=0,+Input!$G8,+Input!$G8+Input!O8)</f>
        <v>6319</v>
      </c>
      <c r="K8" s="174">
        <f>IF(Input!P8=0,+Input!$G8,+Input!$G8+Input!P8)</f>
        <v>-3631</v>
      </c>
      <c r="L8" s="174">
        <f>IF(Input!Q8=0,+Input!$G8,+Input!$G8+Input!Q8)</f>
        <v>-2656</v>
      </c>
      <c r="M8" s="174">
        <f>IF(Input!R8=0,+Input!$G8,+Input!$G8+Input!R8)</f>
        <v>-1681</v>
      </c>
      <c r="N8" s="174">
        <f>IF(Input!S8=0,+Input!$G8,+Input!$G8+Input!S8)</f>
        <v>-781</v>
      </c>
      <c r="O8" s="175">
        <f t="shared" ref="O8:O69" si="1">IF(N8="","",SUM(C8:N8))</f>
        <v>14753</v>
      </c>
      <c r="P8" s="175">
        <f>IF(AND(O8=""),"",+O8/Setup!$B$12)</f>
        <v>67.059090909090912</v>
      </c>
      <c r="Q8" s="175">
        <f>IF(ISNA(IF(O8="","",(+VLOOKUP(A8,'2016'!$A:$P,15,FALSE)))),0,IF(O8="",0,(+VLOOKUP(A8,'2016'!$A:$P,15,FALSE))))</f>
        <v>-20335</v>
      </c>
      <c r="R8" s="169"/>
      <c r="S8" s="278"/>
      <c r="T8" s="321"/>
    </row>
    <row r="9" spans="1:20" s="17" customFormat="1" ht="10.5" customHeight="1">
      <c r="A9" s="163"/>
      <c r="B9" s="163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5" t="str">
        <f t="shared" si="1"/>
        <v/>
      </c>
      <c r="P9" s="175" t="str">
        <f>IF(AND(O9=""),"",+O9/Setup!$B$12)</f>
        <v/>
      </c>
      <c r="Q9" s="175" t="str">
        <f>IF(O9="","",(+VLOOKUP(A9,'2016'!$A:$P,15,FALSE)))</f>
        <v/>
      </c>
      <c r="R9" s="169"/>
      <c r="S9" s="274"/>
      <c r="T9" s="321"/>
    </row>
    <row r="10" spans="1:20" s="4" customFormat="1" ht="10.5" customHeight="1">
      <c r="A10" s="159"/>
      <c r="B10" s="159" t="s">
        <v>202</v>
      </c>
      <c r="C10" s="174">
        <f>SUM(C7:C8)</f>
        <v>235444</v>
      </c>
      <c r="D10" s="174">
        <f t="shared" ref="D10:O10" si="2">SUM(D7:D8)</f>
        <v>236744</v>
      </c>
      <c r="E10" s="174">
        <f t="shared" si="2"/>
        <v>238044</v>
      </c>
      <c r="F10" s="174">
        <f t="shared" si="2"/>
        <v>239669</v>
      </c>
      <c r="G10" s="174">
        <f t="shared" si="2"/>
        <v>241294</v>
      </c>
      <c r="H10" s="174">
        <f t="shared" si="2"/>
        <v>242919</v>
      </c>
      <c r="I10" s="174">
        <f t="shared" si="2"/>
        <v>244469</v>
      </c>
      <c r="J10" s="174">
        <f t="shared" si="2"/>
        <v>246019</v>
      </c>
      <c r="K10" s="174">
        <f t="shared" si="2"/>
        <v>247069</v>
      </c>
      <c r="L10" s="174">
        <f t="shared" si="2"/>
        <v>248044</v>
      </c>
      <c r="M10" s="174">
        <f t="shared" si="2"/>
        <v>249019</v>
      </c>
      <c r="N10" s="174">
        <f>SUM(N7:N8)</f>
        <v>249919</v>
      </c>
      <c r="O10" s="174">
        <f t="shared" si="2"/>
        <v>2918653</v>
      </c>
      <c r="P10" s="175">
        <f>IF(AND(O10=""),"",+O10/Setup!$B$12)</f>
        <v>13266.604545454546</v>
      </c>
      <c r="Q10" s="174">
        <f>SUM(Q7:Q8)</f>
        <v>2094185</v>
      </c>
      <c r="R10" s="169"/>
      <c r="S10" s="278"/>
      <c r="T10" s="321"/>
    </row>
    <row r="11" spans="1:20" s="4" customFormat="1" ht="10.5" customHeight="1">
      <c r="A11" s="410" t="s">
        <v>748</v>
      </c>
      <c r="B11" s="161" t="s">
        <v>205</v>
      </c>
      <c r="C11" s="174">
        <f>IF(Input!H11=0,+Input!$G11,+Input!$G11+Input!H11)</f>
        <v>-11710.000000000011</v>
      </c>
      <c r="D11" s="174">
        <f>IF(Input!I11=0,+Input!$G11,+Input!$G11+Input!I11)</f>
        <v>-11710.000000000011</v>
      </c>
      <c r="E11" s="174">
        <f>IF(Input!J11=0,+Input!$G11,+Input!$G11+Input!J11)</f>
        <v>-11710.000000000011</v>
      </c>
      <c r="F11" s="174">
        <f>IF(Input!K11=0,+Input!$G11,+Input!$G11+Input!K11)</f>
        <v>-13074.54545454546</v>
      </c>
      <c r="G11" s="174">
        <f>IF(Input!L11=0,+Input!$G11,+Input!$G11+Input!L11)</f>
        <v>-14164.090909090906</v>
      </c>
      <c r="H11" s="174">
        <f>IF(Input!M11=0,+Input!$G11,+Input!$G11+Input!M11)</f>
        <v>-13074.54545454546</v>
      </c>
      <c r="I11" s="174">
        <f>IF(Input!N11=0,+Input!$G11,+Input!$G11+Input!N11)</f>
        <v>-11440.227272727274</v>
      </c>
      <c r="J11" s="174">
        <f>IF(Input!O11=0,+Input!$G11,+Input!$G11+Input!O11)</f>
        <v>-10350.681818181825</v>
      </c>
      <c r="K11" s="174">
        <f>IF(Input!P11=0,+Input!$G11,+Input!$G11+Input!P11)</f>
        <v>-11395.454545454535</v>
      </c>
      <c r="L11" s="174">
        <f>IF(Input!Q11=0,+Input!$G11,+Input!$G11+Input!Q11)</f>
        <v>-12535.000000000011</v>
      </c>
      <c r="M11" s="174">
        <f>IF(Input!R11=0,+Input!$G11,+Input!$G11+Input!R11)</f>
        <v>-13674.54545454546</v>
      </c>
      <c r="N11" s="174">
        <f>IF(Input!S11=0,+Input!$G11,+Input!$G11+Input!S11)</f>
        <v>-14814.090909090906</v>
      </c>
      <c r="O11" s="175">
        <f t="shared" si="1"/>
        <v>-149653.18181818188</v>
      </c>
      <c r="P11" s="175">
        <f>IF(AND(O11=""),"",+O11/Setup!$B$12)</f>
        <v>-680.24173553719038</v>
      </c>
      <c r="Q11" s="175">
        <f>IF(ISNA(IF(O11="","",(+VLOOKUP(A11,'2016'!$A:$P,15,FALSE)))),0,IF(O11="",0,(+VLOOKUP(A11,'2016'!$A:$P,15,FALSE))))</f>
        <v>-91406</v>
      </c>
      <c r="R11" s="169"/>
      <c r="S11" s="274"/>
      <c r="T11" s="321"/>
    </row>
    <row r="12" spans="1:20" s="4" customFormat="1" ht="10.5" customHeight="1">
      <c r="A12" s="163"/>
      <c r="B12" s="163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5" t="str">
        <f t="shared" si="1"/>
        <v/>
      </c>
      <c r="P12" s="175" t="str">
        <f>IF(AND(O12=""),"",+O12/Setup!$B$12)</f>
        <v/>
      </c>
      <c r="Q12" s="175" t="str">
        <f>IF(O12="","",(+VLOOKUP(A12,'2016'!$A:$P,15,FALSE)))</f>
        <v/>
      </c>
      <c r="R12" s="169"/>
      <c r="S12" s="278"/>
      <c r="T12" s="321"/>
    </row>
    <row r="13" spans="1:20" s="4" customFormat="1" ht="10.5" customHeight="1">
      <c r="A13" s="159"/>
      <c r="B13" s="159" t="s">
        <v>507</v>
      </c>
      <c r="C13" s="178">
        <f>SUM(C10:C11)</f>
        <v>223734</v>
      </c>
      <c r="D13" s="178">
        <f t="shared" ref="D13:Q13" si="3">SUM(D10:D11)</f>
        <v>225034</v>
      </c>
      <c r="E13" s="178">
        <f t="shared" si="3"/>
        <v>226334</v>
      </c>
      <c r="F13" s="178">
        <f t="shared" si="3"/>
        <v>226594.45454545453</v>
      </c>
      <c r="G13" s="178">
        <f t="shared" si="3"/>
        <v>227129.90909090909</v>
      </c>
      <c r="H13" s="178">
        <f t="shared" si="3"/>
        <v>229844.45454545453</v>
      </c>
      <c r="I13" s="178">
        <f t="shared" si="3"/>
        <v>233028.77272727274</v>
      </c>
      <c r="J13" s="178">
        <f t="shared" si="3"/>
        <v>235668.31818181818</v>
      </c>
      <c r="K13" s="178">
        <f t="shared" si="3"/>
        <v>235673.54545454547</v>
      </c>
      <c r="L13" s="178">
        <f t="shared" si="3"/>
        <v>235509</v>
      </c>
      <c r="M13" s="178">
        <f t="shared" si="3"/>
        <v>235344.45454545453</v>
      </c>
      <c r="N13" s="178">
        <f t="shared" si="3"/>
        <v>235104.90909090909</v>
      </c>
      <c r="O13" s="178">
        <f t="shared" si="3"/>
        <v>2768999.8181818184</v>
      </c>
      <c r="P13" s="175">
        <f>IF(AND(O13=""),"",+O13/Setup!$B$12)</f>
        <v>12586.362809917357</v>
      </c>
      <c r="Q13" s="178">
        <f t="shared" si="3"/>
        <v>2002779</v>
      </c>
      <c r="R13" s="169"/>
      <c r="S13" s="278"/>
      <c r="T13" s="321"/>
    </row>
    <row r="14" spans="1:20" s="4" customFormat="1" ht="10.5" customHeight="1">
      <c r="A14" s="410" t="s">
        <v>751</v>
      </c>
      <c r="B14" s="161" t="s">
        <v>206</v>
      </c>
      <c r="C14" s="174">
        <f>IF(Input!H14=0,+Input!$G14,+Input!$G14+Input!H14)</f>
        <v>0</v>
      </c>
      <c r="D14" s="174">
        <f>IF(Input!I14=0,+Input!$G14,+Input!$G14+Input!I14)</f>
        <v>0</v>
      </c>
      <c r="E14" s="174">
        <f>IF(Input!J14=0,+Input!$G14,+Input!$G14+Input!J14)</f>
        <v>0</v>
      </c>
      <c r="F14" s="174">
        <f>IF(Input!K14=0,+Input!$G14,+Input!$G14+Input!K14)</f>
        <v>0</v>
      </c>
      <c r="G14" s="174">
        <f>IF(Input!L14=0,+Input!$G14,+Input!$G14+Input!L14)</f>
        <v>0</v>
      </c>
      <c r="H14" s="174">
        <f>IF(Input!M14=0,+Input!$G14,+Input!$G14+Input!M14)</f>
        <v>0</v>
      </c>
      <c r="I14" s="174">
        <f>IF(Input!N14=0,+Input!$G14,+Input!$G14+Input!N14)</f>
        <v>0</v>
      </c>
      <c r="J14" s="174">
        <f>IF(Input!O14=0,+Input!$G14,+Input!$G14+Input!O14)</f>
        <v>0</v>
      </c>
      <c r="K14" s="174">
        <f>IF(Input!P14=0,+Input!$G14,+Input!$G14+Input!P14)</f>
        <v>0</v>
      </c>
      <c r="L14" s="174">
        <f>IF(Input!Q14=0,+Input!$G14,+Input!$G14+Input!Q14)</f>
        <v>0</v>
      </c>
      <c r="M14" s="174">
        <f>IF(Input!R14=0,+Input!$G14,+Input!$G14+Input!R14)</f>
        <v>0</v>
      </c>
      <c r="N14" s="174">
        <f>IF(Input!S14=0,+Input!$G14,+Input!$G14+Input!S14)</f>
        <v>0</v>
      </c>
      <c r="O14" s="175">
        <f t="shared" si="1"/>
        <v>0</v>
      </c>
      <c r="P14" s="175">
        <f>IF(AND(O14=""),"",+O14/Setup!$B$12)</f>
        <v>0</v>
      </c>
      <c r="Q14" s="175">
        <f>IF(ISNA(IF(O14="","",(+VLOOKUP(A14,'2016'!$A:$P,15,FALSE)))),0,IF(O14="",0,(+VLOOKUP(A14,'2016'!$A:$P,15,FALSE))))</f>
        <v>-2623</v>
      </c>
      <c r="R14" s="169"/>
      <c r="S14" s="278"/>
      <c r="T14" s="321"/>
    </row>
    <row r="15" spans="1:20" s="4" customFormat="1" ht="10.5" customHeight="1">
      <c r="A15" s="410" t="s">
        <v>753</v>
      </c>
      <c r="B15" s="161" t="s">
        <v>207</v>
      </c>
      <c r="C15" s="174">
        <f>IF(Input!H15=0,+Input!$G15,+Input!$G15+Input!H15)</f>
        <v>0</v>
      </c>
      <c r="D15" s="174">
        <f>IF(Input!I15=0,+Input!$G15,+Input!$G15+Input!I15)</f>
        <v>0</v>
      </c>
      <c r="E15" s="174">
        <f>IF(Input!J15=0,+Input!$G15,+Input!$G15+Input!J15)</f>
        <v>0</v>
      </c>
      <c r="F15" s="174">
        <f>IF(Input!K15=0,+Input!$G15,+Input!$G15+Input!K15)</f>
        <v>0</v>
      </c>
      <c r="G15" s="174">
        <f>IF(Input!L15=0,+Input!$G15,+Input!$G15+Input!L15)</f>
        <v>0</v>
      </c>
      <c r="H15" s="174">
        <f>IF(Input!M15=0,+Input!$G15,+Input!$G15+Input!M15)</f>
        <v>0</v>
      </c>
      <c r="I15" s="174">
        <f>IF(Input!N15=0,+Input!$G15,+Input!$G15+Input!N15)</f>
        <v>0</v>
      </c>
      <c r="J15" s="174">
        <f>IF(Input!O15=0,+Input!$G15,+Input!$G15+Input!O15)</f>
        <v>0</v>
      </c>
      <c r="K15" s="174">
        <f>IF(Input!P15=0,+Input!$G15,+Input!$G15+Input!P15)</f>
        <v>0</v>
      </c>
      <c r="L15" s="174">
        <f>IF(Input!Q15=0,+Input!$G15,+Input!$G15+Input!Q15)</f>
        <v>0</v>
      </c>
      <c r="M15" s="174">
        <f>IF(Input!R15=0,+Input!$G15,+Input!$G15+Input!R15)</f>
        <v>0</v>
      </c>
      <c r="N15" s="174">
        <f>IF(Input!S15=0,+Input!$G15,+Input!$G15+Input!S15)</f>
        <v>0</v>
      </c>
      <c r="O15" s="175">
        <f t="shared" si="1"/>
        <v>0</v>
      </c>
      <c r="P15" s="175">
        <f>IF(AND(O15=""),"",+O15/Setup!$B$12)</f>
        <v>0</v>
      </c>
      <c r="Q15" s="175">
        <f>IF(ISNA(IF(O15="","",(+VLOOKUP(A15,'2016'!$A:$P,15,FALSE)))),0,IF(O15="",0,(+VLOOKUP(A15,'2016'!$A:$P,15,FALSE))))</f>
        <v>5951</v>
      </c>
      <c r="R15" s="169"/>
      <c r="S15" s="278"/>
      <c r="T15" s="321"/>
    </row>
    <row r="16" spans="1:20" s="4" customFormat="1" ht="10.5" customHeight="1">
      <c r="A16" s="410" t="s">
        <v>755</v>
      </c>
      <c r="B16" s="161" t="s">
        <v>208</v>
      </c>
      <c r="C16" s="174">
        <f>IF(Input!H16=0,+Input!$G16,+Input!$G16+Input!H16)</f>
        <v>0</v>
      </c>
      <c r="D16" s="174">
        <f>IF(Input!I16=0,+Input!$G16,+Input!$G16+Input!I16)</f>
        <v>0</v>
      </c>
      <c r="E16" s="174">
        <f>IF(Input!J16=0,+Input!$G16,+Input!$G16+Input!J16)</f>
        <v>0</v>
      </c>
      <c r="F16" s="174">
        <f>IF(Input!K16=0,+Input!$G16,+Input!$G16+Input!K16)</f>
        <v>0</v>
      </c>
      <c r="G16" s="174">
        <f>IF(Input!L16=0,+Input!$G16,+Input!$G16+Input!L16)</f>
        <v>0</v>
      </c>
      <c r="H16" s="174">
        <f>IF(Input!M16=0,+Input!$G16,+Input!$G16+Input!M16)</f>
        <v>0</v>
      </c>
      <c r="I16" s="174">
        <f>IF(Input!N16=0,+Input!$G16,+Input!$G16+Input!N16)</f>
        <v>0</v>
      </c>
      <c r="J16" s="174">
        <f>IF(Input!O16=0,+Input!$G16,+Input!$G16+Input!O16)</f>
        <v>0</v>
      </c>
      <c r="K16" s="174">
        <f>IF(Input!P16=0,+Input!$G16,+Input!$G16+Input!P16)</f>
        <v>0</v>
      </c>
      <c r="L16" s="174">
        <f>IF(Input!Q16=0,+Input!$G16,+Input!$G16+Input!Q16)</f>
        <v>0</v>
      </c>
      <c r="M16" s="174">
        <f>IF(Input!R16=0,+Input!$G16,+Input!$G16+Input!R16)</f>
        <v>0</v>
      </c>
      <c r="N16" s="174">
        <f>IF(Input!S16=0,+Input!$G16,+Input!$G16+Input!S16)</f>
        <v>0</v>
      </c>
      <c r="O16" s="175">
        <f t="shared" si="1"/>
        <v>0</v>
      </c>
      <c r="P16" s="175">
        <f>IF(AND(O16=""),"",+O16/Setup!$B$12)</f>
        <v>0</v>
      </c>
      <c r="Q16" s="175">
        <f>IF(ISNA(IF(O16="","",(+VLOOKUP(A16,'2016'!$A:$P,15,FALSE)))),0,IF(O16="",0,(+VLOOKUP(A16,'2016'!$A:$P,15,FALSE))))</f>
        <v>6060</v>
      </c>
      <c r="R16" s="169"/>
      <c r="S16" s="278"/>
      <c r="T16" s="321"/>
    </row>
    <row r="17" spans="1:20" s="4" customFormat="1" ht="10.5" customHeight="1">
      <c r="A17" s="410" t="s">
        <v>757</v>
      </c>
      <c r="B17" s="161" t="s">
        <v>209</v>
      </c>
      <c r="C17" s="174">
        <f>IF(Input!H17=0,+Input!$G17,+Input!$G17+Input!H17)</f>
        <v>0</v>
      </c>
      <c r="D17" s="174">
        <f>IF(Input!I17=0,+Input!$G17,+Input!$G17+Input!I17)</f>
        <v>0</v>
      </c>
      <c r="E17" s="174">
        <f>IF(Input!J17=0,+Input!$G17,+Input!$G17+Input!J17)</f>
        <v>0</v>
      </c>
      <c r="F17" s="174">
        <f>IF(Input!K17=0,+Input!$G17,+Input!$G17+Input!K17)</f>
        <v>0</v>
      </c>
      <c r="G17" s="174">
        <f>IF(Input!L17=0,+Input!$G17,+Input!$G17+Input!L17)</f>
        <v>0</v>
      </c>
      <c r="H17" s="174">
        <f>IF(Input!M17=0,+Input!$G17,+Input!$G17+Input!M17)</f>
        <v>0</v>
      </c>
      <c r="I17" s="174">
        <f>IF(Input!N17=0,+Input!$G17,+Input!$G17+Input!N17)</f>
        <v>0</v>
      </c>
      <c r="J17" s="174">
        <f>IF(Input!O17=0,+Input!$G17,+Input!$G17+Input!O17)</f>
        <v>0</v>
      </c>
      <c r="K17" s="174">
        <f>IF(Input!P17=0,+Input!$G17,+Input!$G17+Input!P17)</f>
        <v>0</v>
      </c>
      <c r="L17" s="174">
        <f>IF(Input!Q17=0,+Input!$G17,+Input!$G17+Input!Q17)</f>
        <v>0</v>
      </c>
      <c r="M17" s="174">
        <f>IF(Input!R17=0,+Input!$G17,+Input!$G17+Input!R17)</f>
        <v>0</v>
      </c>
      <c r="N17" s="174">
        <f>IF(Input!S17=0,+Input!$G17,+Input!$G17+Input!S17)</f>
        <v>0</v>
      </c>
      <c r="O17" s="175">
        <f t="shared" si="1"/>
        <v>0</v>
      </c>
      <c r="P17" s="175">
        <f>IF(AND(O17=""),"",+O17/Setup!$B$12)</f>
        <v>0</v>
      </c>
      <c r="Q17" s="175">
        <f>IF(ISNA(IF(O17="","",(+VLOOKUP(A17,'2016'!$A:$P,15,FALSE)))),0,IF(O17="",0,(+VLOOKUP(A17,'2016'!$A:$P,15,FALSE))))</f>
        <v>-19145</v>
      </c>
      <c r="R17" s="169"/>
      <c r="S17" s="278"/>
      <c r="T17" s="321"/>
    </row>
    <row r="18" spans="1:20" s="4" customFormat="1" ht="10.5" customHeight="1">
      <c r="A18" s="410" t="s">
        <v>759</v>
      </c>
      <c r="B18" s="161" t="s">
        <v>210</v>
      </c>
      <c r="C18" s="174">
        <f>IF(Input!H18=0,+Input!$G18,+Input!$G18+Input!H18)</f>
        <v>2000</v>
      </c>
      <c r="D18" s="174">
        <f>IF(Input!I18=0,+Input!$G18,+Input!$G18+Input!I18)</f>
        <v>2000</v>
      </c>
      <c r="E18" s="174">
        <f>IF(Input!J18=0,+Input!$G18,+Input!$G18+Input!J18)</f>
        <v>2000</v>
      </c>
      <c r="F18" s="174">
        <f>IF(Input!K18=0,+Input!$G18,+Input!$G18+Input!K18)</f>
        <v>2500</v>
      </c>
      <c r="G18" s="174">
        <f>IF(Input!L18=0,+Input!$G18,+Input!$G18+Input!L18)</f>
        <v>2500</v>
      </c>
      <c r="H18" s="174">
        <f>IF(Input!M18=0,+Input!$G18,+Input!$G18+Input!M18)</f>
        <v>2500</v>
      </c>
      <c r="I18" s="174">
        <f>IF(Input!N18=0,+Input!$G18,+Input!$G18+Input!N18)</f>
        <v>2500</v>
      </c>
      <c r="J18" s="174">
        <f>IF(Input!O18=0,+Input!$G18,+Input!$G18+Input!O18)</f>
        <v>2500</v>
      </c>
      <c r="K18" s="174">
        <f>IF(Input!P18=0,+Input!$G18,+Input!$G18+Input!P18)</f>
        <v>1500</v>
      </c>
      <c r="L18" s="174">
        <f>IF(Input!Q18=0,+Input!$G18,+Input!$G18+Input!Q18)</f>
        <v>1500</v>
      </c>
      <c r="M18" s="174">
        <f>IF(Input!R18=0,+Input!$G18,+Input!$G18+Input!R18)</f>
        <v>1500</v>
      </c>
      <c r="N18" s="174">
        <f>IF(Input!S18=0,+Input!$G18,+Input!$G18+Input!S18)</f>
        <v>1500</v>
      </c>
      <c r="O18" s="175">
        <f t="shared" si="1"/>
        <v>24500</v>
      </c>
      <c r="P18" s="175">
        <f>IF(AND(O18=""),"",+O18/Setup!$B$12)</f>
        <v>111.36363636363636</v>
      </c>
      <c r="Q18" s="175">
        <f>IF(ISNA(IF(O18="","",(+VLOOKUP(A18,'2016'!$A:$P,15,FALSE)))),0,IF(O18="",0,(+VLOOKUP(A18,'2016'!$A:$P,15,FALSE))))</f>
        <v>0</v>
      </c>
      <c r="R18" s="169"/>
      <c r="S18" s="278"/>
      <c r="T18" s="321"/>
    </row>
    <row r="19" spans="1:20" s="4" customFormat="1" ht="10.5" customHeight="1">
      <c r="A19" s="410" t="s">
        <v>761</v>
      </c>
      <c r="B19" s="161" t="s">
        <v>211</v>
      </c>
      <c r="C19" s="174">
        <f>IF(Input!H19=0,+Input!$G19,+Input!$G19+Input!H19)</f>
        <v>0</v>
      </c>
      <c r="D19" s="174">
        <f>IF(Input!I19=0,+Input!$G19,+Input!$G19+Input!I19)</f>
        <v>0</v>
      </c>
      <c r="E19" s="174">
        <f>IF(Input!J19=0,+Input!$G19,+Input!$G19+Input!J19)</f>
        <v>0</v>
      </c>
      <c r="F19" s="174">
        <f>IF(Input!K19=0,+Input!$G19,+Input!$G19+Input!K19)</f>
        <v>0</v>
      </c>
      <c r="G19" s="174">
        <f>IF(Input!L19=0,+Input!$G19,+Input!$G19+Input!L19)</f>
        <v>0</v>
      </c>
      <c r="H19" s="174">
        <f>IF(Input!M19=0,+Input!$G19,+Input!$G19+Input!M19)</f>
        <v>0</v>
      </c>
      <c r="I19" s="174">
        <f>IF(Input!N19=0,+Input!$G19,+Input!$G19+Input!N19)</f>
        <v>0</v>
      </c>
      <c r="J19" s="174">
        <f>IF(Input!O19=0,+Input!$G19,+Input!$G19+Input!O19)</f>
        <v>0</v>
      </c>
      <c r="K19" s="174">
        <f>IF(Input!P19=0,+Input!$G19,+Input!$G19+Input!P19)</f>
        <v>0</v>
      </c>
      <c r="L19" s="174">
        <f>IF(Input!Q19=0,+Input!$G19,+Input!$G19+Input!Q19)</f>
        <v>0</v>
      </c>
      <c r="M19" s="174">
        <f>IF(Input!R19=0,+Input!$G19,+Input!$G19+Input!R19)</f>
        <v>0</v>
      </c>
      <c r="N19" s="174">
        <f>IF(Input!S19=0,+Input!$G19,+Input!$G19+Input!S19)</f>
        <v>0</v>
      </c>
      <c r="O19" s="175">
        <f t="shared" si="1"/>
        <v>0</v>
      </c>
      <c r="P19" s="175">
        <f>IF(AND(O19=""),"",+O19/Setup!$B$12)</f>
        <v>0</v>
      </c>
      <c r="Q19" s="175">
        <f>IF(ISNA(IF(O19="","",(+VLOOKUP(A19,'2016'!$A:$P,15,FALSE)))),0,IF(O19="",0,(+VLOOKUP(A19,'2016'!$A:$P,15,FALSE))))</f>
        <v>0</v>
      </c>
      <c r="R19" s="169"/>
      <c r="S19" s="274"/>
      <c r="T19" s="321"/>
    </row>
    <row r="20" spans="1:20" s="4" customFormat="1" ht="10.5" customHeight="1">
      <c r="A20" s="410" t="s">
        <v>762</v>
      </c>
      <c r="B20" s="161" t="s">
        <v>212</v>
      </c>
      <c r="C20" s="174">
        <f>IF(Input!H20=0,+Input!$G20,+Input!$G20+Input!H20)</f>
        <v>0</v>
      </c>
      <c r="D20" s="174">
        <f>IF(Input!I20=0,+Input!$G20,+Input!$G20+Input!I20)</f>
        <v>0</v>
      </c>
      <c r="E20" s="174">
        <f>IF(Input!J20=0,+Input!$G20,+Input!$G20+Input!J20)</f>
        <v>0</v>
      </c>
      <c r="F20" s="174">
        <f>IF(Input!K20=0,+Input!$G20,+Input!$G20+Input!K20)</f>
        <v>0</v>
      </c>
      <c r="G20" s="174">
        <f>IF(Input!L20=0,+Input!$G20,+Input!$G20+Input!L20)</f>
        <v>0</v>
      </c>
      <c r="H20" s="174">
        <f>IF(Input!M20=0,+Input!$G20,+Input!$G20+Input!M20)</f>
        <v>0</v>
      </c>
      <c r="I20" s="174">
        <f>IF(Input!N20=0,+Input!$G20,+Input!$G20+Input!N20)</f>
        <v>0</v>
      </c>
      <c r="J20" s="174">
        <f>IF(Input!O20=0,+Input!$G20,+Input!$G20+Input!O20)</f>
        <v>0</v>
      </c>
      <c r="K20" s="174">
        <f>IF(Input!P20=0,+Input!$G20,+Input!$G20+Input!P20)</f>
        <v>0</v>
      </c>
      <c r="L20" s="174">
        <f>IF(Input!Q20=0,+Input!$G20,+Input!$G20+Input!Q20)</f>
        <v>0</v>
      </c>
      <c r="M20" s="174">
        <f>IF(Input!R20=0,+Input!$G20,+Input!$G20+Input!R20)</f>
        <v>0</v>
      </c>
      <c r="N20" s="174">
        <f>IF(Input!S20=0,+Input!$G20,+Input!$G20+Input!S20)</f>
        <v>0</v>
      </c>
      <c r="O20" s="175">
        <f t="shared" si="1"/>
        <v>0</v>
      </c>
      <c r="P20" s="175">
        <f>IF(AND(O20=""),"",+O20/Setup!$B$12)</f>
        <v>0</v>
      </c>
      <c r="Q20" s="175">
        <f>IF(ISNA(IF(O20="","",(+VLOOKUP(A20,'2016'!$A:$P,15,FALSE)))),0,IF(O20="",0,(+VLOOKUP(A20,'2016'!$A:$P,15,FALSE))))</f>
        <v>1904</v>
      </c>
      <c r="R20" s="169"/>
      <c r="S20" s="273"/>
      <c r="T20" s="320"/>
    </row>
    <row r="21" spans="1:20" s="10" customFormat="1" ht="10.5" customHeight="1">
      <c r="A21" s="163"/>
      <c r="B21" s="163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5" t="str">
        <f t="shared" si="1"/>
        <v/>
      </c>
      <c r="P21" s="175" t="str">
        <f>IF(AND(O21=""),"",+O21/Setup!$B$12)</f>
        <v/>
      </c>
      <c r="Q21" s="175" t="str">
        <f>IF(O21="","",(+VLOOKUP(A21,'2016'!$A:$P,15,FALSE)))</f>
        <v/>
      </c>
      <c r="R21" s="169"/>
      <c r="S21" s="278"/>
      <c r="T21" s="321"/>
    </row>
    <row r="22" spans="1:20" s="17" customFormat="1" ht="10.5" customHeight="1">
      <c r="A22" s="159"/>
      <c r="B22" s="159" t="s">
        <v>50</v>
      </c>
      <c r="C22" s="178">
        <f>SUM(C13:C20)</f>
        <v>225734</v>
      </c>
      <c r="D22" s="178">
        <f t="shared" ref="D22:Q22" si="4">SUM(D13:D20)</f>
        <v>227034</v>
      </c>
      <c r="E22" s="178">
        <f t="shared" si="4"/>
        <v>228334</v>
      </c>
      <c r="F22" s="178">
        <f t="shared" si="4"/>
        <v>229094.45454545453</v>
      </c>
      <c r="G22" s="178">
        <f t="shared" si="4"/>
        <v>229629.90909090909</v>
      </c>
      <c r="H22" s="178">
        <f t="shared" si="4"/>
        <v>232344.45454545453</v>
      </c>
      <c r="I22" s="178">
        <f t="shared" si="4"/>
        <v>235528.77272727274</v>
      </c>
      <c r="J22" s="178">
        <f t="shared" si="4"/>
        <v>238168.31818181818</v>
      </c>
      <c r="K22" s="178">
        <f t="shared" si="4"/>
        <v>237173.54545454547</v>
      </c>
      <c r="L22" s="178">
        <f t="shared" si="4"/>
        <v>237009</v>
      </c>
      <c r="M22" s="178">
        <f t="shared" si="4"/>
        <v>236844.45454545453</v>
      </c>
      <c r="N22" s="178">
        <f t="shared" si="4"/>
        <v>236604.90909090909</v>
      </c>
      <c r="O22" s="178">
        <f t="shared" si="4"/>
        <v>2793499.8181818184</v>
      </c>
      <c r="P22" s="175">
        <f>IF(AND(O22=""),"",+O22/Setup!$B$12)</f>
        <v>12697.726446280993</v>
      </c>
      <c r="Q22" s="178">
        <f t="shared" si="4"/>
        <v>1994926</v>
      </c>
      <c r="R22" s="169"/>
      <c r="S22" s="278"/>
      <c r="T22" s="321"/>
    </row>
    <row r="23" spans="1:20" s="4" customFormat="1" ht="10.5" customHeight="1">
      <c r="A23" s="160"/>
      <c r="B23" s="161" t="s">
        <v>16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5" t="str">
        <f t="shared" si="1"/>
        <v/>
      </c>
      <c r="P23" s="175" t="str">
        <f>IF(AND(O23=""),"",+O23/Setup!$B$12)</f>
        <v/>
      </c>
      <c r="Q23" s="175" t="str">
        <f>IF(O23="","",(+VLOOKUP(A23,'2016'!$A:$P,15,FALSE)))</f>
        <v/>
      </c>
      <c r="R23" s="169"/>
      <c r="S23" s="278"/>
      <c r="T23" s="321"/>
    </row>
    <row r="24" spans="1:20" s="17" customFormat="1" ht="10.5" customHeight="1">
      <c r="A24" s="161"/>
      <c r="B24" s="161" t="s">
        <v>213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75" t="str">
        <f t="shared" si="1"/>
        <v/>
      </c>
      <c r="P24" s="175" t="str">
        <f>IF(AND(O24=""),"",+O24/Setup!$B$12)</f>
        <v/>
      </c>
      <c r="Q24" s="175" t="str">
        <f>IF(O24="","",(+VLOOKUP(A24,'2016'!$A:$P,15,FALSE)))</f>
        <v/>
      </c>
      <c r="R24" s="169"/>
      <c r="S24" s="278"/>
      <c r="T24" s="321"/>
    </row>
    <row r="25" spans="1:20" s="17" customFormat="1" ht="10.5" customHeight="1">
      <c r="A25" s="410" t="s">
        <v>768</v>
      </c>
      <c r="B25" s="161" t="s">
        <v>214</v>
      </c>
      <c r="C25" s="174">
        <f>IF(Input!H25=0,+Input!$G25,+Input!$G25+Input!H25)</f>
        <v>558.33333333333337</v>
      </c>
      <c r="D25" s="174">
        <f>IF(Input!I25=0,+Input!$G25,+Input!$G25+Input!I25)</f>
        <v>558.33333333333337</v>
      </c>
      <c r="E25" s="174">
        <f>IF(Input!J25=0,+Input!$G25,+Input!$G25+Input!J25)</f>
        <v>558.33333333333337</v>
      </c>
      <c r="F25" s="174">
        <f>IF(Input!K25=0,+Input!$G25,+Input!$G25+Input!K25)</f>
        <v>558.33333333333337</v>
      </c>
      <c r="G25" s="174">
        <f>IF(Input!L25=0,+Input!$G25,+Input!$G25+Input!L25)</f>
        <v>558.33333333333337</v>
      </c>
      <c r="H25" s="174">
        <f>IF(Input!M25=0,+Input!$G25,+Input!$G25+Input!M25)</f>
        <v>558.33333333333337</v>
      </c>
      <c r="I25" s="174">
        <f>IF(Input!N25=0,+Input!$G25,+Input!$G25+Input!N25)</f>
        <v>558.33333333333337</v>
      </c>
      <c r="J25" s="174">
        <f>IF(Input!O25=0,+Input!$G25,+Input!$G25+Input!O25)</f>
        <v>558.33333333333337</v>
      </c>
      <c r="K25" s="174">
        <f>IF(Input!P25=0,+Input!$G25,+Input!$G25+Input!P25)</f>
        <v>558.33333333333337</v>
      </c>
      <c r="L25" s="174">
        <f>IF(Input!Q25=0,+Input!$G25,+Input!$G25+Input!Q25)</f>
        <v>558.33333333333337</v>
      </c>
      <c r="M25" s="174">
        <f>IF(Input!R25=0,+Input!$G25,+Input!$G25+Input!R25)</f>
        <v>558.33333333333337</v>
      </c>
      <c r="N25" s="174">
        <f>IF(Input!S25=0,+Input!$G25,+Input!$G25+Input!S25)</f>
        <v>558.33333333333337</v>
      </c>
      <c r="O25" s="175">
        <f>IF(N25="","",SUM(C25:N25))</f>
        <v>6699.9999999999991</v>
      </c>
      <c r="P25" s="175">
        <f>IF(AND(O25=""),"",+O25/Setup!$B$12)</f>
        <v>30.45454545454545</v>
      </c>
      <c r="Q25" s="175">
        <f>IF(ISNA(IF(O25="","",(+VLOOKUP(A25,'2016'!$A:$P,15,FALSE)))),0,IF(O25="",0,(+VLOOKUP(A25,'2016'!$A:$P,15,FALSE))))</f>
        <v>6700</v>
      </c>
      <c r="R25" s="169"/>
      <c r="S25" s="278"/>
      <c r="T25" s="321"/>
    </row>
    <row r="26" spans="1:20" s="4" customFormat="1" ht="10.5" customHeight="1">
      <c r="A26" s="410" t="s">
        <v>770</v>
      </c>
      <c r="B26" s="161" t="s">
        <v>215</v>
      </c>
      <c r="C26" s="174">
        <f>IF(Input!H26=0,+Input!$G26,+Input!$G26+Input!H26)</f>
        <v>1460.9166666666667</v>
      </c>
      <c r="D26" s="174">
        <f>IF(Input!I26=0,+Input!$G26,+Input!$G26+Input!I26)</f>
        <v>1460.9166666666667</v>
      </c>
      <c r="E26" s="174">
        <f>IF(Input!J26=0,+Input!$G26,+Input!$G26+Input!J26)</f>
        <v>1460.9166666666667</v>
      </c>
      <c r="F26" s="174">
        <f>IF(Input!K26=0,+Input!$G26,+Input!$G26+Input!K26)</f>
        <v>1460.9166666666667</v>
      </c>
      <c r="G26" s="174">
        <f>IF(Input!L26=0,+Input!$G26,+Input!$G26+Input!L26)</f>
        <v>1460.9166666666667</v>
      </c>
      <c r="H26" s="174">
        <f>IF(Input!M26=0,+Input!$G26,+Input!$G26+Input!M26)</f>
        <v>1460.9166666666667</v>
      </c>
      <c r="I26" s="174">
        <f>IF(Input!N26=0,+Input!$G26,+Input!$G26+Input!N26)</f>
        <v>1460.9166666666667</v>
      </c>
      <c r="J26" s="174">
        <f>IF(Input!O26=0,+Input!$G26,+Input!$G26+Input!O26)</f>
        <v>1460.9166666666667</v>
      </c>
      <c r="K26" s="174">
        <f>IF(Input!P26=0,+Input!$G26,+Input!$G26+Input!P26)</f>
        <v>1460.9166666666667</v>
      </c>
      <c r="L26" s="174">
        <f>IF(Input!Q26=0,+Input!$G26,+Input!$G26+Input!Q26)</f>
        <v>1460.9166666666667</v>
      </c>
      <c r="M26" s="174">
        <f>IF(Input!R26=0,+Input!$G26,+Input!$G26+Input!R26)</f>
        <v>1460.9166666666667</v>
      </c>
      <c r="N26" s="174">
        <f>IF(Input!S26=0,+Input!$G26,+Input!$G26+Input!S26)</f>
        <v>1460.9166666666667</v>
      </c>
      <c r="O26" s="175">
        <f t="shared" ref="O26:O36" si="5">IF(N26="","",SUM(C26:N26))</f>
        <v>17530.999999999996</v>
      </c>
      <c r="P26" s="175">
        <f>IF(AND(O26=""),"",+O26/Setup!$B$12)</f>
        <v>79.686363636363623</v>
      </c>
      <c r="Q26" s="175">
        <f>IF(ISNA(IF(O26="","",(+VLOOKUP(A26,'2016'!$A:$P,15,FALSE)))),0,IF(O26="",0,(+VLOOKUP(A26,'2016'!$A:$P,15,FALSE))))</f>
        <v>17531</v>
      </c>
      <c r="R26" s="169"/>
      <c r="S26" s="278"/>
      <c r="T26" s="321"/>
    </row>
    <row r="27" spans="1:20" s="4" customFormat="1" ht="10.5" customHeight="1">
      <c r="A27" s="410" t="s">
        <v>772</v>
      </c>
      <c r="B27" s="161" t="s">
        <v>216</v>
      </c>
      <c r="C27" s="174">
        <f>IF(Input!H27=0,+Input!$G27,+Input!$G27+Input!H27)</f>
        <v>0</v>
      </c>
      <c r="D27" s="174">
        <f>IF(Input!I27=0,+Input!$G27,+Input!$G27+Input!I27)</f>
        <v>0</v>
      </c>
      <c r="E27" s="174">
        <f>IF(Input!J27=0,+Input!$G27,+Input!$G27+Input!J27)</f>
        <v>0</v>
      </c>
      <c r="F27" s="174">
        <f>IF(Input!K27=0,+Input!$G27,+Input!$G27+Input!K27)</f>
        <v>0</v>
      </c>
      <c r="G27" s="174">
        <f>IF(Input!L27=0,+Input!$G27,+Input!$G27+Input!L27)</f>
        <v>0</v>
      </c>
      <c r="H27" s="174">
        <f>IF(Input!M27=0,+Input!$G27,+Input!$G27+Input!M27)</f>
        <v>0</v>
      </c>
      <c r="I27" s="174">
        <f>IF(Input!N27=0,+Input!$G27,+Input!$G27+Input!N27)</f>
        <v>0</v>
      </c>
      <c r="J27" s="174">
        <f>IF(Input!O27=0,+Input!$G27,+Input!$G27+Input!O27)</f>
        <v>0</v>
      </c>
      <c r="K27" s="174">
        <f>IF(Input!P27=0,+Input!$G27,+Input!$G27+Input!P27)</f>
        <v>0</v>
      </c>
      <c r="L27" s="174">
        <f>IF(Input!Q27=0,+Input!$G27,+Input!$G27+Input!Q27)</f>
        <v>0</v>
      </c>
      <c r="M27" s="174">
        <f>IF(Input!R27=0,+Input!$G27,+Input!$G27+Input!R27)</f>
        <v>0</v>
      </c>
      <c r="N27" s="174">
        <f>IF(Input!S27=0,+Input!$G27,+Input!$G27+Input!S27)</f>
        <v>0</v>
      </c>
      <c r="O27" s="175">
        <f t="shared" si="5"/>
        <v>0</v>
      </c>
      <c r="P27" s="175">
        <f>IF(AND(O27=""),"",+O27/Setup!$B$12)</f>
        <v>0</v>
      </c>
      <c r="Q27" s="175">
        <f>IF(ISNA(IF(O27="","",(+VLOOKUP(A27,'2016'!$A:$P,15,FALSE)))),0,IF(O27="",0,(+VLOOKUP(A27,'2016'!$A:$P,15,FALSE))))</f>
        <v>0</v>
      </c>
      <c r="R27" s="169"/>
      <c r="S27" s="278"/>
      <c r="T27" s="321"/>
    </row>
    <row r="28" spans="1:20" s="4" customFormat="1" ht="10.5" customHeight="1">
      <c r="A28" s="410" t="s">
        <v>773</v>
      </c>
      <c r="B28" s="161" t="s">
        <v>217</v>
      </c>
      <c r="C28" s="174">
        <f>IF(Input!H28=0,+Input!$G28,+Input!$G28+Input!H28)</f>
        <v>233.08333333333334</v>
      </c>
      <c r="D28" s="174">
        <f>IF(Input!I28=0,+Input!$G28,+Input!$G28+Input!I28)</f>
        <v>233.08333333333334</v>
      </c>
      <c r="E28" s="174">
        <f>IF(Input!J28=0,+Input!$G28,+Input!$G28+Input!J28)</f>
        <v>233.08333333333334</v>
      </c>
      <c r="F28" s="174">
        <f>IF(Input!K28=0,+Input!$G28,+Input!$G28+Input!K28)</f>
        <v>233.08333333333334</v>
      </c>
      <c r="G28" s="174">
        <f>IF(Input!L28=0,+Input!$G28,+Input!$G28+Input!L28)</f>
        <v>233.08333333333334</v>
      </c>
      <c r="H28" s="174">
        <f>IF(Input!M28=0,+Input!$G28,+Input!$G28+Input!M28)</f>
        <v>233.08333333333334</v>
      </c>
      <c r="I28" s="174">
        <f>IF(Input!N28=0,+Input!$G28,+Input!$G28+Input!N28)</f>
        <v>233.08333333333334</v>
      </c>
      <c r="J28" s="174">
        <f>IF(Input!O28=0,+Input!$G28,+Input!$G28+Input!O28)</f>
        <v>233.08333333333334</v>
      </c>
      <c r="K28" s="174">
        <f>IF(Input!P28=0,+Input!$G28,+Input!$G28+Input!P28)</f>
        <v>233.08333333333334</v>
      </c>
      <c r="L28" s="174">
        <f>IF(Input!Q28=0,+Input!$G28,+Input!$G28+Input!Q28)</f>
        <v>233.08333333333334</v>
      </c>
      <c r="M28" s="174">
        <f>IF(Input!R28=0,+Input!$G28,+Input!$G28+Input!R28)</f>
        <v>233.08333333333334</v>
      </c>
      <c r="N28" s="174">
        <f>IF(Input!S28=0,+Input!$G28,+Input!$G28+Input!S28)</f>
        <v>233.08333333333334</v>
      </c>
      <c r="O28" s="175">
        <f t="shared" si="5"/>
        <v>2797.0000000000005</v>
      </c>
      <c r="P28" s="175">
        <f>IF(AND(O28=""),"",+O28/Setup!$B$12)</f>
        <v>12.713636363636367</v>
      </c>
      <c r="Q28" s="175">
        <f>IF(ISNA(IF(O28="","",(+VLOOKUP(A28,'2016'!$A:$P,15,FALSE)))),0,IF(O28="",0,(+VLOOKUP(A28,'2016'!$A:$P,15,FALSE))))</f>
        <v>2797</v>
      </c>
      <c r="R28" s="169"/>
      <c r="S28" s="278"/>
      <c r="T28" s="321"/>
    </row>
    <row r="29" spans="1:20" s="4" customFormat="1" ht="10.5" customHeight="1">
      <c r="A29" s="410" t="s">
        <v>775</v>
      </c>
      <c r="B29" s="161" t="s">
        <v>218</v>
      </c>
      <c r="C29" s="174">
        <f>IF(Input!H29=0,+Input!$G29,+Input!$G29+Input!H29)</f>
        <v>0</v>
      </c>
      <c r="D29" s="174">
        <f>IF(Input!I29=0,+Input!$G29,+Input!$G29+Input!I29)</f>
        <v>0</v>
      </c>
      <c r="E29" s="174">
        <f>IF(Input!J29=0,+Input!$G29,+Input!$G29+Input!J29)</f>
        <v>0</v>
      </c>
      <c r="F29" s="174">
        <f>IF(Input!K29=0,+Input!$G29,+Input!$G29+Input!K29)</f>
        <v>0</v>
      </c>
      <c r="G29" s="174">
        <f>IF(Input!L29=0,+Input!$G29,+Input!$G29+Input!L29)</f>
        <v>0</v>
      </c>
      <c r="H29" s="174">
        <f>IF(Input!M29=0,+Input!$G29,+Input!$G29+Input!M29)</f>
        <v>0</v>
      </c>
      <c r="I29" s="174">
        <f>IF(Input!N29=0,+Input!$G29,+Input!$G29+Input!N29)</f>
        <v>0</v>
      </c>
      <c r="J29" s="174">
        <f>IF(Input!O29=0,+Input!$G29,+Input!$G29+Input!O29)</f>
        <v>0</v>
      </c>
      <c r="K29" s="174">
        <f>IF(Input!P29=0,+Input!$G29,+Input!$G29+Input!P29)</f>
        <v>0</v>
      </c>
      <c r="L29" s="174">
        <f>IF(Input!Q29=0,+Input!$G29,+Input!$G29+Input!Q29)</f>
        <v>0</v>
      </c>
      <c r="M29" s="174">
        <f>IF(Input!R29=0,+Input!$G29,+Input!$G29+Input!R29)</f>
        <v>0</v>
      </c>
      <c r="N29" s="174">
        <f>IF(Input!S29=0,+Input!$G29,+Input!$G29+Input!S29)</f>
        <v>0</v>
      </c>
      <c r="O29" s="175">
        <f t="shared" si="5"/>
        <v>0</v>
      </c>
      <c r="P29" s="175">
        <f>IF(AND(O29=""),"",+O29/Setup!$B$12)</f>
        <v>0</v>
      </c>
      <c r="Q29" s="175">
        <f>IF(ISNA(IF(O29="","",(+VLOOKUP(A29,'2016'!$A:$P,15,FALSE)))),0,IF(O29="",0,(+VLOOKUP(A29,'2016'!$A:$P,15,FALSE))))</f>
        <v>0</v>
      </c>
      <c r="R29" s="169"/>
      <c r="S29" s="278"/>
      <c r="T29" s="321"/>
    </row>
    <row r="30" spans="1:20" s="4" customFormat="1" ht="10.5" customHeight="1">
      <c r="A30" s="410" t="s">
        <v>776</v>
      </c>
      <c r="B30" s="161" t="s">
        <v>219</v>
      </c>
      <c r="C30" s="174">
        <f>IF(Input!H30=0,+Input!$G30,+Input!$G30+Input!H30)</f>
        <v>27.916666666666668</v>
      </c>
      <c r="D30" s="174">
        <f>IF(Input!I30=0,+Input!$G30,+Input!$G30+Input!I30)</f>
        <v>27.916666666666668</v>
      </c>
      <c r="E30" s="174">
        <f>IF(Input!J30=0,+Input!$G30,+Input!$G30+Input!J30)</f>
        <v>27.916666666666668</v>
      </c>
      <c r="F30" s="174">
        <f>IF(Input!K30=0,+Input!$G30,+Input!$G30+Input!K30)</f>
        <v>27.916666666666668</v>
      </c>
      <c r="G30" s="174">
        <f>IF(Input!L30=0,+Input!$G30,+Input!$G30+Input!L30)</f>
        <v>27.916666666666668</v>
      </c>
      <c r="H30" s="174">
        <f>IF(Input!M30=0,+Input!$G30,+Input!$G30+Input!M30)</f>
        <v>27.916666666666668</v>
      </c>
      <c r="I30" s="174">
        <f>IF(Input!N30=0,+Input!$G30,+Input!$G30+Input!N30)</f>
        <v>27.916666666666668</v>
      </c>
      <c r="J30" s="174">
        <f>IF(Input!O30=0,+Input!$G30,+Input!$G30+Input!O30)</f>
        <v>27.916666666666668</v>
      </c>
      <c r="K30" s="174">
        <f>IF(Input!P30=0,+Input!$G30,+Input!$G30+Input!P30)</f>
        <v>27.916666666666668</v>
      </c>
      <c r="L30" s="174">
        <f>IF(Input!Q30=0,+Input!$G30,+Input!$G30+Input!Q30)</f>
        <v>27.916666666666668</v>
      </c>
      <c r="M30" s="174">
        <f>IF(Input!R30=0,+Input!$G30,+Input!$G30+Input!R30)</f>
        <v>27.916666666666668</v>
      </c>
      <c r="N30" s="174">
        <f>IF(Input!S30=0,+Input!$G30,+Input!$G30+Input!S30)</f>
        <v>27.916666666666668</v>
      </c>
      <c r="O30" s="175">
        <f t="shared" si="5"/>
        <v>335</v>
      </c>
      <c r="P30" s="175">
        <f>IF(AND(O30=""),"",+O30/Setup!$B$12)</f>
        <v>1.5227272727272727</v>
      </c>
      <c r="Q30" s="175">
        <f>IF(ISNA(IF(O30="","",(+VLOOKUP(A30,'2016'!$A:$P,15,FALSE)))),0,IF(O30="",0,(+VLOOKUP(A30,'2016'!$A:$P,15,FALSE))))</f>
        <v>335</v>
      </c>
      <c r="R30" s="169"/>
      <c r="S30" s="278"/>
      <c r="T30" s="321"/>
    </row>
    <row r="31" spans="1:20" s="4" customFormat="1" ht="10.5" customHeight="1">
      <c r="A31" s="410" t="s">
        <v>778</v>
      </c>
      <c r="B31" s="161" t="s">
        <v>220</v>
      </c>
      <c r="C31" s="174">
        <f>IF(Input!H31=0,+Input!$G31,+Input!$G31+Input!H31)</f>
        <v>1217.5</v>
      </c>
      <c r="D31" s="174">
        <f>IF(Input!I31=0,+Input!$G31,+Input!$G31+Input!I31)</f>
        <v>1217.5</v>
      </c>
      <c r="E31" s="174">
        <f>IF(Input!J31=0,+Input!$G31,+Input!$G31+Input!J31)</f>
        <v>1217.5</v>
      </c>
      <c r="F31" s="174">
        <f>IF(Input!K31=0,+Input!$G31,+Input!$G31+Input!K31)</f>
        <v>1217.5</v>
      </c>
      <c r="G31" s="174">
        <f>IF(Input!L31=0,+Input!$G31,+Input!$G31+Input!L31)</f>
        <v>1217.5</v>
      </c>
      <c r="H31" s="174">
        <f>IF(Input!M31=0,+Input!$G31,+Input!$G31+Input!M31)</f>
        <v>1217.5</v>
      </c>
      <c r="I31" s="174">
        <f>IF(Input!N31=0,+Input!$G31,+Input!$G31+Input!N31)</f>
        <v>1217.5</v>
      </c>
      <c r="J31" s="174">
        <f>IF(Input!O31=0,+Input!$G31,+Input!$G31+Input!O31)</f>
        <v>1217.5</v>
      </c>
      <c r="K31" s="174">
        <f>IF(Input!P31=0,+Input!$G31,+Input!$G31+Input!P31)</f>
        <v>1217.5</v>
      </c>
      <c r="L31" s="174">
        <f>IF(Input!Q31=0,+Input!$G31,+Input!$G31+Input!Q31)</f>
        <v>1217.5</v>
      </c>
      <c r="M31" s="174">
        <f>IF(Input!R31=0,+Input!$G31,+Input!$G31+Input!R31)</f>
        <v>1217.5</v>
      </c>
      <c r="N31" s="174">
        <f>IF(Input!S31=0,+Input!$G31,+Input!$G31+Input!S31)</f>
        <v>1217.5</v>
      </c>
      <c r="O31" s="175">
        <f t="shared" si="5"/>
        <v>14610</v>
      </c>
      <c r="P31" s="175">
        <f>IF(AND(O31=""),"",+O31/Setup!$B$12)</f>
        <v>66.409090909090907</v>
      </c>
      <c r="Q31" s="175">
        <f>IF(ISNA(IF(O31="","",(+VLOOKUP(A31,'2016'!$A:$P,15,FALSE)))),0,IF(O31="",0,(+VLOOKUP(A31,'2016'!$A:$P,15,FALSE))))</f>
        <v>14610</v>
      </c>
      <c r="R31" s="169"/>
      <c r="S31" s="278"/>
      <c r="T31" s="321"/>
    </row>
    <row r="32" spans="1:20" s="4" customFormat="1" ht="10.5" customHeight="1">
      <c r="A32" s="410" t="s">
        <v>780</v>
      </c>
      <c r="B32" s="161" t="s">
        <v>221</v>
      </c>
      <c r="C32" s="174">
        <f>IF(Input!H32=0,+Input!$G32,+Input!$G32+Input!H32)</f>
        <v>14.583333333333334</v>
      </c>
      <c r="D32" s="174">
        <f>IF(Input!I32=0,+Input!$G32,+Input!$G32+Input!I32)</f>
        <v>14.583333333333334</v>
      </c>
      <c r="E32" s="174">
        <f>IF(Input!J32=0,+Input!$G32,+Input!$G32+Input!J32)</f>
        <v>14.583333333333334</v>
      </c>
      <c r="F32" s="174">
        <f>IF(Input!K32=0,+Input!$G32,+Input!$G32+Input!K32)</f>
        <v>14.583333333333334</v>
      </c>
      <c r="G32" s="174">
        <f>IF(Input!L32=0,+Input!$G32,+Input!$G32+Input!L32)</f>
        <v>14.583333333333334</v>
      </c>
      <c r="H32" s="174">
        <f>IF(Input!M32=0,+Input!$G32,+Input!$G32+Input!M32)</f>
        <v>14.583333333333334</v>
      </c>
      <c r="I32" s="174">
        <f>IF(Input!N32=0,+Input!$G32,+Input!$G32+Input!N32)</f>
        <v>14.583333333333334</v>
      </c>
      <c r="J32" s="174">
        <f>IF(Input!O32=0,+Input!$G32,+Input!$G32+Input!O32)</f>
        <v>14.583333333333334</v>
      </c>
      <c r="K32" s="174">
        <f>IF(Input!P32=0,+Input!$G32,+Input!$G32+Input!P32)</f>
        <v>14.583333333333334</v>
      </c>
      <c r="L32" s="174">
        <f>IF(Input!Q32=0,+Input!$G32,+Input!$G32+Input!Q32)</f>
        <v>14.583333333333334</v>
      </c>
      <c r="M32" s="174">
        <f>IF(Input!R32=0,+Input!$G32,+Input!$G32+Input!R32)</f>
        <v>14.583333333333334</v>
      </c>
      <c r="N32" s="174">
        <f>IF(Input!S32=0,+Input!$G32,+Input!$G32+Input!S32)</f>
        <v>14.583333333333334</v>
      </c>
      <c r="O32" s="175">
        <f t="shared" si="5"/>
        <v>175.00000000000003</v>
      </c>
      <c r="P32" s="175">
        <f>IF(AND(O32=""),"",+O32/Setup!$B$12)</f>
        <v>0.79545454545454564</v>
      </c>
      <c r="Q32" s="175">
        <f>IF(ISNA(IF(O32="","",(+VLOOKUP(A32,'2016'!$A:$P,15,FALSE)))),0,IF(O32="",0,(+VLOOKUP(A32,'2016'!$A:$P,15,FALSE))))</f>
        <v>175</v>
      </c>
      <c r="R32" s="169"/>
      <c r="S32" s="278"/>
      <c r="T32" s="321"/>
    </row>
    <row r="33" spans="1:20" s="4" customFormat="1" ht="10.5" customHeight="1">
      <c r="A33" s="410" t="s">
        <v>782</v>
      </c>
      <c r="B33" s="161" t="s">
        <v>222</v>
      </c>
      <c r="C33" s="174">
        <f>IF(Input!H33=0,+Input!$G33,+Input!$G33+Input!H33)</f>
        <v>2090</v>
      </c>
      <c r="D33" s="174">
        <f>IF(Input!I33=0,+Input!$G33,+Input!$G33+Input!I33)</f>
        <v>2090</v>
      </c>
      <c r="E33" s="174">
        <f>IF(Input!J33=0,+Input!$G33,+Input!$G33+Input!J33)</f>
        <v>2090</v>
      </c>
      <c r="F33" s="174">
        <f>IF(Input!K33=0,+Input!$G33,+Input!$G33+Input!K33)</f>
        <v>2090</v>
      </c>
      <c r="G33" s="174">
        <f>IF(Input!L33=0,+Input!$G33,+Input!$G33+Input!L33)</f>
        <v>2090</v>
      </c>
      <c r="H33" s="174">
        <f>IF(Input!M33=0,+Input!$G33,+Input!$G33+Input!M33)</f>
        <v>2090</v>
      </c>
      <c r="I33" s="174">
        <f>IF(Input!N33=0,+Input!$G33,+Input!$G33+Input!N33)</f>
        <v>2090</v>
      </c>
      <c r="J33" s="174">
        <f>IF(Input!O33=0,+Input!$G33,+Input!$G33+Input!O33)</f>
        <v>2090</v>
      </c>
      <c r="K33" s="174">
        <f>IF(Input!P33=0,+Input!$G33,+Input!$G33+Input!P33)</f>
        <v>2090</v>
      </c>
      <c r="L33" s="174">
        <f>IF(Input!Q33=0,+Input!$G33,+Input!$G33+Input!Q33)</f>
        <v>2090</v>
      </c>
      <c r="M33" s="174">
        <f>IF(Input!R33=0,+Input!$G33,+Input!$G33+Input!R33)</f>
        <v>2090</v>
      </c>
      <c r="N33" s="174">
        <f>IF(Input!S33=0,+Input!$G33,+Input!$G33+Input!S33)</f>
        <v>2090</v>
      </c>
      <c r="O33" s="175">
        <f t="shared" si="5"/>
        <v>25080</v>
      </c>
      <c r="P33" s="175">
        <f>IF(AND(O33=""),"",+O33/Setup!$B$12)</f>
        <v>114</v>
      </c>
      <c r="Q33" s="175">
        <f>IF(ISNA(IF(O33="","",(+VLOOKUP(A33,'2016'!$A:$P,15,FALSE)))),0,IF(O33="",0,(+VLOOKUP(A33,'2016'!$A:$P,15,FALSE))))</f>
        <v>25080</v>
      </c>
      <c r="R33" s="169"/>
      <c r="S33" s="278"/>
      <c r="T33" s="321"/>
    </row>
    <row r="34" spans="1:20" s="4" customFormat="1" ht="10.5" customHeight="1">
      <c r="A34" s="410" t="s">
        <v>784</v>
      </c>
      <c r="B34" s="161" t="s">
        <v>223</v>
      </c>
      <c r="C34" s="174">
        <f>IF(Input!H34=0,+Input!$G34,+Input!$G34+Input!H34)</f>
        <v>393.25</v>
      </c>
      <c r="D34" s="174">
        <f>IF(Input!I34=0,+Input!$G34,+Input!$G34+Input!I34)</f>
        <v>393.25</v>
      </c>
      <c r="E34" s="174">
        <f>IF(Input!J34=0,+Input!$G34,+Input!$G34+Input!J34)</f>
        <v>393.25</v>
      </c>
      <c r="F34" s="174">
        <f>IF(Input!K34=0,+Input!$G34,+Input!$G34+Input!K34)</f>
        <v>393.25</v>
      </c>
      <c r="G34" s="174">
        <f>IF(Input!L34=0,+Input!$G34,+Input!$G34+Input!L34)</f>
        <v>393.25</v>
      </c>
      <c r="H34" s="174">
        <f>IF(Input!M34=0,+Input!$G34,+Input!$G34+Input!M34)</f>
        <v>393.25</v>
      </c>
      <c r="I34" s="174">
        <f>IF(Input!N34=0,+Input!$G34,+Input!$G34+Input!N34)</f>
        <v>393.25</v>
      </c>
      <c r="J34" s="174">
        <f>IF(Input!O34=0,+Input!$G34,+Input!$G34+Input!O34)</f>
        <v>393.25</v>
      </c>
      <c r="K34" s="174">
        <f>IF(Input!P34=0,+Input!$G34,+Input!$G34+Input!P34)</f>
        <v>393.25</v>
      </c>
      <c r="L34" s="174">
        <f>IF(Input!Q34=0,+Input!$G34,+Input!$G34+Input!Q34)</f>
        <v>393.25</v>
      </c>
      <c r="M34" s="174">
        <f>IF(Input!R34=0,+Input!$G34,+Input!$G34+Input!R34)</f>
        <v>393.25</v>
      </c>
      <c r="N34" s="174">
        <f>IF(Input!S34=0,+Input!$G34,+Input!$G34+Input!S34)</f>
        <v>393.25</v>
      </c>
      <c r="O34" s="175">
        <f t="shared" si="5"/>
        <v>4719</v>
      </c>
      <c r="P34" s="175">
        <f>IF(AND(O34=""),"",+O34/Setup!$B$12)</f>
        <v>21.45</v>
      </c>
      <c r="Q34" s="175">
        <f>IF(ISNA(IF(O34="","",(+VLOOKUP(A34,'2016'!$A:$P,15,FALSE)))),0,IF(O34="",0,(+VLOOKUP(A34,'2016'!$A:$P,15,FALSE))))</f>
        <v>4719</v>
      </c>
      <c r="R34" s="169"/>
      <c r="S34" s="274"/>
      <c r="T34" s="321"/>
    </row>
    <row r="35" spans="1:20" s="4" customFormat="1" ht="10.5" customHeight="1">
      <c r="A35" s="410" t="s">
        <v>786</v>
      </c>
      <c r="B35" s="161" t="s">
        <v>224</v>
      </c>
      <c r="C35" s="174">
        <f>IF(Input!H35=0,+Input!$G35,+Input!$G35+Input!H35)</f>
        <v>999</v>
      </c>
      <c r="D35" s="174">
        <f>IF(Input!I35=0,+Input!$G35,+Input!$G35+Input!I35)</f>
        <v>999</v>
      </c>
      <c r="E35" s="174">
        <f>IF(Input!J35=0,+Input!$G35,+Input!$G35+Input!J35)</f>
        <v>999</v>
      </c>
      <c r="F35" s="174">
        <f>IF(Input!K35=0,+Input!$G35,+Input!$G35+Input!K35)</f>
        <v>999</v>
      </c>
      <c r="G35" s="174">
        <f>IF(Input!L35=0,+Input!$G35,+Input!$G35+Input!L35)</f>
        <v>999</v>
      </c>
      <c r="H35" s="174">
        <f>IF(Input!M35=0,+Input!$G35,+Input!$G35+Input!M35)</f>
        <v>999</v>
      </c>
      <c r="I35" s="174">
        <f>IF(Input!N35=0,+Input!$G35,+Input!$G35+Input!N35)</f>
        <v>999</v>
      </c>
      <c r="J35" s="174">
        <f>IF(Input!O35=0,+Input!$G35,+Input!$G35+Input!O35)</f>
        <v>999</v>
      </c>
      <c r="K35" s="174">
        <f>IF(Input!P35=0,+Input!$G35,+Input!$G35+Input!P35)</f>
        <v>999</v>
      </c>
      <c r="L35" s="174">
        <f>IF(Input!Q35=0,+Input!$G35,+Input!$G35+Input!Q35)</f>
        <v>999</v>
      </c>
      <c r="M35" s="174">
        <f>IF(Input!R35=0,+Input!$G35,+Input!$G35+Input!R35)</f>
        <v>999</v>
      </c>
      <c r="N35" s="174">
        <f>IF(Input!S35=0,+Input!$G35,+Input!$G35+Input!S35)</f>
        <v>999</v>
      </c>
      <c r="O35" s="175">
        <f t="shared" si="5"/>
        <v>11988</v>
      </c>
      <c r="P35" s="175">
        <f>IF(AND(O35=""),"",+O35/Setup!$B$12)</f>
        <v>54.490909090909092</v>
      </c>
      <c r="Q35" s="175">
        <f>IF(ISNA(IF(O35="","",(+VLOOKUP(A35,'2016'!$A:$P,15,FALSE)))),0,IF(O35="",0,(+VLOOKUP(A35,'2016'!$A:$P,15,FALSE))))</f>
        <v>11988</v>
      </c>
      <c r="R35" s="169"/>
      <c r="S35" s="278"/>
      <c r="T35" s="321"/>
    </row>
    <row r="36" spans="1:20" s="4" customFormat="1" ht="10.5" customHeight="1">
      <c r="A36" s="410" t="s">
        <v>788</v>
      </c>
      <c r="B36" s="161" t="s">
        <v>225</v>
      </c>
      <c r="C36" s="174">
        <f>IF(Input!H36=0,+Input!$G36,+Input!$G36+Input!H36)</f>
        <v>0</v>
      </c>
      <c r="D36" s="174">
        <f>IF(Input!I36=0,+Input!$G36,+Input!$G36+Input!I36)</f>
        <v>0</v>
      </c>
      <c r="E36" s="174">
        <f>IF(Input!J36=0,+Input!$G36,+Input!$G36+Input!J36)</f>
        <v>0</v>
      </c>
      <c r="F36" s="174">
        <f>IF(Input!K36=0,+Input!$G36,+Input!$G36+Input!K36)</f>
        <v>0</v>
      </c>
      <c r="G36" s="174">
        <f>IF(Input!L36=0,+Input!$G36,+Input!$G36+Input!L36)</f>
        <v>0</v>
      </c>
      <c r="H36" s="174">
        <f>IF(Input!M36=0,+Input!$G36,+Input!$G36+Input!M36)</f>
        <v>0</v>
      </c>
      <c r="I36" s="174">
        <f>IF(Input!N36=0,+Input!$G36,+Input!$G36+Input!N36)</f>
        <v>0</v>
      </c>
      <c r="J36" s="174">
        <f>IF(Input!O36=0,+Input!$G36,+Input!$G36+Input!O36)</f>
        <v>0</v>
      </c>
      <c r="K36" s="174">
        <f>IF(Input!P36=0,+Input!$G36,+Input!$G36+Input!P36)</f>
        <v>0</v>
      </c>
      <c r="L36" s="174">
        <f>IF(Input!Q36=0,+Input!$G36,+Input!$G36+Input!Q36)</f>
        <v>0</v>
      </c>
      <c r="M36" s="174">
        <f>IF(Input!R36=0,+Input!$G36,+Input!$G36+Input!R36)</f>
        <v>0</v>
      </c>
      <c r="N36" s="174">
        <f>IF(Input!S36=0,+Input!$G36,+Input!$G36+Input!S36)</f>
        <v>0</v>
      </c>
      <c r="O36" s="175">
        <f t="shared" si="5"/>
        <v>0</v>
      </c>
      <c r="P36" s="175">
        <f>IF(AND(O36=""),"",+O36/Setup!$B$12)</f>
        <v>0</v>
      </c>
      <c r="Q36" s="175">
        <f>IF(ISNA(IF(O36="","",(+VLOOKUP(A36,'2016'!$A:$P,15,FALSE)))),0,IF(O36="",0,(+VLOOKUP(A36,'2016'!$A:$P,15,FALSE))))</f>
        <v>0</v>
      </c>
      <c r="R36" s="169"/>
      <c r="S36" s="278"/>
      <c r="T36" s="321"/>
    </row>
    <row r="37" spans="1:20" s="4" customFormat="1" ht="10.5" customHeight="1">
      <c r="A37" s="163"/>
      <c r="B37" s="163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5" t="str">
        <f t="shared" si="1"/>
        <v/>
      </c>
      <c r="P37" s="175" t="str">
        <f>IF(AND(O37=""),"",+O37/Setup!$B$12)</f>
        <v/>
      </c>
      <c r="Q37" s="175" t="str">
        <f>IF(O37="","",(+VLOOKUP(A37,'2016'!$A:$P,15,FALSE)))</f>
        <v/>
      </c>
      <c r="R37" s="169"/>
      <c r="S37" s="278"/>
      <c r="T37" s="321"/>
    </row>
    <row r="38" spans="1:20" s="10" customFormat="1" ht="10.5" customHeight="1">
      <c r="A38" s="159"/>
      <c r="B38" s="159" t="s">
        <v>213</v>
      </c>
      <c r="C38" s="178">
        <f t="shared" ref="C38:M38" si="6">SUM(C25:C36)</f>
        <v>6994.5833333333339</v>
      </c>
      <c r="D38" s="178">
        <f t="shared" si="6"/>
        <v>6994.5833333333339</v>
      </c>
      <c r="E38" s="178">
        <f t="shared" si="6"/>
        <v>6994.5833333333339</v>
      </c>
      <c r="F38" s="178">
        <f t="shared" si="6"/>
        <v>6994.5833333333339</v>
      </c>
      <c r="G38" s="178">
        <f t="shared" si="6"/>
        <v>6994.5833333333339</v>
      </c>
      <c r="H38" s="178">
        <f t="shared" si="6"/>
        <v>6994.5833333333339</v>
      </c>
      <c r="I38" s="178">
        <f t="shared" si="6"/>
        <v>6994.5833333333339</v>
      </c>
      <c r="J38" s="178">
        <f t="shared" si="6"/>
        <v>6994.5833333333339</v>
      </c>
      <c r="K38" s="178">
        <f t="shared" si="6"/>
        <v>6994.5833333333339</v>
      </c>
      <c r="L38" s="178">
        <f t="shared" si="6"/>
        <v>6994.5833333333339</v>
      </c>
      <c r="M38" s="178">
        <f t="shared" si="6"/>
        <v>6994.5833333333339</v>
      </c>
      <c r="N38" s="178">
        <f>SUM(N25:N36)</f>
        <v>6994.5833333333339</v>
      </c>
      <c r="O38" s="175">
        <f t="shared" si="1"/>
        <v>83935</v>
      </c>
      <c r="P38" s="175">
        <f>IF(AND(O38=""),"",+O38/Setup!$B$12)</f>
        <v>381.52272727272725</v>
      </c>
      <c r="Q38" s="178">
        <f>SUM(Q25:Q36)</f>
        <v>83935</v>
      </c>
      <c r="R38" s="169"/>
      <c r="S38" s="278"/>
      <c r="T38" s="321"/>
    </row>
    <row r="39" spans="1:20" s="17" customFormat="1" ht="10.5" customHeight="1">
      <c r="A39" s="161"/>
      <c r="B39" s="161" t="s">
        <v>226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5" t="str">
        <f t="shared" si="1"/>
        <v/>
      </c>
      <c r="P39" s="175" t="str">
        <f>IF(AND(O39=""),"",+O39/Setup!$B$12)</f>
        <v/>
      </c>
      <c r="Q39" s="175" t="str">
        <f>IF(O39="","",(+VLOOKUP(A39,'2016'!$A:$P,15,FALSE)))</f>
        <v/>
      </c>
      <c r="R39" s="169"/>
      <c r="S39" s="278"/>
      <c r="T39" s="321"/>
    </row>
    <row r="40" spans="1:20" s="4" customFormat="1" ht="10.5" customHeight="1">
      <c r="A40" s="410" t="s">
        <v>790</v>
      </c>
      <c r="B40" s="161" t="s">
        <v>227</v>
      </c>
      <c r="C40" s="174">
        <f>IF(Input!H40=0,+Input!$G40,+Input!$G40+Input!H40)</f>
        <v>0</v>
      </c>
      <c r="D40" s="174">
        <f>IF(Input!I40=0,+Input!$G40,+Input!$G40+Input!I40)</f>
        <v>0</v>
      </c>
      <c r="E40" s="174">
        <f>IF(Input!J40=0,+Input!$G40,+Input!$G40+Input!J40)</f>
        <v>0</v>
      </c>
      <c r="F40" s="174">
        <f>IF(Input!K40=0,+Input!$G40,+Input!$G40+Input!K40)</f>
        <v>0</v>
      </c>
      <c r="G40" s="174">
        <f>IF(Input!L40=0,+Input!$G40,+Input!$G40+Input!L40)</f>
        <v>0</v>
      </c>
      <c r="H40" s="174">
        <f>IF(Input!M40=0,+Input!$G40,+Input!$G40+Input!M40)</f>
        <v>0</v>
      </c>
      <c r="I40" s="174">
        <f>IF(Input!N40=0,+Input!$G40,+Input!$G40+Input!N40)</f>
        <v>0</v>
      </c>
      <c r="J40" s="174">
        <f>IF(Input!O40=0,+Input!$G40,+Input!$G40+Input!O40)</f>
        <v>0</v>
      </c>
      <c r="K40" s="174">
        <f>IF(Input!P40=0,+Input!$G40,+Input!$G40+Input!P40)</f>
        <v>0</v>
      </c>
      <c r="L40" s="174">
        <f>IF(Input!Q40=0,+Input!$G40,+Input!$G40+Input!Q40)</f>
        <v>0</v>
      </c>
      <c r="M40" s="174">
        <f>IF(Input!R40=0,+Input!$G40,+Input!$G40+Input!R40)</f>
        <v>0</v>
      </c>
      <c r="N40" s="174">
        <f>IF(Input!S40=0,+Input!$G40,+Input!$G40+Input!S40)</f>
        <v>0</v>
      </c>
      <c r="O40" s="175">
        <f t="shared" si="1"/>
        <v>0</v>
      </c>
      <c r="P40" s="175">
        <f>IF(AND(O40=""),"",+O40/Setup!$B$12)</f>
        <v>0</v>
      </c>
      <c r="Q40" s="175">
        <f>IF(ISNA(IF(O40="","",(+VLOOKUP(A40,'2016'!$A:$P,15,FALSE)))),0,IF(O40="",0,(+VLOOKUP(A40,'2016'!$A:$P,15,FALSE))))</f>
        <v>0</v>
      </c>
      <c r="R40" s="169"/>
      <c r="S40" s="278"/>
      <c r="T40" s="321"/>
    </row>
    <row r="41" spans="1:20" s="17" customFormat="1" ht="10.5" customHeight="1">
      <c r="A41" s="410" t="s">
        <v>791</v>
      </c>
      <c r="B41" s="161" t="s">
        <v>228</v>
      </c>
      <c r="C41" s="174">
        <f>IF(Input!H41=0,+Input!$G41,+Input!$G41+Input!H41)</f>
        <v>0</v>
      </c>
      <c r="D41" s="174">
        <f>IF(Input!I41=0,+Input!$G41,+Input!$G41+Input!I41)</f>
        <v>0</v>
      </c>
      <c r="E41" s="174">
        <f>IF(Input!J41=0,+Input!$G41,+Input!$G41+Input!J41)</f>
        <v>0</v>
      </c>
      <c r="F41" s="174">
        <f>IF(Input!K41=0,+Input!$G41,+Input!$G41+Input!K41)</f>
        <v>0</v>
      </c>
      <c r="G41" s="174">
        <f>IF(Input!L41=0,+Input!$G41,+Input!$G41+Input!L41)</f>
        <v>0</v>
      </c>
      <c r="H41" s="174">
        <f>IF(Input!M41=0,+Input!$G41,+Input!$G41+Input!M41)</f>
        <v>0</v>
      </c>
      <c r="I41" s="174">
        <f>IF(Input!N41=0,+Input!$G41,+Input!$G41+Input!N41)</f>
        <v>0</v>
      </c>
      <c r="J41" s="174">
        <f>IF(Input!O41=0,+Input!$G41,+Input!$G41+Input!O41)</f>
        <v>0</v>
      </c>
      <c r="K41" s="174">
        <f>IF(Input!P41=0,+Input!$G41,+Input!$G41+Input!P41)</f>
        <v>0</v>
      </c>
      <c r="L41" s="174">
        <f>IF(Input!Q41=0,+Input!$G41,+Input!$G41+Input!Q41)</f>
        <v>0</v>
      </c>
      <c r="M41" s="174">
        <f>IF(Input!R41=0,+Input!$G41,+Input!$G41+Input!R41)</f>
        <v>0</v>
      </c>
      <c r="N41" s="174">
        <f>IF(Input!S41=0,+Input!$G41,+Input!$G41+Input!S41)</f>
        <v>0</v>
      </c>
      <c r="O41" s="175">
        <f t="shared" si="1"/>
        <v>0</v>
      </c>
      <c r="P41" s="175">
        <f>IF(AND(O41=""),"",+O41/Setup!$B$12)</f>
        <v>0</v>
      </c>
      <c r="Q41" s="175">
        <f>IF(ISNA(IF(O41="","",(+VLOOKUP(A41,'2016'!$A:$P,15,FALSE)))),0,IF(O41="",0,(+VLOOKUP(A41,'2016'!$A:$P,15,FALSE))))</f>
        <v>0</v>
      </c>
      <c r="R41" s="169"/>
      <c r="S41" s="278"/>
      <c r="T41" s="321"/>
    </row>
    <row r="42" spans="1:20" s="4" customFormat="1" ht="10.5" customHeight="1">
      <c r="A42" s="410" t="s">
        <v>792</v>
      </c>
      <c r="B42" s="161" t="s">
        <v>229</v>
      </c>
      <c r="C42" s="174">
        <f>IF(Input!H42=0,+Input!$G42,+Input!$G42+Input!H42)</f>
        <v>0</v>
      </c>
      <c r="D42" s="174">
        <f>IF(Input!I42=0,+Input!$G42,+Input!$G42+Input!I42)</f>
        <v>0</v>
      </c>
      <c r="E42" s="174">
        <f>IF(Input!J42=0,+Input!$G42,+Input!$G42+Input!J42)</f>
        <v>0</v>
      </c>
      <c r="F42" s="174">
        <f>IF(Input!K42=0,+Input!$G42,+Input!$G42+Input!K42)</f>
        <v>0</v>
      </c>
      <c r="G42" s="174">
        <f>IF(Input!L42=0,+Input!$G42,+Input!$G42+Input!L42)</f>
        <v>0</v>
      </c>
      <c r="H42" s="174">
        <f>IF(Input!M42=0,+Input!$G42,+Input!$G42+Input!M42)</f>
        <v>0</v>
      </c>
      <c r="I42" s="174">
        <f>IF(Input!N42=0,+Input!$G42,+Input!$G42+Input!N42)</f>
        <v>0</v>
      </c>
      <c r="J42" s="174">
        <f>IF(Input!O42=0,+Input!$G42,+Input!$G42+Input!O42)</f>
        <v>0</v>
      </c>
      <c r="K42" s="174">
        <f>IF(Input!P42=0,+Input!$G42,+Input!$G42+Input!P42)</f>
        <v>0</v>
      </c>
      <c r="L42" s="174">
        <f>IF(Input!Q42=0,+Input!$G42,+Input!$G42+Input!Q42)</f>
        <v>0</v>
      </c>
      <c r="M42" s="174">
        <f>IF(Input!R42=0,+Input!$G42,+Input!$G42+Input!R42)</f>
        <v>0</v>
      </c>
      <c r="N42" s="174">
        <f>IF(Input!S42=0,+Input!$G42,+Input!$G42+Input!S42)</f>
        <v>0</v>
      </c>
      <c r="O42" s="175">
        <f t="shared" si="1"/>
        <v>0</v>
      </c>
      <c r="P42" s="175">
        <f>IF(AND(O42=""),"",+O42/Setup!$B$12)</f>
        <v>0</v>
      </c>
      <c r="Q42" s="175">
        <f>IF(ISNA(IF(O42="","",(+VLOOKUP(A42,'2016'!$A:$P,15,FALSE)))),0,IF(O42="",0,(+VLOOKUP(A42,'2016'!$A:$P,15,FALSE))))</f>
        <v>0</v>
      </c>
      <c r="R42" s="169"/>
      <c r="S42" s="278"/>
      <c r="T42" s="321"/>
    </row>
    <row r="43" spans="1:20" s="4" customFormat="1" ht="10.5" customHeight="1">
      <c r="A43" s="410" t="s">
        <v>793</v>
      </c>
      <c r="B43" s="161" t="s">
        <v>230</v>
      </c>
      <c r="C43" s="174">
        <f>IF(Input!H43=0,+Input!$G43,+Input!$G43+Input!H43)</f>
        <v>0</v>
      </c>
      <c r="D43" s="174">
        <f>IF(Input!I43=0,+Input!$G43,+Input!$G43+Input!I43)</f>
        <v>0</v>
      </c>
      <c r="E43" s="174">
        <f>IF(Input!J43=0,+Input!$G43,+Input!$G43+Input!J43)</f>
        <v>0</v>
      </c>
      <c r="F43" s="174">
        <f>IF(Input!K43=0,+Input!$G43,+Input!$G43+Input!K43)</f>
        <v>0</v>
      </c>
      <c r="G43" s="174">
        <f>IF(Input!L43=0,+Input!$G43,+Input!$G43+Input!L43)</f>
        <v>0</v>
      </c>
      <c r="H43" s="174">
        <f>IF(Input!M43=0,+Input!$G43,+Input!$G43+Input!M43)</f>
        <v>0</v>
      </c>
      <c r="I43" s="174">
        <f>IF(Input!N43=0,+Input!$G43,+Input!$G43+Input!N43)</f>
        <v>0</v>
      </c>
      <c r="J43" s="174">
        <f>IF(Input!O43=0,+Input!$G43,+Input!$G43+Input!O43)</f>
        <v>0</v>
      </c>
      <c r="K43" s="174">
        <f>IF(Input!P43=0,+Input!$G43,+Input!$G43+Input!P43)</f>
        <v>0</v>
      </c>
      <c r="L43" s="174">
        <f>IF(Input!Q43=0,+Input!$G43,+Input!$G43+Input!Q43)</f>
        <v>0</v>
      </c>
      <c r="M43" s="174">
        <f>IF(Input!R43=0,+Input!$G43,+Input!$G43+Input!R43)</f>
        <v>0</v>
      </c>
      <c r="N43" s="174">
        <f>IF(Input!S43=0,+Input!$G43,+Input!$G43+Input!S43)</f>
        <v>0</v>
      </c>
      <c r="O43" s="175">
        <f t="shared" si="1"/>
        <v>0</v>
      </c>
      <c r="P43" s="175">
        <f>IF(AND(O43=""),"",+O43/Setup!$B$12)</f>
        <v>0</v>
      </c>
      <c r="Q43" s="175">
        <f>IF(ISNA(IF(O43="","",(+VLOOKUP(A43,'2016'!$A:$P,15,FALSE)))),0,IF(O43="",0,(+VLOOKUP(A43,'2016'!$A:$P,15,FALSE))))</f>
        <v>0</v>
      </c>
      <c r="R43" s="169"/>
      <c r="S43" s="278"/>
      <c r="T43" s="321"/>
    </row>
    <row r="44" spans="1:20" s="4" customFormat="1" ht="10.5" customHeight="1">
      <c r="A44" s="410" t="s">
        <v>794</v>
      </c>
      <c r="B44" s="161" t="s">
        <v>231</v>
      </c>
      <c r="C44" s="174">
        <f>IF(Input!H44=0,+Input!$G44,+Input!$G44+Input!H44)</f>
        <v>0</v>
      </c>
      <c r="D44" s="174">
        <f>IF(Input!I44=0,+Input!$G44,+Input!$G44+Input!I44)</f>
        <v>0</v>
      </c>
      <c r="E44" s="174">
        <f>IF(Input!J44=0,+Input!$G44,+Input!$G44+Input!J44)</f>
        <v>0</v>
      </c>
      <c r="F44" s="174">
        <f>IF(Input!K44=0,+Input!$G44,+Input!$G44+Input!K44)</f>
        <v>0</v>
      </c>
      <c r="G44" s="174">
        <f>IF(Input!L44=0,+Input!$G44,+Input!$G44+Input!L44)</f>
        <v>0</v>
      </c>
      <c r="H44" s="174">
        <f>IF(Input!M44=0,+Input!$G44,+Input!$G44+Input!M44)</f>
        <v>0</v>
      </c>
      <c r="I44" s="174">
        <f>IF(Input!N44=0,+Input!$G44,+Input!$G44+Input!N44)</f>
        <v>0</v>
      </c>
      <c r="J44" s="174">
        <f>IF(Input!O44=0,+Input!$G44,+Input!$G44+Input!O44)</f>
        <v>0</v>
      </c>
      <c r="K44" s="174">
        <f>IF(Input!P44=0,+Input!$G44,+Input!$G44+Input!P44)</f>
        <v>0</v>
      </c>
      <c r="L44" s="174">
        <f>IF(Input!Q44=0,+Input!$G44,+Input!$G44+Input!Q44)</f>
        <v>0</v>
      </c>
      <c r="M44" s="174">
        <f>IF(Input!R44=0,+Input!$G44,+Input!$G44+Input!R44)</f>
        <v>0</v>
      </c>
      <c r="N44" s="174">
        <f>IF(Input!S44=0,+Input!$G44,+Input!$G44+Input!S44)</f>
        <v>0</v>
      </c>
      <c r="O44" s="175">
        <f t="shared" si="1"/>
        <v>0</v>
      </c>
      <c r="P44" s="175">
        <f>IF(AND(O44=""),"",+O44/Setup!$B$12)</f>
        <v>0</v>
      </c>
      <c r="Q44" s="175">
        <f>IF(ISNA(IF(O44="","",(+VLOOKUP(A44,'2016'!$A:$P,15,FALSE)))),0,IF(O44="",0,(+VLOOKUP(A44,'2016'!$A:$P,15,FALSE))))</f>
        <v>0</v>
      </c>
      <c r="R44" s="169"/>
      <c r="S44" s="278"/>
      <c r="T44" s="321"/>
    </row>
    <row r="45" spans="1:20" s="4" customFormat="1" ht="10.5" customHeight="1">
      <c r="A45" s="410" t="s">
        <v>795</v>
      </c>
      <c r="B45" s="161" t="s">
        <v>232</v>
      </c>
      <c r="C45" s="174">
        <f>IF(Input!H45=0,+Input!$G45,+Input!$G45+Input!H45)</f>
        <v>0</v>
      </c>
      <c r="D45" s="174">
        <f>IF(Input!I45=0,+Input!$G45,+Input!$G45+Input!I45)</f>
        <v>0</v>
      </c>
      <c r="E45" s="174">
        <f>IF(Input!J45=0,+Input!$G45,+Input!$G45+Input!J45)</f>
        <v>0</v>
      </c>
      <c r="F45" s="174">
        <f>IF(Input!K45=0,+Input!$G45,+Input!$G45+Input!K45)</f>
        <v>0</v>
      </c>
      <c r="G45" s="174">
        <f>IF(Input!L45=0,+Input!$G45,+Input!$G45+Input!L45)</f>
        <v>0</v>
      </c>
      <c r="H45" s="174">
        <f>IF(Input!M45=0,+Input!$G45,+Input!$G45+Input!M45)</f>
        <v>0</v>
      </c>
      <c r="I45" s="174">
        <f>IF(Input!N45=0,+Input!$G45,+Input!$G45+Input!N45)</f>
        <v>0</v>
      </c>
      <c r="J45" s="174">
        <f>IF(Input!O45=0,+Input!$G45,+Input!$G45+Input!O45)</f>
        <v>0</v>
      </c>
      <c r="K45" s="174">
        <f>IF(Input!P45=0,+Input!$G45,+Input!$G45+Input!P45)</f>
        <v>0</v>
      </c>
      <c r="L45" s="174">
        <f>IF(Input!Q45=0,+Input!$G45,+Input!$G45+Input!Q45)</f>
        <v>0</v>
      </c>
      <c r="M45" s="174">
        <f>IF(Input!R45=0,+Input!$G45,+Input!$G45+Input!R45)</f>
        <v>0</v>
      </c>
      <c r="N45" s="174">
        <f>IF(Input!S45=0,+Input!$G45,+Input!$G45+Input!S45)</f>
        <v>0</v>
      </c>
      <c r="O45" s="175">
        <f t="shared" si="1"/>
        <v>0</v>
      </c>
      <c r="P45" s="175">
        <f>IF(AND(O45=""),"",+O45/Setup!$B$12)</f>
        <v>0</v>
      </c>
      <c r="Q45" s="175">
        <f>IF(ISNA(IF(O45="","",(+VLOOKUP(A45,'2016'!$A:$P,15,FALSE)))),0,IF(O45="",0,(+VLOOKUP(A45,'2016'!$A:$P,15,FALSE))))</f>
        <v>0</v>
      </c>
      <c r="R45" s="169"/>
      <c r="S45" s="278"/>
      <c r="T45" s="321"/>
    </row>
    <row r="46" spans="1:20" s="4" customFormat="1" ht="10.5" customHeight="1">
      <c r="A46" s="410" t="s">
        <v>796</v>
      </c>
      <c r="B46" s="161" t="s">
        <v>233</v>
      </c>
      <c r="C46" s="174">
        <f>IF(Input!H46=0,+Input!$G46,+Input!$G46+Input!H46)</f>
        <v>0</v>
      </c>
      <c r="D46" s="174">
        <f>IF(Input!I46=0,+Input!$G46,+Input!$G46+Input!I46)</f>
        <v>0</v>
      </c>
      <c r="E46" s="174">
        <f>IF(Input!J46=0,+Input!$G46,+Input!$G46+Input!J46)</f>
        <v>0</v>
      </c>
      <c r="F46" s="174">
        <f>IF(Input!K46=0,+Input!$G46,+Input!$G46+Input!K46)</f>
        <v>0</v>
      </c>
      <c r="G46" s="174">
        <f>IF(Input!L46=0,+Input!$G46,+Input!$G46+Input!L46)</f>
        <v>0</v>
      </c>
      <c r="H46" s="174">
        <f>IF(Input!M46=0,+Input!$G46,+Input!$G46+Input!M46)</f>
        <v>0</v>
      </c>
      <c r="I46" s="174">
        <f>IF(Input!N46=0,+Input!$G46,+Input!$G46+Input!N46)</f>
        <v>0</v>
      </c>
      <c r="J46" s="174">
        <f>IF(Input!O46=0,+Input!$G46,+Input!$G46+Input!O46)</f>
        <v>0</v>
      </c>
      <c r="K46" s="174">
        <f>IF(Input!P46=0,+Input!$G46,+Input!$G46+Input!P46)</f>
        <v>0</v>
      </c>
      <c r="L46" s="174">
        <f>IF(Input!Q46=0,+Input!$G46,+Input!$G46+Input!Q46)</f>
        <v>0</v>
      </c>
      <c r="M46" s="174">
        <f>IF(Input!R46=0,+Input!$G46,+Input!$G46+Input!R46)</f>
        <v>0</v>
      </c>
      <c r="N46" s="174">
        <f>IF(Input!S46=0,+Input!$G46,+Input!$G46+Input!S46)</f>
        <v>0</v>
      </c>
      <c r="O46" s="175">
        <f t="shared" si="1"/>
        <v>0</v>
      </c>
      <c r="P46" s="175">
        <f>IF(AND(O46=""),"",+O46/Setup!$B$12)</f>
        <v>0</v>
      </c>
      <c r="Q46" s="175">
        <f>IF(ISNA(IF(O46="","",(+VLOOKUP(A46,'2016'!$A:$P,15,FALSE)))),0,IF(O46="",0,(+VLOOKUP(A46,'2016'!$A:$P,15,FALSE))))</f>
        <v>12360</v>
      </c>
      <c r="R46" s="169"/>
      <c r="S46" s="274"/>
      <c r="T46" s="321"/>
    </row>
    <row r="47" spans="1:20" s="4" customFormat="1" ht="10.5" customHeight="1">
      <c r="A47" s="410" t="s">
        <v>798</v>
      </c>
      <c r="B47" s="161" t="s">
        <v>234</v>
      </c>
      <c r="C47" s="174">
        <f>IF(Input!H47=0,+Input!$G47,+Input!$G47+Input!H47)</f>
        <v>0</v>
      </c>
      <c r="D47" s="174">
        <f>IF(Input!I47=0,+Input!$G47,+Input!$G47+Input!I47)</f>
        <v>0</v>
      </c>
      <c r="E47" s="174">
        <f>IF(Input!J47=0,+Input!$G47,+Input!$G47+Input!J47)</f>
        <v>0</v>
      </c>
      <c r="F47" s="174">
        <f>IF(Input!K47=0,+Input!$G47,+Input!$G47+Input!K47)</f>
        <v>0</v>
      </c>
      <c r="G47" s="174">
        <f>IF(Input!L47=0,+Input!$G47,+Input!$G47+Input!L47)</f>
        <v>0</v>
      </c>
      <c r="H47" s="174">
        <f>IF(Input!M47=0,+Input!$G47,+Input!$G47+Input!M47)</f>
        <v>0</v>
      </c>
      <c r="I47" s="174">
        <f>IF(Input!N47=0,+Input!$G47,+Input!$G47+Input!N47)</f>
        <v>0</v>
      </c>
      <c r="J47" s="174">
        <f>IF(Input!O47=0,+Input!$G47,+Input!$G47+Input!O47)</f>
        <v>0</v>
      </c>
      <c r="K47" s="174">
        <f>IF(Input!P47=0,+Input!$G47,+Input!$G47+Input!P47)</f>
        <v>0</v>
      </c>
      <c r="L47" s="174">
        <f>IF(Input!Q47=0,+Input!$G47,+Input!$G47+Input!Q47)</f>
        <v>0</v>
      </c>
      <c r="M47" s="174">
        <f>IF(Input!R47=0,+Input!$G47,+Input!$G47+Input!R47)</f>
        <v>0</v>
      </c>
      <c r="N47" s="174">
        <f>IF(Input!S47=0,+Input!$G47,+Input!$G47+Input!S47)</f>
        <v>0</v>
      </c>
      <c r="O47" s="175">
        <f t="shared" si="1"/>
        <v>0</v>
      </c>
      <c r="P47" s="175">
        <f>IF(AND(O47=""),"",+O47/Setup!$B$12)</f>
        <v>0</v>
      </c>
      <c r="Q47" s="175">
        <f>IF(ISNA(IF(O47="","",(+VLOOKUP(A47,'2016'!$A:$P,15,FALSE)))),0,IF(O47="",0,(+VLOOKUP(A47,'2016'!$A:$P,15,FALSE))))</f>
        <v>0</v>
      </c>
      <c r="R47" s="169"/>
      <c r="S47" s="278"/>
      <c r="T47" s="321"/>
    </row>
    <row r="48" spans="1:20" s="4" customFormat="1" ht="10.5" customHeight="1">
      <c r="A48" s="410" t="s">
        <v>799</v>
      </c>
      <c r="B48" s="161" t="s">
        <v>235</v>
      </c>
      <c r="C48" s="174">
        <f>IF(Input!H48=0,+Input!$G48,+Input!$G48+Input!H48)</f>
        <v>0</v>
      </c>
      <c r="D48" s="174">
        <f>IF(Input!I48=0,+Input!$G48,+Input!$G48+Input!I48)</f>
        <v>0</v>
      </c>
      <c r="E48" s="174">
        <f>IF(Input!J48=0,+Input!$G48,+Input!$G48+Input!J48)</f>
        <v>0</v>
      </c>
      <c r="F48" s="174">
        <f>IF(Input!K48=0,+Input!$G48,+Input!$G48+Input!K48)</f>
        <v>0</v>
      </c>
      <c r="G48" s="174">
        <f>IF(Input!L48=0,+Input!$G48,+Input!$G48+Input!L48)</f>
        <v>0</v>
      </c>
      <c r="H48" s="174">
        <f>IF(Input!M48=0,+Input!$G48,+Input!$G48+Input!M48)</f>
        <v>0</v>
      </c>
      <c r="I48" s="174">
        <f>IF(Input!N48=0,+Input!$G48,+Input!$G48+Input!N48)</f>
        <v>0</v>
      </c>
      <c r="J48" s="174">
        <f>IF(Input!O48=0,+Input!$G48,+Input!$G48+Input!O48)</f>
        <v>0</v>
      </c>
      <c r="K48" s="174">
        <f>IF(Input!P48=0,+Input!$G48,+Input!$G48+Input!P48)</f>
        <v>0</v>
      </c>
      <c r="L48" s="174">
        <f>IF(Input!Q48=0,+Input!$G48,+Input!$G48+Input!Q48)</f>
        <v>0</v>
      </c>
      <c r="M48" s="174">
        <f>IF(Input!R48=0,+Input!$G48,+Input!$G48+Input!R48)</f>
        <v>0</v>
      </c>
      <c r="N48" s="174">
        <f>IF(Input!S48=0,+Input!$G48,+Input!$G48+Input!S48)</f>
        <v>0</v>
      </c>
      <c r="O48" s="175">
        <f t="shared" si="1"/>
        <v>0</v>
      </c>
      <c r="P48" s="175">
        <f>IF(AND(O48=""),"",+O48/Setup!$B$12)</f>
        <v>0</v>
      </c>
      <c r="Q48" s="175">
        <f>IF(ISNA(IF(O48="","",(+VLOOKUP(A48,'2016'!$A:$P,15,FALSE)))),0,IF(O48="",0,(+VLOOKUP(A48,'2016'!$A:$P,15,FALSE))))</f>
        <v>0</v>
      </c>
      <c r="R48" s="169"/>
      <c r="S48" s="278"/>
      <c r="T48" s="321"/>
    </row>
    <row r="49" spans="1:20" s="4" customFormat="1" ht="10.5" customHeight="1">
      <c r="A49" s="410" t="s">
        <v>801</v>
      </c>
      <c r="B49" s="161" t="s">
        <v>236</v>
      </c>
      <c r="C49" s="174">
        <f>IF(Input!H49=0,+Input!$G49,+Input!$G49+Input!H49)</f>
        <v>0</v>
      </c>
      <c r="D49" s="174">
        <f>IF(Input!I49=0,+Input!$G49,+Input!$G49+Input!I49)</f>
        <v>0</v>
      </c>
      <c r="E49" s="174">
        <f>IF(Input!J49=0,+Input!$G49,+Input!$G49+Input!J49)</f>
        <v>0</v>
      </c>
      <c r="F49" s="174">
        <f>IF(Input!K49=0,+Input!$G49,+Input!$G49+Input!K49)</f>
        <v>0</v>
      </c>
      <c r="G49" s="174">
        <f>IF(Input!L49=0,+Input!$G49,+Input!$G49+Input!L49)</f>
        <v>0</v>
      </c>
      <c r="H49" s="174">
        <f>IF(Input!M49=0,+Input!$G49,+Input!$G49+Input!M49)</f>
        <v>0</v>
      </c>
      <c r="I49" s="174">
        <f>IF(Input!N49=0,+Input!$G49,+Input!$G49+Input!N49)</f>
        <v>0</v>
      </c>
      <c r="J49" s="174">
        <f>IF(Input!O49=0,+Input!$G49,+Input!$G49+Input!O49)</f>
        <v>0</v>
      </c>
      <c r="K49" s="174">
        <f>IF(Input!P49=0,+Input!$G49,+Input!$G49+Input!P49)</f>
        <v>0</v>
      </c>
      <c r="L49" s="174">
        <f>IF(Input!Q49=0,+Input!$G49,+Input!$G49+Input!Q49)</f>
        <v>0</v>
      </c>
      <c r="M49" s="174">
        <f>IF(Input!R49=0,+Input!$G49,+Input!$G49+Input!R49)</f>
        <v>0</v>
      </c>
      <c r="N49" s="174">
        <f>IF(Input!S49=0,+Input!$G49,+Input!$G49+Input!S49)</f>
        <v>0</v>
      </c>
      <c r="O49" s="175">
        <f t="shared" si="1"/>
        <v>0</v>
      </c>
      <c r="P49" s="175">
        <f>IF(AND(O49=""),"",+O49/Setup!$B$12)</f>
        <v>0</v>
      </c>
      <c r="Q49" s="175">
        <f>IF(ISNA(IF(O49="","",(+VLOOKUP(A49,'2016'!$A:$P,15,FALSE)))),0,IF(O49="",0,(+VLOOKUP(A49,'2016'!$A:$P,15,FALSE))))</f>
        <v>0</v>
      </c>
      <c r="R49" s="169"/>
      <c r="S49" s="278"/>
      <c r="T49" s="321"/>
    </row>
    <row r="50" spans="1:20" s="4" customFormat="1" ht="10.5" customHeight="1">
      <c r="A50" s="163"/>
      <c r="B50" s="163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5" t="str">
        <f t="shared" si="1"/>
        <v/>
      </c>
      <c r="P50" s="175" t="str">
        <f>IF(AND(O50=""),"",+O50/Setup!$B$12)</f>
        <v/>
      </c>
      <c r="Q50" s="175" t="str">
        <f>IF(O50="","",(+VLOOKUP(A50,'2016'!$A:$P,15,FALSE)))</f>
        <v/>
      </c>
      <c r="R50" s="169"/>
      <c r="S50" s="278"/>
      <c r="T50" s="321"/>
    </row>
    <row r="51" spans="1:20" s="4" customFormat="1" ht="10.5" customHeight="1">
      <c r="A51" s="159"/>
      <c r="B51" s="159" t="s">
        <v>237</v>
      </c>
      <c r="C51" s="178">
        <f>SUM(C40:C49)</f>
        <v>0</v>
      </c>
      <c r="D51" s="178">
        <f t="shared" ref="D51:N51" si="7">SUM(D40:D49)</f>
        <v>0</v>
      </c>
      <c r="E51" s="178">
        <f t="shared" si="7"/>
        <v>0</v>
      </c>
      <c r="F51" s="178">
        <f t="shared" si="7"/>
        <v>0</v>
      </c>
      <c r="G51" s="178">
        <f t="shared" si="7"/>
        <v>0</v>
      </c>
      <c r="H51" s="178">
        <f t="shared" si="7"/>
        <v>0</v>
      </c>
      <c r="I51" s="178">
        <f t="shared" si="7"/>
        <v>0</v>
      </c>
      <c r="J51" s="178">
        <f t="shared" si="7"/>
        <v>0</v>
      </c>
      <c r="K51" s="178">
        <f t="shared" si="7"/>
        <v>0</v>
      </c>
      <c r="L51" s="178">
        <f t="shared" si="7"/>
        <v>0</v>
      </c>
      <c r="M51" s="178">
        <f t="shared" si="7"/>
        <v>0</v>
      </c>
      <c r="N51" s="178">
        <f t="shared" si="7"/>
        <v>0</v>
      </c>
      <c r="O51" s="175">
        <f t="shared" si="1"/>
        <v>0</v>
      </c>
      <c r="P51" s="175">
        <f>IF(AND(O51=""),"",+O51/Setup!$B$12)</f>
        <v>0</v>
      </c>
      <c r="Q51" s="178">
        <f t="shared" ref="Q51" si="8">SUM(Q40:Q49)</f>
        <v>12360</v>
      </c>
      <c r="R51" s="169"/>
      <c r="S51" s="278"/>
      <c r="T51" s="321"/>
    </row>
    <row r="52" spans="1:20" s="10" customFormat="1" ht="10.5" customHeight="1">
      <c r="A52" s="161"/>
      <c r="B52" s="161" t="s">
        <v>238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75" t="str">
        <f t="shared" si="1"/>
        <v/>
      </c>
      <c r="P52" s="175" t="str">
        <f>IF(AND(O52=""),"",+O52/Setup!$B$12)</f>
        <v/>
      </c>
      <c r="Q52" s="175" t="str">
        <f>IF(O52="","",(+VLOOKUP(A52,'2016'!$A:$P,15,FALSE)))</f>
        <v/>
      </c>
      <c r="R52" s="169"/>
      <c r="S52" s="274"/>
      <c r="T52" s="321"/>
    </row>
    <row r="53" spans="1:20" s="17" customFormat="1" ht="10.5" customHeight="1">
      <c r="A53" s="410" t="s">
        <v>805</v>
      </c>
      <c r="B53" s="161" t="s">
        <v>239</v>
      </c>
      <c r="C53" s="174">
        <f>IF(Input!H53=0,+Input!$G53,+Input!$G53+Input!H53)</f>
        <v>0</v>
      </c>
      <c r="D53" s="174">
        <f>IF(Input!I53=0,+Input!$G53,+Input!$G53+Input!I53)</f>
        <v>0</v>
      </c>
      <c r="E53" s="174">
        <f>IF(Input!J53=0,+Input!$G53,+Input!$G53+Input!J53)</f>
        <v>0</v>
      </c>
      <c r="F53" s="174">
        <f>IF(Input!K53=0,+Input!$G53,+Input!$G53+Input!K53)</f>
        <v>0</v>
      </c>
      <c r="G53" s="174">
        <f>IF(Input!L53=0,+Input!$G53,+Input!$G53+Input!L53)</f>
        <v>0</v>
      </c>
      <c r="H53" s="174">
        <f>IF(Input!M53=0,+Input!$G53,+Input!$G53+Input!M53)</f>
        <v>0</v>
      </c>
      <c r="I53" s="174">
        <f>IF(Input!N53=0,+Input!$G53,+Input!$G53+Input!N53)</f>
        <v>0</v>
      </c>
      <c r="J53" s="174">
        <f>IF(Input!O53=0,+Input!$G53,+Input!$G53+Input!O53)</f>
        <v>0</v>
      </c>
      <c r="K53" s="174">
        <f>IF(Input!P53=0,+Input!$G53,+Input!$G53+Input!P53)</f>
        <v>0</v>
      </c>
      <c r="L53" s="174">
        <f>IF(Input!Q53=0,+Input!$G53,+Input!$G53+Input!Q53)</f>
        <v>0</v>
      </c>
      <c r="M53" s="174">
        <f>IF(Input!R53=0,+Input!$G53,+Input!$G53+Input!R53)</f>
        <v>0</v>
      </c>
      <c r="N53" s="174">
        <f>IF(Input!S53=0,+Input!$G53,+Input!$G53+Input!S53)</f>
        <v>0</v>
      </c>
      <c r="O53" s="175">
        <f t="shared" si="1"/>
        <v>0</v>
      </c>
      <c r="P53" s="175">
        <f>IF(AND(O53=""),"",+O53/Setup!$B$12)</f>
        <v>0</v>
      </c>
      <c r="Q53" s="175">
        <f>IF(ISNA(IF(O53="","",(+VLOOKUP(A53,'2016'!$A:$P,15,FALSE)))),0,IF(O53="",0,(+VLOOKUP(A53,'2016'!$A:$P,15,FALSE))))</f>
        <v>0</v>
      </c>
      <c r="R53" s="169"/>
      <c r="S53" s="274"/>
      <c r="T53" s="321"/>
    </row>
    <row r="54" spans="1:20" s="4" customFormat="1" ht="10.5" customHeight="1">
      <c r="A54" s="410" t="s">
        <v>807</v>
      </c>
      <c r="B54" s="161" t="s">
        <v>240</v>
      </c>
      <c r="C54" s="174">
        <f>IF(Input!H54=0,+Input!$G54,+Input!$G54+Input!H54)</f>
        <v>0</v>
      </c>
      <c r="D54" s="174">
        <f>IF(Input!I54=0,+Input!$G54,+Input!$G54+Input!I54)</f>
        <v>0</v>
      </c>
      <c r="E54" s="174">
        <f>IF(Input!J54=0,+Input!$G54,+Input!$G54+Input!J54)</f>
        <v>0</v>
      </c>
      <c r="F54" s="174">
        <f>IF(Input!K54=0,+Input!$G54,+Input!$G54+Input!K54)</f>
        <v>0</v>
      </c>
      <c r="G54" s="174">
        <f>IF(Input!L54=0,+Input!$G54,+Input!$G54+Input!L54)</f>
        <v>0</v>
      </c>
      <c r="H54" s="174">
        <f>IF(Input!M54=0,+Input!$G54,+Input!$G54+Input!M54)</f>
        <v>0</v>
      </c>
      <c r="I54" s="174">
        <f>IF(Input!N54=0,+Input!$G54,+Input!$G54+Input!N54)</f>
        <v>0</v>
      </c>
      <c r="J54" s="174">
        <f>IF(Input!O54=0,+Input!$G54,+Input!$G54+Input!O54)</f>
        <v>0</v>
      </c>
      <c r="K54" s="174">
        <f>IF(Input!P54=0,+Input!$G54,+Input!$G54+Input!P54)</f>
        <v>0</v>
      </c>
      <c r="L54" s="174">
        <f>IF(Input!Q54=0,+Input!$G54,+Input!$G54+Input!Q54)</f>
        <v>0</v>
      </c>
      <c r="M54" s="174">
        <f>IF(Input!R54=0,+Input!$G54,+Input!$G54+Input!R54)</f>
        <v>0</v>
      </c>
      <c r="N54" s="174">
        <f>IF(Input!S54=0,+Input!$G54,+Input!$G54+Input!S54)</f>
        <v>0</v>
      </c>
      <c r="O54" s="175">
        <f t="shared" si="1"/>
        <v>0</v>
      </c>
      <c r="P54" s="175">
        <f>IF(AND(O54=""),"",+O54/Setup!$B$12)</f>
        <v>0</v>
      </c>
      <c r="Q54" s="175">
        <f>IF(ISNA(IF(O54="","",(+VLOOKUP(A54,'2016'!$A:$P,15,FALSE)))),0,IF(O54="",0,(+VLOOKUP(A54,'2016'!$A:$P,15,FALSE))))</f>
        <v>0</v>
      </c>
      <c r="R54" s="169"/>
      <c r="S54" s="274"/>
      <c r="T54" s="321"/>
    </row>
    <row r="55" spans="1:20" s="17" customFormat="1" ht="10.5" customHeight="1">
      <c r="A55" s="410" t="s">
        <v>808</v>
      </c>
      <c r="B55" s="161" t="s">
        <v>241</v>
      </c>
      <c r="C55" s="174">
        <f>IF(Input!H55=0,+Input!$G55,+Input!$G55+Input!H55)</f>
        <v>0</v>
      </c>
      <c r="D55" s="174">
        <f>IF(Input!I55=0,+Input!$G55,+Input!$G55+Input!I55)</f>
        <v>0</v>
      </c>
      <c r="E55" s="174">
        <f>IF(Input!J55=0,+Input!$G55,+Input!$G55+Input!J55)</f>
        <v>0</v>
      </c>
      <c r="F55" s="174">
        <f>IF(Input!K55=0,+Input!$G55,+Input!$G55+Input!K55)</f>
        <v>0</v>
      </c>
      <c r="G55" s="174">
        <f>IF(Input!L55=0,+Input!$G55,+Input!$G55+Input!L55)</f>
        <v>0</v>
      </c>
      <c r="H55" s="174">
        <f>IF(Input!M55=0,+Input!$G55,+Input!$G55+Input!M55)</f>
        <v>0</v>
      </c>
      <c r="I55" s="174">
        <f>IF(Input!N55=0,+Input!$G55,+Input!$G55+Input!N55)</f>
        <v>0</v>
      </c>
      <c r="J55" s="174">
        <f>IF(Input!O55=0,+Input!$G55,+Input!$G55+Input!O55)</f>
        <v>0</v>
      </c>
      <c r="K55" s="174">
        <f>IF(Input!P55=0,+Input!$G55,+Input!$G55+Input!P55)</f>
        <v>0</v>
      </c>
      <c r="L55" s="174">
        <f>IF(Input!Q55=0,+Input!$G55,+Input!$G55+Input!Q55)</f>
        <v>0</v>
      </c>
      <c r="M55" s="174">
        <f>IF(Input!R55=0,+Input!$G55,+Input!$G55+Input!R55)</f>
        <v>0</v>
      </c>
      <c r="N55" s="174">
        <f>IF(Input!S55=0,+Input!$G55,+Input!$G55+Input!S55)</f>
        <v>0</v>
      </c>
      <c r="O55" s="175">
        <f t="shared" si="1"/>
        <v>0</v>
      </c>
      <c r="P55" s="175">
        <f>IF(AND(O55=""),"",+O55/Setup!$B$12)</f>
        <v>0</v>
      </c>
      <c r="Q55" s="175">
        <f>IF(ISNA(IF(O55="","",(+VLOOKUP(A55,'2016'!$A:$P,15,FALSE)))),0,IF(O55="",0,(+VLOOKUP(A55,'2016'!$A:$P,15,FALSE))))</f>
        <v>0</v>
      </c>
      <c r="R55" s="169"/>
      <c r="S55" s="273"/>
      <c r="T55" s="320"/>
    </row>
    <row r="56" spans="1:20" s="4" customFormat="1" ht="10.5" customHeight="1">
      <c r="A56" s="410" t="s">
        <v>809</v>
      </c>
      <c r="B56" s="161" t="s">
        <v>242</v>
      </c>
      <c r="C56" s="174">
        <f>IF(Input!H56=0,+Input!$G56,+Input!$G56+Input!H56)</f>
        <v>6306.666666666667</v>
      </c>
      <c r="D56" s="174">
        <f>IF(Input!I56=0,+Input!$G56,+Input!$G56+Input!I56)</f>
        <v>6306.666666666667</v>
      </c>
      <c r="E56" s="174">
        <f>IF(Input!J56=0,+Input!$G56,+Input!$G56+Input!J56)</f>
        <v>6306.666666666667</v>
      </c>
      <c r="F56" s="174">
        <f>IF(Input!K56=0,+Input!$G56,+Input!$G56+Input!K56)</f>
        <v>6306.666666666667</v>
      </c>
      <c r="G56" s="174">
        <f>IF(Input!L56=0,+Input!$G56,+Input!$G56+Input!L56)</f>
        <v>6306.666666666667</v>
      </c>
      <c r="H56" s="174">
        <f>IF(Input!M56=0,+Input!$G56,+Input!$G56+Input!M56)</f>
        <v>6306.666666666667</v>
      </c>
      <c r="I56" s="174">
        <f>IF(Input!N56=0,+Input!$G56,+Input!$G56+Input!N56)</f>
        <v>6306.666666666667</v>
      </c>
      <c r="J56" s="174">
        <f>IF(Input!O56=0,+Input!$G56,+Input!$G56+Input!O56)</f>
        <v>6306.666666666667</v>
      </c>
      <c r="K56" s="174">
        <f>IF(Input!P56=0,+Input!$G56,+Input!$G56+Input!P56)</f>
        <v>6306.666666666667</v>
      </c>
      <c r="L56" s="174">
        <f>IF(Input!Q56=0,+Input!$G56,+Input!$G56+Input!Q56)</f>
        <v>6306.666666666667</v>
      </c>
      <c r="M56" s="174">
        <f>IF(Input!R56=0,+Input!$G56,+Input!$G56+Input!R56)</f>
        <v>6306.666666666667</v>
      </c>
      <c r="N56" s="174">
        <f>IF(Input!S56=0,+Input!$G56,+Input!$G56+Input!S56)</f>
        <v>6306.666666666667</v>
      </c>
      <c r="O56" s="175">
        <f t="shared" si="1"/>
        <v>75680</v>
      </c>
      <c r="P56" s="175">
        <f>IF(AND(O56=""),"",+O56/Setup!$B$12)</f>
        <v>344</v>
      </c>
      <c r="Q56" s="175">
        <f>IF(ISNA(IF(O56="","",(+VLOOKUP(A56,'2016'!$A:$P,15,FALSE)))),0,IF(O56="",0,(+VLOOKUP(A56,'2016'!$A:$P,15,FALSE))))</f>
        <v>75680</v>
      </c>
      <c r="R56" s="169"/>
      <c r="S56" s="278"/>
      <c r="T56" s="321"/>
    </row>
    <row r="57" spans="1:20" s="4" customFormat="1" ht="10.5" customHeight="1">
      <c r="A57" s="163"/>
      <c r="B57" s="163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5" t="str">
        <f t="shared" si="1"/>
        <v/>
      </c>
      <c r="P57" s="175" t="str">
        <f>IF(AND(O57=""),"",+O57/Setup!$B$12)</f>
        <v/>
      </c>
      <c r="Q57" s="175" t="str">
        <f>IF(O57="","",(+VLOOKUP(A57,'2016'!$A:$P,15,FALSE)))</f>
        <v/>
      </c>
      <c r="R57" s="169"/>
      <c r="S57" s="278"/>
      <c r="T57" s="321"/>
    </row>
    <row r="58" spans="1:20" s="4" customFormat="1" ht="10.5" customHeight="1">
      <c r="A58" s="159"/>
      <c r="B58" s="159" t="s">
        <v>238</v>
      </c>
      <c r="C58" s="178">
        <f t="shared" ref="C58:N58" si="9">SUM(C53:C56)</f>
        <v>6306.666666666667</v>
      </c>
      <c r="D58" s="178">
        <f t="shared" si="9"/>
        <v>6306.666666666667</v>
      </c>
      <c r="E58" s="178">
        <f t="shared" si="9"/>
        <v>6306.666666666667</v>
      </c>
      <c r="F58" s="178">
        <f t="shared" si="9"/>
        <v>6306.666666666667</v>
      </c>
      <c r="G58" s="178">
        <f t="shared" si="9"/>
        <v>6306.666666666667</v>
      </c>
      <c r="H58" s="178">
        <f t="shared" si="9"/>
        <v>6306.666666666667</v>
      </c>
      <c r="I58" s="178">
        <f t="shared" si="9"/>
        <v>6306.666666666667</v>
      </c>
      <c r="J58" s="178">
        <f t="shared" si="9"/>
        <v>6306.666666666667</v>
      </c>
      <c r="K58" s="178">
        <f t="shared" si="9"/>
        <v>6306.666666666667</v>
      </c>
      <c r="L58" s="178">
        <f t="shared" si="9"/>
        <v>6306.666666666667</v>
      </c>
      <c r="M58" s="178">
        <f t="shared" si="9"/>
        <v>6306.666666666667</v>
      </c>
      <c r="N58" s="178">
        <f t="shared" si="9"/>
        <v>6306.666666666667</v>
      </c>
      <c r="O58" s="175">
        <f t="shared" si="1"/>
        <v>75680</v>
      </c>
      <c r="P58" s="175">
        <f>IF(AND(O58=""),"",+O58/Setup!$B$12)</f>
        <v>344</v>
      </c>
      <c r="Q58" s="178">
        <f t="shared" ref="Q58" si="10">SUM(Q53:Q56)</f>
        <v>75680</v>
      </c>
      <c r="R58" s="169"/>
      <c r="S58" s="278"/>
      <c r="T58" s="321"/>
    </row>
    <row r="59" spans="1:20" s="4" customFormat="1" ht="10.5" customHeight="1">
      <c r="A59" s="164"/>
      <c r="B59" s="163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5" t="str">
        <f t="shared" si="1"/>
        <v/>
      </c>
      <c r="P59" s="175" t="str">
        <f>IF(AND(O59=""),"",+O59/Setup!$B$12)</f>
        <v/>
      </c>
      <c r="Q59" s="179"/>
      <c r="R59" s="169"/>
      <c r="S59" s="274"/>
      <c r="T59" s="321"/>
    </row>
    <row r="60" spans="1:20" s="10" customFormat="1" ht="10.5" customHeight="1">
      <c r="A60" s="159"/>
      <c r="B60" s="161" t="s">
        <v>16</v>
      </c>
      <c r="C60" s="178">
        <f t="shared" ref="C60:N60" si="11">+C58+C51+C38</f>
        <v>13301.25</v>
      </c>
      <c r="D60" s="178">
        <f t="shared" si="11"/>
        <v>13301.25</v>
      </c>
      <c r="E60" s="178">
        <f t="shared" si="11"/>
        <v>13301.25</v>
      </c>
      <c r="F60" s="178">
        <f t="shared" si="11"/>
        <v>13301.25</v>
      </c>
      <c r="G60" s="178">
        <f t="shared" si="11"/>
        <v>13301.25</v>
      </c>
      <c r="H60" s="178">
        <f t="shared" si="11"/>
        <v>13301.25</v>
      </c>
      <c r="I60" s="178">
        <f t="shared" si="11"/>
        <v>13301.25</v>
      </c>
      <c r="J60" s="178">
        <f t="shared" si="11"/>
        <v>13301.25</v>
      </c>
      <c r="K60" s="178">
        <f t="shared" si="11"/>
        <v>13301.25</v>
      </c>
      <c r="L60" s="178">
        <f t="shared" si="11"/>
        <v>13301.25</v>
      </c>
      <c r="M60" s="178">
        <f t="shared" si="11"/>
        <v>13301.25</v>
      </c>
      <c r="N60" s="178">
        <f t="shared" si="11"/>
        <v>13301.25</v>
      </c>
      <c r="O60" s="175">
        <f t="shared" si="1"/>
        <v>159615</v>
      </c>
      <c r="P60" s="175">
        <f>IF(AND(O60=""),"",+O60/Setup!$B$12)</f>
        <v>725.52272727272725</v>
      </c>
      <c r="Q60" s="178">
        <f t="shared" ref="Q60" si="12">+Q58+Q51+Q38</f>
        <v>171975</v>
      </c>
      <c r="R60" s="169"/>
      <c r="S60" s="278"/>
      <c r="T60" s="321"/>
    </row>
    <row r="61" spans="1:20" s="17" customFormat="1" ht="10.5" customHeight="1">
      <c r="A61" s="164"/>
      <c r="B61" s="163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5" t="str">
        <f t="shared" si="1"/>
        <v/>
      </c>
      <c r="P61" s="175" t="str">
        <f>IF(AND(O61=""),"",+O61/Setup!$B$12)</f>
        <v/>
      </c>
      <c r="Q61" s="179"/>
      <c r="R61" s="169"/>
      <c r="S61" s="278"/>
      <c r="T61" s="321"/>
    </row>
    <row r="62" spans="1:20" s="18" customFormat="1" ht="10.5" customHeight="1">
      <c r="A62" s="159"/>
      <c r="B62" s="159" t="s">
        <v>106</v>
      </c>
      <c r="C62" s="178">
        <f t="shared" ref="C62:N62" si="13">+C60+C22</f>
        <v>239035.25</v>
      </c>
      <c r="D62" s="178">
        <f t="shared" si="13"/>
        <v>240335.25</v>
      </c>
      <c r="E62" s="178">
        <f t="shared" si="13"/>
        <v>241635.25</v>
      </c>
      <c r="F62" s="178">
        <f t="shared" si="13"/>
        <v>242395.70454545453</v>
      </c>
      <c r="G62" s="178">
        <f t="shared" si="13"/>
        <v>242931.15909090909</v>
      </c>
      <c r="H62" s="178">
        <f t="shared" si="13"/>
        <v>245645.70454545453</v>
      </c>
      <c r="I62" s="178">
        <f t="shared" si="13"/>
        <v>248830.02272727274</v>
      </c>
      <c r="J62" s="178">
        <f t="shared" si="13"/>
        <v>251469.56818181818</v>
      </c>
      <c r="K62" s="178">
        <f t="shared" si="13"/>
        <v>250474.79545454547</v>
      </c>
      <c r="L62" s="178">
        <f t="shared" si="13"/>
        <v>250310.25</v>
      </c>
      <c r="M62" s="178">
        <f t="shared" si="13"/>
        <v>250145.70454545453</v>
      </c>
      <c r="N62" s="178">
        <f t="shared" si="13"/>
        <v>249906.15909090909</v>
      </c>
      <c r="O62" s="175">
        <f t="shared" si="1"/>
        <v>2953114.8181818184</v>
      </c>
      <c r="P62" s="175">
        <f>IF(AND(O62=""),"",+O62/Setup!$B$12)</f>
        <v>13423.249173553721</v>
      </c>
      <c r="Q62" s="178">
        <f t="shared" ref="Q62" si="14">+Q60+Q22</f>
        <v>2166901</v>
      </c>
      <c r="R62" s="169"/>
      <c r="S62" s="278"/>
      <c r="T62" s="321"/>
    </row>
    <row r="63" spans="1:20" s="17" customFormat="1" ht="10.5" customHeight="1">
      <c r="A63" s="160"/>
      <c r="B63" s="160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5" t="str">
        <f t="shared" si="1"/>
        <v/>
      </c>
      <c r="P63" s="175" t="str">
        <f>IF(AND(O63=""),"",+O63/Setup!$B$12)</f>
        <v/>
      </c>
      <c r="Q63" s="175" t="str">
        <f>IF(O63="","",(+VLOOKUP(A63,'2016'!$A:$P,15,FALSE)))</f>
        <v/>
      </c>
      <c r="R63" s="169"/>
      <c r="S63" s="278"/>
      <c r="T63" s="321"/>
    </row>
    <row r="64" spans="1:20" s="18" customFormat="1" ht="10.5" customHeight="1">
      <c r="A64" s="161"/>
      <c r="B64" s="161" t="s">
        <v>243</v>
      </c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75" t="str">
        <f t="shared" si="1"/>
        <v/>
      </c>
      <c r="P64" s="175" t="str">
        <f>IF(AND(O64=""),"",+O64/Setup!$B$12)</f>
        <v/>
      </c>
      <c r="Q64" s="175" t="str">
        <f>IF(O64="","",(+VLOOKUP(A64,'2016'!$A:$P,15,FALSE)))</f>
        <v/>
      </c>
      <c r="R64" s="169"/>
      <c r="S64" s="278"/>
      <c r="T64" s="321"/>
    </row>
    <row r="65" spans="1:20" s="4" customFormat="1" ht="10.5" customHeight="1">
      <c r="A65" s="161"/>
      <c r="B65" s="161" t="s">
        <v>244</v>
      </c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75" t="str">
        <f t="shared" si="1"/>
        <v/>
      </c>
      <c r="P65" s="175" t="str">
        <f>IF(AND(O65=""),"",+O65/Setup!$B$12)</f>
        <v/>
      </c>
      <c r="Q65" s="175" t="str">
        <f>IF(O65="","",(+VLOOKUP(A65,'2016'!$A:$P,15,FALSE)))</f>
        <v/>
      </c>
      <c r="R65" s="169"/>
      <c r="S65" s="278"/>
      <c r="T65" s="321"/>
    </row>
    <row r="66" spans="1:20" s="17" customFormat="1" ht="10.5" customHeight="1">
      <c r="A66" s="410" t="s">
        <v>816</v>
      </c>
      <c r="B66" s="161" t="s">
        <v>244</v>
      </c>
      <c r="C66" s="174">
        <f>IF(Input!H66=0,+Input!$G66,+Input!$G66+Input!H66)</f>
        <v>7171.0874999999996</v>
      </c>
      <c r="D66" s="174">
        <f>IF(Input!I66=0,+Input!$G66,+Input!$G66+Input!I66)</f>
        <v>7210.0874999999996</v>
      </c>
      <c r="E66" s="174">
        <f>IF(Input!J66=0,+Input!$G66,+Input!$G66+Input!J66)</f>
        <v>7249.0874999999996</v>
      </c>
      <c r="F66" s="174">
        <f>IF(Input!K66=0,+Input!$G66,+Input!$G66+Input!K66)</f>
        <v>7271.9011363636355</v>
      </c>
      <c r="G66" s="174">
        <f>IF(Input!L66=0,+Input!$G66,+Input!$G66+Input!L66)</f>
        <v>7287.9647727272722</v>
      </c>
      <c r="H66" s="174">
        <f>IF(Input!M66=0,+Input!$G66,+Input!$G66+Input!M66)</f>
        <v>7369.4011363636355</v>
      </c>
      <c r="I66" s="174">
        <f>IF(Input!N66=0,+Input!$G66,+Input!$G66+Input!N66)</f>
        <v>7464.9306818181813</v>
      </c>
      <c r="J66" s="174">
        <f>IF(Input!O66=0,+Input!$G66,+Input!$G66+Input!O66)</f>
        <v>7544.1170454545445</v>
      </c>
      <c r="K66" s="174">
        <f>IF(Input!P66=0,+Input!$G66,+Input!$G66+Input!P66)</f>
        <v>7514.2738636363638</v>
      </c>
      <c r="L66" s="174">
        <f>IF(Input!Q66=0,+Input!$G66,+Input!$G66+Input!Q66)</f>
        <v>7509.3374999999996</v>
      </c>
      <c r="M66" s="174">
        <f>IF(Input!R66=0,+Input!$G66,+Input!$G66+Input!R66)</f>
        <v>7504.4011363636355</v>
      </c>
      <c r="N66" s="174">
        <f>IF(Input!S66=0,+Input!$G66,+Input!$G66+Input!S66)</f>
        <v>7497.2147727272722</v>
      </c>
      <c r="O66" s="175">
        <f>IF(N66="","",SUM(C66:N66))</f>
        <v>88593.804545454521</v>
      </c>
      <c r="P66" s="175">
        <f>IF(AND(O66=""),"",+O66/Setup!$B$12)</f>
        <v>402.69911157024779</v>
      </c>
      <c r="Q66" s="175">
        <f>IF(ISNA(IF(O66="","",(+VLOOKUP(A66,'2016'!$A:$P,15,FALSE)))),0,IF(O66="",0,(+VLOOKUP(A66,'2016'!$A:$P,15,FALSE))))</f>
        <v>65004</v>
      </c>
      <c r="R66" s="169"/>
      <c r="S66" s="278"/>
      <c r="T66" s="321"/>
    </row>
    <row r="67" spans="1:20" s="17" customFormat="1" ht="10.5" customHeight="1">
      <c r="A67" s="163"/>
      <c r="B67" s="16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75" t="str">
        <f t="shared" si="1"/>
        <v/>
      </c>
      <c r="P67" s="175" t="str">
        <f>IF(AND(O67=""),"",+O67/Setup!$B$12)</f>
        <v/>
      </c>
      <c r="Q67" s="175" t="str">
        <f>IF(O67="","",(+VLOOKUP(A67,'2016'!$A:$P,15,FALSE)))</f>
        <v/>
      </c>
      <c r="R67" s="169"/>
      <c r="S67" s="278"/>
      <c r="T67" s="321"/>
    </row>
    <row r="68" spans="1:20" s="17" customFormat="1" ht="10.5" customHeight="1">
      <c r="A68" s="159"/>
      <c r="B68" s="159" t="s">
        <v>244</v>
      </c>
      <c r="C68" s="174">
        <f>+C66</f>
        <v>7171.0874999999996</v>
      </c>
      <c r="D68" s="174">
        <f t="shared" ref="D68:Q68" si="15">+D66</f>
        <v>7210.0874999999996</v>
      </c>
      <c r="E68" s="174">
        <f t="shared" si="15"/>
        <v>7249.0874999999996</v>
      </c>
      <c r="F68" s="174">
        <f t="shared" si="15"/>
        <v>7271.9011363636355</v>
      </c>
      <c r="G68" s="174">
        <f t="shared" si="15"/>
        <v>7287.9647727272722</v>
      </c>
      <c r="H68" s="174">
        <f t="shared" si="15"/>
        <v>7369.4011363636355</v>
      </c>
      <c r="I68" s="174">
        <f t="shared" si="15"/>
        <v>7464.9306818181813</v>
      </c>
      <c r="J68" s="174">
        <f t="shared" si="15"/>
        <v>7544.1170454545445</v>
      </c>
      <c r="K68" s="174">
        <f t="shared" si="15"/>
        <v>7514.2738636363638</v>
      </c>
      <c r="L68" s="174">
        <f t="shared" si="15"/>
        <v>7509.3374999999996</v>
      </c>
      <c r="M68" s="174">
        <f t="shared" si="15"/>
        <v>7504.4011363636355</v>
      </c>
      <c r="N68" s="174">
        <f t="shared" si="15"/>
        <v>7497.2147727272722</v>
      </c>
      <c r="O68" s="175">
        <f>IF(N68="","",SUM(C68:N68))</f>
        <v>88593.804545454521</v>
      </c>
      <c r="P68" s="175">
        <f>IF(AND(O68=""),"",+O68/Setup!$B$12)</f>
        <v>402.69911157024779</v>
      </c>
      <c r="Q68" s="174">
        <f t="shared" si="15"/>
        <v>65004</v>
      </c>
      <c r="R68" s="169"/>
      <c r="S68" s="274"/>
      <c r="T68" s="321"/>
    </row>
    <row r="69" spans="1:20" s="17" customFormat="1" ht="10.5" customHeight="1">
      <c r="A69" s="161"/>
      <c r="B69" s="161" t="s">
        <v>245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5" t="str">
        <f t="shared" si="1"/>
        <v/>
      </c>
      <c r="P69" s="175" t="str">
        <f>IF(AND(O69=""),"",+O69/Setup!$B$12)</f>
        <v/>
      </c>
      <c r="Q69" s="175" t="str">
        <f>IF(O69="","",(+VLOOKUP(A69,'2016'!$A:$P,15,FALSE)))</f>
        <v/>
      </c>
      <c r="R69" s="169"/>
      <c r="S69" s="278"/>
      <c r="T69" s="321"/>
    </row>
    <row r="70" spans="1:20" s="4" customFormat="1" ht="10.5" customHeight="1">
      <c r="A70" s="161"/>
      <c r="B70" s="161" t="s">
        <v>246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5"/>
      <c r="P70" s="175"/>
      <c r="Q70" s="175" t="str">
        <f>IF(O70="","",(+VLOOKUP(A70,'2016'!$A:$P,15,FALSE)))</f>
        <v/>
      </c>
      <c r="R70" s="169"/>
      <c r="S70" s="278"/>
      <c r="T70" s="321"/>
    </row>
    <row r="71" spans="1:20" s="10" customFormat="1" ht="10.5" customHeight="1">
      <c r="A71" s="410" t="s">
        <v>821</v>
      </c>
      <c r="B71" s="161" t="s">
        <v>247</v>
      </c>
      <c r="C71" s="174">
        <f>IF(Input!H71=0,+Input!$G71,+Input!$G71+Input!H71)</f>
        <v>1600</v>
      </c>
      <c r="D71" s="174">
        <f>IF(Input!I71=0,+Input!$G71,+Input!$G71+Input!I71)</f>
        <v>1600</v>
      </c>
      <c r="E71" s="174">
        <f>IF(Input!J71=0,+Input!$G71,+Input!$G71+Input!J71)</f>
        <v>1600</v>
      </c>
      <c r="F71" s="174">
        <f>IF(Input!K71=0,+Input!$G71,+Input!$G71+Input!K71)</f>
        <v>1600</v>
      </c>
      <c r="G71" s="174">
        <f>IF(Input!L71=0,+Input!$G71,+Input!$G71+Input!L71)</f>
        <v>1600</v>
      </c>
      <c r="H71" s="174">
        <f>IF(Input!M71=0,+Input!$G71,+Input!$G71+Input!M71)</f>
        <v>1600</v>
      </c>
      <c r="I71" s="174">
        <f>IF(Input!N71=0,+Input!$G71,+Input!$G71+Input!N71)</f>
        <v>1600</v>
      </c>
      <c r="J71" s="174">
        <f>IF(Input!O71=0,+Input!$G71,+Input!$G71+Input!O71)</f>
        <v>1600</v>
      </c>
      <c r="K71" s="174">
        <f>IF(Input!P71=0,+Input!$G71,+Input!$G71+Input!P71)</f>
        <v>1600</v>
      </c>
      <c r="L71" s="174">
        <f>IF(Input!Q71=0,+Input!$G71,+Input!$G71+Input!Q71)</f>
        <v>1600</v>
      </c>
      <c r="M71" s="174">
        <f>IF(Input!R71=0,+Input!$G71,+Input!$G71+Input!R71)</f>
        <v>1600</v>
      </c>
      <c r="N71" s="174">
        <f>IF(Input!S71=0,+Input!$G71,+Input!$G71+Input!S71)</f>
        <v>1600</v>
      </c>
      <c r="O71" s="175">
        <f t="shared" ref="O71:O76" si="16">IF(N71="","",SUM(C71:N71))</f>
        <v>19200</v>
      </c>
      <c r="P71" s="175">
        <f>IF(AND(O71=""),"",+O71/Setup!$B$12)</f>
        <v>87.272727272727266</v>
      </c>
      <c r="Q71" s="175">
        <f>IF(ISNA(IF(O71="","",(+VLOOKUP(A71,'2016'!$A:$P,15,FALSE)))),0,IF(O71="",0,(+VLOOKUP(A71,'2016'!$A:$P,15,FALSE))))</f>
        <v>22103</v>
      </c>
      <c r="R71" s="169"/>
      <c r="S71" s="278"/>
      <c r="T71" s="321"/>
    </row>
    <row r="72" spans="1:20" s="17" customFormat="1" ht="10.5" customHeight="1">
      <c r="A72" s="410" t="s">
        <v>823</v>
      </c>
      <c r="B72" s="161" t="s">
        <v>248</v>
      </c>
      <c r="C72" s="174">
        <f>IF(Input!H72=0,+Input!$G72,+Input!$G72+Input!H72)</f>
        <v>400</v>
      </c>
      <c r="D72" s="174">
        <f>IF(Input!I72=0,+Input!$G72,+Input!$G72+Input!I72)</f>
        <v>400</v>
      </c>
      <c r="E72" s="174">
        <f>IF(Input!J72=0,+Input!$G72,+Input!$G72+Input!J72)</f>
        <v>400</v>
      </c>
      <c r="F72" s="174">
        <f>IF(Input!K72=0,+Input!$G72,+Input!$G72+Input!K72)</f>
        <v>400</v>
      </c>
      <c r="G72" s="174">
        <f>IF(Input!L72=0,+Input!$G72,+Input!$G72+Input!L72)</f>
        <v>400</v>
      </c>
      <c r="H72" s="174">
        <f>IF(Input!M72=0,+Input!$G72,+Input!$G72+Input!M72)</f>
        <v>400</v>
      </c>
      <c r="I72" s="174">
        <f>IF(Input!N72=0,+Input!$G72,+Input!$G72+Input!N72)</f>
        <v>400</v>
      </c>
      <c r="J72" s="174">
        <f>IF(Input!O72=0,+Input!$G72,+Input!$G72+Input!O72)</f>
        <v>400</v>
      </c>
      <c r="K72" s="174">
        <f>IF(Input!P72=0,+Input!$G72,+Input!$G72+Input!P72)</f>
        <v>400</v>
      </c>
      <c r="L72" s="174">
        <f>IF(Input!Q72=0,+Input!$G72,+Input!$G72+Input!Q72)</f>
        <v>400</v>
      </c>
      <c r="M72" s="174">
        <f>IF(Input!R72=0,+Input!$G72,+Input!$G72+Input!R72)</f>
        <v>400</v>
      </c>
      <c r="N72" s="174">
        <f>IF(Input!S72=0,+Input!$G72,+Input!$G72+Input!S72)</f>
        <v>400</v>
      </c>
      <c r="O72" s="175">
        <f t="shared" si="16"/>
        <v>4800</v>
      </c>
      <c r="P72" s="175">
        <f>IF(AND(O72=""),"",+O72/Setup!$B$12)</f>
        <v>21.818181818181817</v>
      </c>
      <c r="Q72" s="175">
        <f>IF(ISNA(IF(O72="","",(+VLOOKUP(A72,'2016'!$A:$P,15,FALSE)))),0,IF(O72="",0,(+VLOOKUP(A72,'2016'!$A:$P,15,FALSE))))</f>
        <v>1733</v>
      </c>
      <c r="R72" s="169"/>
      <c r="S72" s="278"/>
      <c r="T72" s="321"/>
    </row>
    <row r="73" spans="1:20" s="17" customFormat="1" ht="10.5" customHeight="1">
      <c r="A73" s="410" t="s">
        <v>825</v>
      </c>
      <c r="B73" s="161" t="s">
        <v>249</v>
      </c>
      <c r="C73" s="174">
        <f>IF(Input!H73=0,+Input!$G73,+Input!$G73+Input!H73)</f>
        <v>0</v>
      </c>
      <c r="D73" s="174">
        <f>IF(Input!I73=0,+Input!$G73,+Input!$G73+Input!I73)</f>
        <v>0</v>
      </c>
      <c r="E73" s="174">
        <f>IF(Input!J73=0,+Input!$G73,+Input!$G73+Input!J73)</f>
        <v>0</v>
      </c>
      <c r="F73" s="174">
        <f>IF(Input!K73=0,+Input!$G73,+Input!$G73+Input!K73)</f>
        <v>0</v>
      </c>
      <c r="G73" s="174">
        <f>IF(Input!L73=0,+Input!$G73,+Input!$G73+Input!L73)</f>
        <v>0</v>
      </c>
      <c r="H73" s="174">
        <f>IF(Input!M73=0,+Input!$G73,+Input!$G73+Input!M73)</f>
        <v>0</v>
      </c>
      <c r="I73" s="174">
        <f>IF(Input!N73=0,+Input!$G73,+Input!$G73+Input!N73)</f>
        <v>0</v>
      </c>
      <c r="J73" s="174">
        <f>IF(Input!O73=0,+Input!$G73,+Input!$G73+Input!O73)</f>
        <v>0</v>
      </c>
      <c r="K73" s="174">
        <f>IF(Input!P73=0,+Input!$G73,+Input!$G73+Input!P73)</f>
        <v>0</v>
      </c>
      <c r="L73" s="174">
        <f>IF(Input!Q73=0,+Input!$G73,+Input!$G73+Input!Q73)</f>
        <v>0</v>
      </c>
      <c r="M73" s="174">
        <f>IF(Input!R73=0,+Input!$G73,+Input!$G73+Input!R73)</f>
        <v>0</v>
      </c>
      <c r="N73" s="174">
        <f>IF(Input!S73=0,+Input!$G73,+Input!$G73+Input!S73)</f>
        <v>0</v>
      </c>
      <c r="O73" s="175">
        <f t="shared" si="16"/>
        <v>0</v>
      </c>
      <c r="P73" s="175">
        <f>IF(AND(O73=""),"",+O73/Setup!$B$12)</f>
        <v>0</v>
      </c>
      <c r="Q73" s="175">
        <f>IF(ISNA(IF(O73="","",(+VLOOKUP(A73,'2016'!$A:$P,15,FALSE)))),0,IF(O73="",0,(+VLOOKUP(A73,'2016'!$A:$P,15,FALSE))))</f>
        <v>0</v>
      </c>
      <c r="R73" s="169"/>
      <c r="S73" s="278"/>
      <c r="T73" s="321"/>
    </row>
    <row r="74" spans="1:20" s="17" customFormat="1" ht="10.5" customHeight="1">
      <c r="A74" s="410" t="s">
        <v>827</v>
      </c>
      <c r="B74" s="196" t="s">
        <v>250</v>
      </c>
      <c r="C74" s="174">
        <f>IF(Input!H74=0,+Input!$G74,+Input!$G74+Input!H74)</f>
        <v>0</v>
      </c>
      <c r="D74" s="174">
        <f>IF(Input!I74=0,+Input!$G74,+Input!$G74+Input!I74)</f>
        <v>0</v>
      </c>
      <c r="E74" s="174">
        <f>IF(Input!J74=0,+Input!$G74,+Input!$G74+Input!J74)</f>
        <v>0</v>
      </c>
      <c r="F74" s="174">
        <f>IF(Input!K74=0,+Input!$G74,+Input!$G74+Input!K74)</f>
        <v>0</v>
      </c>
      <c r="G74" s="174">
        <f>IF(Input!L74=0,+Input!$G74,+Input!$G74+Input!L74)</f>
        <v>0</v>
      </c>
      <c r="H74" s="174">
        <f>IF(Input!M74=0,+Input!$G74,+Input!$G74+Input!M74)</f>
        <v>0</v>
      </c>
      <c r="I74" s="174">
        <f>IF(Input!N74=0,+Input!$G74,+Input!$G74+Input!N74)</f>
        <v>0</v>
      </c>
      <c r="J74" s="174">
        <f>IF(Input!O74=0,+Input!$G74,+Input!$G74+Input!O74)</f>
        <v>0</v>
      </c>
      <c r="K74" s="174">
        <f>IF(Input!P74=0,+Input!$G74,+Input!$G74+Input!P74)</f>
        <v>0</v>
      </c>
      <c r="L74" s="174">
        <f>IF(Input!Q74=0,+Input!$G74,+Input!$G74+Input!Q74)</f>
        <v>0</v>
      </c>
      <c r="M74" s="174">
        <f>IF(Input!R74=0,+Input!$G74,+Input!$G74+Input!R74)</f>
        <v>0</v>
      </c>
      <c r="N74" s="174">
        <f>IF(Input!S74=0,+Input!$G74,+Input!$G74+Input!S74)</f>
        <v>0</v>
      </c>
      <c r="O74" s="175">
        <f t="shared" si="16"/>
        <v>0</v>
      </c>
      <c r="P74" s="175">
        <f>IF(AND(O74=""),"",+O74/Setup!$B$12)</f>
        <v>0</v>
      </c>
      <c r="Q74" s="175">
        <f>IF(ISNA(IF(O74="","",(+VLOOKUP(A74,'2016'!$A:$P,15,FALSE)))),0,IF(O74="",0,(+VLOOKUP(A74,'2016'!$A:$P,15,FALSE))))</f>
        <v>0</v>
      </c>
      <c r="R74" s="169"/>
      <c r="S74" s="278"/>
      <c r="T74" s="321"/>
    </row>
    <row r="75" spans="1:20" s="4" customFormat="1" ht="10.5" customHeight="1">
      <c r="A75" s="410" t="s">
        <v>829</v>
      </c>
      <c r="B75" s="161" t="s">
        <v>251</v>
      </c>
      <c r="C75" s="174">
        <f>IF(Input!H75=0,+Input!$G75,+Input!$G75+Input!H75)</f>
        <v>8.3333333333333339</v>
      </c>
      <c r="D75" s="174">
        <f>IF(Input!I75=0,+Input!$G75,+Input!$G75+Input!I75)</f>
        <v>8.3333333333333339</v>
      </c>
      <c r="E75" s="174">
        <f>IF(Input!J75=0,+Input!$G75,+Input!$G75+Input!J75)</f>
        <v>8.3333333333333339</v>
      </c>
      <c r="F75" s="174">
        <f>IF(Input!K75=0,+Input!$G75,+Input!$G75+Input!K75)</f>
        <v>8.3333333333333339</v>
      </c>
      <c r="G75" s="174">
        <f>IF(Input!L75=0,+Input!$G75,+Input!$G75+Input!L75)</f>
        <v>8.3333333333333339</v>
      </c>
      <c r="H75" s="174">
        <f>IF(Input!M75=0,+Input!$G75,+Input!$G75+Input!M75)</f>
        <v>8.3333333333333339</v>
      </c>
      <c r="I75" s="174">
        <f>IF(Input!N75=0,+Input!$G75,+Input!$G75+Input!N75)</f>
        <v>8.3333333333333339</v>
      </c>
      <c r="J75" s="174">
        <f>IF(Input!O75=0,+Input!$G75,+Input!$G75+Input!O75)</f>
        <v>8.3333333333333339</v>
      </c>
      <c r="K75" s="174">
        <f>IF(Input!P75=0,+Input!$G75,+Input!$G75+Input!P75)</f>
        <v>8.3333333333333339</v>
      </c>
      <c r="L75" s="174">
        <f>IF(Input!Q75=0,+Input!$G75,+Input!$G75+Input!Q75)</f>
        <v>8.3333333333333339</v>
      </c>
      <c r="M75" s="174">
        <f>IF(Input!R75=0,+Input!$G75,+Input!$G75+Input!R75)</f>
        <v>8.3333333333333339</v>
      </c>
      <c r="N75" s="174">
        <f>IF(Input!S75=0,+Input!$G75,+Input!$G75+Input!S75)</f>
        <v>8.3333333333333339</v>
      </c>
      <c r="O75" s="175">
        <f t="shared" si="16"/>
        <v>99.999999999999986</v>
      </c>
      <c r="P75" s="175">
        <f>IF(AND(O75=""),"",+O75/Setup!$B$12)</f>
        <v>0.45454545454545447</v>
      </c>
      <c r="Q75" s="175">
        <f>IF(ISNA(IF(O75="","",(+VLOOKUP(A75,'2016'!$A:$P,15,FALSE)))),0,IF(O75="",0,(+VLOOKUP(A75,'2016'!$A:$P,15,FALSE))))</f>
        <v>100</v>
      </c>
      <c r="R75" s="169"/>
      <c r="S75" s="278"/>
      <c r="T75" s="321"/>
    </row>
    <row r="76" spans="1:20" s="4" customFormat="1" ht="10.5" customHeight="1">
      <c r="A76" s="410" t="s">
        <v>831</v>
      </c>
      <c r="B76" s="161" t="s">
        <v>252</v>
      </c>
      <c r="C76" s="174">
        <f>IF(Input!H76=0,+Input!$G76,+Input!$G76+Input!H76)</f>
        <v>20.833333333333332</v>
      </c>
      <c r="D76" s="174">
        <f>IF(Input!I76=0,+Input!$G76,+Input!$G76+Input!I76)</f>
        <v>20.833333333333332</v>
      </c>
      <c r="E76" s="174">
        <f>IF(Input!J76=0,+Input!$G76,+Input!$G76+Input!J76)</f>
        <v>20.833333333333332</v>
      </c>
      <c r="F76" s="174">
        <f>IF(Input!K76=0,+Input!$G76,+Input!$G76+Input!K76)</f>
        <v>20.833333333333332</v>
      </c>
      <c r="G76" s="174">
        <f>IF(Input!L76=0,+Input!$G76,+Input!$G76+Input!L76)</f>
        <v>20.833333333333332</v>
      </c>
      <c r="H76" s="174">
        <f>IF(Input!M76=0,+Input!$G76,+Input!$G76+Input!M76)</f>
        <v>20.833333333333332</v>
      </c>
      <c r="I76" s="174">
        <f>IF(Input!N76=0,+Input!$G76,+Input!$G76+Input!N76)</f>
        <v>20.833333333333332</v>
      </c>
      <c r="J76" s="174">
        <f>IF(Input!O76=0,+Input!$G76,+Input!$G76+Input!O76)</f>
        <v>20.833333333333332</v>
      </c>
      <c r="K76" s="174">
        <f>IF(Input!P76=0,+Input!$G76,+Input!$G76+Input!P76)</f>
        <v>20.833333333333332</v>
      </c>
      <c r="L76" s="174">
        <f>IF(Input!Q76=0,+Input!$G76,+Input!$G76+Input!Q76)</f>
        <v>20.833333333333332</v>
      </c>
      <c r="M76" s="174">
        <f>IF(Input!R76=0,+Input!$G76,+Input!$G76+Input!R76)</f>
        <v>20.833333333333332</v>
      </c>
      <c r="N76" s="174">
        <f>IF(Input!S76=0,+Input!$G76,+Input!$G76+Input!S76)</f>
        <v>20.833333333333332</v>
      </c>
      <c r="O76" s="175">
        <f t="shared" si="16"/>
        <v>250.00000000000003</v>
      </c>
      <c r="P76" s="175">
        <f>IF(AND(O76=""),"",+O76/Setup!$B$12)</f>
        <v>1.1363636363636365</v>
      </c>
      <c r="Q76" s="175">
        <f>IF(ISNA(IF(O76="","",(+VLOOKUP(A76,'2016'!$A:$P,15,FALSE)))),0,IF(O76="",0,(+VLOOKUP(A76,'2016'!$A:$P,15,FALSE))))</f>
        <v>250</v>
      </c>
      <c r="R76" s="169"/>
      <c r="S76" s="274"/>
      <c r="T76" s="321"/>
    </row>
    <row r="77" spans="1:20" s="4" customFormat="1" ht="10.5" customHeight="1">
      <c r="A77" s="163"/>
      <c r="B77" s="163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5"/>
      <c r="P77" s="175"/>
      <c r="Q77" s="175" t="str">
        <f>IF(O77="","",(+VLOOKUP(A77,'2016'!$A:$P,15,FALSE)))</f>
        <v/>
      </c>
      <c r="R77" s="169"/>
      <c r="S77" s="278"/>
      <c r="T77" s="321"/>
    </row>
    <row r="78" spans="1:20" s="4" customFormat="1" ht="10.5" customHeight="1">
      <c r="A78" s="159"/>
      <c r="B78" s="159" t="s">
        <v>246</v>
      </c>
      <c r="C78" s="174">
        <f>SUM(C71:C76)</f>
        <v>2029.1666666666665</v>
      </c>
      <c r="D78" s="174">
        <f t="shared" ref="D78:N78" si="17">SUM(D71:D76)</f>
        <v>2029.1666666666665</v>
      </c>
      <c r="E78" s="174">
        <f t="shared" si="17"/>
        <v>2029.1666666666665</v>
      </c>
      <c r="F78" s="174">
        <f t="shared" si="17"/>
        <v>2029.1666666666665</v>
      </c>
      <c r="G78" s="174">
        <f t="shared" si="17"/>
        <v>2029.1666666666665</v>
      </c>
      <c r="H78" s="174">
        <f t="shared" si="17"/>
        <v>2029.1666666666665</v>
      </c>
      <c r="I78" s="174">
        <f t="shared" si="17"/>
        <v>2029.1666666666665</v>
      </c>
      <c r="J78" s="174">
        <f t="shared" si="17"/>
        <v>2029.1666666666665</v>
      </c>
      <c r="K78" s="174">
        <f t="shared" si="17"/>
        <v>2029.1666666666665</v>
      </c>
      <c r="L78" s="174">
        <f t="shared" si="17"/>
        <v>2029.1666666666665</v>
      </c>
      <c r="M78" s="174">
        <f t="shared" si="17"/>
        <v>2029.1666666666665</v>
      </c>
      <c r="N78" s="174">
        <f t="shared" si="17"/>
        <v>2029.1666666666665</v>
      </c>
      <c r="O78" s="175">
        <f t="shared" ref="O78:O130" si="18">IF(N78="","",SUM(C78:N78))</f>
        <v>24350</v>
      </c>
      <c r="P78" s="175">
        <f>IF(AND(O78=""),"",+O78/Setup!$B$12)</f>
        <v>110.68181818181819</v>
      </c>
      <c r="Q78" s="174">
        <f t="shared" ref="Q78" si="19">SUM(Q71:Q76)</f>
        <v>24186</v>
      </c>
      <c r="R78" s="169"/>
      <c r="S78" s="278"/>
      <c r="T78" s="321"/>
    </row>
    <row r="79" spans="1:20" s="4" customFormat="1" ht="10.5" customHeight="1">
      <c r="A79" s="161"/>
      <c r="B79" s="161" t="s">
        <v>253</v>
      </c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5" t="str">
        <f t="shared" si="18"/>
        <v/>
      </c>
      <c r="P79" s="175" t="str">
        <f>IF(AND(O79=""),"",+O79/Setup!$B$12)</f>
        <v/>
      </c>
      <c r="Q79" s="175" t="str">
        <f>IF(O79="","",(+VLOOKUP(A79,'2016'!$A:$P,15,FALSE)))</f>
        <v/>
      </c>
      <c r="R79" s="169"/>
      <c r="S79" s="278"/>
      <c r="T79" s="321"/>
    </row>
    <row r="80" spans="1:20" s="4" customFormat="1" ht="10.5" customHeight="1">
      <c r="A80" s="410" t="s">
        <v>834</v>
      </c>
      <c r="B80" s="161" t="s">
        <v>254</v>
      </c>
      <c r="C80" s="174">
        <f>IF(Input!H80=0,+Input!$G80,+Input!$G80+Input!H80)</f>
        <v>0</v>
      </c>
      <c r="D80" s="174">
        <f>IF(Input!I80=0,+Input!$G80,+Input!$G80+Input!I80)</f>
        <v>0</v>
      </c>
      <c r="E80" s="174">
        <f>IF(Input!J80=0,+Input!$G80,+Input!$G80+Input!J80)</f>
        <v>0</v>
      </c>
      <c r="F80" s="174">
        <f>IF(Input!K80=0,+Input!$G80,+Input!$G80+Input!K80)</f>
        <v>0</v>
      </c>
      <c r="G80" s="174">
        <f>IF(Input!L80=0,+Input!$G80,+Input!$G80+Input!L80)</f>
        <v>0</v>
      </c>
      <c r="H80" s="174">
        <f>IF(Input!M80=0,+Input!$G80,+Input!$G80+Input!M80)</f>
        <v>0</v>
      </c>
      <c r="I80" s="174">
        <f>IF(Input!N80=0,+Input!$G80,+Input!$G80+Input!N80)</f>
        <v>0</v>
      </c>
      <c r="J80" s="174">
        <f>IF(Input!O80=0,+Input!$G80,+Input!$G80+Input!O80)</f>
        <v>0</v>
      </c>
      <c r="K80" s="174">
        <f>IF(Input!P80=0,+Input!$G80,+Input!$G80+Input!P80)</f>
        <v>0</v>
      </c>
      <c r="L80" s="174">
        <f>IF(Input!Q80=0,+Input!$G80,+Input!$G80+Input!Q80)</f>
        <v>0</v>
      </c>
      <c r="M80" s="174">
        <f>IF(Input!R80=0,+Input!$G80,+Input!$G80+Input!R80)</f>
        <v>0</v>
      </c>
      <c r="N80" s="174">
        <f>IF(Input!S80=0,+Input!$G80,+Input!$G80+Input!S80)</f>
        <v>0</v>
      </c>
      <c r="O80" s="175">
        <f t="shared" si="18"/>
        <v>0</v>
      </c>
      <c r="P80" s="175">
        <f>IF(AND(O80=""),"",+O80/Setup!$B$12)</f>
        <v>0</v>
      </c>
      <c r="Q80" s="175">
        <f>IF(ISNA(IF(O80="","",(+VLOOKUP(A80,'2016'!$A:$P,15,FALSE)))),0,IF(O80="",0,(+VLOOKUP(A80,'2016'!$A:$P,15,FALSE))))</f>
        <v>0</v>
      </c>
      <c r="R80" s="169"/>
      <c r="S80" s="278"/>
      <c r="T80" s="321"/>
    </row>
    <row r="81" spans="1:20" s="10" customFormat="1" ht="10.5" customHeight="1">
      <c r="A81" s="410" t="s">
        <v>835</v>
      </c>
      <c r="B81" s="161" t="s">
        <v>255</v>
      </c>
      <c r="C81" s="174">
        <f>IF(Input!H81=0,+Input!$G81,+Input!$G81+Input!H81)</f>
        <v>4.08</v>
      </c>
      <c r="D81" s="174">
        <f>IF(Input!I81=0,+Input!$G81,+Input!$G81+Input!I81)</f>
        <v>4.08</v>
      </c>
      <c r="E81" s="174">
        <f>IF(Input!J81=0,+Input!$G81,+Input!$G81+Input!J81)</f>
        <v>4.08</v>
      </c>
      <c r="F81" s="174">
        <f>IF(Input!K81=0,+Input!$G81,+Input!$G81+Input!K81)</f>
        <v>4.08</v>
      </c>
      <c r="G81" s="174">
        <f>IF(Input!L81=0,+Input!$G81,+Input!$G81+Input!L81)</f>
        <v>4.08</v>
      </c>
      <c r="H81" s="174">
        <f>IF(Input!M81=0,+Input!$G81,+Input!$G81+Input!M81)</f>
        <v>4.08</v>
      </c>
      <c r="I81" s="174">
        <f>IF(Input!N81=0,+Input!$G81,+Input!$G81+Input!N81)</f>
        <v>4.08</v>
      </c>
      <c r="J81" s="174">
        <f>IF(Input!O81=0,+Input!$G81,+Input!$G81+Input!O81)</f>
        <v>4.08</v>
      </c>
      <c r="K81" s="174">
        <f>IF(Input!P81=0,+Input!$G81,+Input!$G81+Input!P81)</f>
        <v>4.08</v>
      </c>
      <c r="L81" s="174">
        <f>IF(Input!Q81=0,+Input!$G81,+Input!$G81+Input!Q81)</f>
        <v>4.08</v>
      </c>
      <c r="M81" s="174">
        <f>IF(Input!R81=0,+Input!$G81,+Input!$G81+Input!R81)</f>
        <v>4.08</v>
      </c>
      <c r="N81" s="174">
        <f>IF(Input!S81=0,+Input!$G81,+Input!$G81+Input!S81)</f>
        <v>4.08</v>
      </c>
      <c r="O81" s="175">
        <f t="shared" si="18"/>
        <v>48.959999999999987</v>
      </c>
      <c r="P81" s="175">
        <f>IF(AND(O81=""),"",+O81/Setup!$B$12)</f>
        <v>0.22254545454545449</v>
      </c>
      <c r="Q81" s="175">
        <f>IF(ISNA(IF(O81="","",(+VLOOKUP(A81,'2016'!$A:$P,15,FALSE)))),0,IF(O81="",0,(+VLOOKUP(A81,'2016'!$A:$P,15,FALSE))))</f>
        <v>1745</v>
      </c>
      <c r="R81" s="169"/>
      <c r="S81" s="278"/>
      <c r="T81" s="321"/>
    </row>
    <row r="82" spans="1:20" s="17" customFormat="1" ht="10.5" customHeight="1">
      <c r="A82" s="410" t="s">
        <v>837</v>
      </c>
      <c r="B82" s="213" t="s">
        <v>548</v>
      </c>
      <c r="C82" s="174">
        <f>IF(Input!H82=0,+Input!$G82,+Input!$G82+Input!H82)</f>
        <v>0</v>
      </c>
      <c r="D82" s="174">
        <f>IF(Input!I82=0,+Input!$G82,+Input!$G82+Input!I82)</f>
        <v>0</v>
      </c>
      <c r="E82" s="174">
        <f>IF(Input!J82=0,+Input!$G82,+Input!$G82+Input!J82)</f>
        <v>0</v>
      </c>
      <c r="F82" s="174">
        <f>IF(Input!K82=0,+Input!$G82,+Input!$G82+Input!K82)</f>
        <v>0</v>
      </c>
      <c r="G82" s="174">
        <f>IF(Input!L82=0,+Input!$G82,+Input!$G82+Input!L82)</f>
        <v>0</v>
      </c>
      <c r="H82" s="174">
        <f>IF(Input!M82=0,+Input!$G82,+Input!$G82+Input!M82)</f>
        <v>0</v>
      </c>
      <c r="I82" s="174">
        <f>IF(Input!N82=0,+Input!$G82,+Input!$G82+Input!N82)</f>
        <v>0</v>
      </c>
      <c r="J82" s="174">
        <f>IF(Input!O82=0,+Input!$G82,+Input!$G82+Input!O82)</f>
        <v>0</v>
      </c>
      <c r="K82" s="174">
        <f>IF(Input!P82=0,+Input!$G82,+Input!$G82+Input!P82)</f>
        <v>0</v>
      </c>
      <c r="L82" s="174">
        <f>IF(Input!Q82=0,+Input!$G82,+Input!$G82+Input!Q82)</f>
        <v>0</v>
      </c>
      <c r="M82" s="174">
        <f>IF(Input!R82=0,+Input!$G82,+Input!$G82+Input!R82)</f>
        <v>0</v>
      </c>
      <c r="N82" s="174">
        <f>IF(Input!S82=0,+Input!$G82,+Input!$G82+Input!S82)</f>
        <v>0</v>
      </c>
      <c r="O82" s="175">
        <f t="shared" si="18"/>
        <v>0</v>
      </c>
      <c r="P82" s="175">
        <f>IF(AND(O82=""),"",+O82/Setup!$B$12)</f>
        <v>0</v>
      </c>
      <c r="Q82" s="175">
        <f>IF(ISNA(IF(O82="","",(+VLOOKUP(A82,'2016'!$A:$P,15,FALSE)))),0,IF(O82="",0,(+VLOOKUP(A82,'2016'!$A:$P,15,FALSE))))</f>
        <v>4817</v>
      </c>
      <c r="R82" s="169"/>
      <c r="S82" s="278"/>
      <c r="T82" s="321"/>
    </row>
    <row r="83" spans="1:20" s="17" customFormat="1" ht="10.5" customHeight="1">
      <c r="A83" s="410" t="s">
        <v>839</v>
      </c>
      <c r="B83" s="161" t="s">
        <v>256</v>
      </c>
      <c r="C83" s="174">
        <f>IF(Input!H83=0,+Input!$G83,+Input!$G83+Input!H83)</f>
        <v>272.91666666666669</v>
      </c>
      <c r="D83" s="174">
        <f>IF(Input!I83=0,+Input!$G83,+Input!$G83+Input!I83)</f>
        <v>272.91666666666669</v>
      </c>
      <c r="E83" s="174">
        <f>IF(Input!J83=0,+Input!$G83,+Input!$G83+Input!J83)</f>
        <v>272.91666666666669</v>
      </c>
      <c r="F83" s="174">
        <f>IF(Input!K83=0,+Input!$G83,+Input!$G83+Input!K83)</f>
        <v>272.91666666666669</v>
      </c>
      <c r="G83" s="174">
        <f>IF(Input!L83=0,+Input!$G83,+Input!$G83+Input!L83)</f>
        <v>272.91666666666669</v>
      </c>
      <c r="H83" s="174">
        <f>IF(Input!M83=0,+Input!$G83,+Input!$G83+Input!M83)</f>
        <v>272.91666666666669</v>
      </c>
      <c r="I83" s="174">
        <f>IF(Input!N83=0,+Input!$G83,+Input!$G83+Input!N83)</f>
        <v>272.91666666666669</v>
      </c>
      <c r="J83" s="174">
        <f>IF(Input!O83=0,+Input!$G83,+Input!$G83+Input!O83)</f>
        <v>272.91666666666669</v>
      </c>
      <c r="K83" s="174">
        <f>IF(Input!P83=0,+Input!$G83,+Input!$G83+Input!P83)</f>
        <v>272.91666666666669</v>
      </c>
      <c r="L83" s="174">
        <f>IF(Input!Q83=0,+Input!$G83,+Input!$G83+Input!Q83)</f>
        <v>272.91666666666669</v>
      </c>
      <c r="M83" s="174">
        <f>IF(Input!R83=0,+Input!$G83,+Input!$G83+Input!R83)</f>
        <v>272.91666666666669</v>
      </c>
      <c r="N83" s="174">
        <f>IF(Input!S83=0,+Input!$G83,+Input!$G83+Input!S83)</f>
        <v>272.91666666666669</v>
      </c>
      <c r="O83" s="175">
        <f t="shared" si="18"/>
        <v>3274.9999999999995</v>
      </c>
      <c r="P83" s="175">
        <f>IF(AND(O83=""),"",+O83/Setup!$B$12)</f>
        <v>14.886363636363635</v>
      </c>
      <c r="Q83" s="175">
        <f>IF(ISNA(IF(O83="","",(+VLOOKUP(A83,'2016'!$A:$P,15,FALSE)))),0,IF(O83="",0,(+VLOOKUP(A83,'2016'!$A:$P,15,FALSE))))</f>
        <v>3275</v>
      </c>
      <c r="R83" s="169"/>
      <c r="S83" s="278"/>
      <c r="T83" s="321"/>
    </row>
    <row r="84" spans="1:20" s="17" customFormat="1" ht="10.5" customHeight="1">
      <c r="A84" s="411" t="s">
        <v>841</v>
      </c>
      <c r="B84" s="4" t="s">
        <v>1244</v>
      </c>
      <c r="C84" s="174">
        <f>IF(Input!H84=0,+Input!$G84,+Input!$G84+Input!H84)</f>
        <v>0</v>
      </c>
      <c r="D84" s="174">
        <f>IF(Input!I84=0,+Input!$G84,+Input!$G84+Input!I84)</f>
        <v>0</v>
      </c>
      <c r="E84" s="174">
        <f>IF(Input!J84=0,+Input!$G84,+Input!$G84+Input!J84)</f>
        <v>0</v>
      </c>
      <c r="F84" s="174">
        <f>IF(Input!K84=0,+Input!$G84,+Input!$G84+Input!K84)</f>
        <v>0</v>
      </c>
      <c r="G84" s="174">
        <f>IF(Input!L84=0,+Input!$G84,+Input!$G84+Input!L84)</f>
        <v>0</v>
      </c>
      <c r="H84" s="174">
        <f>IF(Input!M84=0,+Input!$G84,+Input!$G84+Input!M84)</f>
        <v>0</v>
      </c>
      <c r="I84" s="174">
        <f>IF(Input!N84=0,+Input!$G84,+Input!$G84+Input!N84)</f>
        <v>0</v>
      </c>
      <c r="J84" s="174">
        <f>IF(Input!O84=0,+Input!$G84,+Input!$G84+Input!O84)</f>
        <v>0</v>
      </c>
      <c r="K84" s="174">
        <f>IF(Input!P84=0,+Input!$G84,+Input!$G84+Input!P84)</f>
        <v>0</v>
      </c>
      <c r="L84" s="174">
        <f>IF(Input!Q84=0,+Input!$G84,+Input!$G84+Input!Q84)</f>
        <v>0</v>
      </c>
      <c r="M84" s="174">
        <f>IF(Input!R84=0,+Input!$G84,+Input!$G84+Input!R84)</f>
        <v>0</v>
      </c>
      <c r="N84" s="174">
        <f>IF(Input!S84=0,+Input!$G84,+Input!$G84+Input!S84)</f>
        <v>0</v>
      </c>
      <c r="O84" s="175">
        <f t="shared" si="18"/>
        <v>0</v>
      </c>
      <c r="P84" s="175">
        <f>IF(AND(O84=""),"",+O84/Setup!$B$12)</f>
        <v>0</v>
      </c>
      <c r="Q84" s="175">
        <f>IF(ISNA(IF(O84="","",(+VLOOKUP(A84,'2016'!$A:$P,15,FALSE)))),0,IF(O84="",0,(+VLOOKUP(A84,'2016'!$A:$P,15,FALSE))))</f>
        <v>0</v>
      </c>
      <c r="R84" s="169"/>
      <c r="S84" s="401"/>
      <c r="T84" s="321"/>
    </row>
    <row r="85" spans="1:20" s="4" customFormat="1" ht="10.5" customHeight="1">
      <c r="A85" s="410" t="s">
        <v>842</v>
      </c>
      <c r="B85" s="161" t="s">
        <v>257</v>
      </c>
      <c r="C85" s="174">
        <f>IF(Input!H85=0,+Input!$G85,+Input!$G85+Input!H85)</f>
        <v>0</v>
      </c>
      <c r="D85" s="174">
        <f>IF(Input!I85=0,+Input!$G85,+Input!$G85+Input!I85)</f>
        <v>0</v>
      </c>
      <c r="E85" s="174">
        <f>IF(Input!J85=0,+Input!$G85,+Input!$G85+Input!J85)</f>
        <v>0</v>
      </c>
      <c r="F85" s="174">
        <f>IF(Input!K85=0,+Input!$G85,+Input!$G85+Input!K85)</f>
        <v>0</v>
      </c>
      <c r="G85" s="174">
        <f>IF(Input!L85=0,+Input!$G85,+Input!$G85+Input!L85)</f>
        <v>0</v>
      </c>
      <c r="H85" s="174">
        <f>IF(Input!M85=0,+Input!$G85,+Input!$G85+Input!M85)</f>
        <v>0</v>
      </c>
      <c r="I85" s="174">
        <f>IF(Input!N85=0,+Input!$G85,+Input!$G85+Input!N85)</f>
        <v>0</v>
      </c>
      <c r="J85" s="174">
        <f>IF(Input!O85=0,+Input!$G85,+Input!$G85+Input!O85)</f>
        <v>0</v>
      </c>
      <c r="K85" s="174">
        <f>IF(Input!P85=0,+Input!$G85,+Input!$G85+Input!P85)</f>
        <v>0</v>
      </c>
      <c r="L85" s="174">
        <f>IF(Input!Q85=0,+Input!$G85,+Input!$G85+Input!Q85)</f>
        <v>0</v>
      </c>
      <c r="M85" s="174">
        <f>IF(Input!R85=0,+Input!$G85,+Input!$G85+Input!R85)</f>
        <v>0</v>
      </c>
      <c r="N85" s="174">
        <f>IF(Input!S85=0,+Input!$G85,+Input!$G85+Input!S85)</f>
        <v>0</v>
      </c>
      <c r="O85" s="175">
        <f t="shared" si="18"/>
        <v>0</v>
      </c>
      <c r="P85" s="175">
        <f>IF(AND(O85=""),"",+O85/Setup!$B$12)</f>
        <v>0</v>
      </c>
      <c r="Q85" s="175">
        <f>IF(ISNA(IF(O85="","",(+VLOOKUP(A85,'2016'!$A:$P,15,FALSE)))),0,IF(O85="",0,(+VLOOKUP(A85,'2016'!$A:$P,15,FALSE))))</f>
        <v>0</v>
      </c>
      <c r="R85" s="169"/>
      <c r="S85" s="278"/>
      <c r="T85" s="321"/>
    </row>
    <row r="86" spans="1:20" s="4" customFormat="1" ht="10.5" customHeight="1">
      <c r="A86" s="163"/>
      <c r="B86" s="16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5" t="str">
        <f t="shared" si="18"/>
        <v/>
      </c>
      <c r="P86" s="175" t="str">
        <f>IF(AND(O86=""),"",+O86/Setup!$B$12)</f>
        <v/>
      </c>
      <c r="Q86" s="175" t="str">
        <f>IF(O86="","",(+VLOOKUP(A86,'2016'!$A:$P,15,FALSE)))</f>
        <v/>
      </c>
      <c r="R86" s="169"/>
      <c r="S86" s="278"/>
      <c r="T86" s="321"/>
    </row>
    <row r="87" spans="1:20" s="4" customFormat="1" ht="10.5" customHeight="1">
      <c r="A87" s="159"/>
      <c r="B87" s="159" t="s">
        <v>253</v>
      </c>
      <c r="C87" s="174">
        <f t="shared" ref="C87:N87" si="20">SUM(C80:C85)</f>
        <v>276.99666666666667</v>
      </c>
      <c r="D87" s="174">
        <f t="shared" si="20"/>
        <v>276.99666666666667</v>
      </c>
      <c r="E87" s="174">
        <f t="shared" si="20"/>
        <v>276.99666666666667</v>
      </c>
      <c r="F87" s="174">
        <f t="shared" si="20"/>
        <v>276.99666666666667</v>
      </c>
      <c r="G87" s="174">
        <f t="shared" si="20"/>
        <v>276.99666666666667</v>
      </c>
      <c r="H87" s="174">
        <f t="shared" si="20"/>
        <v>276.99666666666667</v>
      </c>
      <c r="I87" s="174">
        <f t="shared" si="20"/>
        <v>276.99666666666667</v>
      </c>
      <c r="J87" s="174">
        <f t="shared" si="20"/>
        <v>276.99666666666667</v>
      </c>
      <c r="K87" s="174">
        <f t="shared" si="20"/>
        <v>276.99666666666667</v>
      </c>
      <c r="L87" s="174">
        <f t="shared" si="20"/>
        <v>276.99666666666667</v>
      </c>
      <c r="M87" s="174">
        <f t="shared" si="20"/>
        <v>276.99666666666667</v>
      </c>
      <c r="N87" s="174">
        <f t="shared" si="20"/>
        <v>276.99666666666667</v>
      </c>
      <c r="O87" s="175">
        <f t="shared" si="18"/>
        <v>3323.9600000000009</v>
      </c>
      <c r="P87" s="175">
        <f>IF(AND(O87=""),"",+O87/Setup!$B$12)</f>
        <v>15.108909090909096</v>
      </c>
      <c r="Q87" s="174">
        <f>SUM(Q80:Q85)</f>
        <v>9837</v>
      </c>
      <c r="R87" s="169"/>
      <c r="S87" s="278"/>
      <c r="T87" s="321"/>
    </row>
    <row r="88" spans="1:20" s="4" customFormat="1" ht="10.5" customHeight="1">
      <c r="A88" s="161"/>
      <c r="B88" s="161" t="s">
        <v>258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5" t="str">
        <f t="shared" si="18"/>
        <v/>
      </c>
      <c r="P88" s="175" t="str">
        <f>IF(AND(O88=""),"",+O88/Setup!$B$12)</f>
        <v/>
      </c>
      <c r="Q88" s="175" t="str">
        <f>IF(O88="","",(+VLOOKUP(A88,'2016'!$A:$P,15,FALSE)))</f>
        <v/>
      </c>
      <c r="R88" s="169"/>
      <c r="S88" s="278"/>
      <c r="T88" s="321"/>
    </row>
    <row r="89" spans="1:20" s="4" customFormat="1" ht="10.5" customHeight="1">
      <c r="A89" s="410" t="s">
        <v>844</v>
      </c>
      <c r="B89" s="161" t="s">
        <v>259</v>
      </c>
      <c r="C89" s="174">
        <f>IF(Input!H89=0,+Input!$G89,+Input!$G89+Input!H89)</f>
        <v>90</v>
      </c>
      <c r="D89" s="174">
        <f>IF(Input!I89=0,+Input!$G89,+Input!$G89+Input!I89)</f>
        <v>90</v>
      </c>
      <c r="E89" s="174">
        <f>IF(Input!J89=0,+Input!$G89,+Input!$G89+Input!J89)</f>
        <v>90</v>
      </c>
      <c r="F89" s="174">
        <f>IF(Input!K89=0,+Input!$G89,+Input!$G89+Input!K89)</f>
        <v>90</v>
      </c>
      <c r="G89" s="174">
        <f>IF(Input!L89=0,+Input!$G89,+Input!$G89+Input!L89)</f>
        <v>90</v>
      </c>
      <c r="H89" s="174">
        <f>IF(Input!M89=0,+Input!$G89,+Input!$G89+Input!M89)</f>
        <v>90</v>
      </c>
      <c r="I89" s="174">
        <f>IF(Input!N89=0,+Input!$G89,+Input!$G89+Input!N89)</f>
        <v>90</v>
      </c>
      <c r="J89" s="174">
        <f>IF(Input!O89=0,+Input!$G89,+Input!$G89+Input!O89)</f>
        <v>90</v>
      </c>
      <c r="K89" s="174">
        <f>IF(Input!P89=0,+Input!$G89,+Input!$G89+Input!P89)</f>
        <v>90</v>
      </c>
      <c r="L89" s="174">
        <f>IF(Input!Q89=0,+Input!$G89,+Input!$G89+Input!Q89)</f>
        <v>90</v>
      </c>
      <c r="M89" s="174">
        <f>IF(Input!R89=0,+Input!$G89,+Input!$G89+Input!R89)</f>
        <v>90</v>
      </c>
      <c r="N89" s="174">
        <f>IF(Input!S89=0,+Input!$G89,+Input!$G89+Input!S89)</f>
        <v>90</v>
      </c>
      <c r="O89" s="175">
        <f t="shared" si="18"/>
        <v>1080</v>
      </c>
      <c r="P89" s="175">
        <f>IF(AND(O89=""),"",+O89/Setup!$B$12)</f>
        <v>4.9090909090909092</v>
      </c>
      <c r="Q89" s="175">
        <f>IF(ISNA(IF(O89="","",(+VLOOKUP(A89,'2016'!$A:$P,15,FALSE)))),0,IF(O89="",0,(+VLOOKUP(A89,'2016'!$A:$P,15,FALSE))))</f>
        <v>950</v>
      </c>
      <c r="R89" s="169"/>
      <c r="S89" s="278"/>
      <c r="T89" s="321"/>
    </row>
    <row r="90" spans="1:20" s="10" customFormat="1" ht="10.5" customHeight="1">
      <c r="A90" s="410" t="s">
        <v>846</v>
      </c>
      <c r="B90" s="161" t="s">
        <v>260</v>
      </c>
      <c r="C90" s="174">
        <f>IF(Input!H90=0,+Input!$G90,+Input!$G90+Input!H90)</f>
        <v>0</v>
      </c>
      <c r="D90" s="174">
        <f>IF(Input!I90=0,+Input!$G90,+Input!$G90+Input!I90)</f>
        <v>0</v>
      </c>
      <c r="E90" s="174">
        <f>IF(Input!J90=0,+Input!$G90,+Input!$G90+Input!J90)</f>
        <v>0</v>
      </c>
      <c r="F90" s="174">
        <f>IF(Input!K90=0,+Input!$G90,+Input!$G90+Input!K90)</f>
        <v>0</v>
      </c>
      <c r="G90" s="174">
        <f>IF(Input!L90=0,+Input!$G90,+Input!$G90+Input!L90)</f>
        <v>0</v>
      </c>
      <c r="H90" s="174">
        <f>IF(Input!M90=0,+Input!$G90,+Input!$G90+Input!M90)</f>
        <v>0</v>
      </c>
      <c r="I90" s="174">
        <f>IF(Input!N90=0,+Input!$G90,+Input!$G90+Input!N90)</f>
        <v>0</v>
      </c>
      <c r="J90" s="174">
        <f>IF(Input!O90=0,+Input!$G90,+Input!$G90+Input!O90)</f>
        <v>0</v>
      </c>
      <c r="K90" s="174">
        <f>IF(Input!P90=0,+Input!$G90,+Input!$G90+Input!P90)</f>
        <v>0</v>
      </c>
      <c r="L90" s="174">
        <f>IF(Input!Q90=0,+Input!$G90,+Input!$G90+Input!Q90)</f>
        <v>0</v>
      </c>
      <c r="M90" s="174">
        <f>IF(Input!R90=0,+Input!$G90,+Input!$G90+Input!R90)</f>
        <v>0</v>
      </c>
      <c r="N90" s="174">
        <f>IF(Input!S90=0,+Input!$G90,+Input!$G90+Input!S90)</f>
        <v>0</v>
      </c>
      <c r="O90" s="175">
        <f t="shared" si="18"/>
        <v>0</v>
      </c>
      <c r="P90" s="175">
        <f>IF(AND(O90=""),"",+O90/Setup!$B$12)</f>
        <v>0</v>
      </c>
      <c r="Q90" s="175">
        <f>IF(ISNA(IF(O90="","",(+VLOOKUP(A90,'2016'!$A:$P,15,FALSE)))),0,IF(O90="",0,(+VLOOKUP(A90,'2016'!$A:$P,15,FALSE))))</f>
        <v>0</v>
      </c>
      <c r="R90" s="169"/>
      <c r="S90" s="278"/>
      <c r="T90" s="321"/>
    </row>
    <row r="91" spans="1:20" s="17" customFormat="1" ht="10.5" customHeight="1">
      <c r="A91" s="410" t="s">
        <v>847</v>
      </c>
      <c r="B91" s="161" t="s">
        <v>261</v>
      </c>
      <c r="C91" s="174">
        <f>IF(Input!H91=0,+Input!$G91,+Input!$G91+Input!H91)</f>
        <v>0</v>
      </c>
      <c r="D91" s="174">
        <f>IF(Input!I91=0,+Input!$G91,+Input!$G91+Input!I91)</f>
        <v>0</v>
      </c>
      <c r="E91" s="174">
        <f>IF(Input!J91=0,+Input!$G91,+Input!$G91+Input!J91)</f>
        <v>0</v>
      </c>
      <c r="F91" s="174">
        <f>IF(Input!K91=0,+Input!$G91,+Input!$G91+Input!K91)</f>
        <v>0</v>
      </c>
      <c r="G91" s="174">
        <f>IF(Input!L91=0,+Input!$G91,+Input!$G91+Input!L91)</f>
        <v>0</v>
      </c>
      <c r="H91" s="174">
        <f>IF(Input!M91=0,+Input!$G91,+Input!$G91+Input!M91)</f>
        <v>0</v>
      </c>
      <c r="I91" s="174">
        <f>IF(Input!N91=0,+Input!$G91,+Input!$G91+Input!N91)</f>
        <v>0</v>
      </c>
      <c r="J91" s="174">
        <f>IF(Input!O91=0,+Input!$G91,+Input!$G91+Input!O91)</f>
        <v>0</v>
      </c>
      <c r="K91" s="174">
        <f>IF(Input!P91=0,+Input!$G91,+Input!$G91+Input!P91)</f>
        <v>0</v>
      </c>
      <c r="L91" s="174">
        <f>IF(Input!Q91=0,+Input!$G91,+Input!$G91+Input!Q91)</f>
        <v>0</v>
      </c>
      <c r="M91" s="174">
        <f>IF(Input!R91=0,+Input!$G91,+Input!$G91+Input!R91)</f>
        <v>0</v>
      </c>
      <c r="N91" s="174">
        <f>IF(Input!S91=0,+Input!$G91,+Input!$G91+Input!S91)</f>
        <v>0</v>
      </c>
      <c r="O91" s="175">
        <f t="shared" si="18"/>
        <v>0</v>
      </c>
      <c r="P91" s="175">
        <f>IF(AND(O91=""),"",+O91/Setup!$B$12)</f>
        <v>0</v>
      </c>
      <c r="Q91" s="175">
        <f>IF(ISNA(IF(O91="","",(+VLOOKUP(A91,'2016'!$A:$P,15,FALSE)))),0,IF(O91="",0,(+VLOOKUP(A91,'2016'!$A:$P,15,FALSE))))</f>
        <v>1868</v>
      </c>
      <c r="R91" s="169"/>
      <c r="S91" s="278"/>
      <c r="T91" s="321"/>
    </row>
    <row r="92" spans="1:20" s="17" customFormat="1" ht="10.5" customHeight="1">
      <c r="A92" s="410" t="s">
        <v>849</v>
      </c>
      <c r="B92" s="161" t="s">
        <v>262</v>
      </c>
      <c r="C92" s="174">
        <f>IF(Input!H92=0,+Input!$G92,+Input!$G92+Input!H92)</f>
        <v>576.4</v>
      </c>
      <c r="D92" s="174">
        <f>IF(Input!I92=0,+Input!$G92,+Input!$G92+Input!I92)</f>
        <v>576.4</v>
      </c>
      <c r="E92" s="174">
        <f>IF(Input!J92=0,+Input!$G92,+Input!$G92+Input!J92)</f>
        <v>576.4</v>
      </c>
      <c r="F92" s="174">
        <f>IF(Input!K92=0,+Input!$G92,+Input!$G92+Input!K92)</f>
        <v>576.4</v>
      </c>
      <c r="G92" s="174">
        <f>IF(Input!L92=0,+Input!$G92,+Input!$G92+Input!L92)</f>
        <v>576.4</v>
      </c>
      <c r="H92" s="174">
        <f>IF(Input!M92=0,+Input!$G92,+Input!$G92+Input!M92)</f>
        <v>576.4</v>
      </c>
      <c r="I92" s="174">
        <f>IF(Input!N92=0,+Input!$G92,+Input!$G92+Input!N92)</f>
        <v>576.4</v>
      </c>
      <c r="J92" s="174">
        <f>IF(Input!O92=0,+Input!$G92,+Input!$G92+Input!O92)</f>
        <v>576.4</v>
      </c>
      <c r="K92" s="174">
        <f>IF(Input!P92=0,+Input!$G92,+Input!$G92+Input!P92)</f>
        <v>576.4</v>
      </c>
      <c r="L92" s="174">
        <f>IF(Input!Q92=0,+Input!$G92,+Input!$G92+Input!Q92)</f>
        <v>576.4</v>
      </c>
      <c r="M92" s="174">
        <f>IF(Input!R92=0,+Input!$G92,+Input!$G92+Input!R92)</f>
        <v>576.4</v>
      </c>
      <c r="N92" s="174">
        <f>IF(Input!S92=0,+Input!$G92,+Input!$G92+Input!S92)</f>
        <v>576.4</v>
      </c>
      <c r="O92" s="175">
        <f t="shared" si="18"/>
        <v>6916.7999999999984</v>
      </c>
      <c r="P92" s="175">
        <f>IF(AND(O92=""),"",+O92/Setup!$B$12)</f>
        <v>31.439999999999994</v>
      </c>
      <c r="Q92" s="175">
        <f>IF(ISNA(IF(O92="","",(+VLOOKUP(A92,'2016'!$A:$P,15,FALSE)))),0,IF(O92="",0,(+VLOOKUP(A92,'2016'!$A:$P,15,FALSE))))</f>
        <v>3870</v>
      </c>
      <c r="R92" s="169"/>
      <c r="S92" s="278"/>
      <c r="T92" s="321"/>
    </row>
    <row r="93" spans="1:20" s="4" customFormat="1" ht="10.5" customHeight="1">
      <c r="A93" s="410" t="s">
        <v>851</v>
      </c>
      <c r="B93" s="161" t="s">
        <v>263</v>
      </c>
      <c r="C93" s="174">
        <f>IF(Input!H93=0,+Input!$G93,+Input!$G93+Input!H93)</f>
        <v>0</v>
      </c>
      <c r="D93" s="174">
        <f>IF(Input!I93=0,+Input!$G93,+Input!$G93+Input!I93)</f>
        <v>0</v>
      </c>
      <c r="E93" s="174">
        <f>IF(Input!J93=0,+Input!$G93,+Input!$G93+Input!J93)</f>
        <v>0</v>
      </c>
      <c r="F93" s="174">
        <f>IF(Input!K93=0,+Input!$G93,+Input!$G93+Input!K93)</f>
        <v>0</v>
      </c>
      <c r="G93" s="174">
        <f>IF(Input!L93=0,+Input!$G93,+Input!$G93+Input!L93)</f>
        <v>0</v>
      </c>
      <c r="H93" s="174">
        <f>IF(Input!M93=0,+Input!$G93,+Input!$G93+Input!M93)</f>
        <v>0</v>
      </c>
      <c r="I93" s="174">
        <f>IF(Input!N93=0,+Input!$G93,+Input!$G93+Input!N93)</f>
        <v>0</v>
      </c>
      <c r="J93" s="174">
        <f>IF(Input!O93=0,+Input!$G93,+Input!$G93+Input!O93)</f>
        <v>0</v>
      </c>
      <c r="K93" s="174">
        <f>IF(Input!P93=0,+Input!$G93,+Input!$G93+Input!P93)</f>
        <v>0</v>
      </c>
      <c r="L93" s="174">
        <f>IF(Input!Q93=0,+Input!$G93,+Input!$G93+Input!Q93)</f>
        <v>0</v>
      </c>
      <c r="M93" s="174">
        <f>IF(Input!R93=0,+Input!$G93,+Input!$G93+Input!R93)</f>
        <v>0</v>
      </c>
      <c r="N93" s="174">
        <f>IF(Input!S93=0,+Input!$G93,+Input!$G93+Input!S93)</f>
        <v>0</v>
      </c>
      <c r="O93" s="175">
        <f t="shared" si="18"/>
        <v>0</v>
      </c>
      <c r="P93" s="175">
        <f>IF(AND(O93=""),"",+O93/Setup!$B$12)</f>
        <v>0</v>
      </c>
      <c r="Q93" s="175">
        <f>IF(ISNA(IF(O93="","",(+VLOOKUP(A93,'2016'!$A:$P,15,FALSE)))),0,IF(O93="",0,(+VLOOKUP(A93,'2016'!$A:$P,15,FALSE))))</f>
        <v>4675</v>
      </c>
      <c r="R93" s="169"/>
      <c r="S93" s="278"/>
      <c r="T93" s="321"/>
    </row>
    <row r="94" spans="1:20" s="4" customFormat="1" ht="10.5" customHeight="1">
      <c r="A94" s="410" t="s">
        <v>853</v>
      </c>
      <c r="B94" s="161" t="s">
        <v>264</v>
      </c>
      <c r="C94" s="174">
        <f>IF(Input!H94=0,+Input!$G94,+Input!$G94+Input!H94)</f>
        <v>0</v>
      </c>
      <c r="D94" s="174">
        <f>IF(Input!I94=0,+Input!$G94,+Input!$G94+Input!I94)</f>
        <v>0</v>
      </c>
      <c r="E94" s="174">
        <f>IF(Input!J94=0,+Input!$G94,+Input!$G94+Input!J94)</f>
        <v>0</v>
      </c>
      <c r="F94" s="174">
        <f>IF(Input!K94=0,+Input!$G94,+Input!$G94+Input!K94)</f>
        <v>0</v>
      </c>
      <c r="G94" s="174">
        <f>IF(Input!L94=0,+Input!$G94,+Input!$G94+Input!L94)</f>
        <v>0</v>
      </c>
      <c r="H94" s="174">
        <f>IF(Input!M94=0,+Input!$G94,+Input!$G94+Input!M94)</f>
        <v>0</v>
      </c>
      <c r="I94" s="174">
        <f>IF(Input!N94=0,+Input!$G94,+Input!$G94+Input!N94)</f>
        <v>0</v>
      </c>
      <c r="J94" s="174">
        <f>IF(Input!O94=0,+Input!$G94,+Input!$G94+Input!O94)</f>
        <v>0</v>
      </c>
      <c r="K94" s="174">
        <f>IF(Input!P94=0,+Input!$G94,+Input!$G94+Input!P94)</f>
        <v>0</v>
      </c>
      <c r="L94" s="174">
        <f>IF(Input!Q94=0,+Input!$G94,+Input!$G94+Input!Q94)</f>
        <v>0</v>
      </c>
      <c r="M94" s="174">
        <f>IF(Input!R94=0,+Input!$G94,+Input!$G94+Input!R94)</f>
        <v>0</v>
      </c>
      <c r="N94" s="174">
        <f>IF(Input!S94=0,+Input!$G94,+Input!$G94+Input!S94)</f>
        <v>0</v>
      </c>
      <c r="O94" s="175">
        <f t="shared" si="18"/>
        <v>0</v>
      </c>
      <c r="P94" s="175">
        <f>IF(AND(O94=""),"",+O94/Setup!$B$12)</f>
        <v>0</v>
      </c>
      <c r="Q94" s="175">
        <f>IF(ISNA(IF(O94="","",(+VLOOKUP(A94,'2016'!$A:$P,15,FALSE)))),0,IF(O94="",0,(+VLOOKUP(A94,'2016'!$A:$P,15,FALSE))))</f>
        <v>0</v>
      </c>
      <c r="R94" s="169"/>
      <c r="S94" s="278"/>
      <c r="T94" s="321"/>
    </row>
    <row r="95" spans="1:20" s="4" customFormat="1" ht="10.5" customHeight="1">
      <c r="A95" s="409" t="s">
        <v>1316</v>
      </c>
      <c r="B95" s="4" t="s">
        <v>1315</v>
      </c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5"/>
      <c r="P95" s="175"/>
      <c r="Q95" s="175"/>
      <c r="R95" s="169"/>
      <c r="S95" s="401"/>
      <c r="T95" s="321"/>
    </row>
    <row r="96" spans="1:20" s="4" customFormat="1" ht="10.5" customHeight="1">
      <c r="A96" s="410" t="s">
        <v>854</v>
      </c>
      <c r="B96" s="161" t="s">
        <v>265</v>
      </c>
      <c r="C96" s="174">
        <f>IF(Input!H96=0,+Input!$G96,+Input!$G96+Input!H96)</f>
        <v>0</v>
      </c>
      <c r="D96" s="174">
        <f>IF(Input!I96=0,+Input!$G96,+Input!$G96+Input!I96)</f>
        <v>0</v>
      </c>
      <c r="E96" s="174">
        <f>IF(Input!J96=0,+Input!$G96,+Input!$G96+Input!J96)</f>
        <v>0</v>
      </c>
      <c r="F96" s="174">
        <f>IF(Input!K96=0,+Input!$G96,+Input!$G96+Input!K96)</f>
        <v>0</v>
      </c>
      <c r="G96" s="174">
        <f>IF(Input!L96=0,+Input!$G96,+Input!$G96+Input!L96)</f>
        <v>0</v>
      </c>
      <c r="H96" s="174">
        <f>IF(Input!M96=0,+Input!$G96,+Input!$G96+Input!M96)</f>
        <v>0</v>
      </c>
      <c r="I96" s="174">
        <f>IF(Input!N96=0,+Input!$G96,+Input!$G96+Input!N96)</f>
        <v>0</v>
      </c>
      <c r="J96" s="174">
        <f>IF(Input!O96=0,+Input!$G96,+Input!$G96+Input!O96)</f>
        <v>0</v>
      </c>
      <c r="K96" s="174">
        <f>IF(Input!P96=0,+Input!$G96,+Input!$G96+Input!P96)</f>
        <v>0</v>
      </c>
      <c r="L96" s="174">
        <f>IF(Input!Q96=0,+Input!$G96,+Input!$G96+Input!Q96)</f>
        <v>0</v>
      </c>
      <c r="M96" s="174">
        <f>IF(Input!R96=0,+Input!$G96,+Input!$G96+Input!R96)</f>
        <v>0</v>
      </c>
      <c r="N96" s="174">
        <f>IF(Input!S96=0,+Input!$G96,+Input!$G96+Input!S96)</f>
        <v>0</v>
      </c>
      <c r="O96" s="175">
        <f t="shared" si="18"/>
        <v>0</v>
      </c>
      <c r="P96" s="175">
        <f>IF(AND(O96=""),"",+O96/Setup!$B$12)</f>
        <v>0</v>
      </c>
      <c r="Q96" s="175">
        <f>IF(ISNA(IF(O96="","",(+VLOOKUP(A96,'2016'!$A:$P,15,FALSE)))),0,IF(O96="",0,(+VLOOKUP(A96,'2016'!$A:$P,15,FALSE))))</f>
        <v>0</v>
      </c>
      <c r="R96" s="169"/>
      <c r="S96" s="278"/>
      <c r="T96" s="321"/>
    </row>
    <row r="97" spans="1:20" s="4" customFormat="1" ht="10.5" customHeight="1">
      <c r="A97" s="410" t="s">
        <v>856</v>
      </c>
      <c r="B97" s="161" t="s">
        <v>266</v>
      </c>
      <c r="C97" s="174">
        <f>IF(Input!H97=0,+Input!$G97,+Input!$G97+Input!H97)</f>
        <v>0</v>
      </c>
      <c r="D97" s="174">
        <f>IF(Input!I97=0,+Input!$G97,+Input!$G97+Input!I97)</f>
        <v>0</v>
      </c>
      <c r="E97" s="174">
        <f>IF(Input!J97=0,+Input!$G97,+Input!$G97+Input!J97)</f>
        <v>0</v>
      </c>
      <c r="F97" s="174">
        <f>IF(Input!K97=0,+Input!$G97,+Input!$G97+Input!K97)</f>
        <v>0</v>
      </c>
      <c r="G97" s="174">
        <f>IF(Input!L97=0,+Input!$G97,+Input!$G97+Input!L97)</f>
        <v>0</v>
      </c>
      <c r="H97" s="174">
        <f>IF(Input!M97=0,+Input!$G97,+Input!$G97+Input!M97)</f>
        <v>0</v>
      </c>
      <c r="I97" s="174">
        <f>IF(Input!N97=0,+Input!$G97,+Input!$G97+Input!N97)</f>
        <v>0</v>
      </c>
      <c r="J97" s="174">
        <f>IF(Input!O97=0,+Input!$G97,+Input!$G97+Input!O97)</f>
        <v>0</v>
      </c>
      <c r="K97" s="174">
        <f>IF(Input!P97=0,+Input!$G97,+Input!$G97+Input!P97)</f>
        <v>0</v>
      </c>
      <c r="L97" s="174">
        <f>IF(Input!Q97=0,+Input!$G97,+Input!$G97+Input!Q97)</f>
        <v>0</v>
      </c>
      <c r="M97" s="174">
        <f>IF(Input!R97=0,+Input!$G97,+Input!$G97+Input!R97)</f>
        <v>0</v>
      </c>
      <c r="N97" s="174">
        <f>IF(Input!S97=0,+Input!$G97,+Input!$G97+Input!S97)</f>
        <v>0</v>
      </c>
      <c r="O97" s="175">
        <f t="shared" si="18"/>
        <v>0</v>
      </c>
      <c r="P97" s="175">
        <f>IF(AND(O97=""),"",+O97/Setup!$B$12)</f>
        <v>0</v>
      </c>
      <c r="Q97" s="175">
        <f>IF(ISNA(IF(O97="","",(+VLOOKUP(A97,'2016'!$A:$P,15,FALSE)))),0,IF(O97="",0,(+VLOOKUP(A97,'2016'!$A:$P,15,FALSE))))</f>
        <v>0</v>
      </c>
      <c r="R97" s="169"/>
      <c r="S97" s="278"/>
      <c r="T97" s="321"/>
    </row>
    <row r="98" spans="1:20" s="4" customFormat="1" ht="10.5" customHeight="1">
      <c r="A98" s="411" t="s">
        <v>857</v>
      </c>
      <c r="B98" s="4" t="s">
        <v>1245</v>
      </c>
      <c r="C98" s="174">
        <f>IF(Input!H98=0,+Input!$G98,+Input!$G98+Input!H98)</f>
        <v>0</v>
      </c>
      <c r="D98" s="174">
        <f>IF(Input!I98=0,+Input!$G98,+Input!$G98+Input!I98)</f>
        <v>0</v>
      </c>
      <c r="E98" s="174">
        <f>IF(Input!J98=0,+Input!$G98,+Input!$G98+Input!J98)</f>
        <v>0</v>
      </c>
      <c r="F98" s="174">
        <f>IF(Input!K98=0,+Input!$G98,+Input!$G98+Input!K98)</f>
        <v>0</v>
      </c>
      <c r="G98" s="174">
        <f>IF(Input!L98=0,+Input!$G98,+Input!$G98+Input!L98)</f>
        <v>0</v>
      </c>
      <c r="H98" s="174">
        <f>IF(Input!M98=0,+Input!$G98,+Input!$G98+Input!M98)</f>
        <v>0</v>
      </c>
      <c r="I98" s="174">
        <f>IF(Input!N98=0,+Input!$G98,+Input!$G98+Input!N98)</f>
        <v>0</v>
      </c>
      <c r="J98" s="174">
        <f>IF(Input!O98=0,+Input!$G98,+Input!$G98+Input!O98)</f>
        <v>0</v>
      </c>
      <c r="K98" s="174">
        <f>IF(Input!P98=0,+Input!$G98,+Input!$G98+Input!P98)</f>
        <v>0</v>
      </c>
      <c r="L98" s="174">
        <f>IF(Input!Q98=0,+Input!$G98,+Input!$G98+Input!Q98)</f>
        <v>0</v>
      </c>
      <c r="M98" s="174">
        <f>IF(Input!R98=0,+Input!$G98,+Input!$G98+Input!R98)</f>
        <v>0</v>
      </c>
      <c r="N98" s="174">
        <f>IF(Input!S98=0,+Input!$G98,+Input!$G98+Input!S98)</f>
        <v>0</v>
      </c>
      <c r="O98" s="175">
        <f t="shared" si="18"/>
        <v>0</v>
      </c>
      <c r="P98" s="175">
        <f>IF(AND(O98=""),"",+O98/Setup!$B$12)</f>
        <v>0</v>
      </c>
      <c r="Q98" s="175">
        <f>IF(ISNA(IF(O98="","",(+VLOOKUP(A98,'2016'!$A:$P,15,FALSE)))),0,IF(O98="",0,(+VLOOKUP(A98,'2016'!$A:$P,15,FALSE))))</f>
        <v>2771</v>
      </c>
      <c r="R98" s="169"/>
      <c r="S98" s="401"/>
      <c r="T98" s="321"/>
    </row>
    <row r="99" spans="1:20" s="4" customFormat="1" ht="10.5" customHeight="1">
      <c r="A99" s="410" t="s">
        <v>859</v>
      </c>
      <c r="B99" s="161" t="s">
        <v>267</v>
      </c>
      <c r="C99" s="174">
        <f>IF(Input!H99=0,+Input!$G99,+Input!$G99+Input!H99)</f>
        <v>55</v>
      </c>
      <c r="D99" s="174">
        <f>IF(Input!I99=0,+Input!$G99,+Input!$G99+Input!I99)</f>
        <v>55</v>
      </c>
      <c r="E99" s="174">
        <f>IF(Input!J99=0,+Input!$G99,+Input!$G99+Input!J99)</f>
        <v>55</v>
      </c>
      <c r="F99" s="174">
        <f>IF(Input!K99=0,+Input!$G99,+Input!$G99+Input!K99)</f>
        <v>55</v>
      </c>
      <c r="G99" s="174">
        <f>IF(Input!L99=0,+Input!$G99,+Input!$G99+Input!L99)</f>
        <v>55</v>
      </c>
      <c r="H99" s="174">
        <f>IF(Input!M99=0,+Input!$G99,+Input!$G99+Input!M99)</f>
        <v>55</v>
      </c>
      <c r="I99" s="174">
        <f>IF(Input!N99=0,+Input!$G99,+Input!$G99+Input!N99)</f>
        <v>55</v>
      </c>
      <c r="J99" s="174">
        <f>IF(Input!O99=0,+Input!$G99,+Input!$G99+Input!O99)</f>
        <v>55</v>
      </c>
      <c r="K99" s="174">
        <f>IF(Input!P99=0,+Input!$G99,+Input!$G99+Input!P99)</f>
        <v>55</v>
      </c>
      <c r="L99" s="174">
        <f>IF(Input!Q99=0,+Input!$G99,+Input!$G99+Input!Q99)</f>
        <v>55</v>
      </c>
      <c r="M99" s="174">
        <f>IF(Input!R99=0,+Input!$G99,+Input!$G99+Input!R99)</f>
        <v>55</v>
      </c>
      <c r="N99" s="174">
        <f>IF(Input!S99=0,+Input!$G99,+Input!$G99+Input!S99)</f>
        <v>55</v>
      </c>
      <c r="O99" s="175">
        <f t="shared" si="18"/>
        <v>660</v>
      </c>
      <c r="P99" s="175">
        <f>IF(AND(O99=""),"",+O99/Setup!$B$12)</f>
        <v>3</v>
      </c>
      <c r="Q99" s="175">
        <f>IF(ISNA(IF(O99="","",(+VLOOKUP(A99,'2016'!$A:$P,15,FALSE)))),0,IF(O99="",0,(+VLOOKUP(A99,'2016'!$A:$P,15,FALSE))))</f>
        <v>743</v>
      </c>
      <c r="R99" s="169"/>
      <c r="S99" s="278"/>
      <c r="T99" s="321"/>
    </row>
    <row r="100" spans="1:20" s="4" customFormat="1" ht="10.5" customHeight="1">
      <c r="A100" s="410" t="s">
        <v>861</v>
      </c>
      <c r="B100" s="196" t="s">
        <v>268</v>
      </c>
      <c r="C100" s="174">
        <f>IF(Input!H100=0,+Input!$G100,+Input!$G100+Input!H100)</f>
        <v>0</v>
      </c>
      <c r="D100" s="174">
        <f>IF(Input!I100=0,+Input!$G100,+Input!$G100+Input!I100)</f>
        <v>0</v>
      </c>
      <c r="E100" s="174">
        <f>IF(Input!J100=0,+Input!$G100,+Input!$G100+Input!J100)</f>
        <v>0</v>
      </c>
      <c r="F100" s="174">
        <f>IF(Input!K100=0,+Input!$G100,+Input!$G100+Input!K100)</f>
        <v>0</v>
      </c>
      <c r="G100" s="174">
        <f>IF(Input!L100=0,+Input!$G100,+Input!$G100+Input!L100)</f>
        <v>0</v>
      </c>
      <c r="H100" s="174">
        <f>IF(Input!M100=0,+Input!$G100,+Input!$G100+Input!M100)</f>
        <v>0</v>
      </c>
      <c r="I100" s="174">
        <f>IF(Input!N100=0,+Input!$G100,+Input!$G100+Input!N100)</f>
        <v>0</v>
      </c>
      <c r="J100" s="174">
        <f>IF(Input!O100=0,+Input!$G100,+Input!$G100+Input!O100)</f>
        <v>0</v>
      </c>
      <c r="K100" s="174">
        <f>IF(Input!P100=0,+Input!$G100,+Input!$G100+Input!P100)</f>
        <v>0</v>
      </c>
      <c r="L100" s="174">
        <f>IF(Input!Q100=0,+Input!$G100,+Input!$G100+Input!Q100)</f>
        <v>0</v>
      </c>
      <c r="M100" s="174">
        <f>IF(Input!R100=0,+Input!$G100,+Input!$G100+Input!R100)</f>
        <v>0</v>
      </c>
      <c r="N100" s="174">
        <f>IF(Input!S100=0,+Input!$G100,+Input!$G100+Input!S100)</f>
        <v>0</v>
      </c>
      <c r="O100" s="175">
        <f t="shared" si="18"/>
        <v>0</v>
      </c>
      <c r="P100" s="175">
        <f>IF(AND(O100=""),"",+O100/Setup!$B$12)</f>
        <v>0</v>
      </c>
      <c r="Q100" s="175">
        <f>IF(ISNA(IF(O100="","",(+VLOOKUP(A100,'2016'!$A:$P,15,FALSE)))),0,IF(O100="",0,(+VLOOKUP(A100,'2016'!$A:$P,15,FALSE))))</f>
        <v>327</v>
      </c>
      <c r="R100" s="169"/>
      <c r="S100" s="278"/>
      <c r="T100" s="321"/>
    </row>
    <row r="101" spans="1:20" s="4" customFormat="1" ht="10.5" customHeight="1">
      <c r="A101" s="410" t="s">
        <v>863</v>
      </c>
      <c r="B101" s="196" t="s">
        <v>269</v>
      </c>
      <c r="C101" s="174">
        <f>IF(Input!H101=0,+Input!$G101,+Input!$G101+Input!H101)</f>
        <v>200</v>
      </c>
      <c r="D101" s="174">
        <f>IF(Input!I101=0,+Input!$G101,+Input!$G101+Input!I101)</f>
        <v>200</v>
      </c>
      <c r="E101" s="174">
        <f>IF(Input!J101=0,+Input!$G101,+Input!$G101+Input!J101)</f>
        <v>200</v>
      </c>
      <c r="F101" s="174">
        <f>IF(Input!K101=0,+Input!$G101,+Input!$G101+Input!K101)</f>
        <v>200</v>
      </c>
      <c r="G101" s="174">
        <f>IF(Input!L101=0,+Input!$G101,+Input!$G101+Input!L101)</f>
        <v>200</v>
      </c>
      <c r="H101" s="174">
        <f>IF(Input!M101=0,+Input!$G101,+Input!$G101+Input!M101)</f>
        <v>200</v>
      </c>
      <c r="I101" s="174">
        <f>IF(Input!N101=0,+Input!$G101,+Input!$G101+Input!N101)</f>
        <v>200</v>
      </c>
      <c r="J101" s="174">
        <f>IF(Input!O101=0,+Input!$G101,+Input!$G101+Input!O101)</f>
        <v>200</v>
      </c>
      <c r="K101" s="174">
        <f>IF(Input!P101=0,+Input!$G101,+Input!$G101+Input!P101)</f>
        <v>200</v>
      </c>
      <c r="L101" s="174">
        <f>IF(Input!Q101=0,+Input!$G101,+Input!$G101+Input!Q101)</f>
        <v>200</v>
      </c>
      <c r="M101" s="174">
        <f>IF(Input!R101=0,+Input!$G101,+Input!$G101+Input!R101)</f>
        <v>200</v>
      </c>
      <c r="N101" s="174">
        <f>IF(Input!S101=0,+Input!$G101,+Input!$G101+Input!S101)</f>
        <v>200</v>
      </c>
      <c r="O101" s="175">
        <f t="shared" si="18"/>
        <v>2400</v>
      </c>
      <c r="P101" s="175">
        <f>IF(AND(O101=""),"",+O101/Setup!$B$12)</f>
        <v>10.909090909090908</v>
      </c>
      <c r="Q101" s="175">
        <f>IF(ISNA(IF(O101="","",(+VLOOKUP(A101,'2016'!$A:$P,15,FALSE)))),0,IF(O101="",0,(+VLOOKUP(A101,'2016'!$A:$P,15,FALSE))))</f>
        <v>146</v>
      </c>
      <c r="R101" s="169"/>
      <c r="S101" s="278"/>
      <c r="T101" s="321"/>
    </row>
    <row r="102" spans="1:20" s="4" customFormat="1" ht="10.5" customHeight="1">
      <c r="A102" s="410" t="s">
        <v>865</v>
      </c>
      <c r="B102" s="161" t="s">
        <v>270</v>
      </c>
      <c r="C102" s="174">
        <f>IF(Input!H102=0,+Input!$G102,+Input!$G102+Input!H102)</f>
        <v>0</v>
      </c>
      <c r="D102" s="174">
        <f>IF(Input!I102=0,+Input!$G102,+Input!$G102+Input!I102)</f>
        <v>0</v>
      </c>
      <c r="E102" s="174">
        <f>IF(Input!J102=0,+Input!$G102,+Input!$G102+Input!J102)</f>
        <v>0</v>
      </c>
      <c r="F102" s="174">
        <f>IF(Input!K102=0,+Input!$G102,+Input!$G102+Input!K102)</f>
        <v>0</v>
      </c>
      <c r="G102" s="174">
        <f>IF(Input!L102=0,+Input!$G102,+Input!$G102+Input!L102)</f>
        <v>0</v>
      </c>
      <c r="H102" s="174">
        <f>IF(Input!M102=0,+Input!$G102,+Input!$G102+Input!M102)</f>
        <v>0</v>
      </c>
      <c r="I102" s="174">
        <f>IF(Input!N102=0,+Input!$G102,+Input!$G102+Input!N102)</f>
        <v>0</v>
      </c>
      <c r="J102" s="174">
        <f>IF(Input!O102=0,+Input!$G102,+Input!$G102+Input!O102)</f>
        <v>0</v>
      </c>
      <c r="K102" s="174">
        <f>IF(Input!P102=0,+Input!$G102,+Input!$G102+Input!P102)</f>
        <v>0</v>
      </c>
      <c r="L102" s="174">
        <f>IF(Input!Q102=0,+Input!$G102,+Input!$G102+Input!Q102)</f>
        <v>0</v>
      </c>
      <c r="M102" s="174">
        <f>IF(Input!R102=0,+Input!$G102,+Input!$G102+Input!R102)</f>
        <v>0</v>
      </c>
      <c r="N102" s="174">
        <f>IF(Input!S102=0,+Input!$G102,+Input!$G102+Input!S102)</f>
        <v>0</v>
      </c>
      <c r="O102" s="175">
        <f t="shared" si="18"/>
        <v>0</v>
      </c>
      <c r="P102" s="175">
        <f>IF(AND(O102=""),"",+O102/Setup!$B$12)</f>
        <v>0</v>
      </c>
      <c r="Q102" s="175">
        <f>IF(ISNA(IF(O102="","",(+VLOOKUP(A102,'2016'!$A:$P,15,FALSE)))),0,IF(O102="",0,(+VLOOKUP(A102,'2016'!$A:$P,15,FALSE))))</f>
        <v>0</v>
      </c>
      <c r="R102" s="169"/>
      <c r="S102" s="278"/>
      <c r="T102" s="321"/>
    </row>
    <row r="103" spans="1:20" s="4" customFormat="1" ht="10.5" customHeight="1">
      <c r="A103" s="410" t="s">
        <v>866</v>
      </c>
      <c r="B103" s="161" t="s">
        <v>271</v>
      </c>
      <c r="C103" s="174">
        <f>IF(Input!H103=0,+Input!$G103,+Input!$G103+Input!H103)</f>
        <v>119.25</v>
      </c>
      <c r="D103" s="174">
        <f>IF(Input!I103=0,+Input!$G103,+Input!$G103+Input!I103)</f>
        <v>119.25</v>
      </c>
      <c r="E103" s="174">
        <f>IF(Input!J103=0,+Input!$G103,+Input!$G103+Input!J103)</f>
        <v>119.25</v>
      </c>
      <c r="F103" s="174">
        <f>IF(Input!K103=0,+Input!$G103,+Input!$G103+Input!K103)</f>
        <v>119.25</v>
      </c>
      <c r="G103" s="174">
        <f>IF(Input!L103=0,+Input!$G103,+Input!$G103+Input!L103)</f>
        <v>119.25</v>
      </c>
      <c r="H103" s="174">
        <f>IF(Input!M103=0,+Input!$G103,+Input!$G103+Input!M103)</f>
        <v>119.25</v>
      </c>
      <c r="I103" s="174">
        <f>IF(Input!N103=0,+Input!$G103,+Input!$G103+Input!N103)</f>
        <v>119.25</v>
      </c>
      <c r="J103" s="174">
        <f>IF(Input!O103=0,+Input!$G103,+Input!$G103+Input!O103)</f>
        <v>119.25</v>
      </c>
      <c r="K103" s="174">
        <f>IF(Input!P103=0,+Input!$G103,+Input!$G103+Input!P103)</f>
        <v>119.25</v>
      </c>
      <c r="L103" s="174">
        <f>IF(Input!Q103=0,+Input!$G103,+Input!$G103+Input!Q103)</f>
        <v>119.25</v>
      </c>
      <c r="M103" s="174">
        <f>IF(Input!R103=0,+Input!$G103,+Input!$G103+Input!R103)</f>
        <v>119.25</v>
      </c>
      <c r="N103" s="174">
        <f>IF(Input!S103=0,+Input!$G103,+Input!$G103+Input!S103)</f>
        <v>119.25</v>
      </c>
      <c r="O103" s="175">
        <f t="shared" si="18"/>
        <v>1431</v>
      </c>
      <c r="P103" s="175">
        <f>IF(AND(O103=""),"",+O103/Setup!$B$12)</f>
        <v>6.5045454545454549</v>
      </c>
      <c r="Q103" s="175">
        <f>IF(ISNA(IF(O103="","",(+VLOOKUP(A103,'2016'!$A:$P,15,FALSE)))),0,IF(O103="",0,(+VLOOKUP(A103,'2016'!$A:$P,15,FALSE))))</f>
        <v>1431</v>
      </c>
      <c r="R103" s="169"/>
      <c r="S103" s="278"/>
      <c r="T103" s="321"/>
    </row>
    <row r="104" spans="1:20" s="4" customFormat="1" ht="10.5" customHeight="1">
      <c r="A104" s="410" t="s">
        <v>868</v>
      </c>
      <c r="B104" s="161" t="s">
        <v>272</v>
      </c>
      <c r="C104" s="174">
        <f>IF(Input!H104=0,+Input!$G104,+Input!$G104+Input!H104)</f>
        <v>0</v>
      </c>
      <c r="D104" s="174">
        <f>IF(Input!I104=0,+Input!$G104,+Input!$G104+Input!I104)</f>
        <v>0</v>
      </c>
      <c r="E104" s="174">
        <f>IF(Input!J104=0,+Input!$G104,+Input!$G104+Input!J104)</f>
        <v>0</v>
      </c>
      <c r="F104" s="174">
        <f>IF(Input!K104=0,+Input!$G104,+Input!$G104+Input!K104)</f>
        <v>0</v>
      </c>
      <c r="G104" s="174">
        <f>IF(Input!L104=0,+Input!$G104,+Input!$G104+Input!L104)</f>
        <v>0</v>
      </c>
      <c r="H104" s="174">
        <f>IF(Input!M104=0,+Input!$G104,+Input!$G104+Input!M104)</f>
        <v>0</v>
      </c>
      <c r="I104" s="174">
        <f>IF(Input!N104=0,+Input!$G104,+Input!$G104+Input!N104)</f>
        <v>0</v>
      </c>
      <c r="J104" s="174">
        <f>IF(Input!O104=0,+Input!$G104,+Input!$G104+Input!O104)</f>
        <v>0</v>
      </c>
      <c r="K104" s="174">
        <f>IF(Input!P104=0,+Input!$G104,+Input!$G104+Input!P104)</f>
        <v>0</v>
      </c>
      <c r="L104" s="174">
        <f>IF(Input!Q104=0,+Input!$G104,+Input!$G104+Input!Q104)</f>
        <v>0</v>
      </c>
      <c r="M104" s="174">
        <f>IF(Input!R104=0,+Input!$G104,+Input!$G104+Input!R104)</f>
        <v>0</v>
      </c>
      <c r="N104" s="174">
        <f>IF(Input!S104=0,+Input!$G104,+Input!$G104+Input!S104)</f>
        <v>0</v>
      </c>
      <c r="O104" s="175">
        <f t="shared" si="18"/>
        <v>0</v>
      </c>
      <c r="P104" s="175">
        <f>IF(AND(O104=""),"",+O104/Setup!$B$12)</f>
        <v>0</v>
      </c>
      <c r="Q104" s="175">
        <f>IF(ISNA(IF(O104="","",(+VLOOKUP(A104,'2016'!$A:$P,15,FALSE)))),0,IF(O104="",0,(+VLOOKUP(A104,'2016'!$A:$P,15,FALSE))))</f>
        <v>0</v>
      </c>
      <c r="R104" s="169"/>
      <c r="S104" s="278"/>
      <c r="T104" s="321"/>
    </row>
    <row r="105" spans="1:20" s="4" customFormat="1" ht="10.5" customHeight="1">
      <c r="A105" s="410" t="s">
        <v>869</v>
      </c>
      <c r="B105" s="161" t="s">
        <v>273</v>
      </c>
      <c r="C105" s="174">
        <f>IF(Input!H105=0,+Input!$G105,+Input!$G105+Input!H105)</f>
        <v>0</v>
      </c>
      <c r="D105" s="174">
        <f>IF(Input!I105=0,+Input!$G105,+Input!$G105+Input!I105)</f>
        <v>0</v>
      </c>
      <c r="E105" s="174">
        <f>IF(Input!J105=0,+Input!$G105,+Input!$G105+Input!J105)</f>
        <v>0</v>
      </c>
      <c r="F105" s="174">
        <f>IF(Input!K105=0,+Input!$G105,+Input!$G105+Input!K105)</f>
        <v>0</v>
      </c>
      <c r="G105" s="174">
        <f>IF(Input!L105=0,+Input!$G105,+Input!$G105+Input!L105)</f>
        <v>0</v>
      </c>
      <c r="H105" s="174">
        <f>IF(Input!M105=0,+Input!$G105,+Input!$G105+Input!M105)</f>
        <v>0</v>
      </c>
      <c r="I105" s="174">
        <f>IF(Input!N105=0,+Input!$G105,+Input!$G105+Input!N105)</f>
        <v>0</v>
      </c>
      <c r="J105" s="174">
        <f>IF(Input!O105=0,+Input!$G105,+Input!$G105+Input!O105)</f>
        <v>0</v>
      </c>
      <c r="K105" s="174">
        <f>IF(Input!P105=0,+Input!$G105,+Input!$G105+Input!P105)</f>
        <v>0</v>
      </c>
      <c r="L105" s="174">
        <f>IF(Input!Q105=0,+Input!$G105,+Input!$G105+Input!Q105)</f>
        <v>0</v>
      </c>
      <c r="M105" s="174">
        <f>IF(Input!R105=0,+Input!$G105,+Input!$G105+Input!R105)</f>
        <v>0</v>
      </c>
      <c r="N105" s="174">
        <f>IF(Input!S105=0,+Input!$G105,+Input!$G105+Input!S105)</f>
        <v>0</v>
      </c>
      <c r="O105" s="175">
        <f t="shared" si="18"/>
        <v>0</v>
      </c>
      <c r="P105" s="175">
        <f>IF(AND(O105=""),"",+O105/Setup!$B$12)</f>
        <v>0</v>
      </c>
      <c r="Q105" s="175">
        <f>IF(ISNA(IF(O105="","",(+VLOOKUP(A105,'2016'!$A:$P,15,FALSE)))),0,IF(O105="",0,(+VLOOKUP(A105,'2016'!$A:$P,15,FALSE))))</f>
        <v>0</v>
      </c>
      <c r="R105" s="169"/>
      <c r="S105" s="278"/>
      <c r="T105" s="321"/>
    </row>
    <row r="106" spans="1:20" s="4" customFormat="1" ht="10.5" customHeight="1">
      <c r="A106" s="410" t="s">
        <v>870</v>
      </c>
      <c r="B106" s="161" t="s">
        <v>274</v>
      </c>
      <c r="C106" s="174">
        <f>IF(Input!H106=0,+Input!$G106,+Input!$G106+Input!H106)</f>
        <v>0</v>
      </c>
      <c r="D106" s="174">
        <f>IF(Input!I106=0,+Input!$G106,+Input!$G106+Input!I106)</f>
        <v>0</v>
      </c>
      <c r="E106" s="174">
        <f>IF(Input!J106=0,+Input!$G106,+Input!$G106+Input!J106)</f>
        <v>0</v>
      </c>
      <c r="F106" s="174">
        <f>IF(Input!K106=0,+Input!$G106,+Input!$G106+Input!K106)</f>
        <v>0</v>
      </c>
      <c r="G106" s="174">
        <f>IF(Input!L106=0,+Input!$G106,+Input!$G106+Input!L106)</f>
        <v>0</v>
      </c>
      <c r="H106" s="174">
        <f>IF(Input!M106=0,+Input!$G106,+Input!$G106+Input!M106)</f>
        <v>0</v>
      </c>
      <c r="I106" s="174">
        <f>IF(Input!N106=0,+Input!$G106,+Input!$G106+Input!N106)</f>
        <v>0</v>
      </c>
      <c r="J106" s="174">
        <f>IF(Input!O106=0,+Input!$G106,+Input!$G106+Input!O106)</f>
        <v>0</v>
      </c>
      <c r="K106" s="174">
        <f>IF(Input!P106=0,+Input!$G106,+Input!$G106+Input!P106)</f>
        <v>0</v>
      </c>
      <c r="L106" s="174">
        <f>IF(Input!Q106=0,+Input!$G106,+Input!$G106+Input!Q106)</f>
        <v>0</v>
      </c>
      <c r="M106" s="174">
        <f>IF(Input!R106=0,+Input!$G106,+Input!$G106+Input!R106)</f>
        <v>0</v>
      </c>
      <c r="N106" s="174">
        <f>IF(Input!S106=0,+Input!$G106,+Input!$G106+Input!S106)</f>
        <v>0</v>
      </c>
      <c r="O106" s="175">
        <f t="shared" si="18"/>
        <v>0</v>
      </c>
      <c r="P106" s="175">
        <f>IF(AND(O106=""),"",+O106/Setup!$B$12)</f>
        <v>0</v>
      </c>
      <c r="Q106" s="175">
        <f>IF(ISNA(IF(O106="","",(+VLOOKUP(A106,'2016'!$A:$P,15,FALSE)))),0,IF(O106="",0,(+VLOOKUP(A106,'2016'!$A:$P,15,FALSE))))</f>
        <v>0</v>
      </c>
      <c r="R106" s="169"/>
      <c r="S106" s="274"/>
      <c r="T106" s="321"/>
    </row>
    <row r="107" spans="1:20" s="4" customFormat="1" ht="10.5" customHeight="1">
      <c r="A107" s="410" t="s">
        <v>871</v>
      </c>
      <c r="B107" s="161" t="s">
        <v>275</v>
      </c>
      <c r="C107" s="174">
        <f>IF(Input!H107=0,+Input!$G107,+Input!$G107+Input!H107)</f>
        <v>0</v>
      </c>
      <c r="D107" s="174">
        <f>IF(Input!I107=0,+Input!$G107,+Input!$G107+Input!I107)</f>
        <v>0</v>
      </c>
      <c r="E107" s="174">
        <f>IF(Input!J107=0,+Input!$G107,+Input!$G107+Input!J107)</f>
        <v>0</v>
      </c>
      <c r="F107" s="174">
        <f>IF(Input!K107=0,+Input!$G107,+Input!$G107+Input!K107)</f>
        <v>0</v>
      </c>
      <c r="G107" s="174">
        <f>IF(Input!L107=0,+Input!$G107,+Input!$G107+Input!L107)</f>
        <v>0</v>
      </c>
      <c r="H107" s="174">
        <f>IF(Input!M107=0,+Input!$G107,+Input!$G107+Input!M107)</f>
        <v>0</v>
      </c>
      <c r="I107" s="174">
        <f>IF(Input!N107=0,+Input!$G107,+Input!$G107+Input!N107)</f>
        <v>0</v>
      </c>
      <c r="J107" s="174">
        <f>IF(Input!O107=0,+Input!$G107,+Input!$G107+Input!O107)</f>
        <v>0</v>
      </c>
      <c r="K107" s="174">
        <f>IF(Input!P107=0,+Input!$G107,+Input!$G107+Input!P107)</f>
        <v>0</v>
      </c>
      <c r="L107" s="174">
        <f>IF(Input!Q107=0,+Input!$G107,+Input!$G107+Input!Q107)</f>
        <v>0</v>
      </c>
      <c r="M107" s="174">
        <f>IF(Input!R107=0,+Input!$G107,+Input!$G107+Input!R107)</f>
        <v>0</v>
      </c>
      <c r="N107" s="174">
        <f>IF(Input!S107=0,+Input!$G107,+Input!$G107+Input!S107)</f>
        <v>0</v>
      </c>
      <c r="O107" s="175">
        <f t="shared" si="18"/>
        <v>0</v>
      </c>
      <c r="P107" s="175">
        <f>IF(AND(O107=""),"",+O107/Setup!$B$12)</f>
        <v>0</v>
      </c>
      <c r="Q107" s="175">
        <f>IF(ISNA(IF(O107="","",(+VLOOKUP(A107,'2016'!$A:$P,15,FALSE)))),0,IF(O107="",0,(+VLOOKUP(A107,'2016'!$A:$P,15,FALSE))))</f>
        <v>0</v>
      </c>
      <c r="R107" s="169"/>
      <c r="S107" s="278"/>
      <c r="T107" s="321"/>
    </row>
    <row r="108" spans="1:20" s="4" customFormat="1" ht="10.5" customHeight="1">
      <c r="A108" s="410" t="s">
        <v>872</v>
      </c>
      <c r="B108" s="161" t="s">
        <v>276</v>
      </c>
      <c r="C108" s="174">
        <f>IF(Input!H108=0,+Input!$G108,+Input!$G108+Input!H108)</f>
        <v>134.83333333333334</v>
      </c>
      <c r="D108" s="174">
        <f>IF(Input!I108=0,+Input!$G108,+Input!$G108+Input!I108)</f>
        <v>134.83333333333334</v>
      </c>
      <c r="E108" s="174">
        <f>IF(Input!J108=0,+Input!$G108,+Input!$G108+Input!J108)</f>
        <v>134.83333333333334</v>
      </c>
      <c r="F108" s="174">
        <f>IF(Input!K108=0,+Input!$G108,+Input!$G108+Input!K108)</f>
        <v>134.83333333333334</v>
      </c>
      <c r="G108" s="174">
        <f>IF(Input!L108=0,+Input!$G108,+Input!$G108+Input!L108)</f>
        <v>134.83333333333334</v>
      </c>
      <c r="H108" s="174">
        <f>IF(Input!M108=0,+Input!$G108,+Input!$G108+Input!M108)</f>
        <v>134.83333333333334</v>
      </c>
      <c r="I108" s="174">
        <f>IF(Input!N108=0,+Input!$G108,+Input!$G108+Input!N108)</f>
        <v>134.83333333333334</v>
      </c>
      <c r="J108" s="174">
        <f>IF(Input!O108=0,+Input!$G108,+Input!$G108+Input!O108)</f>
        <v>134.83333333333334</v>
      </c>
      <c r="K108" s="174">
        <f>IF(Input!P108=0,+Input!$G108,+Input!$G108+Input!P108)</f>
        <v>134.83333333333334</v>
      </c>
      <c r="L108" s="174">
        <f>IF(Input!Q108=0,+Input!$G108,+Input!$G108+Input!Q108)</f>
        <v>134.83333333333334</v>
      </c>
      <c r="M108" s="174">
        <f>IF(Input!R108=0,+Input!$G108,+Input!$G108+Input!R108)</f>
        <v>134.83333333333334</v>
      </c>
      <c r="N108" s="174">
        <f>IF(Input!S108=0,+Input!$G108,+Input!$G108+Input!S108)</f>
        <v>134.83333333333334</v>
      </c>
      <c r="O108" s="175">
        <f t="shared" si="18"/>
        <v>1617.9999999999998</v>
      </c>
      <c r="P108" s="175">
        <f>IF(AND(O108=""),"",+O108/Setup!$B$12)</f>
        <v>7.3545454545454536</v>
      </c>
      <c r="Q108" s="175">
        <f>IF(ISNA(IF(O108="","",(+VLOOKUP(A108,'2016'!$A:$P,15,FALSE)))),0,IF(O108="",0,(+VLOOKUP(A108,'2016'!$A:$P,15,FALSE))))</f>
        <v>1618</v>
      </c>
      <c r="R108" s="169"/>
      <c r="S108" s="278"/>
      <c r="T108" s="321"/>
    </row>
    <row r="109" spans="1:20" s="4" customFormat="1" ht="10.5" customHeight="1">
      <c r="A109" s="410" t="s">
        <v>874</v>
      </c>
      <c r="B109" s="161" t="s">
        <v>277</v>
      </c>
      <c r="C109" s="174">
        <f>IF(Input!H109=0,+Input!$G109,+Input!$G109+Input!H109)</f>
        <v>0</v>
      </c>
      <c r="D109" s="174">
        <f>IF(Input!I109=0,+Input!$G109,+Input!$G109+Input!I109)</f>
        <v>0</v>
      </c>
      <c r="E109" s="174">
        <f>IF(Input!J109=0,+Input!$G109,+Input!$G109+Input!J109)</f>
        <v>0</v>
      </c>
      <c r="F109" s="174">
        <f>IF(Input!K109=0,+Input!$G109,+Input!$G109+Input!K109)</f>
        <v>0</v>
      </c>
      <c r="G109" s="174">
        <f>IF(Input!L109=0,+Input!$G109,+Input!$G109+Input!L109)</f>
        <v>0</v>
      </c>
      <c r="H109" s="174">
        <f>IF(Input!M109=0,+Input!$G109,+Input!$G109+Input!M109)</f>
        <v>0</v>
      </c>
      <c r="I109" s="174">
        <f>IF(Input!N109=0,+Input!$G109,+Input!$G109+Input!N109)</f>
        <v>0</v>
      </c>
      <c r="J109" s="174">
        <f>IF(Input!O109=0,+Input!$G109,+Input!$G109+Input!O109)</f>
        <v>0</v>
      </c>
      <c r="K109" s="174">
        <f>IF(Input!P109=0,+Input!$G109,+Input!$G109+Input!P109)</f>
        <v>0</v>
      </c>
      <c r="L109" s="174">
        <f>IF(Input!Q109=0,+Input!$G109,+Input!$G109+Input!Q109)</f>
        <v>0</v>
      </c>
      <c r="M109" s="174">
        <f>IF(Input!R109=0,+Input!$G109,+Input!$G109+Input!R109)</f>
        <v>0</v>
      </c>
      <c r="N109" s="174">
        <f>IF(Input!S109=0,+Input!$G109,+Input!$G109+Input!S109)</f>
        <v>0</v>
      </c>
      <c r="O109" s="175">
        <f t="shared" si="18"/>
        <v>0</v>
      </c>
      <c r="P109" s="175">
        <f>IF(AND(O109=""),"",+O109/Setup!$B$12)</f>
        <v>0</v>
      </c>
      <c r="Q109" s="175">
        <f>IF(ISNA(IF(O109="","",(+VLOOKUP(A109,'2016'!$A:$P,15,FALSE)))),0,IF(O109="",0,(+VLOOKUP(A109,'2016'!$A:$P,15,FALSE))))</f>
        <v>0</v>
      </c>
      <c r="R109" s="169"/>
      <c r="S109" s="278"/>
      <c r="T109" s="321"/>
    </row>
    <row r="110" spans="1:20" s="4" customFormat="1" ht="10.5" customHeight="1">
      <c r="A110" s="410" t="s">
        <v>875</v>
      </c>
      <c r="B110" s="161" t="s">
        <v>278</v>
      </c>
      <c r="C110" s="174">
        <f>IF(Input!H110=0,+Input!$G110,+Input!$G110+Input!H110)</f>
        <v>0</v>
      </c>
      <c r="D110" s="174">
        <f>IF(Input!I110=0,+Input!$G110,+Input!$G110+Input!I110)</f>
        <v>0</v>
      </c>
      <c r="E110" s="174">
        <f>IF(Input!J110=0,+Input!$G110,+Input!$G110+Input!J110)</f>
        <v>0</v>
      </c>
      <c r="F110" s="174">
        <f>IF(Input!K110=0,+Input!$G110,+Input!$G110+Input!K110)</f>
        <v>0</v>
      </c>
      <c r="G110" s="174">
        <f>IF(Input!L110=0,+Input!$G110,+Input!$G110+Input!L110)</f>
        <v>0</v>
      </c>
      <c r="H110" s="174">
        <f>IF(Input!M110=0,+Input!$G110,+Input!$G110+Input!M110)</f>
        <v>0</v>
      </c>
      <c r="I110" s="174">
        <f>IF(Input!N110=0,+Input!$G110,+Input!$G110+Input!N110)</f>
        <v>0</v>
      </c>
      <c r="J110" s="174">
        <f>IF(Input!O110=0,+Input!$G110,+Input!$G110+Input!O110)</f>
        <v>0</v>
      </c>
      <c r="K110" s="174">
        <f>IF(Input!P110=0,+Input!$G110,+Input!$G110+Input!P110)</f>
        <v>0</v>
      </c>
      <c r="L110" s="174">
        <f>IF(Input!Q110=0,+Input!$G110,+Input!$G110+Input!Q110)</f>
        <v>0</v>
      </c>
      <c r="M110" s="174">
        <f>IF(Input!R110=0,+Input!$G110,+Input!$G110+Input!R110)</f>
        <v>0</v>
      </c>
      <c r="N110" s="174">
        <f>IF(Input!S110=0,+Input!$G110,+Input!$G110+Input!S110)</f>
        <v>0</v>
      </c>
      <c r="O110" s="175">
        <f t="shared" si="18"/>
        <v>0</v>
      </c>
      <c r="P110" s="175">
        <f>IF(AND(O110=""),"",+O110/Setup!$B$12)</f>
        <v>0</v>
      </c>
      <c r="Q110" s="175">
        <f>IF(ISNA(IF(O110="","",(+VLOOKUP(A110,'2016'!$A:$P,15,FALSE)))),0,IF(O110="",0,(+VLOOKUP(A110,'2016'!$A:$P,15,FALSE))))</f>
        <v>8428</v>
      </c>
      <c r="R110" s="169"/>
      <c r="S110" s="278"/>
      <c r="T110" s="321"/>
    </row>
    <row r="111" spans="1:20" s="4" customFormat="1" ht="10.5" customHeight="1">
      <c r="A111" s="410" t="s">
        <v>877</v>
      </c>
      <c r="B111" s="161" t="s">
        <v>279</v>
      </c>
      <c r="C111" s="174">
        <f>IF(Input!H111=0,+Input!$G111,+Input!$G111+Input!H111)</f>
        <v>0</v>
      </c>
      <c r="D111" s="174">
        <f>IF(Input!I111=0,+Input!$G111,+Input!$G111+Input!I111)</f>
        <v>0</v>
      </c>
      <c r="E111" s="174">
        <f>IF(Input!J111=0,+Input!$G111,+Input!$G111+Input!J111)</f>
        <v>0</v>
      </c>
      <c r="F111" s="174">
        <f>IF(Input!K111=0,+Input!$G111,+Input!$G111+Input!K111)</f>
        <v>0</v>
      </c>
      <c r="G111" s="174">
        <f>IF(Input!L111=0,+Input!$G111,+Input!$G111+Input!L111)</f>
        <v>0</v>
      </c>
      <c r="H111" s="174">
        <f>IF(Input!M111=0,+Input!$G111,+Input!$G111+Input!M111)</f>
        <v>0</v>
      </c>
      <c r="I111" s="174">
        <f>IF(Input!N111=0,+Input!$G111,+Input!$G111+Input!N111)</f>
        <v>0</v>
      </c>
      <c r="J111" s="174">
        <f>IF(Input!O111=0,+Input!$G111,+Input!$G111+Input!O111)</f>
        <v>0</v>
      </c>
      <c r="K111" s="174">
        <f>IF(Input!P111=0,+Input!$G111,+Input!$G111+Input!P111)</f>
        <v>0</v>
      </c>
      <c r="L111" s="174">
        <f>IF(Input!Q111=0,+Input!$G111,+Input!$G111+Input!Q111)</f>
        <v>0</v>
      </c>
      <c r="M111" s="174">
        <f>IF(Input!R111=0,+Input!$G111,+Input!$G111+Input!R111)</f>
        <v>0</v>
      </c>
      <c r="N111" s="174">
        <f>IF(Input!S111=0,+Input!$G111,+Input!$G111+Input!S111)</f>
        <v>0</v>
      </c>
      <c r="O111" s="175">
        <f t="shared" si="18"/>
        <v>0</v>
      </c>
      <c r="P111" s="175">
        <f>IF(AND(O111=""),"",+O111/Setup!$B$12)</f>
        <v>0</v>
      </c>
      <c r="Q111" s="175">
        <f>IF(ISNA(IF(O111="","",(+VLOOKUP(A111,'2016'!$A:$P,15,FALSE)))),0,IF(O111="",0,(+VLOOKUP(A111,'2016'!$A:$P,15,FALSE))))</f>
        <v>522</v>
      </c>
      <c r="R111" s="169"/>
      <c r="S111" s="278"/>
      <c r="T111" s="321"/>
    </row>
    <row r="112" spans="1:20" s="4" customFormat="1" ht="10.5" customHeight="1">
      <c r="A112" s="410" t="s">
        <v>879</v>
      </c>
      <c r="B112" s="196" t="s">
        <v>280</v>
      </c>
      <c r="C112" s="174">
        <f>IF(Input!H112=0,+Input!$G112,+Input!$G112+Input!H112)</f>
        <v>50</v>
      </c>
      <c r="D112" s="174">
        <f>IF(Input!I112=0,+Input!$G112,+Input!$G112+Input!I112)</f>
        <v>50</v>
      </c>
      <c r="E112" s="174">
        <f>IF(Input!J112=0,+Input!$G112,+Input!$G112+Input!J112)</f>
        <v>50</v>
      </c>
      <c r="F112" s="174">
        <f>IF(Input!K112=0,+Input!$G112,+Input!$G112+Input!K112)</f>
        <v>50</v>
      </c>
      <c r="G112" s="174">
        <f>IF(Input!L112=0,+Input!$G112,+Input!$G112+Input!L112)</f>
        <v>50</v>
      </c>
      <c r="H112" s="174">
        <f>IF(Input!M112=0,+Input!$G112,+Input!$G112+Input!M112)</f>
        <v>50</v>
      </c>
      <c r="I112" s="174">
        <f>IF(Input!N112=0,+Input!$G112,+Input!$G112+Input!N112)</f>
        <v>50</v>
      </c>
      <c r="J112" s="174">
        <f>IF(Input!O112=0,+Input!$G112,+Input!$G112+Input!O112)</f>
        <v>50</v>
      </c>
      <c r="K112" s="174">
        <f>IF(Input!P112=0,+Input!$G112,+Input!$G112+Input!P112)</f>
        <v>50</v>
      </c>
      <c r="L112" s="174">
        <f>IF(Input!Q112=0,+Input!$G112,+Input!$G112+Input!Q112)</f>
        <v>50</v>
      </c>
      <c r="M112" s="174">
        <f>IF(Input!R112=0,+Input!$G112,+Input!$G112+Input!R112)</f>
        <v>50</v>
      </c>
      <c r="N112" s="174">
        <f>IF(Input!S112=0,+Input!$G112,+Input!$G112+Input!S112)</f>
        <v>50</v>
      </c>
      <c r="O112" s="175">
        <f t="shared" si="18"/>
        <v>600</v>
      </c>
      <c r="P112" s="175">
        <f>IF(AND(O112=""),"",+O112/Setup!$B$12)</f>
        <v>2.7272727272727271</v>
      </c>
      <c r="Q112" s="175">
        <f>IF(ISNA(IF(O112="","",(+VLOOKUP(A112,'2016'!$A:$P,15,FALSE)))),0,IF(O112="",0,(+VLOOKUP(A112,'2016'!$A:$P,15,FALSE))))</f>
        <v>1535</v>
      </c>
      <c r="R112" s="169"/>
      <c r="S112" s="278"/>
      <c r="T112" s="321"/>
    </row>
    <row r="113" spans="1:20" s="4" customFormat="1" ht="10.5" customHeight="1">
      <c r="A113" s="410" t="s">
        <v>881</v>
      </c>
      <c r="B113" s="196" t="s">
        <v>536</v>
      </c>
      <c r="C113" s="174">
        <f>IF(Input!H113=0,+Input!$G113,+Input!$G113+Input!H113)</f>
        <v>0</v>
      </c>
      <c r="D113" s="174">
        <f>IF(Input!I113=0,+Input!$G113,+Input!$G113+Input!I113)</f>
        <v>0</v>
      </c>
      <c r="E113" s="174">
        <f>IF(Input!J113=0,+Input!$G113,+Input!$G113+Input!J113)</f>
        <v>0</v>
      </c>
      <c r="F113" s="174">
        <f>IF(Input!K113=0,+Input!$G113,+Input!$G113+Input!K113)</f>
        <v>0</v>
      </c>
      <c r="G113" s="174">
        <f>IF(Input!L113=0,+Input!$G113,+Input!$G113+Input!L113)</f>
        <v>0</v>
      </c>
      <c r="H113" s="174">
        <f>IF(Input!M113=0,+Input!$G113,+Input!$G113+Input!M113)</f>
        <v>0</v>
      </c>
      <c r="I113" s="174">
        <f>IF(Input!N113=0,+Input!$G113,+Input!$G113+Input!N113)</f>
        <v>0</v>
      </c>
      <c r="J113" s="174">
        <f>IF(Input!O113=0,+Input!$G113,+Input!$G113+Input!O113)</f>
        <v>0</v>
      </c>
      <c r="K113" s="174">
        <f>IF(Input!P113=0,+Input!$G113,+Input!$G113+Input!P113)</f>
        <v>0</v>
      </c>
      <c r="L113" s="174">
        <f>IF(Input!Q113=0,+Input!$G113,+Input!$G113+Input!Q113)</f>
        <v>0</v>
      </c>
      <c r="M113" s="174">
        <f>IF(Input!R113=0,+Input!$G113,+Input!$G113+Input!R113)</f>
        <v>0</v>
      </c>
      <c r="N113" s="174">
        <f>IF(Input!S113=0,+Input!$G113,+Input!$G113+Input!S113)</f>
        <v>0</v>
      </c>
      <c r="O113" s="175">
        <f t="shared" si="18"/>
        <v>0</v>
      </c>
      <c r="P113" s="175">
        <f>IF(AND(O113=""),"",+O113/Setup!$B$12)</f>
        <v>0</v>
      </c>
      <c r="Q113" s="175">
        <f>IF(ISNA(IF(O113="","",(+VLOOKUP(A113,'2016'!$A:$P,15,FALSE)))),0,IF(O113="",0,(+VLOOKUP(A113,'2016'!$A:$P,15,FALSE))))</f>
        <v>75</v>
      </c>
      <c r="R113" s="169"/>
      <c r="S113" s="274"/>
      <c r="T113" s="321"/>
    </row>
    <row r="114" spans="1:20" s="4" customFormat="1" ht="10.5" customHeight="1">
      <c r="A114" s="410" t="s">
        <v>883</v>
      </c>
      <c r="B114" s="196" t="s">
        <v>537</v>
      </c>
      <c r="C114" s="174">
        <f>IF(Input!H114=0,+Input!$G114,+Input!$G114+Input!H114)</f>
        <v>400</v>
      </c>
      <c r="D114" s="174">
        <f>IF(Input!I114=0,+Input!$G114,+Input!$G114+Input!I114)</f>
        <v>400</v>
      </c>
      <c r="E114" s="174">
        <f>IF(Input!J114=0,+Input!$G114,+Input!$G114+Input!J114)</f>
        <v>400</v>
      </c>
      <c r="F114" s="174">
        <f>IF(Input!K114=0,+Input!$G114,+Input!$G114+Input!K114)</f>
        <v>400</v>
      </c>
      <c r="G114" s="174">
        <f>IF(Input!L114=0,+Input!$G114,+Input!$G114+Input!L114)</f>
        <v>400</v>
      </c>
      <c r="H114" s="174">
        <f>IF(Input!M114=0,+Input!$G114,+Input!$G114+Input!M114)</f>
        <v>400</v>
      </c>
      <c r="I114" s="174">
        <f>IF(Input!N114=0,+Input!$G114,+Input!$G114+Input!N114)</f>
        <v>400</v>
      </c>
      <c r="J114" s="174">
        <f>IF(Input!O114=0,+Input!$G114,+Input!$G114+Input!O114)</f>
        <v>400</v>
      </c>
      <c r="K114" s="174">
        <f>IF(Input!P114=0,+Input!$G114,+Input!$G114+Input!P114)</f>
        <v>400</v>
      </c>
      <c r="L114" s="174">
        <f>IF(Input!Q114=0,+Input!$G114,+Input!$G114+Input!Q114)</f>
        <v>400</v>
      </c>
      <c r="M114" s="174">
        <f>IF(Input!R114=0,+Input!$G114,+Input!$G114+Input!R114)</f>
        <v>400</v>
      </c>
      <c r="N114" s="174">
        <f>IF(Input!S114=0,+Input!$G114,+Input!$G114+Input!S114)</f>
        <v>400</v>
      </c>
      <c r="O114" s="175">
        <f t="shared" si="18"/>
        <v>4800</v>
      </c>
      <c r="P114" s="175">
        <f>IF(AND(O114=""),"",+O114/Setup!$B$12)</f>
        <v>21.818181818181817</v>
      </c>
      <c r="Q114" s="175">
        <f>IF(ISNA(IF(O114="","",(+VLOOKUP(A114,'2016'!$A:$P,15,FALSE)))),0,IF(O114="",0,(+VLOOKUP(A114,'2016'!$A:$P,15,FALSE))))</f>
        <v>4997</v>
      </c>
      <c r="R114" s="169"/>
      <c r="S114" s="278"/>
      <c r="T114" s="321"/>
    </row>
    <row r="115" spans="1:20" s="4" customFormat="1" ht="10.5" customHeight="1">
      <c r="A115" s="410" t="s">
        <v>885</v>
      </c>
      <c r="B115" s="161" t="s">
        <v>281</v>
      </c>
      <c r="C115" s="174">
        <f>IF(Input!H115=0,+Input!$G115,+Input!$G115+Input!H115)</f>
        <v>0</v>
      </c>
      <c r="D115" s="174">
        <f>IF(Input!I115=0,+Input!$G115,+Input!$G115+Input!I115)</f>
        <v>0</v>
      </c>
      <c r="E115" s="174">
        <f>IF(Input!J115=0,+Input!$G115,+Input!$G115+Input!J115)</f>
        <v>0</v>
      </c>
      <c r="F115" s="174">
        <f>IF(Input!K115=0,+Input!$G115,+Input!$G115+Input!K115)</f>
        <v>0</v>
      </c>
      <c r="G115" s="174">
        <f>IF(Input!L115=0,+Input!$G115,+Input!$G115+Input!L115)</f>
        <v>0</v>
      </c>
      <c r="H115" s="174">
        <f>IF(Input!M115=0,+Input!$G115,+Input!$G115+Input!M115)</f>
        <v>0</v>
      </c>
      <c r="I115" s="174">
        <f>IF(Input!N115=0,+Input!$G115,+Input!$G115+Input!N115)</f>
        <v>0</v>
      </c>
      <c r="J115" s="174">
        <f>IF(Input!O115=0,+Input!$G115,+Input!$G115+Input!O115)</f>
        <v>0</v>
      </c>
      <c r="K115" s="174">
        <f>IF(Input!P115=0,+Input!$G115,+Input!$G115+Input!P115)</f>
        <v>0</v>
      </c>
      <c r="L115" s="174">
        <f>IF(Input!Q115=0,+Input!$G115,+Input!$G115+Input!Q115)</f>
        <v>0</v>
      </c>
      <c r="M115" s="174">
        <f>IF(Input!R115=0,+Input!$G115,+Input!$G115+Input!R115)</f>
        <v>0</v>
      </c>
      <c r="N115" s="174">
        <f>IF(Input!S115=0,+Input!$G115,+Input!$G115+Input!S115)</f>
        <v>0</v>
      </c>
      <c r="O115" s="175">
        <f t="shared" si="18"/>
        <v>0</v>
      </c>
      <c r="P115" s="175">
        <f>IF(AND(O115=""),"",+O115/Setup!$B$12)</f>
        <v>0</v>
      </c>
      <c r="Q115" s="175">
        <f>IF(ISNA(IF(O115="","",(+VLOOKUP(A115,'2016'!$A:$P,15,FALSE)))),0,IF(O115="",0,(+VLOOKUP(A115,'2016'!$A:$P,15,FALSE))))</f>
        <v>4924</v>
      </c>
      <c r="R115" s="169"/>
      <c r="S115" s="278"/>
      <c r="T115" s="321"/>
    </row>
    <row r="116" spans="1:20" s="4" customFormat="1" ht="10.5" customHeight="1">
      <c r="A116" s="163"/>
      <c r="B116" s="163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5" t="str">
        <f t="shared" si="18"/>
        <v/>
      </c>
      <c r="P116" s="175" t="str">
        <f>IF(AND(O116=""),"",+O116/Setup!$B$12)</f>
        <v/>
      </c>
      <c r="Q116" s="175" t="str">
        <f>IF(O116="","",(+VLOOKUP(A116,'2016'!$A:$P,15,FALSE)))</f>
        <v/>
      </c>
      <c r="R116" s="169"/>
      <c r="S116" s="278"/>
      <c r="T116" s="321"/>
    </row>
    <row r="117" spans="1:20" s="4" customFormat="1" ht="10.5" customHeight="1">
      <c r="A117" s="159"/>
      <c r="B117" s="159" t="s">
        <v>258</v>
      </c>
      <c r="C117" s="174">
        <f t="shared" ref="C117:N117" si="21">SUM(C89:C115)</f>
        <v>1625.4833333333333</v>
      </c>
      <c r="D117" s="174">
        <f t="shared" si="21"/>
        <v>1625.4833333333333</v>
      </c>
      <c r="E117" s="174">
        <f t="shared" si="21"/>
        <v>1625.4833333333333</v>
      </c>
      <c r="F117" s="174">
        <f t="shared" si="21"/>
        <v>1625.4833333333333</v>
      </c>
      <c r="G117" s="174">
        <f t="shared" si="21"/>
        <v>1625.4833333333333</v>
      </c>
      <c r="H117" s="174">
        <f t="shared" si="21"/>
        <v>1625.4833333333333</v>
      </c>
      <c r="I117" s="174">
        <f t="shared" si="21"/>
        <v>1625.4833333333333</v>
      </c>
      <c r="J117" s="174">
        <f t="shared" si="21"/>
        <v>1625.4833333333333</v>
      </c>
      <c r="K117" s="174">
        <f t="shared" si="21"/>
        <v>1625.4833333333333</v>
      </c>
      <c r="L117" s="174">
        <f t="shared" si="21"/>
        <v>1625.4833333333333</v>
      </c>
      <c r="M117" s="174">
        <f t="shared" si="21"/>
        <v>1625.4833333333333</v>
      </c>
      <c r="N117" s="174">
        <f t="shared" si="21"/>
        <v>1625.4833333333333</v>
      </c>
      <c r="O117" s="175">
        <f t="shared" si="18"/>
        <v>19505.8</v>
      </c>
      <c r="P117" s="175">
        <f>IF(AND(O117=""),"",+O117/Setup!$B$12)</f>
        <v>88.662727272727267</v>
      </c>
      <c r="Q117" s="174">
        <f>SUM(Q89:Q115)</f>
        <v>38880</v>
      </c>
      <c r="R117" s="169"/>
      <c r="S117" s="278"/>
      <c r="T117" s="321"/>
    </row>
    <row r="118" spans="1:20" s="4" customFormat="1" ht="10.5" customHeight="1">
      <c r="A118" s="161"/>
      <c r="B118" s="161" t="s">
        <v>282</v>
      </c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5" t="str">
        <f t="shared" si="18"/>
        <v/>
      </c>
      <c r="P118" s="175" t="str">
        <f>IF(AND(O118=""),"",+O118/Setup!$B$12)</f>
        <v/>
      </c>
      <c r="Q118" s="175" t="str">
        <f>IF(O118="","",(+VLOOKUP(A118,'2016'!$A:$P,15,FALSE)))</f>
        <v/>
      </c>
      <c r="R118" s="169"/>
      <c r="S118" s="274"/>
      <c r="T118" s="321"/>
    </row>
    <row r="119" spans="1:20" s="4" customFormat="1" ht="10.5" customHeight="1">
      <c r="A119" s="410" t="s">
        <v>888</v>
      </c>
      <c r="B119" s="161" t="s">
        <v>283</v>
      </c>
      <c r="C119" s="174">
        <f>IF(Input!H119=0,+Input!$G119,+Input!$G119+Input!H119)</f>
        <v>0</v>
      </c>
      <c r="D119" s="174">
        <f>IF(Input!I119=0,+Input!$G119,+Input!$G119+Input!I119)</f>
        <v>0</v>
      </c>
      <c r="E119" s="174">
        <f>IF(Input!J119=0,+Input!$G119,+Input!$G119+Input!J119)</f>
        <v>0</v>
      </c>
      <c r="F119" s="174">
        <f>IF(Input!K119=0,+Input!$G119,+Input!$G119+Input!K119)</f>
        <v>0</v>
      </c>
      <c r="G119" s="174">
        <f>IF(Input!L119=0,+Input!$G119,+Input!$G119+Input!L119)</f>
        <v>0</v>
      </c>
      <c r="H119" s="174">
        <f>IF(Input!M119=0,+Input!$G119,+Input!$G119+Input!M119)</f>
        <v>0</v>
      </c>
      <c r="I119" s="174">
        <f>IF(Input!N119=0,+Input!$G119,+Input!$G119+Input!N119)</f>
        <v>0</v>
      </c>
      <c r="J119" s="174">
        <f>IF(Input!O119=0,+Input!$G119,+Input!$G119+Input!O119)</f>
        <v>0</v>
      </c>
      <c r="K119" s="174">
        <f>IF(Input!P119=0,+Input!$G119,+Input!$G119+Input!P119)</f>
        <v>0</v>
      </c>
      <c r="L119" s="174">
        <f>IF(Input!Q119=0,+Input!$G119,+Input!$G119+Input!Q119)</f>
        <v>0</v>
      </c>
      <c r="M119" s="174">
        <f>IF(Input!R119=0,+Input!$G119,+Input!$G119+Input!R119)</f>
        <v>0</v>
      </c>
      <c r="N119" s="174">
        <f>IF(Input!S119=0,+Input!$G119,+Input!$G119+Input!S119)</f>
        <v>0</v>
      </c>
      <c r="O119" s="175">
        <f t="shared" si="18"/>
        <v>0</v>
      </c>
      <c r="P119" s="175">
        <f>IF(AND(O119=""),"",+O119/Setup!$B$12)</f>
        <v>0</v>
      </c>
      <c r="Q119" s="175">
        <f>IF(ISNA(IF(O119="","",(+VLOOKUP(A119,'2016'!$A:$P,15,FALSE)))),0,IF(O119="",0,(+VLOOKUP(A119,'2016'!$A:$P,15,FALSE))))</f>
        <v>0</v>
      </c>
      <c r="R119" s="169"/>
      <c r="S119" s="274"/>
      <c r="T119" s="321"/>
    </row>
    <row r="120" spans="1:20" s="10" customFormat="1" ht="10.5" customHeight="1">
      <c r="A120" s="410" t="s">
        <v>890</v>
      </c>
      <c r="B120" s="161" t="s">
        <v>284</v>
      </c>
      <c r="C120" s="174">
        <f>IF(Input!H120=0,+Input!$G120,+Input!$G120+Input!H120)</f>
        <v>0</v>
      </c>
      <c r="D120" s="174">
        <f>IF(Input!I120=0,+Input!$G120,+Input!$G120+Input!I120)</f>
        <v>0</v>
      </c>
      <c r="E120" s="174">
        <f>IF(Input!J120=0,+Input!$G120,+Input!$G120+Input!J120)</f>
        <v>0</v>
      </c>
      <c r="F120" s="174">
        <f>IF(Input!K120=0,+Input!$G120,+Input!$G120+Input!K120)</f>
        <v>0</v>
      </c>
      <c r="G120" s="174">
        <f>IF(Input!L120=0,+Input!$G120,+Input!$G120+Input!L120)</f>
        <v>0</v>
      </c>
      <c r="H120" s="174">
        <f>IF(Input!M120=0,+Input!$G120,+Input!$G120+Input!M120)</f>
        <v>0</v>
      </c>
      <c r="I120" s="174">
        <f>IF(Input!N120=0,+Input!$G120,+Input!$G120+Input!N120)</f>
        <v>0</v>
      </c>
      <c r="J120" s="174">
        <f>IF(Input!O120=0,+Input!$G120,+Input!$G120+Input!O120)</f>
        <v>0</v>
      </c>
      <c r="K120" s="174">
        <f>IF(Input!P120=0,+Input!$G120,+Input!$G120+Input!P120)</f>
        <v>0</v>
      </c>
      <c r="L120" s="174">
        <f>IF(Input!Q120=0,+Input!$G120,+Input!$G120+Input!Q120)</f>
        <v>0</v>
      </c>
      <c r="M120" s="174">
        <f>IF(Input!R120=0,+Input!$G120,+Input!$G120+Input!R120)</f>
        <v>0</v>
      </c>
      <c r="N120" s="174">
        <f>IF(Input!S120=0,+Input!$G120,+Input!$G120+Input!S120)</f>
        <v>0</v>
      </c>
      <c r="O120" s="175">
        <f t="shared" si="18"/>
        <v>0</v>
      </c>
      <c r="P120" s="175">
        <f>IF(AND(O120=""),"",+O120/Setup!$B$12)</f>
        <v>0</v>
      </c>
      <c r="Q120" s="175">
        <f>IF(ISNA(IF(O120="","",(+VLOOKUP(A120,'2016'!$A:$P,15,FALSE)))),0,IF(O120="",0,(+VLOOKUP(A120,'2016'!$A:$P,15,FALSE))))</f>
        <v>0</v>
      </c>
      <c r="R120" s="169"/>
      <c r="S120" s="278"/>
      <c r="T120" s="321"/>
    </row>
    <row r="121" spans="1:20" s="17" customFormat="1" ht="10.5" customHeight="1">
      <c r="A121" s="410" t="s">
        <v>891</v>
      </c>
      <c r="B121" s="161" t="s">
        <v>285</v>
      </c>
      <c r="C121" s="174">
        <f>IF(Input!H121=0,+Input!$G121,+Input!$G121+Input!H121)</f>
        <v>0</v>
      </c>
      <c r="D121" s="174">
        <f>IF(Input!I121=0,+Input!$G121,+Input!$G121+Input!I121)</f>
        <v>0</v>
      </c>
      <c r="E121" s="174">
        <f>IF(Input!J121=0,+Input!$G121,+Input!$G121+Input!J121)</f>
        <v>0</v>
      </c>
      <c r="F121" s="174">
        <f>IF(Input!K121=0,+Input!$G121,+Input!$G121+Input!K121)</f>
        <v>0</v>
      </c>
      <c r="G121" s="174">
        <f>IF(Input!L121=0,+Input!$G121,+Input!$G121+Input!L121)</f>
        <v>0</v>
      </c>
      <c r="H121" s="174">
        <f>IF(Input!M121=0,+Input!$G121,+Input!$G121+Input!M121)</f>
        <v>0</v>
      </c>
      <c r="I121" s="174">
        <f>IF(Input!N121=0,+Input!$G121,+Input!$G121+Input!N121)</f>
        <v>0</v>
      </c>
      <c r="J121" s="174">
        <f>IF(Input!O121=0,+Input!$G121,+Input!$G121+Input!O121)</f>
        <v>0</v>
      </c>
      <c r="K121" s="174">
        <f>IF(Input!P121=0,+Input!$G121,+Input!$G121+Input!P121)</f>
        <v>0</v>
      </c>
      <c r="L121" s="174">
        <f>IF(Input!Q121=0,+Input!$G121,+Input!$G121+Input!Q121)</f>
        <v>0</v>
      </c>
      <c r="M121" s="174">
        <f>IF(Input!R121=0,+Input!$G121,+Input!$G121+Input!R121)</f>
        <v>0</v>
      </c>
      <c r="N121" s="174">
        <f>IF(Input!S121=0,+Input!$G121,+Input!$G121+Input!S121)</f>
        <v>0</v>
      </c>
      <c r="O121" s="175">
        <f t="shared" si="18"/>
        <v>0</v>
      </c>
      <c r="P121" s="175">
        <f>IF(AND(O121=""),"",+O121/Setup!$B$12)</f>
        <v>0</v>
      </c>
      <c r="Q121" s="175">
        <f>IF(ISNA(IF(O121="","",(+VLOOKUP(A121,'2016'!$A:$P,15,FALSE)))),0,IF(O121="",0,(+VLOOKUP(A121,'2016'!$A:$P,15,FALSE))))</f>
        <v>0</v>
      </c>
      <c r="R121" s="169"/>
      <c r="S121" s="278"/>
      <c r="T121" s="321"/>
    </row>
    <row r="122" spans="1:20" s="17" customFormat="1" ht="10.5" customHeight="1">
      <c r="A122" s="410" t="s">
        <v>892</v>
      </c>
      <c r="B122" s="161" t="s">
        <v>286</v>
      </c>
      <c r="C122" s="174">
        <f>IF(Input!H122=0,+Input!$G122,+Input!$G122+Input!H122)</f>
        <v>0</v>
      </c>
      <c r="D122" s="174">
        <f>IF(Input!I122=0,+Input!$G122,+Input!$G122+Input!I122)</f>
        <v>0</v>
      </c>
      <c r="E122" s="174">
        <f>IF(Input!J122=0,+Input!$G122,+Input!$G122+Input!J122)</f>
        <v>0</v>
      </c>
      <c r="F122" s="174">
        <f>IF(Input!K122=0,+Input!$G122,+Input!$G122+Input!K122)</f>
        <v>0</v>
      </c>
      <c r="G122" s="174">
        <f>IF(Input!L122=0,+Input!$G122,+Input!$G122+Input!L122)</f>
        <v>0</v>
      </c>
      <c r="H122" s="174">
        <f>IF(Input!M122=0,+Input!$G122,+Input!$G122+Input!M122)</f>
        <v>0</v>
      </c>
      <c r="I122" s="174">
        <f>IF(Input!N122=0,+Input!$G122,+Input!$G122+Input!N122)</f>
        <v>0</v>
      </c>
      <c r="J122" s="174">
        <f>IF(Input!O122=0,+Input!$G122,+Input!$G122+Input!O122)</f>
        <v>0</v>
      </c>
      <c r="K122" s="174">
        <f>IF(Input!P122=0,+Input!$G122,+Input!$G122+Input!P122)</f>
        <v>0</v>
      </c>
      <c r="L122" s="174">
        <f>IF(Input!Q122=0,+Input!$G122,+Input!$G122+Input!Q122)</f>
        <v>0</v>
      </c>
      <c r="M122" s="174">
        <f>IF(Input!R122=0,+Input!$G122,+Input!$G122+Input!R122)</f>
        <v>0</v>
      </c>
      <c r="N122" s="174">
        <f>IF(Input!S122=0,+Input!$G122,+Input!$G122+Input!S122)</f>
        <v>0</v>
      </c>
      <c r="O122" s="175">
        <f t="shared" si="18"/>
        <v>0</v>
      </c>
      <c r="P122" s="175">
        <f>IF(AND(O122=""),"",+O122/Setup!$B$12)</f>
        <v>0</v>
      </c>
      <c r="Q122" s="175">
        <f>IF(ISNA(IF(O122="","",(+VLOOKUP(A122,'2016'!$A:$P,15,FALSE)))),0,IF(O122="",0,(+VLOOKUP(A122,'2016'!$A:$P,15,FALSE))))</f>
        <v>0</v>
      </c>
      <c r="R122" s="169"/>
      <c r="S122" s="278"/>
      <c r="T122" s="321"/>
    </row>
    <row r="123" spans="1:20" s="4" customFormat="1" ht="10.5" customHeight="1">
      <c r="A123" s="410" t="s">
        <v>893</v>
      </c>
      <c r="B123" s="161" t="s">
        <v>287</v>
      </c>
      <c r="C123" s="174">
        <f>IF(Input!H123=0,+Input!$G123,+Input!$G123+Input!H123)</f>
        <v>111.58333333333333</v>
      </c>
      <c r="D123" s="174">
        <f>IF(Input!I123=0,+Input!$G123,+Input!$G123+Input!I123)</f>
        <v>111.58333333333333</v>
      </c>
      <c r="E123" s="174">
        <f>IF(Input!J123=0,+Input!$G123,+Input!$G123+Input!J123)</f>
        <v>111.58333333333333</v>
      </c>
      <c r="F123" s="174">
        <f>IF(Input!K123=0,+Input!$G123,+Input!$G123+Input!K123)</f>
        <v>111.58333333333333</v>
      </c>
      <c r="G123" s="174">
        <f>IF(Input!L123=0,+Input!$G123,+Input!$G123+Input!L123)</f>
        <v>111.58333333333333</v>
      </c>
      <c r="H123" s="174">
        <f>IF(Input!M123=0,+Input!$G123,+Input!$G123+Input!M123)</f>
        <v>111.58333333333333</v>
      </c>
      <c r="I123" s="174">
        <f>IF(Input!N123=0,+Input!$G123,+Input!$G123+Input!N123)</f>
        <v>111.58333333333333</v>
      </c>
      <c r="J123" s="174">
        <f>IF(Input!O123=0,+Input!$G123,+Input!$G123+Input!O123)</f>
        <v>111.58333333333333</v>
      </c>
      <c r="K123" s="174">
        <f>IF(Input!P123=0,+Input!$G123,+Input!$G123+Input!P123)</f>
        <v>111.58333333333333</v>
      </c>
      <c r="L123" s="174">
        <f>IF(Input!Q123=0,+Input!$G123,+Input!$G123+Input!Q123)</f>
        <v>111.58333333333333</v>
      </c>
      <c r="M123" s="174">
        <f>IF(Input!R123=0,+Input!$G123,+Input!$G123+Input!R123)</f>
        <v>111.58333333333333</v>
      </c>
      <c r="N123" s="174">
        <f>IF(Input!S123=0,+Input!$G123,+Input!$G123+Input!S123)</f>
        <v>111.58333333333333</v>
      </c>
      <c r="O123" s="175">
        <f t="shared" si="18"/>
        <v>1339</v>
      </c>
      <c r="P123" s="175">
        <f>IF(AND(O123=""),"",+O123/Setup!$B$12)</f>
        <v>6.086363636363636</v>
      </c>
      <c r="Q123" s="175">
        <f>IF(ISNA(IF(O123="","",(+VLOOKUP(A123,'2016'!$A:$P,15,FALSE)))),0,IF(O123="",0,(+VLOOKUP(A123,'2016'!$A:$P,15,FALSE))))</f>
        <v>1339</v>
      </c>
      <c r="R123" s="169"/>
      <c r="S123" s="278"/>
      <c r="T123" s="321"/>
    </row>
    <row r="124" spans="1:20" s="4" customFormat="1" ht="10.5" customHeight="1">
      <c r="A124" s="410" t="s">
        <v>895</v>
      </c>
      <c r="B124" s="161" t="s">
        <v>288</v>
      </c>
      <c r="C124" s="174">
        <f>IF(Input!H124=0,+Input!$G124,+Input!$G124+Input!H124)</f>
        <v>0</v>
      </c>
      <c r="D124" s="174">
        <f>IF(Input!I124=0,+Input!$G124,+Input!$G124+Input!I124)</f>
        <v>0</v>
      </c>
      <c r="E124" s="174">
        <f>IF(Input!J124=0,+Input!$G124,+Input!$G124+Input!J124)</f>
        <v>0</v>
      </c>
      <c r="F124" s="174">
        <f>IF(Input!K124=0,+Input!$G124,+Input!$G124+Input!K124)</f>
        <v>0</v>
      </c>
      <c r="G124" s="174">
        <f>IF(Input!L124=0,+Input!$G124,+Input!$G124+Input!L124)</f>
        <v>0</v>
      </c>
      <c r="H124" s="174">
        <f>IF(Input!M124=0,+Input!$G124,+Input!$G124+Input!M124)</f>
        <v>0</v>
      </c>
      <c r="I124" s="174">
        <f>IF(Input!N124=0,+Input!$G124,+Input!$G124+Input!N124)</f>
        <v>0</v>
      </c>
      <c r="J124" s="174">
        <f>IF(Input!O124=0,+Input!$G124,+Input!$G124+Input!O124)</f>
        <v>0</v>
      </c>
      <c r="K124" s="174">
        <f>IF(Input!P124=0,+Input!$G124,+Input!$G124+Input!P124)</f>
        <v>0</v>
      </c>
      <c r="L124" s="174">
        <f>IF(Input!Q124=0,+Input!$G124,+Input!$G124+Input!Q124)</f>
        <v>0</v>
      </c>
      <c r="M124" s="174">
        <f>IF(Input!R124=0,+Input!$G124,+Input!$G124+Input!R124)</f>
        <v>0</v>
      </c>
      <c r="N124" s="174">
        <f>IF(Input!S124=0,+Input!$G124,+Input!$G124+Input!S124)</f>
        <v>0</v>
      </c>
      <c r="O124" s="175">
        <f t="shared" si="18"/>
        <v>0</v>
      </c>
      <c r="P124" s="175">
        <f>IF(AND(O124=""),"",+O124/Setup!$B$12)</f>
        <v>0</v>
      </c>
      <c r="Q124" s="175">
        <f>IF(ISNA(IF(O124="","",(+VLOOKUP(A124,'2016'!$A:$P,15,FALSE)))),0,IF(O124="",0,(+VLOOKUP(A124,'2016'!$A:$P,15,FALSE))))</f>
        <v>0</v>
      </c>
      <c r="R124" s="169"/>
      <c r="S124" s="278"/>
      <c r="T124" s="321"/>
    </row>
    <row r="125" spans="1:20" s="4" customFormat="1" ht="10.5" customHeight="1">
      <c r="A125" s="163"/>
      <c r="B125" s="163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5" t="str">
        <f t="shared" si="18"/>
        <v/>
      </c>
      <c r="P125" s="175" t="str">
        <f>IF(AND(O125=""),"",+O125/Setup!$B$12)</f>
        <v/>
      </c>
      <c r="Q125" s="175" t="str">
        <f>IF(O125="","",(+VLOOKUP(A125,'2016'!$A:$P,15,FALSE)))</f>
        <v/>
      </c>
      <c r="R125" s="169"/>
      <c r="S125" s="278"/>
      <c r="T125" s="321"/>
    </row>
    <row r="126" spans="1:20" s="4" customFormat="1" ht="10.5" customHeight="1">
      <c r="A126" s="159"/>
      <c r="B126" s="159" t="s">
        <v>282</v>
      </c>
      <c r="C126" s="174">
        <f t="shared" ref="C126:N126" si="22">SUM(C119:C124)</f>
        <v>111.58333333333333</v>
      </c>
      <c r="D126" s="174">
        <f t="shared" si="22"/>
        <v>111.58333333333333</v>
      </c>
      <c r="E126" s="174">
        <f t="shared" si="22"/>
        <v>111.58333333333333</v>
      </c>
      <c r="F126" s="174">
        <f t="shared" si="22"/>
        <v>111.58333333333333</v>
      </c>
      <c r="G126" s="174">
        <f t="shared" si="22"/>
        <v>111.58333333333333</v>
      </c>
      <c r="H126" s="174">
        <f t="shared" si="22"/>
        <v>111.58333333333333</v>
      </c>
      <c r="I126" s="174">
        <f t="shared" si="22"/>
        <v>111.58333333333333</v>
      </c>
      <c r="J126" s="174">
        <f t="shared" si="22"/>
        <v>111.58333333333333</v>
      </c>
      <c r="K126" s="174">
        <f t="shared" si="22"/>
        <v>111.58333333333333</v>
      </c>
      <c r="L126" s="174">
        <f t="shared" si="22"/>
        <v>111.58333333333333</v>
      </c>
      <c r="M126" s="174">
        <f t="shared" si="22"/>
        <v>111.58333333333333</v>
      </c>
      <c r="N126" s="174">
        <f t="shared" si="22"/>
        <v>111.58333333333333</v>
      </c>
      <c r="O126" s="175">
        <f t="shared" si="18"/>
        <v>1339</v>
      </c>
      <c r="P126" s="175">
        <f>IF(AND(O126=""),"",+O126/Setup!$B$12)</f>
        <v>6.086363636363636</v>
      </c>
      <c r="Q126" s="174">
        <f>SUM(Q119:Q124)</f>
        <v>1339</v>
      </c>
      <c r="R126" s="169"/>
      <c r="S126" s="278"/>
      <c r="T126" s="321"/>
    </row>
    <row r="127" spans="1:20" s="4" customFormat="1" ht="10.5" customHeight="1">
      <c r="A127" s="161"/>
      <c r="B127" s="161" t="s">
        <v>289</v>
      </c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5" t="str">
        <f t="shared" si="18"/>
        <v/>
      </c>
      <c r="P127" s="175" t="str">
        <f>IF(AND(O127=""),"",+O127/Setup!$B$12)</f>
        <v/>
      </c>
      <c r="Q127" s="175" t="str">
        <f>IF(O127="","",(+VLOOKUP(A127,'2016'!$A:$P,15,FALSE)))</f>
        <v/>
      </c>
      <c r="R127" s="169"/>
      <c r="S127" s="278"/>
      <c r="T127" s="321"/>
    </row>
    <row r="128" spans="1:20" s="4" customFormat="1" ht="10.5" customHeight="1">
      <c r="A128" s="410" t="s">
        <v>897</v>
      </c>
      <c r="B128" s="161" t="s">
        <v>290</v>
      </c>
      <c r="C128" s="174">
        <f>IF(Input!H128=0,+Input!$G128,+Input!$G128+Input!H128)</f>
        <v>0</v>
      </c>
      <c r="D128" s="174">
        <f>IF(Input!I128=0,+Input!$G128,+Input!$G128+Input!I128)</f>
        <v>0</v>
      </c>
      <c r="E128" s="174">
        <f>IF(Input!J128=0,+Input!$G128,+Input!$G128+Input!J128)</f>
        <v>0</v>
      </c>
      <c r="F128" s="174">
        <f>IF(Input!K128=0,+Input!$G128,+Input!$G128+Input!K128)</f>
        <v>0</v>
      </c>
      <c r="G128" s="174">
        <f>IF(Input!L128=0,+Input!$G128,+Input!$G128+Input!L128)</f>
        <v>0</v>
      </c>
      <c r="H128" s="174">
        <f>IF(Input!M128=0,+Input!$G128,+Input!$G128+Input!M128)</f>
        <v>0</v>
      </c>
      <c r="I128" s="174">
        <f>IF(Input!N128=0,+Input!$G128,+Input!$G128+Input!N128)</f>
        <v>0</v>
      </c>
      <c r="J128" s="174">
        <f>IF(Input!O128=0,+Input!$G128,+Input!$G128+Input!O128)</f>
        <v>0</v>
      </c>
      <c r="K128" s="174">
        <f>IF(Input!P128=0,+Input!$G128,+Input!$G128+Input!P128)</f>
        <v>0</v>
      </c>
      <c r="L128" s="174">
        <f>IF(Input!Q128=0,+Input!$G128,+Input!$G128+Input!Q128)</f>
        <v>0</v>
      </c>
      <c r="M128" s="174">
        <f>IF(Input!R128=0,+Input!$G128,+Input!$G128+Input!R128)</f>
        <v>0</v>
      </c>
      <c r="N128" s="174">
        <f>IF(Input!S128=0,+Input!$G128,+Input!$G128+Input!S128)</f>
        <v>0</v>
      </c>
      <c r="O128" s="175">
        <f t="shared" si="18"/>
        <v>0</v>
      </c>
      <c r="P128" s="175">
        <f>IF(AND(O128=""),"",+O128/Setup!$B$12)</f>
        <v>0</v>
      </c>
      <c r="Q128" s="175">
        <f>IF(ISNA(IF(O128="","",(+VLOOKUP(A128,'2016'!$A:$P,15,FALSE)))),0,IF(O128="",0,(+VLOOKUP(A128,'2016'!$A:$P,15,FALSE))))</f>
        <v>0</v>
      </c>
      <c r="R128" s="169"/>
      <c r="S128" s="278"/>
      <c r="T128" s="321"/>
    </row>
    <row r="129" spans="1:20" s="17" customFormat="1" ht="10.5" customHeight="1">
      <c r="A129" s="410" t="s">
        <v>899</v>
      </c>
      <c r="B129" s="196" t="s">
        <v>291</v>
      </c>
      <c r="C129" s="174">
        <f>IF(Input!H129=0,+Input!$G129,+Input!$G129+Input!H129)</f>
        <v>0</v>
      </c>
      <c r="D129" s="174">
        <f>IF(Input!I129=0,+Input!$G129,+Input!$G129+Input!I129)</f>
        <v>0</v>
      </c>
      <c r="E129" s="174">
        <f>IF(Input!J129=0,+Input!$G129,+Input!$G129+Input!J129)</f>
        <v>0</v>
      </c>
      <c r="F129" s="174">
        <f>IF(Input!K129=0,+Input!$G129,+Input!$G129+Input!K129)</f>
        <v>0</v>
      </c>
      <c r="G129" s="174">
        <f>IF(Input!L129=0,+Input!$G129,+Input!$G129+Input!L129)</f>
        <v>0</v>
      </c>
      <c r="H129" s="174">
        <f>IF(Input!M129=0,+Input!$G129,+Input!$G129+Input!M129)</f>
        <v>0</v>
      </c>
      <c r="I129" s="174">
        <f>IF(Input!N129=0,+Input!$G129,+Input!$G129+Input!N129)</f>
        <v>0</v>
      </c>
      <c r="J129" s="174">
        <f>IF(Input!O129=0,+Input!$G129,+Input!$G129+Input!O129)</f>
        <v>0</v>
      </c>
      <c r="K129" s="174">
        <f>IF(Input!P129=0,+Input!$G129,+Input!$G129+Input!P129)</f>
        <v>0</v>
      </c>
      <c r="L129" s="174">
        <f>IF(Input!Q129=0,+Input!$G129,+Input!$G129+Input!Q129)</f>
        <v>0</v>
      </c>
      <c r="M129" s="174">
        <f>IF(Input!R129=0,+Input!$G129,+Input!$G129+Input!R129)</f>
        <v>0</v>
      </c>
      <c r="N129" s="174">
        <f>IF(Input!S129=0,+Input!$G129,+Input!$G129+Input!S129)</f>
        <v>0</v>
      </c>
      <c r="O129" s="175">
        <f t="shared" si="18"/>
        <v>0</v>
      </c>
      <c r="P129" s="175">
        <f>IF(AND(O129=""),"",+O129/Setup!$B$12)</f>
        <v>0</v>
      </c>
      <c r="Q129" s="175">
        <f>IF(ISNA(IF(O129="","",(+VLOOKUP(A129,'2016'!$A:$P,15,FALSE)))),0,IF(O129="",0,(+VLOOKUP(A129,'2016'!$A:$P,15,FALSE))))</f>
        <v>4196</v>
      </c>
      <c r="R129" s="169"/>
      <c r="S129" s="278"/>
      <c r="T129" s="321"/>
    </row>
    <row r="130" spans="1:20" s="17" customFormat="1" ht="10.5" customHeight="1">
      <c r="A130" s="163"/>
      <c r="B130" s="163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5" t="str">
        <f t="shared" si="18"/>
        <v/>
      </c>
      <c r="P130" s="175" t="str">
        <f>IF(AND(O130=""),"",+O130/Setup!$B$12)</f>
        <v/>
      </c>
      <c r="Q130" s="175" t="str">
        <f>IF(O130="","",(+VLOOKUP(A130,'2016'!$A:$P,15,FALSE)))</f>
        <v/>
      </c>
      <c r="R130" s="169"/>
      <c r="S130" s="278"/>
      <c r="T130" s="321"/>
    </row>
    <row r="131" spans="1:20" s="4" customFormat="1" ht="10.5" customHeight="1">
      <c r="A131" s="159"/>
      <c r="B131" s="159" t="s">
        <v>289</v>
      </c>
      <c r="C131" s="174">
        <f t="shared" ref="C131:N131" si="23">SUM(C128:C129)</f>
        <v>0</v>
      </c>
      <c r="D131" s="174">
        <f t="shared" si="23"/>
        <v>0</v>
      </c>
      <c r="E131" s="174">
        <f t="shared" si="23"/>
        <v>0</v>
      </c>
      <c r="F131" s="174">
        <f t="shared" si="23"/>
        <v>0</v>
      </c>
      <c r="G131" s="174">
        <f t="shared" si="23"/>
        <v>0</v>
      </c>
      <c r="H131" s="174">
        <f t="shared" si="23"/>
        <v>0</v>
      </c>
      <c r="I131" s="174">
        <f t="shared" si="23"/>
        <v>0</v>
      </c>
      <c r="J131" s="174">
        <f t="shared" si="23"/>
        <v>0</v>
      </c>
      <c r="K131" s="174">
        <f t="shared" si="23"/>
        <v>0</v>
      </c>
      <c r="L131" s="174">
        <f t="shared" si="23"/>
        <v>0</v>
      </c>
      <c r="M131" s="174">
        <f t="shared" si="23"/>
        <v>0</v>
      </c>
      <c r="N131" s="174">
        <f t="shared" si="23"/>
        <v>0</v>
      </c>
      <c r="O131" s="175">
        <f t="shared" ref="O131:O194" si="24">IF(N131="","",SUM(C131:N131))</f>
        <v>0</v>
      </c>
      <c r="P131" s="175">
        <f>IF(AND(O131=""),"",+O131/Setup!$B$12)</f>
        <v>0</v>
      </c>
      <c r="Q131" s="174">
        <f>SUM(Q128:Q129)</f>
        <v>4196</v>
      </c>
      <c r="R131" s="169"/>
      <c r="S131" s="278"/>
      <c r="T131" s="321"/>
    </row>
    <row r="132" spans="1:20" s="4" customFormat="1" ht="10.5" customHeight="1">
      <c r="A132" s="164"/>
      <c r="B132" s="163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5" t="str">
        <f t="shared" si="24"/>
        <v/>
      </c>
      <c r="P132" s="175" t="str">
        <f>IF(AND(O132=""),"",+O132/Setup!$B$12)</f>
        <v/>
      </c>
      <c r="Q132" s="175" t="str">
        <f>IF(O132="","",(+VLOOKUP(A132,'2016'!$A:$P,15,FALSE)))</f>
        <v/>
      </c>
      <c r="R132" s="169"/>
      <c r="S132" s="278"/>
      <c r="T132" s="321"/>
    </row>
    <row r="133" spans="1:20" s="4" customFormat="1" ht="10.5" customHeight="1">
      <c r="A133" s="159"/>
      <c r="B133" s="159" t="s">
        <v>245</v>
      </c>
      <c r="C133" s="179">
        <f t="shared" ref="C133:N133" si="25">SUM(C131,C126,C117,C87,C78)</f>
        <v>4043.2299999999996</v>
      </c>
      <c r="D133" s="179">
        <f t="shared" si="25"/>
        <v>4043.2299999999996</v>
      </c>
      <c r="E133" s="179">
        <f t="shared" si="25"/>
        <v>4043.2299999999996</v>
      </c>
      <c r="F133" s="179">
        <f t="shared" si="25"/>
        <v>4043.2299999999996</v>
      </c>
      <c r="G133" s="179">
        <f t="shared" si="25"/>
        <v>4043.2299999999996</v>
      </c>
      <c r="H133" s="179">
        <f t="shared" si="25"/>
        <v>4043.2299999999996</v>
      </c>
      <c r="I133" s="179">
        <f t="shared" si="25"/>
        <v>4043.2299999999996</v>
      </c>
      <c r="J133" s="179">
        <f t="shared" si="25"/>
        <v>4043.2299999999996</v>
      </c>
      <c r="K133" s="179">
        <f t="shared" si="25"/>
        <v>4043.2299999999996</v>
      </c>
      <c r="L133" s="179">
        <f t="shared" si="25"/>
        <v>4043.2299999999996</v>
      </c>
      <c r="M133" s="179">
        <f t="shared" si="25"/>
        <v>4043.2299999999996</v>
      </c>
      <c r="N133" s="179">
        <f t="shared" si="25"/>
        <v>4043.2299999999996</v>
      </c>
      <c r="O133" s="175">
        <f t="shared" si="24"/>
        <v>48518.75999999998</v>
      </c>
      <c r="P133" s="175">
        <f>IF(AND(O133=""),"",+O133/Setup!$B$12)</f>
        <v>220.53981818181811</v>
      </c>
      <c r="Q133" s="179">
        <f>SUM(Q131,Q126,Q117,Q87,Q78)</f>
        <v>78438</v>
      </c>
      <c r="R133" s="169"/>
      <c r="S133" s="278"/>
      <c r="T133" s="321"/>
    </row>
    <row r="134" spans="1:20" s="10" customFormat="1" ht="10.5" customHeight="1">
      <c r="A134" s="161"/>
      <c r="B134" s="161" t="s">
        <v>292</v>
      </c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5" t="str">
        <f t="shared" si="24"/>
        <v/>
      </c>
      <c r="P134" s="175" t="str">
        <f>IF(AND(O134=""),"",+O134/Setup!$B$12)</f>
        <v/>
      </c>
      <c r="Q134" s="175" t="str">
        <f>IF(O134="","",(+VLOOKUP(A134,'2016'!$A:$P,15,FALSE)))</f>
        <v/>
      </c>
      <c r="R134" s="169"/>
      <c r="S134" s="278"/>
      <c r="T134" s="321"/>
    </row>
    <row r="135" spans="1:20" s="17" customFormat="1" ht="10.5" customHeight="1">
      <c r="A135" s="161"/>
      <c r="B135" s="161" t="s">
        <v>293</v>
      </c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5" t="str">
        <f t="shared" si="24"/>
        <v/>
      </c>
      <c r="P135" s="175" t="str">
        <f>IF(AND(O135=""),"",+O135/Setup!$B$12)</f>
        <v/>
      </c>
      <c r="Q135" s="175" t="str">
        <f>IF(O135="","",(+VLOOKUP(A135,'2016'!$A:$P,15,FALSE)))</f>
        <v/>
      </c>
      <c r="R135" s="169"/>
      <c r="S135" s="278"/>
      <c r="T135" s="321"/>
    </row>
    <row r="136" spans="1:20" s="17" customFormat="1" ht="10.5" customHeight="1">
      <c r="A136" s="410" t="s">
        <v>903</v>
      </c>
      <c r="B136" s="161" t="s">
        <v>294</v>
      </c>
      <c r="C136" s="174">
        <f>IF(Input!H136=0,+Input!$G136,+Input!$G136+Input!H136)</f>
        <v>4440</v>
      </c>
      <c r="D136" s="174">
        <f>IF(Input!I136=0,+Input!$G136,+Input!$G136+Input!I136)</f>
        <v>4440</v>
      </c>
      <c r="E136" s="174">
        <f>IF(Input!J136=0,+Input!$G136,+Input!$G136+Input!J136)</f>
        <v>4440</v>
      </c>
      <c r="F136" s="174">
        <f>IF(Input!K136=0,+Input!$G136,+Input!$G136+Input!K136)</f>
        <v>4440</v>
      </c>
      <c r="G136" s="174">
        <f>IF(Input!L136=0,+Input!$G136,+Input!$G136+Input!L136)</f>
        <v>4440</v>
      </c>
      <c r="H136" s="174">
        <f>IF(Input!M136=0,+Input!$G136,+Input!$G136+Input!M136)</f>
        <v>4440</v>
      </c>
      <c r="I136" s="174">
        <f>IF(Input!N136=0,+Input!$G136,+Input!$G136+Input!N136)</f>
        <v>4440</v>
      </c>
      <c r="J136" s="174">
        <f>IF(Input!O136=0,+Input!$G136,+Input!$G136+Input!O136)</f>
        <v>4440</v>
      </c>
      <c r="K136" s="174">
        <f>IF(Input!P136=0,+Input!$G136,+Input!$G136+Input!P136)</f>
        <v>4440</v>
      </c>
      <c r="L136" s="174">
        <f>IF(Input!Q136=0,+Input!$G136,+Input!$G136+Input!Q136)</f>
        <v>4440</v>
      </c>
      <c r="M136" s="174">
        <f>IF(Input!R136=0,+Input!$G136,+Input!$G136+Input!R136)</f>
        <v>4440</v>
      </c>
      <c r="N136" s="174">
        <f>IF(Input!S136=0,+Input!$G136,+Input!$G136+Input!S136)</f>
        <v>4440</v>
      </c>
      <c r="O136" s="175">
        <f t="shared" si="24"/>
        <v>53280</v>
      </c>
      <c r="P136" s="175">
        <f>IF(AND(O136=""),"",+O136/Setup!$B$12)</f>
        <v>242.18181818181819</v>
      </c>
      <c r="Q136" s="175">
        <f>IF(ISNA(IF(O136="","",(+VLOOKUP(A136,'2016'!$A:$P,15,FALSE)))),0,IF(O136="",0,(+VLOOKUP(A136,'2016'!$A:$P,15,FALSE))))</f>
        <v>61034</v>
      </c>
      <c r="R136" s="169"/>
      <c r="S136" s="278"/>
      <c r="T136" s="321"/>
    </row>
    <row r="137" spans="1:20" s="17" customFormat="1" ht="10.5" customHeight="1">
      <c r="A137" s="410" t="s">
        <v>905</v>
      </c>
      <c r="B137" s="161" t="s">
        <v>295</v>
      </c>
      <c r="C137" s="174">
        <f>IF(Input!H137=0,+Input!$G137,+Input!$G137+Input!H137)</f>
        <v>0</v>
      </c>
      <c r="D137" s="174">
        <f>IF(Input!I137=0,+Input!$G137,+Input!$G137+Input!I137)</f>
        <v>0</v>
      </c>
      <c r="E137" s="174">
        <f>IF(Input!J137=0,+Input!$G137,+Input!$G137+Input!J137)</f>
        <v>0</v>
      </c>
      <c r="F137" s="174">
        <f>IF(Input!K137=0,+Input!$G137,+Input!$G137+Input!K137)</f>
        <v>0</v>
      </c>
      <c r="G137" s="174">
        <f>IF(Input!L137=0,+Input!$G137,+Input!$G137+Input!L137)</f>
        <v>0</v>
      </c>
      <c r="H137" s="174">
        <f>IF(Input!M137=0,+Input!$G137,+Input!$G137+Input!M137)</f>
        <v>0</v>
      </c>
      <c r="I137" s="174">
        <f>IF(Input!N137=0,+Input!$G137,+Input!$G137+Input!N137)</f>
        <v>0</v>
      </c>
      <c r="J137" s="174">
        <f>IF(Input!O137=0,+Input!$G137,+Input!$G137+Input!O137)</f>
        <v>0</v>
      </c>
      <c r="K137" s="174">
        <f>IF(Input!P137=0,+Input!$G137,+Input!$G137+Input!P137)</f>
        <v>0</v>
      </c>
      <c r="L137" s="174">
        <f>IF(Input!Q137=0,+Input!$G137,+Input!$G137+Input!Q137)</f>
        <v>0</v>
      </c>
      <c r="M137" s="174">
        <f>IF(Input!R137=0,+Input!$G137,+Input!$G137+Input!R137)</f>
        <v>0</v>
      </c>
      <c r="N137" s="174">
        <f>IF(Input!S137=0,+Input!$G137,+Input!$G137+Input!S137)</f>
        <v>0</v>
      </c>
      <c r="O137" s="175">
        <f t="shared" si="24"/>
        <v>0</v>
      </c>
      <c r="P137" s="175">
        <f>IF(AND(O137=""),"",+O137/Setup!$B$12)</f>
        <v>0</v>
      </c>
      <c r="Q137" s="175">
        <f>IF(ISNA(IF(O137="","",(+VLOOKUP(A137,'2016'!$A:$P,15,FALSE)))),0,IF(O137="",0,(+VLOOKUP(A137,'2016'!$A:$P,15,FALSE))))</f>
        <v>0</v>
      </c>
      <c r="R137" s="169"/>
      <c r="S137" s="278"/>
      <c r="T137" s="321"/>
    </row>
    <row r="138" spans="1:20" s="17" customFormat="1" ht="10.5" customHeight="1">
      <c r="A138" s="410" t="s">
        <v>906</v>
      </c>
      <c r="B138" s="161" t="s">
        <v>296</v>
      </c>
      <c r="C138" s="174">
        <f>IF(Input!H138=0,+Input!$G138,+Input!$G138+Input!H138)</f>
        <v>2660</v>
      </c>
      <c r="D138" s="174">
        <f>IF(Input!I138=0,+Input!$G138,+Input!$G138+Input!I138)</f>
        <v>2660</v>
      </c>
      <c r="E138" s="174">
        <f>IF(Input!J138=0,+Input!$G138,+Input!$G138+Input!J138)</f>
        <v>2660</v>
      </c>
      <c r="F138" s="174">
        <f>IF(Input!K138=0,+Input!$G138,+Input!$G138+Input!K138)</f>
        <v>2660</v>
      </c>
      <c r="G138" s="174">
        <f>IF(Input!L138=0,+Input!$G138,+Input!$G138+Input!L138)</f>
        <v>2660</v>
      </c>
      <c r="H138" s="174">
        <f>IF(Input!M138=0,+Input!$G138,+Input!$G138+Input!M138)</f>
        <v>2660</v>
      </c>
      <c r="I138" s="174">
        <f>IF(Input!N138=0,+Input!$G138,+Input!$G138+Input!N138)</f>
        <v>2660</v>
      </c>
      <c r="J138" s="174">
        <f>IF(Input!O138=0,+Input!$G138,+Input!$G138+Input!O138)</f>
        <v>2660</v>
      </c>
      <c r="K138" s="174">
        <f>IF(Input!P138=0,+Input!$G138,+Input!$G138+Input!P138)</f>
        <v>2660</v>
      </c>
      <c r="L138" s="174">
        <f>IF(Input!Q138=0,+Input!$G138,+Input!$G138+Input!Q138)</f>
        <v>2660</v>
      </c>
      <c r="M138" s="174">
        <f>IF(Input!R138=0,+Input!$G138,+Input!$G138+Input!R138)</f>
        <v>2660</v>
      </c>
      <c r="N138" s="174">
        <f>IF(Input!S138=0,+Input!$G138,+Input!$G138+Input!S138)</f>
        <v>2660</v>
      </c>
      <c r="O138" s="175">
        <f t="shared" si="24"/>
        <v>31920</v>
      </c>
      <c r="P138" s="175">
        <f>IF(AND(O138=""),"",+O138/Setup!$B$12)</f>
        <v>145.09090909090909</v>
      </c>
      <c r="Q138" s="175">
        <f>IF(ISNA(IF(O138="","",(+VLOOKUP(A138,'2016'!$A:$P,15,FALSE)))),0,IF(O138="",0,(+VLOOKUP(A138,'2016'!$A:$P,15,FALSE))))</f>
        <v>26042</v>
      </c>
      <c r="R138" s="169"/>
      <c r="S138" s="274"/>
      <c r="T138" s="321"/>
    </row>
    <row r="139" spans="1:20" s="4" customFormat="1" ht="10.5" customHeight="1">
      <c r="A139" s="410" t="s">
        <v>908</v>
      </c>
      <c r="B139" s="161" t="s">
        <v>297</v>
      </c>
      <c r="C139" s="174">
        <f>IF(Input!H139=0,+Input!$G139,+Input!$G139+Input!H139)</f>
        <v>0</v>
      </c>
      <c r="D139" s="174">
        <f>IF(Input!I139=0,+Input!$G139,+Input!$G139+Input!I139)</f>
        <v>0</v>
      </c>
      <c r="E139" s="174">
        <f>IF(Input!J139=0,+Input!$G139,+Input!$G139+Input!J139)</f>
        <v>0</v>
      </c>
      <c r="F139" s="174">
        <f>IF(Input!K139=0,+Input!$G139,+Input!$G139+Input!K139)</f>
        <v>0</v>
      </c>
      <c r="G139" s="174">
        <f>IF(Input!L139=0,+Input!$G139,+Input!$G139+Input!L139)</f>
        <v>0</v>
      </c>
      <c r="H139" s="174">
        <f>IF(Input!M139=0,+Input!$G139,+Input!$G139+Input!M139)</f>
        <v>0</v>
      </c>
      <c r="I139" s="174">
        <f>IF(Input!N139=0,+Input!$G139,+Input!$G139+Input!N139)</f>
        <v>0</v>
      </c>
      <c r="J139" s="174">
        <f>IF(Input!O139=0,+Input!$G139,+Input!$G139+Input!O139)</f>
        <v>0</v>
      </c>
      <c r="K139" s="174">
        <f>IF(Input!P139=0,+Input!$G139,+Input!$G139+Input!P139)</f>
        <v>0</v>
      </c>
      <c r="L139" s="174">
        <f>IF(Input!Q139=0,+Input!$G139,+Input!$G139+Input!Q139)</f>
        <v>0</v>
      </c>
      <c r="M139" s="174">
        <f>IF(Input!R139=0,+Input!$G139,+Input!$G139+Input!R139)</f>
        <v>0</v>
      </c>
      <c r="N139" s="174">
        <f>IF(Input!S139=0,+Input!$G139,+Input!$G139+Input!S139)</f>
        <v>0</v>
      </c>
      <c r="O139" s="175">
        <f t="shared" si="24"/>
        <v>0</v>
      </c>
      <c r="P139" s="175">
        <f>IF(AND(O139=""),"",+O139/Setup!$B$12)</f>
        <v>0</v>
      </c>
      <c r="Q139" s="175">
        <f>IF(ISNA(IF(O139="","",(+VLOOKUP(A139,'2016'!$A:$P,15,FALSE)))),0,IF(O139="",0,(+VLOOKUP(A139,'2016'!$A:$P,15,FALSE))))</f>
        <v>6</v>
      </c>
      <c r="R139" s="169"/>
      <c r="S139" s="278"/>
      <c r="T139" s="321"/>
    </row>
    <row r="140" spans="1:20" s="4" customFormat="1" ht="10.5" customHeight="1">
      <c r="A140" s="410" t="s">
        <v>910</v>
      </c>
      <c r="B140" s="161" t="s">
        <v>298</v>
      </c>
      <c r="C140" s="174">
        <f>IF(Input!H140=0,+Input!$G140,+Input!$G140+Input!H140)</f>
        <v>500</v>
      </c>
      <c r="D140" s="174">
        <f>IF(Input!I140=0,+Input!$G140,+Input!$G140+Input!I140)</f>
        <v>500</v>
      </c>
      <c r="E140" s="174">
        <f>IF(Input!J140=0,+Input!$G140,+Input!$G140+Input!J140)</f>
        <v>500</v>
      </c>
      <c r="F140" s="174">
        <f>IF(Input!K140=0,+Input!$G140,+Input!$G140+Input!K140)</f>
        <v>500</v>
      </c>
      <c r="G140" s="174">
        <f>IF(Input!L140=0,+Input!$G140,+Input!$G140+Input!L140)</f>
        <v>500</v>
      </c>
      <c r="H140" s="174">
        <f>IF(Input!M140=0,+Input!$G140,+Input!$G140+Input!M140)</f>
        <v>500</v>
      </c>
      <c r="I140" s="174">
        <f>IF(Input!N140=0,+Input!$G140,+Input!$G140+Input!N140)</f>
        <v>500</v>
      </c>
      <c r="J140" s="174">
        <f>IF(Input!O140=0,+Input!$G140,+Input!$G140+Input!O140)</f>
        <v>500</v>
      </c>
      <c r="K140" s="174">
        <f>IF(Input!P140=0,+Input!$G140,+Input!$G140+Input!P140)</f>
        <v>500</v>
      </c>
      <c r="L140" s="174">
        <f>IF(Input!Q140=0,+Input!$G140,+Input!$G140+Input!Q140)</f>
        <v>500</v>
      </c>
      <c r="M140" s="174">
        <f>IF(Input!R140=0,+Input!$G140,+Input!$G140+Input!R140)</f>
        <v>500</v>
      </c>
      <c r="N140" s="174">
        <f>IF(Input!S140=0,+Input!$G140,+Input!$G140+Input!S140)</f>
        <v>500</v>
      </c>
      <c r="O140" s="175">
        <f t="shared" si="24"/>
        <v>6000</v>
      </c>
      <c r="P140" s="175">
        <f>IF(AND(O140=""),"",+O140/Setup!$B$12)</f>
        <v>27.272727272727273</v>
      </c>
      <c r="Q140" s="175">
        <f>IF(ISNA(IF(O140="","",(+VLOOKUP(A140,'2016'!$A:$P,15,FALSE)))),0,IF(O140="",0,(+VLOOKUP(A140,'2016'!$A:$P,15,FALSE))))</f>
        <v>12943</v>
      </c>
      <c r="R140" s="169"/>
      <c r="S140" s="278"/>
      <c r="T140" s="321"/>
    </row>
    <row r="141" spans="1:20" s="4" customFormat="1" ht="10.5" customHeight="1">
      <c r="A141" s="410" t="s">
        <v>912</v>
      </c>
      <c r="B141" s="161" t="s">
        <v>299</v>
      </c>
      <c r="C141" s="174">
        <f>IF(Input!H141=0,+Input!$G141,+Input!$G141+Input!H141)</f>
        <v>0</v>
      </c>
      <c r="D141" s="174">
        <f>IF(Input!I141=0,+Input!$G141,+Input!$G141+Input!I141)</f>
        <v>0</v>
      </c>
      <c r="E141" s="174">
        <f>IF(Input!J141=0,+Input!$G141,+Input!$G141+Input!J141)</f>
        <v>0</v>
      </c>
      <c r="F141" s="174">
        <f>IF(Input!K141=0,+Input!$G141,+Input!$G141+Input!K141)</f>
        <v>0</v>
      </c>
      <c r="G141" s="174">
        <f>IF(Input!L141=0,+Input!$G141,+Input!$G141+Input!L141)</f>
        <v>0</v>
      </c>
      <c r="H141" s="174">
        <f>IF(Input!M141=0,+Input!$G141,+Input!$G141+Input!M141)</f>
        <v>0</v>
      </c>
      <c r="I141" s="174">
        <f>IF(Input!N141=0,+Input!$G141,+Input!$G141+Input!N141)</f>
        <v>0</v>
      </c>
      <c r="J141" s="174">
        <f>IF(Input!O141=0,+Input!$G141,+Input!$G141+Input!O141)</f>
        <v>0</v>
      </c>
      <c r="K141" s="174">
        <f>IF(Input!P141=0,+Input!$G141,+Input!$G141+Input!P141)</f>
        <v>0</v>
      </c>
      <c r="L141" s="174">
        <f>IF(Input!Q141=0,+Input!$G141,+Input!$G141+Input!Q141)</f>
        <v>0</v>
      </c>
      <c r="M141" s="174">
        <f>IF(Input!R141=0,+Input!$G141,+Input!$G141+Input!R141)</f>
        <v>0</v>
      </c>
      <c r="N141" s="174">
        <f>IF(Input!S141=0,+Input!$G141,+Input!$G141+Input!S141)</f>
        <v>0</v>
      </c>
      <c r="O141" s="175">
        <f t="shared" si="24"/>
        <v>0</v>
      </c>
      <c r="P141" s="175">
        <f>IF(AND(O141=""),"",+O141/Setup!$B$12)</f>
        <v>0</v>
      </c>
      <c r="Q141" s="175">
        <f>IF(ISNA(IF(O141="","",(+VLOOKUP(A141,'2016'!$A:$P,15,FALSE)))),0,IF(O141="",0,(+VLOOKUP(A141,'2016'!$A:$P,15,FALSE))))</f>
        <v>0</v>
      </c>
      <c r="R141" s="169"/>
      <c r="S141" s="278"/>
      <c r="T141" s="321"/>
    </row>
    <row r="142" spans="1:20" s="4" customFormat="1" ht="10.5" customHeight="1">
      <c r="A142" s="410" t="s">
        <v>913</v>
      </c>
      <c r="B142" s="161" t="s">
        <v>300</v>
      </c>
      <c r="C142" s="174">
        <f>IF(Input!H142=0,+Input!$G142,+Input!$G142+Input!H142)</f>
        <v>0</v>
      </c>
      <c r="D142" s="174">
        <f>IF(Input!I142=0,+Input!$G142,+Input!$G142+Input!I142)</f>
        <v>0</v>
      </c>
      <c r="E142" s="174">
        <f>IF(Input!J142=0,+Input!$G142,+Input!$G142+Input!J142)</f>
        <v>0</v>
      </c>
      <c r="F142" s="174">
        <f>IF(Input!K142=0,+Input!$G142,+Input!$G142+Input!K142)</f>
        <v>0</v>
      </c>
      <c r="G142" s="174">
        <f>IF(Input!L142=0,+Input!$G142,+Input!$G142+Input!L142)</f>
        <v>0</v>
      </c>
      <c r="H142" s="174">
        <f>IF(Input!M142=0,+Input!$G142,+Input!$G142+Input!M142)</f>
        <v>0</v>
      </c>
      <c r="I142" s="174">
        <f>IF(Input!N142=0,+Input!$G142,+Input!$G142+Input!N142)</f>
        <v>0</v>
      </c>
      <c r="J142" s="174">
        <f>IF(Input!O142=0,+Input!$G142,+Input!$G142+Input!O142)</f>
        <v>0</v>
      </c>
      <c r="K142" s="174">
        <f>IF(Input!P142=0,+Input!$G142,+Input!$G142+Input!P142)</f>
        <v>0</v>
      </c>
      <c r="L142" s="174">
        <f>IF(Input!Q142=0,+Input!$G142,+Input!$G142+Input!Q142)</f>
        <v>0</v>
      </c>
      <c r="M142" s="174">
        <f>IF(Input!R142=0,+Input!$G142,+Input!$G142+Input!R142)</f>
        <v>0</v>
      </c>
      <c r="N142" s="174">
        <f>IF(Input!S142=0,+Input!$G142,+Input!$G142+Input!S142)</f>
        <v>0</v>
      </c>
      <c r="O142" s="175">
        <f t="shared" si="24"/>
        <v>0</v>
      </c>
      <c r="P142" s="175">
        <f>IF(AND(O142=""),"",+O142/Setup!$B$12)</f>
        <v>0</v>
      </c>
      <c r="Q142" s="175">
        <f>IF(ISNA(IF(O142="","",(+VLOOKUP(A142,'2016'!$A:$P,15,FALSE)))),0,IF(O142="",0,(+VLOOKUP(A142,'2016'!$A:$P,15,FALSE))))</f>
        <v>0</v>
      </c>
      <c r="R142" s="169"/>
      <c r="S142" s="278"/>
      <c r="T142" s="321"/>
    </row>
    <row r="143" spans="1:20" s="4" customFormat="1" ht="10.5" customHeight="1">
      <c r="A143" s="410" t="s">
        <v>914</v>
      </c>
      <c r="B143" s="161" t="s">
        <v>301</v>
      </c>
      <c r="C143" s="174">
        <f>IF(Input!H143=0,+Input!$G143,+Input!$G143+Input!H143)</f>
        <v>3550</v>
      </c>
      <c r="D143" s="174">
        <f>IF(Input!I143=0,+Input!$G143,+Input!$G143+Input!I143)</f>
        <v>3550</v>
      </c>
      <c r="E143" s="174">
        <f>IF(Input!J143=0,+Input!$G143,+Input!$G143+Input!J143)</f>
        <v>3550</v>
      </c>
      <c r="F143" s="174">
        <f>IF(Input!K143=0,+Input!$G143,+Input!$G143+Input!K143)</f>
        <v>3550</v>
      </c>
      <c r="G143" s="174">
        <f>IF(Input!L143=0,+Input!$G143,+Input!$G143+Input!L143)</f>
        <v>3550</v>
      </c>
      <c r="H143" s="174">
        <f>IF(Input!M143=0,+Input!$G143,+Input!$G143+Input!M143)</f>
        <v>3550</v>
      </c>
      <c r="I143" s="174">
        <f>IF(Input!N143=0,+Input!$G143,+Input!$G143+Input!N143)</f>
        <v>3550</v>
      </c>
      <c r="J143" s="174">
        <f>IF(Input!O143=0,+Input!$G143,+Input!$G143+Input!O143)</f>
        <v>3550</v>
      </c>
      <c r="K143" s="174">
        <f>IF(Input!P143=0,+Input!$G143,+Input!$G143+Input!P143)</f>
        <v>3550</v>
      </c>
      <c r="L143" s="174">
        <f>IF(Input!Q143=0,+Input!$G143,+Input!$G143+Input!Q143)</f>
        <v>3550</v>
      </c>
      <c r="M143" s="174">
        <f>IF(Input!R143=0,+Input!$G143,+Input!$G143+Input!R143)</f>
        <v>3550</v>
      </c>
      <c r="N143" s="174">
        <f>IF(Input!S143=0,+Input!$G143,+Input!$G143+Input!S143)</f>
        <v>3550</v>
      </c>
      <c r="O143" s="175">
        <f t="shared" si="24"/>
        <v>42600</v>
      </c>
      <c r="P143" s="175">
        <f>IF(AND(O143=""),"",+O143/Setup!$B$12)</f>
        <v>193.63636363636363</v>
      </c>
      <c r="Q143" s="175">
        <f>IF(ISNA(IF(O143="","",(+VLOOKUP(A143,'2016'!$A:$P,15,FALSE)))),0,IF(O143="",0,(+VLOOKUP(A143,'2016'!$A:$P,15,FALSE))))</f>
        <v>38217</v>
      </c>
      <c r="R143" s="169"/>
      <c r="S143" s="278"/>
      <c r="T143" s="321"/>
    </row>
    <row r="144" spans="1:20" s="4" customFormat="1" ht="10.5" customHeight="1">
      <c r="A144" s="410" t="s">
        <v>916</v>
      </c>
      <c r="B144" s="161" t="s">
        <v>302</v>
      </c>
      <c r="C144" s="174">
        <f>IF(Input!H144=0,+Input!$G144,+Input!$G144+Input!H144)</f>
        <v>0</v>
      </c>
      <c r="D144" s="174">
        <f>IF(Input!I144=0,+Input!$G144,+Input!$G144+Input!I144)</f>
        <v>0</v>
      </c>
      <c r="E144" s="174">
        <f>IF(Input!J144=0,+Input!$G144,+Input!$G144+Input!J144)</f>
        <v>0</v>
      </c>
      <c r="F144" s="174">
        <f>IF(Input!K144=0,+Input!$G144,+Input!$G144+Input!K144)</f>
        <v>0</v>
      </c>
      <c r="G144" s="174">
        <f>IF(Input!L144=0,+Input!$G144,+Input!$G144+Input!L144)</f>
        <v>0</v>
      </c>
      <c r="H144" s="174">
        <f>IF(Input!M144=0,+Input!$G144,+Input!$G144+Input!M144)</f>
        <v>0</v>
      </c>
      <c r="I144" s="174">
        <f>IF(Input!N144=0,+Input!$G144,+Input!$G144+Input!N144)</f>
        <v>0</v>
      </c>
      <c r="J144" s="174">
        <f>IF(Input!O144=0,+Input!$G144,+Input!$G144+Input!O144)</f>
        <v>0</v>
      </c>
      <c r="K144" s="174">
        <f>IF(Input!P144=0,+Input!$G144,+Input!$G144+Input!P144)</f>
        <v>0</v>
      </c>
      <c r="L144" s="174">
        <f>IF(Input!Q144=0,+Input!$G144,+Input!$G144+Input!Q144)</f>
        <v>0</v>
      </c>
      <c r="M144" s="174">
        <f>IF(Input!R144=0,+Input!$G144,+Input!$G144+Input!R144)</f>
        <v>0</v>
      </c>
      <c r="N144" s="174">
        <f>IF(Input!S144=0,+Input!$G144,+Input!$G144+Input!S144)</f>
        <v>0</v>
      </c>
      <c r="O144" s="175">
        <f t="shared" si="24"/>
        <v>0</v>
      </c>
      <c r="P144" s="175">
        <f>IF(AND(O144=""),"",+O144/Setup!$B$12)</f>
        <v>0</v>
      </c>
      <c r="Q144" s="175">
        <f>IF(ISNA(IF(O144="","",(+VLOOKUP(A144,'2016'!$A:$P,15,FALSE)))),0,IF(O144="",0,(+VLOOKUP(A144,'2016'!$A:$P,15,FALSE))))</f>
        <v>0</v>
      </c>
      <c r="R144" s="169"/>
      <c r="S144" s="278"/>
      <c r="T144" s="321"/>
    </row>
    <row r="145" spans="1:20" s="4" customFormat="1" ht="10.5" customHeight="1">
      <c r="A145" s="410" t="s">
        <v>917</v>
      </c>
      <c r="B145" s="161" t="s">
        <v>303</v>
      </c>
      <c r="C145" s="174">
        <f>IF(Input!H145=0,+Input!$G145,+Input!$G145+Input!H145)</f>
        <v>3200</v>
      </c>
      <c r="D145" s="174">
        <f>IF(Input!I145=0,+Input!$G145,+Input!$G145+Input!I145)</f>
        <v>3200</v>
      </c>
      <c r="E145" s="174">
        <f>IF(Input!J145=0,+Input!$G145,+Input!$G145+Input!J145)</f>
        <v>3200</v>
      </c>
      <c r="F145" s="174">
        <f>IF(Input!K145=0,+Input!$G145,+Input!$G145+Input!K145)</f>
        <v>3200</v>
      </c>
      <c r="G145" s="174">
        <f>IF(Input!L145=0,+Input!$G145,+Input!$G145+Input!L145)</f>
        <v>3200</v>
      </c>
      <c r="H145" s="174">
        <f>IF(Input!M145=0,+Input!$G145,+Input!$G145+Input!M145)</f>
        <v>3200</v>
      </c>
      <c r="I145" s="174">
        <f>IF(Input!N145=0,+Input!$G145,+Input!$G145+Input!N145)</f>
        <v>3200</v>
      </c>
      <c r="J145" s="174">
        <f>IF(Input!O145=0,+Input!$G145,+Input!$G145+Input!O145)</f>
        <v>3200</v>
      </c>
      <c r="K145" s="174">
        <f>IF(Input!P145=0,+Input!$G145,+Input!$G145+Input!P145)</f>
        <v>3200</v>
      </c>
      <c r="L145" s="174">
        <f>IF(Input!Q145=0,+Input!$G145,+Input!$G145+Input!Q145)</f>
        <v>3200</v>
      </c>
      <c r="M145" s="174">
        <f>IF(Input!R145=0,+Input!$G145,+Input!$G145+Input!R145)</f>
        <v>3200</v>
      </c>
      <c r="N145" s="174">
        <f>IF(Input!S145=0,+Input!$G145,+Input!$G145+Input!S145)</f>
        <v>3200</v>
      </c>
      <c r="O145" s="175">
        <f t="shared" si="24"/>
        <v>38400</v>
      </c>
      <c r="P145" s="175">
        <f>IF(AND(O145=""),"",+O145/Setup!$B$12)</f>
        <v>174.54545454545453</v>
      </c>
      <c r="Q145" s="175">
        <f>IF(ISNA(IF(O145="","",(+VLOOKUP(A145,'2016'!$A:$P,15,FALSE)))),0,IF(O145="",0,(+VLOOKUP(A145,'2016'!$A:$P,15,FALSE))))</f>
        <v>51068</v>
      </c>
      <c r="R145" s="169"/>
      <c r="S145" s="278"/>
      <c r="T145" s="321"/>
    </row>
    <row r="146" spans="1:20" s="4" customFormat="1" ht="10.5" customHeight="1">
      <c r="A146" s="410" t="s">
        <v>919</v>
      </c>
      <c r="B146" s="161" t="s">
        <v>304</v>
      </c>
      <c r="C146" s="174">
        <f>IF(Input!H146=0,+Input!$G146,+Input!$G146+Input!H146)</f>
        <v>4970</v>
      </c>
      <c r="D146" s="174">
        <f>IF(Input!I146=0,+Input!$G146,+Input!$G146+Input!I146)</f>
        <v>4970</v>
      </c>
      <c r="E146" s="174">
        <f>IF(Input!J146=0,+Input!$G146,+Input!$G146+Input!J146)</f>
        <v>4970</v>
      </c>
      <c r="F146" s="174">
        <f>IF(Input!K146=0,+Input!$G146,+Input!$G146+Input!K146)</f>
        <v>4970</v>
      </c>
      <c r="G146" s="174">
        <f>IF(Input!L146=0,+Input!$G146,+Input!$G146+Input!L146)</f>
        <v>4970</v>
      </c>
      <c r="H146" s="174">
        <f>IF(Input!M146=0,+Input!$G146,+Input!$G146+Input!M146)</f>
        <v>4970</v>
      </c>
      <c r="I146" s="174">
        <f>IF(Input!N146=0,+Input!$G146,+Input!$G146+Input!N146)</f>
        <v>4970</v>
      </c>
      <c r="J146" s="174">
        <f>IF(Input!O146=0,+Input!$G146,+Input!$G146+Input!O146)</f>
        <v>4970</v>
      </c>
      <c r="K146" s="174">
        <f>IF(Input!P146=0,+Input!$G146,+Input!$G146+Input!P146)</f>
        <v>4970</v>
      </c>
      <c r="L146" s="174">
        <f>IF(Input!Q146=0,+Input!$G146,+Input!$G146+Input!Q146)</f>
        <v>4970</v>
      </c>
      <c r="M146" s="174">
        <f>IF(Input!R146=0,+Input!$G146,+Input!$G146+Input!R146)</f>
        <v>4970</v>
      </c>
      <c r="N146" s="174">
        <f>IF(Input!S146=0,+Input!$G146,+Input!$G146+Input!S146)</f>
        <v>4970</v>
      </c>
      <c r="O146" s="175">
        <f t="shared" si="24"/>
        <v>59640</v>
      </c>
      <c r="P146" s="175">
        <f>IF(AND(O146=""),"",+O146/Setup!$B$12)</f>
        <v>271.09090909090907</v>
      </c>
      <c r="Q146" s="175">
        <f>IF(ISNA(IF(O146="","",(+VLOOKUP(A146,'2016'!$A:$P,15,FALSE)))),0,IF(O146="",0,(+VLOOKUP(A146,'2016'!$A:$P,15,FALSE))))</f>
        <v>30393</v>
      </c>
      <c r="R146" s="169"/>
      <c r="S146" s="278"/>
      <c r="T146" s="321"/>
    </row>
    <row r="147" spans="1:20" s="4" customFormat="1" ht="10.5" customHeight="1">
      <c r="A147" s="410" t="s">
        <v>921</v>
      </c>
      <c r="B147" s="161" t="s">
        <v>305</v>
      </c>
      <c r="C147" s="174">
        <f>IF(Input!H147=0,+Input!$G147,+Input!$G147+Input!H147)</f>
        <v>0</v>
      </c>
      <c r="D147" s="174">
        <f>IF(Input!I147=0,+Input!$G147,+Input!$G147+Input!I147)</f>
        <v>0</v>
      </c>
      <c r="E147" s="174">
        <f>IF(Input!J147=0,+Input!$G147,+Input!$G147+Input!J147)</f>
        <v>0</v>
      </c>
      <c r="F147" s="174">
        <f>IF(Input!K147=0,+Input!$G147,+Input!$G147+Input!K147)</f>
        <v>0</v>
      </c>
      <c r="G147" s="174">
        <f>IF(Input!L147=0,+Input!$G147,+Input!$G147+Input!L147)</f>
        <v>0</v>
      </c>
      <c r="H147" s="174">
        <f>IF(Input!M147=0,+Input!$G147,+Input!$G147+Input!M147)</f>
        <v>0</v>
      </c>
      <c r="I147" s="174">
        <f>IF(Input!N147=0,+Input!$G147,+Input!$G147+Input!N147)</f>
        <v>0</v>
      </c>
      <c r="J147" s="174">
        <f>IF(Input!O147=0,+Input!$G147,+Input!$G147+Input!O147)</f>
        <v>0</v>
      </c>
      <c r="K147" s="174">
        <f>IF(Input!P147=0,+Input!$G147,+Input!$G147+Input!P147)</f>
        <v>0</v>
      </c>
      <c r="L147" s="174">
        <f>IF(Input!Q147=0,+Input!$G147,+Input!$G147+Input!Q147)</f>
        <v>0</v>
      </c>
      <c r="M147" s="174">
        <f>IF(Input!R147=0,+Input!$G147,+Input!$G147+Input!R147)</f>
        <v>0</v>
      </c>
      <c r="N147" s="174">
        <f>IF(Input!S147=0,+Input!$G147,+Input!$G147+Input!S147)</f>
        <v>0</v>
      </c>
      <c r="O147" s="175">
        <f t="shared" si="24"/>
        <v>0</v>
      </c>
      <c r="P147" s="175">
        <f>IF(AND(O147=""),"",+O147/Setup!$B$12)</f>
        <v>0</v>
      </c>
      <c r="Q147" s="175">
        <f>IF(ISNA(IF(O147="","",(+VLOOKUP(A147,'2016'!$A:$P,15,FALSE)))),0,IF(O147="",0,(+VLOOKUP(A147,'2016'!$A:$P,15,FALSE))))</f>
        <v>679</v>
      </c>
      <c r="R147" s="169"/>
      <c r="S147" s="274"/>
      <c r="T147" s="321"/>
    </row>
    <row r="148" spans="1:20" s="4" customFormat="1" ht="10.5" customHeight="1">
      <c r="A148" s="410" t="s">
        <v>923</v>
      </c>
      <c r="B148" s="161" t="s">
        <v>306</v>
      </c>
      <c r="C148" s="174">
        <f>IF(Input!H148=0,+Input!$G148,+Input!$G148+Input!H148)</f>
        <v>0</v>
      </c>
      <c r="D148" s="174">
        <f>IF(Input!I148=0,+Input!$G148,+Input!$G148+Input!I148)</f>
        <v>0</v>
      </c>
      <c r="E148" s="174">
        <f>IF(Input!J148=0,+Input!$G148,+Input!$G148+Input!J148)</f>
        <v>0</v>
      </c>
      <c r="F148" s="174">
        <f>IF(Input!K148=0,+Input!$G148,+Input!$G148+Input!K148)</f>
        <v>0</v>
      </c>
      <c r="G148" s="174">
        <f>IF(Input!L148=0,+Input!$G148,+Input!$G148+Input!L148)</f>
        <v>0</v>
      </c>
      <c r="H148" s="174">
        <f>IF(Input!M148=0,+Input!$G148,+Input!$G148+Input!M148)</f>
        <v>0</v>
      </c>
      <c r="I148" s="174">
        <f>IF(Input!N148=0,+Input!$G148,+Input!$G148+Input!N148)</f>
        <v>0</v>
      </c>
      <c r="J148" s="174">
        <f>IF(Input!O148=0,+Input!$G148,+Input!$G148+Input!O148)</f>
        <v>0</v>
      </c>
      <c r="K148" s="174">
        <f>IF(Input!P148=0,+Input!$G148,+Input!$G148+Input!P148)</f>
        <v>0</v>
      </c>
      <c r="L148" s="174">
        <f>IF(Input!Q148=0,+Input!$G148,+Input!$G148+Input!Q148)</f>
        <v>0</v>
      </c>
      <c r="M148" s="174">
        <f>IF(Input!R148=0,+Input!$G148,+Input!$G148+Input!R148)</f>
        <v>0</v>
      </c>
      <c r="N148" s="174">
        <f>IF(Input!S148=0,+Input!$G148,+Input!$G148+Input!S148)</f>
        <v>0</v>
      </c>
      <c r="O148" s="175">
        <f t="shared" si="24"/>
        <v>0</v>
      </c>
      <c r="P148" s="175">
        <f>IF(AND(O148=""),"",+O148/Setup!$B$12)</f>
        <v>0</v>
      </c>
      <c r="Q148" s="175">
        <f>IF(ISNA(IF(O148="","",(+VLOOKUP(A148,'2016'!$A:$P,15,FALSE)))),0,IF(O148="",0,(+VLOOKUP(A148,'2016'!$A:$P,15,FALSE))))</f>
        <v>6679</v>
      </c>
      <c r="R148" s="169"/>
      <c r="S148" s="274"/>
      <c r="T148" s="321"/>
    </row>
    <row r="149" spans="1:20" s="4" customFormat="1" ht="10.5" customHeight="1">
      <c r="A149" s="410" t="s">
        <v>925</v>
      </c>
      <c r="B149" s="4" t="s">
        <v>657</v>
      </c>
      <c r="C149" s="174">
        <f>IF(Input!H149=0,+Input!$G149,+Input!$G149+Input!H149)</f>
        <v>0</v>
      </c>
      <c r="D149" s="174">
        <f>IF(Input!I149=0,+Input!$G149,+Input!$G149+Input!I149)</f>
        <v>0</v>
      </c>
      <c r="E149" s="174">
        <f>IF(Input!J149=0,+Input!$G149,+Input!$G149+Input!J149)</f>
        <v>0</v>
      </c>
      <c r="F149" s="174">
        <f>IF(Input!K149=0,+Input!$G149,+Input!$G149+Input!K149)</f>
        <v>0</v>
      </c>
      <c r="G149" s="174">
        <f>IF(Input!L149=0,+Input!$G149,+Input!$G149+Input!L149)</f>
        <v>0</v>
      </c>
      <c r="H149" s="174">
        <f>IF(Input!M149=0,+Input!$G149,+Input!$G149+Input!M149)</f>
        <v>0</v>
      </c>
      <c r="I149" s="174">
        <f>IF(Input!N149=0,+Input!$G149,+Input!$G149+Input!N149)</f>
        <v>0</v>
      </c>
      <c r="J149" s="174">
        <f>IF(Input!O149=0,+Input!$G149,+Input!$G149+Input!O149)</f>
        <v>0</v>
      </c>
      <c r="K149" s="174">
        <f>IF(Input!P149=0,+Input!$G149,+Input!$G149+Input!P149)</f>
        <v>0</v>
      </c>
      <c r="L149" s="174">
        <f>IF(Input!Q149=0,+Input!$G149,+Input!$G149+Input!Q149)</f>
        <v>0</v>
      </c>
      <c r="M149" s="174">
        <f>IF(Input!R149=0,+Input!$G149,+Input!$G149+Input!R149)</f>
        <v>0</v>
      </c>
      <c r="N149" s="174">
        <f>IF(Input!S149=0,+Input!$G149,+Input!$G149+Input!S149)</f>
        <v>0</v>
      </c>
      <c r="O149" s="175">
        <f t="shared" si="24"/>
        <v>0</v>
      </c>
      <c r="P149" s="175">
        <f>IF(AND(O149=""),"",+O149/Setup!$B$12)</f>
        <v>0</v>
      </c>
      <c r="Q149" s="175">
        <f>IF(ISNA(IF(O149="","",(+VLOOKUP(A149,'2016'!$A:$P,15,FALSE)))),0,IF(O149="",0,(+VLOOKUP(A149,'2016'!$A:$P,15,FALSE))))</f>
        <v>0</v>
      </c>
      <c r="R149" s="169"/>
      <c r="S149" s="274"/>
      <c r="T149" s="321"/>
    </row>
    <row r="150" spans="1:20" s="4" customFormat="1" ht="10.5" customHeight="1">
      <c r="A150" s="163"/>
      <c r="B150" s="163" t="s">
        <v>545</v>
      </c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5" t="str">
        <f t="shared" si="24"/>
        <v/>
      </c>
      <c r="P150" s="175" t="str">
        <f>IF(AND(O150=""),"",+O150/Setup!$B$12)</f>
        <v/>
      </c>
      <c r="Q150" s="175" t="str">
        <f>IF(O150="","",(+VLOOKUP(A150,'2016'!$A:$P,15,FALSE)))</f>
        <v/>
      </c>
      <c r="R150" s="169"/>
      <c r="S150" s="278"/>
      <c r="T150" s="321"/>
    </row>
    <row r="151" spans="1:20" s="4" customFormat="1" ht="10.5" customHeight="1">
      <c r="A151" s="159"/>
      <c r="B151" s="159" t="s">
        <v>293</v>
      </c>
      <c r="C151" s="174">
        <f>SUM(C136:C149)</f>
        <v>19320</v>
      </c>
      <c r="D151" s="174">
        <f t="shared" ref="D151:Q151" si="26">SUM(D136:D149)</f>
        <v>19320</v>
      </c>
      <c r="E151" s="174">
        <f t="shared" si="26"/>
        <v>19320</v>
      </c>
      <c r="F151" s="174">
        <f t="shared" si="26"/>
        <v>19320</v>
      </c>
      <c r="G151" s="174">
        <f t="shared" si="26"/>
        <v>19320</v>
      </c>
      <c r="H151" s="174">
        <f t="shared" si="26"/>
        <v>19320</v>
      </c>
      <c r="I151" s="174">
        <f t="shared" si="26"/>
        <v>19320</v>
      </c>
      <c r="J151" s="174">
        <f t="shared" si="26"/>
        <v>19320</v>
      </c>
      <c r="K151" s="174">
        <f t="shared" si="26"/>
        <v>19320</v>
      </c>
      <c r="L151" s="174">
        <f t="shared" si="26"/>
        <v>19320</v>
      </c>
      <c r="M151" s="174">
        <f t="shared" si="26"/>
        <v>19320</v>
      </c>
      <c r="N151" s="174">
        <f t="shared" si="26"/>
        <v>19320</v>
      </c>
      <c r="O151" s="174">
        <f t="shared" si="26"/>
        <v>231840</v>
      </c>
      <c r="P151" s="174">
        <f t="shared" si="26"/>
        <v>1053.8181818181818</v>
      </c>
      <c r="Q151" s="174">
        <f t="shared" si="26"/>
        <v>227061</v>
      </c>
      <c r="R151" s="169"/>
      <c r="S151" s="278"/>
      <c r="T151" s="321"/>
    </row>
    <row r="152" spans="1:20" s="4" customFormat="1" ht="10.5" customHeight="1">
      <c r="A152" s="161"/>
      <c r="B152" s="161" t="s">
        <v>307</v>
      </c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5"/>
      <c r="P152" s="175" t="str">
        <f>IF(AND(O152=""),"",+O152/Setup!$B$12)</f>
        <v/>
      </c>
      <c r="Q152" s="175" t="str">
        <f>IF(O152="","",(+VLOOKUP(A152,'2016'!$A:$P,15,FALSE)))</f>
        <v/>
      </c>
      <c r="R152" s="169"/>
      <c r="S152" s="278"/>
      <c r="T152" s="321"/>
    </row>
    <row r="153" spans="1:20" s="4" customFormat="1" ht="10.5" customHeight="1">
      <c r="A153" s="410" t="s">
        <v>927</v>
      </c>
      <c r="B153" s="161" t="s">
        <v>308</v>
      </c>
      <c r="C153" s="174">
        <f>IF(Input!H153=0,+Input!$G153,+Input!$G153+Input!H153)</f>
        <v>0</v>
      </c>
      <c r="D153" s="174">
        <f>IF(Input!I153=0,+Input!$G153,+Input!$G153+Input!I153)</f>
        <v>0</v>
      </c>
      <c r="E153" s="174">
        <f>IF(Input!J153=0,+Input!$G153,+Input!$G153+Input!J153)</f>
        <v>0</v>
      </c>
      <c r="F153" s="174">
        <f>IF(Input!K153=0,+Input!$G153,+Input!$G153+Input!K153)</f>
        <v>0</v>
      </c>
      <c r="G153" s="174">
        <f>IF(Input!L153=0,+Input!$G153,+Input!$G153+Input!L153)</f>
        <v>0</v>
      </c>
      <c r="H153" s="174">
        <f>IF(Input!M153=0,+Input!$G153,+Input!$G153+Input!M153)</f>
        <v>0</v>
      </c>
      <c r="I153" s="174">
        <f>IF(Input!N153=0,+Input!$G153,+Input!$G153+Input!N153)</f>
        <v>0</v>
      </c>
      <c r="J153" s="174">
        <f>IF(Input!O153=0,+Input!$G153,+Input!$G153+Input!O153)</f>
        <v>0</v>
      </c>
      <c r="K153" s="174">
        <f>IF(Input!P153=0,+Input!$G153,+Input!$G153+Input!P153)</f>
        <v>0</v>
      </c>
      <c r="L153" s="174">
        <f>IF(Input!Q153=0,+Input!$G153,+Input!$G153+Input!Q153)</f>
        <v>0</v>
      </c>
      <c r="M153" s="174">
        <f>IF(Input!R153=0,+Input!$G153,+Input!$G153+Input!R153)</f>
        <v>0</v>
      </c>
      <c r="N153" s="174">
        <f>IF(Input!S153=0,+Input!$G153,+Input!$G153+Input!S153)</f>
        <v>0</v>
      </c>
      <c r="O153" s="175">
        <f t="shared" ref="O153:O162" si="27">IF(N153="","",SUM(C153:N153))</f>
        <v>0</v>
      </c>
      <c r="P153" s="175">
        <f>IF(AND(O153=""),"",+O153/Setup!$B$12)</f>
        <v>0</v>
      </c>
      <c r="Q153" s="175">
        <f>IF(ISNA(IF(O153="","",(+VLOOKUP(A153,'2016'!$A:$P,15,FALSE)))),0,IF(O153="",0,(+VLOOKUP(A153,'2016'!$A:$P,15,FALSE))))</f>
        <v>0</v>
      </c>
      <c r="R153" s="169"/>
      <c r="S153" s="278"/>
      <c r="T153" s="321"/>
    </row>
    <row r="154" spans="1:20" s="10" customFormat="1" ht="10.5" customHeight="1">
      <c r="A154" s="410" t="s">
        <v>928</v>
      </c>
      <c r="B154" s="161" t="s">
        <v>309</v>
      </c>
      <c r="C154" s="174">
        <f>IF(Input!H154=0,+Input!$G154,+Input!$G154+Input!H154)</f>
        <v>0</v>
      </c>
      <c r="D154" s="174">
        <f>IF(Input!I154=0,+Input!$G154,+Input!$G154+Input!I154)</f>
        <v>0</v>
      </c>
      <c r="E154" s="174">
        <f>IF(Input!J154=0,+Input!$G154,+Input!$G154+Input!J154)</f>
        <v>0</v>
      </c>
      <c r="F154" s="174">
        <f>IF(Input!K154=0,+Input!$G154,+Input!$G154+Input!K154)</f>
        <v>0</v>
      </c>
      <c r="G154" s="174">
        <f>IF(Input!L154=0,+Input!$G154,+Input!$G154+Input!L154)</f>
        <v>0</v>
      </c>
      <c r="H154" s="174">
        <f>IF(Input!M154=0,+Input!$G154,+Input!$G154+Input!M154)</f>
        <v>0</v>
      </c>
      <c r="I154" s="174">
        <f>IF(Input!N154=0,+Input!$G154,+Input!$G154+Input!N154)</f>
        <v>0</v>
      </c>
      <c r="J154" s="174">
        <f>IF(Input!O154=0,+Input!$G154,+Input!$G154+Input!O154)</f>
        <v>0</v>
      </c>
      <c r="K154" s="174">
        <f>IF(Input!P154=0,+Input!$G154,+Input!$G154+Input!P154)</f>
        <v>0</v>
      </c>
      <c r="L154" s="174">
        <f>IF(Input!Q154=0,+Input!$G154,+Input!$G154+Input!Q154)</f>
        <v>0</v>
      </c>
      <c r="M154" s="174">
        <f>IF(Input!R154=0,+Input!$G154,+Input!$G154+Input!R154)</f>
        <v>0</v>
      </c>
      <c r="N154" s="174">
        <f>IF(Input!S154=0,+Input!$G154,+Input!$G154+Input!S154)</f>
        <v>0</v>
      </c>
      <c r="O154" s="175">
        <f t="shared" si="27"/>
        <v>0</v>
      </c>
      <c r="P154" s="175">
        <f>IF(AND(O154=""),"",+O154/Setup!$B$12)</f>
        <v>0</v>
      </c>
      <c r="Q154" s="175">
        <f>IF(ISNA(IF(O154="","",(+VLOOKUP(A154,'2016'!$A:$P,15,FALSE)))),0,IF(O154="",0,(+VLOOKUP(A154,'2016'!$A:$P,15,FALSE))))</f>
        <v>105</v>
      </c>
      <c r="R154" s="169"/>
      <c r="S154" s="278"/>
      <c r="T154" s="321"/>
    </row>
    <row r="155" spans="1:20" s="17" customFormat="1" ht="10.5" customHeight="1">
      <c r="A155" s="410" t="s">
        <v>930</v>
      </c>
      <c r="B155" s="161" t="s">
        <v>310</v>
      </c>
      <c r="C155" s="174">
        <f>IF(Input!H155=0,+Input!$G155,+Input!$G155+Input!H155)</f>
        <v>1000</v>
      </c>
      <c r="D155" s="174">
        <f>IF(Input!I155=0,+Input!$G155,+Input!$G155+Input!I155)</f>
        <v>1000</v>
      </c>
      <c r="E155" s="174">
        <f>IF(Input!J155=0,+Input!$G155,+Input!$G155+Input!J155)</f>
        <v>1000</v>
      </c>
      <c r="F155" s="174">
        <f>IF(Input!K155=0,+Input!$G155,+Input!$G155+Input!K155)</f>
        <v>1000</v>
      </c>
      <c r="G155" s="174">
        <f>IF(Input!L155=0,+Input!$G155,+Input!$G155+Input!L155)</f>
        <v>1000</v>
      </c>
      <c r="H155" s="174">
        <f>IF(Input!M155=0,+Input!$G155,+Input!$G155+Input!M155)</f>
        <v>1000</v>
      </c>
      <c r="I155" s="174">
        <f>IF(Input!N155=0,+Input!$G155,+Input!$G155+Input!N155)</f>
        <v>1000</v>
      </c>
      <c r="J155" s="174">
        <f>IF(Input!O155=0,+Input!$G155,+Input!$G155+Input!O155)</f>
        <v>1000</v>
      </c>
      <c r="K155" s="174">
        <f>IF(Input!P155=0,+Input!$G155,+Input!$G155+Input!P155)</f>
        <v>1000</v>
      </c>
      <c r="L155" s="174">
        <f>IF(Input!Q155=0,+Input!$G155,+Input!$G155+Input!Q155)</f>
        <v>1000</v>
      </c>
      <c r="M155" s="174">
        <f>IF(Input!R155=0,+Input!$G155,+Input!$G155+Input!R155)</f>
        <v>1000</v>
      </c>
      <c r="N155" s="174">
        <f>IF(Input!S155=0,+Input!$G155,+Input!$G155+Input!S155)</f>
        <v>1000</v>
      </c>
      <c r="O155" s="175">
        <f t="shared" si="27"/>
        <v>12000</v>
      </c>
      <c r="P155" s="175">
        <f>IF(AND(O155=""),"",+O155/Setup!$B$12)</f>
        <v>54.545454545454547</v>
      </c>
      <c r="Q155" s="175">
        <f>IF(ISNA(IF(O155="","",(+VLOOKUP(A155,'2016'!$A:$P,15,FALSE)))),0,IF(O155="",0,(+VLOOKUP(A155,'2016'!$A:$P,15,FALSE))))</f>
        <v>10408</v>
      </c>
      <c r="R155" s="169"/>
      <c r="S155" s="278"/>
      <c r="T155" s="321"/>
    </row>
    <row r="156" spans="1:20" s="17" customFormat="1" ht="10.5" customHeight="1">
      <c r="A156" s="410" t="s">
        <v>932</v>
      </c>
      <c r="B156" s="161" t="s">
        <v>311</v>
      </c>
      <c r="C156" s="174">
        <f>IF(Input!H156=0,+Input!$G156,+Input!$G156+Input!H156)</f>
        <v>0</v>
      </c>
      <c r="D156" s="174">
        <f>IF(Input!I156=0,+Input!$G156,+Input!$G156+Input!I156)</f>
        <v>0</v>
      </c>
      <c r="E156" s="174">
        <f>IF(Input!J156=0,+Input!$G156,+Input!$G156+Input!J156)</f>
        <v>0</v>
      </c>
      <c r="F156" s="174">
        <f>IF(Input!K156=0,+Input!$G156,+Input!$G156+Input!K156)</f>
        <v>0</v>
      </c>
      <c r="G156" s="174">
        <f>IF(Input!L156=0,+Input!$G156,+Input!$G156+Input!L156)</f>
        <v>0</v>
      </c>
      <c r="H156" s="174">
        <f>IF(Input!M156=0,+Input!$G156,+Input!$G156+Input!M156)</f>
        <v>0</v>
      </c>
      <c r="I156" s="174">
        <f>IF(Input!N156=0,+Input!$G156,+Input!$G156+Input!N156)</f>
        <v>0</v>
      </c>
      <c r="J156" s="174">
        <f>IF(Input!O156=0,+Input!$G156,+Input!$G156+Input!O156)</f>
        <v>0</v>
      </c>
      <c r="K156" s="174">
        <f>IF(Input!P156=0,+Input!$G156,+Input!$G156+Input!P156)</f>
        <v>0</v>
      </c>
      <c r="L156" s="174">
        <f>IF(Input!Q156=0,+Input!$G156,+Input!$G156+Input!Q156)</f>
        <v>0</v>
      </c>
      <c r="M156" s="174">
        <f>IF(Input!R156=0,+Input!$G156,+Input!$G156+Input!R156)</f>
        <v>0</v>
      </c>
      <c r="N156" s="174">
        <f>IF(Input!S156=0,+Input!$G156,+Input!$G156+Input!S156)</f>
        <v>0</v>
      </c>
      <c r="O156" s="175">
        <f t="shared" si="27"/>
        <v>0</v>
      </c>
      <c r="P156" s="175">
        <f>IF(AND(O156=""),"",+O156/Setup!$B$12)</f>
        <v>0</v>
      </c>
      <c r="Q156" s="175">
        <f>IF(ISNA(IF(O156="","",(+VLOOKUP(A156,'2016'!$A:$P,15,FALSE)))),0,IF(O156="",0,(+VLOOKUP(A156,'2016'!$A:$P,15,FALSE))))</f>
        <v>0</v>
      </c>
      <c r="R156" s="169"/>
      <c r="S156" s="278"/>
      <c r="T156" s="321"/>
    </row>
    <row r="157" spans="1:20" s="4" customFormat="1" ht="10.5" customHeight="1">
      <c r="A157" s="410" t="s">
        <v>933</v>
      </c>
      <c r="B157" s="161" t="s">
        <v>312</v>
      </c>
      <c r="C157" s="174">
        <f>IF(Input!H157=0,+Input!$G157,+Input!$G157+Input!H157)</f>
        <v>376.5</v>
      </c>
      <c r="D157" s="174">
        <f>IF(Input!I157=0,+Input!$G157,+Input!$G157+Input!I157)</f>
        <v>376.5</v>
      </c>
      <c r="E157" s="174">
        <f>IF(Input!J157=0,+Input!$G157,+Input!$G157+Input!J157)</f>
        <v>376.5</v>
      </c>
      <c r="F157" s="174">
        <f>IF(Input!K157=0,+Input!$G157,+Input!$G157+Input!K157)</f>
        <v>376.5</v>
      </c>
      <c r="G157" s="174">
        <f>IF(Input!L157=0,+Input!$G157,+Input!$G157+Input!L157)</f>
        <v>376.5</v>
      </c>
      <c r="H157" s="174">
        <f>IF(Input!M157=0,+Input!$G157,+Input!$G157+Input!M157)</f>
        <v>376.5</v>
      </c>
      <c r="I157" s="174">
        <f>IF(Input!N157=0,+Input!$G157,+Input!$G157+Input!N157)</f>
        <v>376.5</v>
      </c>
      <c r="J157" s="174">
        <f>IF(Input!O157=0,+Input!$G157,+Input!$G157+Input!O157)</f>
        <v>376.5</v>
      </c>
      <c r="K157" s="174">
        <f>IF(Input!P157=0,+Input!$G157,+Input!$G157+Input!P157)</f>
        <v>376.5</v>
      </c>
      <c r="L157" s="174">
        <f>IF(Input!Q157=0,+Input!$G157,+Input!$G157+Input!Q157)</f>
        <v>376.5</v>
      </c>
      <c r="M157" s="174">
        <f>IF(Input!R157=0,+Input!$G157,+Input!$G157+Input!R157)</f>
        <v>376.5</v>
      </c>
      <c r="N157" s="174">
        <f>IF(Input!S157=0,+Input!$G157,+Input!$G157+Input!S157)</f>
        <v>376.5</v>
      </c>
      <c r="O157" s="175">
        <f t="shared" si="27"/>
        <v>4518</v>
      </c>
      <c r="P157" s="175">
        <f>IF(AND(O157=""),"",+O157/Setup!$B$12)</f>
        <v>20.536363636363635</v>
      </c>
      <c r="Q157" s="175">
        <f>IF(ISNA(IF(O157="","",(+VLOOKUP(A157,'2016'!$A:$P,15,FALSE)))),0,IF(O157="",0,(+VLOOKUP(A157,'2016'!$A:$P,15,FALSE))))</f>
        <v>4601</v>
      </c>
      <c r="R157" s="169"/>
      <c r="S157" s="278"/>
      <c r="T157" s="321"/>
    </row>
    <row r="158" spans="1:20" s="4" customFormat="1" ht="10.5" customHeight="1">
      <c r="A158" s="410" t="s">
        <v>935</v>
      </c>
      <c r="B158" s="161" t="s">
        <v>313</v>
      </c>
      <c r="C158" s="174">
        <f>IF(Input!H158=0,+Input!$G158,+Input!$G158+Input!H158)</f>
        <v>1478.0564999999999</v>
      </c>
      <c r="D158" s="174">
        <f>IF(Input!I158=0,+Input!$G158,+Input!$G158+Input!I158)</f>
        <v>1478.0564999999999</v>
      </c>
      <c r="E158" s="174">
        <f>IF(Input!J158=0,+Input!$G158,+Input!$G158+Input!J158)</f>
        <v>1478.0564999999999</v>
      </c>
      <c r="F158" s="174">
        <f>IF(Input!K158=0,+Input!$G158,+Input!$G158+Input!K158)</f>
        <v>1478.0564999999999</v>
      </c>
      <c r="G158" s="174">
        <f>IF(Input!L158=0,+Input!$G158,+Input!$G158+Input!L158)</f>
        <v>1478.0564999999999</v>
      </c>
      <c r="H158" s="174">
        <f>IF(Input!M158=0,+Input!$G158,+Input!$G158+Input!M158)</f>
        <v>1478.0564999999999</v>
      </c>
      <c r="I158" s="174">
        <f>IF(Input!N158=0,+Input!$G158,+Input!$G158+Input!N158)</f>
        <v>1478.0564999999999</v>
      </c>
      <c r="J158" s="174">
        <f>IF(Input!O158=0,+Input!$G158,+Input!$G158+Input!O158)</f>
        <v>1478.0564999999999</v>
      </c>
      <c r="K158" s="174">
        <f>IF(Input!P158=0,+Input!$G158,+Input!$G158+Input!P158)</f>
        <v>1478.0564999999999</v>
      </c>
      <c r="L158" s="174">
        <f>IF(Input!Q158=0,+Input!$G158,+Input!$G158+Input!Q158)</f>
        <v>1478.0564999999999</v>
      </c>
      <c r="M158" s="174">
        <f>IF(Input!R158=0,+Input!$G158,+Input!$G158+Input!R158)</f>
        <v>1478.0564999999999</v>
      </c>
      <c r="N158" s="174">
        <f>IF(Input!S158=0,+Input!$G158,+Input!$G158+Input!S158)</f>
        <v>1478.0564999999999</v>
      </c>
      <c r="O158" s="175">
        <f t="shared" si="27"/>
        <v>17736.678000000004</v>
      </c>
      <c r="P158" s="175">
        <f>IF(AND(O158=""),"",+O158/Setup!$B$12)</f>
        <v>80.621263636363651</v>
      </c>
      <c r="Q158" s="175">
        <f>IF(ISNA(IF(O158="","",(+VLOOKUP(A158,'2016'!$A:$P,15,FALSE)))),0,IF(O158="",0,(+VLOOKUP(A158,'2016'!$A:$P,15,FALSE))))</f>
        <v>17118</v>
      </c>
      <c r="R158" s="169"/>
      <c r="S158" s="278"/>
      <c r="T158" s="321"/>
    </row>
    <row r="159" spans="1:20" s="4" customFormat="1" ht="10.5" customHeight="1">
      <c r="A159" s="410" t="s">
        <v>937</v>
      </c>
      <c r="B159" s="161" t="s">
        <v>314</v>
      </c>
      <c r="C159" s="174">
        <f>IF(Input!H159=0,+Input!$G159,+Input!$G159+Input!H159)</f>
        <v>115.926</v>
      </c>
      <c r="D159" s="174">
        <f>IF(Input!I159=0,+Input!$G159,+Input!$G159+Input!I159)</f>
        <v>115.926</v>
      </c>
      <c r="E159" s="174">
        <f>IF(Input!J159=0,+Input!$G159,+Input!$G159+Input!J159)</f>
        <v>115.926</v>
      </c>
      <c r="F159" s="174">
        <f>IF(Input!K159=0,+Input!$G159,+Input!$G159+Input!K159)</f>
        <v>115.926</v>
      </c>
      <c r="G159" s="174">
        <f>IF(Input!L159=0,+Input!$G159,+Input!$G159+Input!L159)</f>
        <v>115.926</v>
      </c>
      <c r="H159" s="174">
        <f>IF(Input!M159=0,+Input!$G159,+Input!$G159+Input!M159)</f>
        <v>115.926</v>
      </c>
      <c r="I159" s="174">
        <f>IF(Input!N159=0,+Input!$G159,+Input!$G159+Input!N159)</f>
        <v>115.926</v>
      </c>
      <c r="J159" s="174">
        <f>IF(Input!O159=0,+Input!$G159,+Input!$G159+Input!O159)</f>
        <v>115.926</v>
      </c>
      <c r="K159" s="174">
        <f>IF(Input!P159=0,+Input!$G159,+Input!$G159+Input!P159)</f>
        <v>115.926</v>
      </c>
      <c r="L159" s="174">
        <f>IF(Input!Q159=0,+Input!$G159,+Input!$G159+Input!Q159)</f>
        <v>115.926</v>
      </c>
      <c r="M159" s="174">
        <f>IF(Input!R159=0,+Input!$G159,+Input!$G159+Input!R159)</f>
        <v>115.926</v>
      </c>
      <c r="N159" s="174">
        <f>IF(Input!S159=0,+Input!$G159,+Input!$G159+Input!S159)</f>
        <v>115.926</v>
      </c>
      <c r="O159" s="175">
        <f t="shared" si="27"/>
        <v>1391.1119999999999</v>
      </c>
      <c r="P159" s="175">
        <f>IF(AND(O159=""),"",+O159/Setup!$B$12)</f>
        <v>6.3232363636363633</v>
      </c>
      <c r="Q159" s="175">
        <f>IF(ISNA(IF(O159="","",(+VLOOKUP(A159,'2016'!$A:$P,15,FALSE)))),0,IF(O159="",0,(+VLOOKUP(A159,'2016'!$A:$P,15,FALSE))))</f>
        <v>391</v>
      </c>
      <c r="R159" s="169"/>
      <c r="S159" s="278"/>
      <c r="T159" s="321"/>
    </row>
    <row r="160" spans="1:20" s="4" customFormat="1" ht="10.5" customHeight="1">
      <c r="A160" s="410" t="s">
        <v>939</v>
      </c>
      <c r="B160" s="161" t="s">
        <v>315</v>
      </c>
      <c r="C160" s="174">
        <f>IF(Input!H160=0,+Input!$G160,+Input!$G160+Input!H160)</f>
        <v>405.74100000000004</v>
      </c>
      <c r="D160" s="174">
        <f>IF(Input!I160=0,+Input!$G160,+Input!$G160+Input!I160)</f>
        <v>405.74100000000004</v>
      </c>
      <c r="E160" s="174">
        <f>IF(Input!J160=0,+Input!$G160,+Input!$G160+Input!J160)</f>
        <v>405.74100000000004</v>
      </c>
      <c r="F160" s="174">
        <f>IF(Input!K160=0,+Input!$G160,+Input!$G160+Input!K160)</f>
        <v>405.74100000000004</v>
      </c>
      <c r="G160" s="174">
        <f>IF(Input!L160=0,+Input!$G160,+Input!$G160+Input!L160)</f>
        <v>405.74100000000004</v>
      </c>
      <c r="H160" s="174">
        <f>IF(Input!M160=0,+Input!$G160,+Input!$G160+Input!M160)</f>
        <v>405.74100000000004</v>
      </c>
      <c r="I160" s="174">
        <f>IF(Input!N160=0,+Input!$G160,+Input!$G160+Input!N160)</f>
        <v>405.74100000000004</v>
      </c>
      <c r="J160" s="174">
        <f>IF(Input!O160=0,+Input!$G160,+Input!$G160+Input!O160)</f>
        <v>405.74100000000004</v>
      </c>
      <c r="K160" s="174">
        <f>IF(Input!P160=0,+Input!$G160,+Input!$G160+Input!P160)</f>
        <v>405.74100000000004</v>
      </c>
      <c r="L160" s="174">
        <f>IF(Input!Q160=0,+Input!$G160,+Input!$G160+Input!Q160)</f>
        <v>405.74100000000004</v>
      </c>
      <c r="M160" s="174">
        <f>IF(Input!R160=0,+Input!$G160,+Input!$G160+Input!R160)</f>
        <v>405.74100000000004</v>
      </c>
      <c r="N160" s="174">
        <f>IF(Input!S160=0,+Input!$G160,+Input!$G160+Input!S160)</f>
        <v>405.74100000000004</v>
      </c>
      <c r="O160" s="175">
        <f t="shared" si="27"/>
        <v>4868.8920000000007</v>
      </c>
      <c r="P160" s="175">
        <f>IF(AND(O160=""),"",+O160/Setup!$B$12)</f>
        <v>22.131327272727276</v>
      </c>
      <c r="Q160" s="175">
        <f>IF(ISNA(IF(O160="","",(+VLOOKUP(A160,'2016'!$A:$P,15,FALSE)))),0,IF(O160="",0,(+VLOOKUP(A160,'2016'!$A:$P,15,FALSE))))</f>
        <v>3497</v>
      </c>
      <c r="R160" s="169"/>
      <c r="S160" s="278"/>
      <c r="T160" s="321"/>
    </row>
    <row r="161" spans="1:20" s="4" customFormat="1" ht="10.5" customHeight="1">
      <c r="A161" s="410" t="s">
        <v>941</v>
      </c>
      <c r="B161" s="161" t="s">
        <v>316</v>
      </c>
      <c r="C161" s="174">
        <f>IF(Input!H161=0,+Input!$G161,+Input!$G161+Input!H161)</f>
        <v>0</v>
      </c>
      <c r="D161" s="174">
        <f>IF(Input!I161=0,+Input!$G161,+Input!$G161+Input!I161)</f>
        <v>0</v>
      </c>
      <c r="E161" s="174">
        <f>IF(Input!J161=0,+Input!$G161,+Input!$G161+Input!J161)</f>
        <v>0</v>
      </c>
      <c r="F161" s="174">
        <f>IF(Input!K161=0,+Input!$G161,+Input!$G161+Input!K161)</f>
        <v>0</v>
      </c>
      <c r="G161" s="174">
        <f>IF(Input!L161=0,+Input!$G161,+Input!$G161+Input!L161)</f>
        <v>0</v>
      </c>
      <c r="H161" s="174">
        <f>IF(Input!M161=0,+Input!$G161,+Input!$G161+Input!M161)</f>
        <v>0</v>
      </c>
      <c r="I161" s="174">
        <f>IF(Input!N161=0,+Input!$G161,+Input!$G161+Input!N161)</f>
        <v>0</v>
      </c>
      <c r="J161" s="174">
        <f>IF(Input!O161=0,+Input!$G161,+Input!$G161+Input!O161)</f>
        <v>0</v>
      </c>
      <c r="K161" s="174">
        <f>IF(Input!P161=0,+Input!$G161,+Input!$G161+Input!P161)</f>
        <v>0</v>
      </c>
      <c r="L161" s="174">
        <f>IF(Input!Q161=0,+Input!$G161,+Input!$G161+Input!Q161)</f>
        <v>0</v>
      </c>
      <c r="M161" s="174">
        <f>IF(Input!R161=0,+Input!$G161,+Input!$G161+Input!R161)</f>
        <v>0</v>
      </c>
      <c r="N161" s="174">
        <f>IF(Input!S161=0,+Input!$G161,+Input!$G161+Input!S161)</f>
        <v>0</v>
      </c>
      <c r="O161" s="175">
        <f t="shared" si="27"/>
        <v>0</v>
      </c>
      <c r="P161" s="175">
        <f>IF(AND(O161=""),"",+O161/Setup!$B$12)</f>
        <v>0</v>
      </c>
      <c r="Q161" s="175">
        <f>IF(ISNA(IF(O161="","",(+VLOOKUP(A161,'2016'!$A:$P,15,FALSE)))),0,IF(O161="",0,(+VLOOKUP(A161,'2016'!$A:$P,15,FALSE))))</f>
        <v>3276</v>
      </c>
      <c r="R161" s="169"/>
      <c r="S161" s="278"/>
      <c r="T161" s="321"/>
    </row>
    <row r="162" spans="1:20" s="4" customFormat="1" ht="10.5" customHeight="1">
      <c r="A162" s="410" t="s">
        <v>943</v>
      </c>
      <c r="B162" s="161" t="s">
        <v>317</v>
      </c>
      <c r="C162" s="174">
        <f>IF(Input!H162=0,+Input!$G162,+Input!$G162+Input!H162)</f>
        <v>583.82000000000005</v>
      </c>
      <c r="D162" s="174">
        <f>IF(Input!I162=0,+Input!$G162,+Input!$G162+Input!I162)</f>
        <v>583.82000000000005</v>
      </c>
      <c r="E162" s="174">
        <f>IF(Input!J162=0,+Input!$G162,+Input!$G162+Input!J162)</f>
        <v>583.82000000000005</v>
      </c>
      <c r="F162" s="174">
        <f>IF(Input!K162=0,+Input!$G162,+Input!$G162+Input!K162)</f>
        <v>583.82000000000005</v>
      </c>
      <c r="G162" s="174">
        <f>IF(Input!L162=0,+Input!$G162,+Input!$G162+Input!L162)</f>
        <v>583.82000000000005</v>
      </c>
      <c r="H162" s="174">
        <f>IF(Input!M162=0,+Input!$G162,+Input!$G162+Input!M162)</f>
        <v>583.82000000000005</v>
      </c>
      <c r="I162" s="174">
        <f>IF(Input!N162=0,+Input!$G162,+Input!$G162+Input!N162)</f>
        <v>583.82000000000005</v>
      </c>
      <c r="J162" s="174">
        <f>IF(Input!O162=0,+Input!$G162,+Input!$G162+Input!O162)</f>
        <v>583.82000000000005</v>
      </c>
      <c r="K162" s="174">
        <f>IF(Input!P162=0,+Input!$G162,+Input!$G162+Input!P162)</f>
        <v>583.82000000000005</v>
      </c>
      <c r="L162" s="174">
        <f>IF(Input!Q162=0,+Input!$G162,+Input!$G162+Input!Q162)</f>
        <v>583.82000000000005</v>
      </c>
      <c r="M162" s="174">
        <f>IF(Input!R162=0,+Input!$G162,+Input!$G162+Input!R162)</f>
        <v>583.82000000000005</v>
      </c>
      <c r="N162" s="174">
        <f>IF(Input!S162=0,+Input!$G162,+Input!$G162+Input!S162)</f>
        <v>583.82000000000005</v>
      </c>
      <c r="O162" s="175">
        <f t="shared" si="27"/>
        <v>7005.8399999999992</v>
      </c>
      <c r="P162" s="175">
        <f>IF(AND(O162=""),"",+O162/Setup!$B$12)</f>
        <v>31.844727272727269</v>
      </c>
      <c r="Q162" s="175">
        <f>IF(ISNA(IF(O162="","",(+VLOOKUP(A162,'2016'!$A:$P,15,FALSE)))),0,IF(O162="",0,(+VLOOKUP(A162,'2016'!$A:$P,15,FALSE))))</f>
        <v>6170</v>
      </c>
      <c r="R162" s="169"/>
      <c r="S162" s="274"/>
      <c r="T162" s="321"/>
    </row>
    <row r="163" spans="1:20" s="4" customFormat="1" ht="10.5" customHeight="1">
      <c r="A163" s="163"/>
      <c r="B163" s="163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313" t="str">
        <f t="shared" si="24"/>
        <v/>
      </c>
      <c r="P163" s="313" t="str">
        <f>IF(AND(O163=""),"",+O163/Setup!$B$12)</f>
        <v/>
      </c>
      <c r="Q163" s="175" t="str">
        <f>IF(O163="","",(+VLOOKUP(A163,'2016'!$A:$P,15,FALSE)))</f>
        <v/>
      </c>
      <c r="R163" s="169"/>
      <c r="S163" s="278"/>
      <c r="T163" s="321"/>
    </row>
    <row r="164" spans="1:20" s="4" customFormat="1" ht="10.5" customHeight="1">
      <c r="A164" s="159"/>
      <c r="B164" s="159" t="s">
        <v>307</v>
      </c>
      <c r="C164" s="312">
        <f>SUM(C153:C162)</f>
        <v>3960.0434999999998</v>
      </c>
      <c r="D164" s="312">
        <f t="shared" ref="D164:N164" si="28">SUM(D153:D162)</f>
        <v>3960.0434999999998</v>
      </c>
      <c r="E164" s="312">
        <f t="shared" si="28"/>
        <v>3960.0434999999998</v>
      </c>
      <c r="F164" s="312">
        <f t="shared" si="28"/>
        <v>3960.0434999999998</v>
      </c>
      <c r="G164" s="312">
        <f t="shared" si="28"/>
        <v>3960.0434999999998</v>
      </c>
      <c r="H164" s="312">
        <f t="shared" si="28"/>
        <v>3960.0434999999998</v>
      </c>
      <c r="I164" s="312">
        <f t="shared" si="28"/>
        <v>3960.0434999999998</v>
      </c>
      <c r="J164" s="312">
        <f t="shared" si="28"/>
        <v>3960.0434999999998</v>
      </c>
      <c r="K164" s="312">
        <f t="shared" si="28"/>
        <v>3960.0434999999998</v>
      </c>
      <c r="L164" s="312">
        <f t="shared" si="28"/>
        <v>3960.0434999999998</v>
      </c>
      <c r="M164" s="312">
        <f t="shared" si="28"/>
        <v>3960.0434999999998</v>
      </c>
      <c r="N164" s="312">
        <f t="shared" si="28"/>
        <v>3960.0434999999998</v>
      </c>
      <c r="O164" s="313">
        <f t="shared" si="24"/>
        <v>47520.521999999997</v>
      </c>
      <c r="P164" s="313">
        <f>IF(AND(O164=""),"",+O164/Setup!$B$12)</f>
        <v>216.00237272727273</v>
      </c>
      <c r="Q164" s="174">
        <f t="shared" ref="Q164" si="29">SUM(Q153:Q162)</f>
        <v>45566</v>
      </c>
      <c r="R164" s="169"/>
      <c r="S164" s="278"/>
      <c r="T164" s="321"/>
    </row>
    <row r="165" spans="1:20" s="4" customFormat="1" ht="10.5" customHeight="1">
      <c r="A165" s="164"/>
      <c r="B165" s="163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5" t="str">
        <f t="shared" si="24"/>
        <v/>
      </c>
      <c r="P165" s="175" t="str">
        <f>IF(AND(O165=""),"",+O165/Setup!$B$12)</f>
        <v/>
      </c>
      <c r="Q165" s="174"/>
      <c r="R165" s="169"/>
      <c r="S165" s="278"/>
      <c r="T165" s="321"/>
    </row>
    <row r="166" spans="1:20" s="4" customFormat="1" ht="10.5" customHeight="1">
      <c r="A166" s="159"/>
      <c r="B166" s="159" t="s">
        <v>292</v>
      </c>
      <c r="C166" s="174">
        <f>+C164+C151</f>
        <v>23280.0435</v>
      </c>
      <c r="D166" s="174">
        <f t="shared" ref="D166:N166" si="30">+D164+D151</f>
        <v>23280.0435</v>
      </c>
      <c r="E166" s="174">
        <f t="shared" si="30"/>
        <v>23280.0435</v>
      </c>
      <c r="F166" s="174">
        <f t="shared" si="30"/>
        <v>23280.0435</v>
      </c>
      <c r="G166" s="174">
        <f t="shared" si="30"/>
        <v>23280.0435</v>
      </c>
      <c r="H166" s="174">
        <f t="shared" si="30"/>
        <v>23280.0435</v>
      </c>
      <c r="I166" s="174">
        <f t="shared" si="30"/>
        <v>23280.0435</v>
      </c>
      <c r="J166" s="174">
        <f t="shared" si="30"/>
        <v>23280.0435</v>
      </c>
      <c r="K166" s="174">
        <f t="shared" si="30"/>
        <v>23280.0435</v>
      </c>
      <c r="L166" s="174">
        <f t="shared" si="30"/>
        <v>23280.0435</v>
      </c>
      <c r="M166" s="174">
        <f t="shared" si="30"/>
        <v>23280.0435</v>
      </c>
      <c r="N166" s="174">
        <f t="shared" si="30"/>
        <v>23280.0435</v>
      </c>
      <c r="O166" s="175">
        <f t="shared" si="24"/>
        <v>279360.522</v>
      </c>
      <c r="P166" s="175">
        <f>IF(AND(O166=""),"",+O166/Setup!$B$12)</f>
        <v>1269.8205545454546</v>
      </c>
      <c r="Q166" s="174">
        <f t="shared" ref="Q166" si="31">+Q164+Q151</f>
        <v>272627</v>
      </c>
      <c r="R166" s="169"/>
      <c r="S166" s="278"/>
      <c r="T166" s="321"/>
    </row>
    <row r="167" spans="1:20" s="10" customFormat="1" ht="10.5" customHeight="1">
      <c r="A167" s="161"/>
      <c r="B167" s="161" t="s">
        <v>318</v>
      </c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5" t="str">
        <f t="shared" si="24"/>
        <v/>
      </c>
      <c r="P167" s="175" t="str">
        <f>IF(AND(O167=""),"",+O167/Setup!$B$12)</f>
        <v/>
      </c>
      <c r="Q167" s="175" t="str">
        <f>IF(O167="","",(+VLOOKUP(A167,'2016'!$A:$P,15,FALSE)))</f>
        <v/>
      </c>
      <c r="R167" s="169"/>
      <c r="S167" s="278"/>
      <c r="T167" s="321"/>
    </row>
    <row r="168" spans="1:20" s="17" customFormat="1" ht="10.5" customHeight="1">
      <c r="A168" s="161"/>
      <c r="B168" s="161" t="s">
        <v>319</v>
      </c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5" t="str">
        <f t="shared" si="24"/>
        <v/>
      </c>
      <c r="P168" s="175" t="str">
        <f>IF(AND(O168=""),"",+O168/Setup!$B$12)</f>
        <v/>
      </c>
      <c r="Q168" s="175" t="str">
        <f>IF(O168="","",(+VLOOKUP(A168,'2016'!$A:$P,15,FALSE)))</f>
        <v/>
      </c>
      <c r="R168" s="169"/>
      <c r="S168" s="278"/>
      <c r="T168" s="321"/>
    </row>
    <row r="169" spans="1:20" s="18" customFormat="1" ht="10.5" customHeight="1">
      <c r="A169" s="410" t="s">
        <v>947</v>
      </c>
      <c r="B169" s="196" t="s">
        <v>320</v>
      </c>
      <c r="C169" s="174">
        <f>IF(Input!H169=0,+Input!$G169,+Input!$G169+Input!H169)</f>
        <v>494.33333333333331</v>
      </c>
      <c r="D169" s="174">
        <f>IF(Input!I169=0,+Input!$G169,+Input!$G169+Input!I169)</f>
        <v>494.33333333333331</v>
      </c>
      <c r="E169" s="174">
        <f>IF(Input!J169=0,+Input!$G169,+Input!$G169+Input!J169)</f>
        <v>494.33333333333331</v>
      </c>
      <c r="F169" s="174">
        <f>IF(Input!K169=0,+Input!$G169,+Input!$G169+Input!K169)</f>
        <v>494.33333333333331</v>
      </c>
      <c r="G169" s="174">
        <f>IF(Input!L169=0,+Input!$G169,+Input!$G169+Input!L169)</f>
        <v>494.33333333333331</v>
      </c>
      <c r="H169" s="174">
        <f>IF(Input!M169=0,+Input!$G169,+Input!$G169+Input!M169)</f>
        <v>494.33333333333331</v>
      </c>
      <c r="I169" s="174">
        <f>IF(Input!N169=0,+Input!$G169,+Input!$G169+Input!N169)</f>
        <v>494.33333333333331</v>
      </c>
      <c r="J169" s="174">
        <f>IF(Input!O169=0,+Input!$G169,+Input!$G169+Input!O169)</f>
        <v>494.33333333333331</v>
      </c>
      <c r="K169" s="174">
        <f>IF(Input!P169=0,+Input!$G169,+Input!$G169+Input!P169)</f>
        <v>494.33333333333331</v>
      </c>
      <c r="L169" s="174">
        <f>IF(Input!Q169=0,+Input!$G169,+Input!$G169+Input!Q169)</f>
        <v>494.33333333333331</v>
      </c>
      <c r="M169" s="174">
        <f>IF(Input!R169=0,+Input!$G169,+Input!$G169+Input!R169)</f>
        <v>494.33333333333331</v>
      </c>
      <c r="N169" s="174">
        <f>IF(Input!S169=0,+Input!$G169,+Input!$G169+Input!S169)</f>
        <v>494.33333333333331</v>
      </c>
      <c r="O169" s="175">
        <f t="shared" si="24"/>
        <v>5931.9999999999991</v>
      </c>
      <c r="P169" s="175">
        <f>IF(AND(O169=""),"",+O169/Setup!$B$12)</f>
        <v>26.963636363636361</v>
      </c>
      <c r="Q169" s="175">
        <f>IF(ISNA(IF(O169="","",(+VLOOKUP(A169,'2016'!$A:$P,15,FALSE)))),0,IF(O169="",0,(+VLOOKUP(A169,'2016'!$A:$P,15,FALSE))))</f>
        <v>5932</v>
      </c>
      <c r="R169" s="169"/>
      <c r="S169" s="278"/>
      <c r="T169" s="321"/>
    </row>
    <row r="170" spans="1:20" s="17" customFormat="1" ht="10.5" customHeight="1">
      <c r="A170" s="410" t="s">
        <v>949</v>
      </c>
      <c r="B170" s="196" t="s">
        <v>538</v>
      </c>
      <c r="C170" s="174">
        <f>IF(Input!H170=0,+Input!$G170,+Input!$G170+Input!H170)</f>
        <v>675.75</v>
      </c>
      <c r="D170" s="174">
        <f>IF(Input!I170=0,+Input!$G170,+Input!$G170+Input!I170)</f>
        <v>675.75</v>
      </c>
      <c r="E170" s="174">
        <f>IF(Input!J170=0,+Input!$G170,+Input!$G170+Input!J170)</f>
        <v>675.75</v>
      </c>
      <c r="F170" s="174">
        <f>IF(Input!K170=0,+Input!$G170,+Input!$G170+Input!K170)</f>
        <v>675.75</v>
      </c>
      <c r="G170" s="174">
        <f>IF(Input!L170=0,+Input!$G170,+Input!$G170+Input!L170)</f>
        <v>675.75</v>
      </c>
      <c r="H170" s="174">
        <f>IF(Input!M170=0,+Input!$G170,+Input!$G170+Input!M170)</f>
        <v>675.75</v>
      </c>
      <c r="I170" s="174">
        <f>IF(Input!N170=0,+Input!$G170,+Input!$G170+Input!N170)</f>
        <v>675.75</v>
      </c>
      <c r="J170" s="174">
        <f>IF(Input!O170=0,+Input!$G170,+Input!$G170+Input!O170)</f>
        <v>675.75</v>
      </c>
      <c r="K170" s="174">
        <f>IF(Input!P170=0,+Input!$G170,+Input!$G170+Input!P170)</f>
        <v>675.75</v>
      </c>
      <c r="L170" s="174">
        <f>IF(Input!Q170=0,+Input!$G170,+Input!$G170+Input!Q170)</f>
        <v>675.75</v>
      </c>
      <c r="M170" s="174">
        <f>IF(Input!R170=0,+Input!$G170,+Input!$G170+Input!R170)</f>
        <v>675.75</v>
      </c>
      <c r="N170" s="174">
        <f>IF(Input!S170=0,+Input!$G170,+Input!$G170+Input!S170)</f>
        <v>675.75</v>
      </c>
      <c r="O170" s="175">
        <f t="shared" si="24"/>
        <v>8109</v>
      </c>
      <c r="P170" s="175">
        <f>IF(AND(O170=""),"",+O170/Setup!$B$12)</f>
        <v>36.859090909090909</v>
      </c>
      <c r="Q170" s="175">
        <f>IF(ISNA(IF(O170="","",(+VLOOKUP(A170,'2016'!$A:$P,15,FALSE)))),0,IF(O170="",0,(+VLOOKUP(A170,'2016'!$A:$P,15,FALSE))))</f>
        <v>8109</v>
      </c>
      <c r="R170" s="169"/>
      <c r="S170" s="278"/>
      <c r="T170" s="321"/>
    </row>
    <row r="171" spans="1:20" s="17" customFormat="1" ht="10.5" customHeight="1">
      <c r="A171" s="410" t="s">
        <v>951</v>
      </c>
      <c r="B171" s="161" t="s">
        <v>321</v>
      </c>
      <c r="C171" s="174">
        <f>IF(Input!H171=0,+Input!$G171,+Input!$G171+Input!H171)</f>
        <v>211.91666666666666</v>
      </c>
      <c r="D171" s="174">
        <f>IF(Input!I171=0,+Input!$G171,+Input!$G171+Input!I171)</f>
        <v>211.91666666666666</v>
      </c>
      <c r="E171" s="174">
        <f>IF(Input!J171=0,+Input!$G171,+Input!$G171+Input!J171)</f>
        <v>211.91666666666666</v>
      </c>
      <c r="F171" s="174">
        <f>IF(Input!K171=0,+Input!$G171,+Input!$G171+Input!K171)</f>
        <v>211.91666666666666</v>
      </c>
      <c r="G171" s="174">
        <f>IF(Input!L171=0,+Input!$G171,+Input!$G171+Input!L171)</f>
        <v>211.91666666666666</v>
      </c>
      <c r="H171" s="174">
        <f>IF(Input!M171=0,+Input!$G171,+Input!$G171+Input!M171)</f>
        <v>211.91666666666666</v>
      </c>
      <c r="I171" s="174">
        <f>IF(Input!N171=0,+Input!$G171,+Input!$G171+Input!N171)</f>
        <v>211.91666666666666</v>
      </c>
      <c r="J171" s="174">
        <f>IF(Input!O171=0,+Input!$G171,+Input!$G171+Input!O171)</f>
        <v>211.91666666666666</v>
      </c>
      <c r="K171" s="174">
        <f>IF(Input!P171=0,+Input!$G171,+Input!$G171+Input!P171)</f>
        <v>211.91666666666666</v>
      </c>
      <c r="L171" s="174">
        <f>IF(Input!Q171=0,+Input!$G171,+Input!$G171+Input!Q171)</f>
        <v>211.91666666666666</v>
      </c>
      <c r="M171" s="174">
        <f>IF(Input!R171=0,+Input!$G171,+Input!$G171+Input!R171)</f>
        <v>211.91666666666666</v>
      </c>
      <c r="N171" s="174">
        <f>IF(Input!S171=0,+Input!$G171,+Input!$G171+Input!S171)</f>
        <v>211.91666666666666</v>
      </c>
      <c r="O171" s="175">
        <f t="shared" si="24"/>
        <v>2543</v>
      </c>
      <c r="P171" s="175">
        <f>IF(AND(O171=""),"",+O171/Setup!$B$12)</f>
        <v>11.559090909090909</v>
      </c>
      <c r="Q171" s="175">
        <f>IF(ISNA(IF(O171="","",(+VLOOKUP(A171,'2016'!$A:$P,15,FALSE)))),0,IF(O171="",0,(+VLOOKUP(A171,'2016'!$A:$P,15,FALSE))))</f>
        <v>2543</v>
      </c>
      <c r="R171" s="169"/>
      <c r="S171" s="278"/>
      <c r="T171" s="321"/>
    </row>
    <row r="172" spans="1:20" s="4" customFormat="1" ht="10.5" customHeight="1">
      <c r="A172" s="410" t="s">
        <v>953</v>
      </c>
      <c r="B172" s="161" t="s">
        <v>322</v>
      </c>
      <c r="C172" s="174">
        <f>IF(Input!H172=0,+Input!$G172,+Input!$G172+Input!H172)</f>
        <v>0</v>
      </c>
      <c r="D172" s="174">
        <f>IF(Input!I172=0,+Input!$G172,+Input!$G172+Input!I172)</f>
        <v>0</v>
      </c>
      <c r="E172" s="174">
        <f>IF(Input!J172=0,+Input!$G172,+Input!$G172+Input!J172)</f>
        <v>0</v>
      </c>
      <c r="F172" s="174">
        <f>IF(Input!K172=0,+Input!$G172,+Input!$G172+Input!K172)</f>
        <v>0</v>
      </c>
      <c r="G172" s="174">
        <f>IF(Input!L172=0,+Input!$G172,+Input!$G172+Input!L172)</f>
        <v>0</v>
      </c>
      <c r="H172" s="174">
        <f>IF(Input!M172=0,+Input!$G172,+Input!$G172+Input!M172)</f>
        <v>0</v>
      </c>
      <c r="I172" s="174">
        <f>IF(Input!N172=0,+Input!$G172,+Input!$G172+Input!N172)</f>
        <v>0</v>
      </c>
      <c r="J172" s="174">
        <f>IF(Input!O172=0,+Input!$G172,+Input!$G172+Input!O172)</f>
        <v>0</v>
      </c>
      <c r="K172" s="174">
        <f>IF(Input!P172=0,+Input!$G172,+Input!$G172+Input!P172)</f>
        <v>0</v>
      </c>
      <c r="L172" s="174">
        <f>IF(Input!Q172=0,+Input!$G172,+Input!$G172+Input!Q172)</f>
        <v>0</v>
      </c>
      <c r="M172" s="174">
        <f>IF(Input!R172=0,+Input!$G172,+Input!$G172+Input!R172)</f>
        <v>0</v>
      </c>
      <c r="N172" s="174">
        <f>IF(Input!S172=0,+Input!$G172,+Input!$G172+Input!S172)</f>
        <v>0</v>
      </c>
      <c r="O172" s="175">
        <f t="shared" si="24"/>
        <v>0</v>
      </c>
      <c r="P172" s="175">
        <f>IF(AND(O172=""),"",+O172/Setup!$B$12)</f>
        <v>0</v>
      </c>
      <c r="Q172" s="175">
        <f>IF(ISNA(IF(O172="","",(+VLOOKUP(A172,'2016'!$A:$P,15,FALSE)))),0,IF(O172="",0,(+VLOOKUP(A172,'2016'!$A:$P,15,FALSE))))</f>
        <v>0</v>
      </c>
      <c r="R172" s="169"/>
      <c r="S172" s="278"/>
      <c r="T172" s="321"/>
    </row>
    <row r="173" spans="1:20" s="4" customFormat="1" ht="10.5" customHeight="1">
      <c r="A173" s="410" t="s">
        <v>954</v>
      </c>
      <c r="B173" s="196" t="s">
        <v>323</v>
      </c>
      <c r="C173" s="174">
        <f>IF(Input!H173=0,+Input!$G173,+Input!$G173+Input!H173)</f>
        <v>234.08333333333334</v>
      </c>
      <c r="D173" s="174">
        <f>IF(Input!I173=0,+Input!$G173,+Input!$G173+Input!I173)</f>
        <v>234.08333333333334</v>
      </c>
      <c r="E173" s="174">
        <f>IF(Input!J173=0,+Input!$G173,+Input!$G173+Input!J173)</f>
        <v>234.08333333333334</v>
      </c>
      <c r="F173" s="174">
        <f>IF(Input!K173=0,+Input!$G173,+Input!$G173+Input!K173)</f>
        <v>234.08333333333334</v>
      </c>
      <c r="G173" s="174">
        <f>IF(Input!L173=0,+Input!$G173,+Input!$G173+Input!L173)</f>
        <v>234.08333333333334</v>
      </c>
      <c r="H173" s="174">
        <f>IF(Input!M173=0,+Input!$G173,+Input!$G173+Input!M173)</f>
        <v>234.08333333333334</v>
      </c>
      <c r="I173" s="174">
        <f>IF(Input!N173=0,+Input!$G173,+Input!$G173+Input!N173)</f>
        <v>234.08333333333334</v>
      </c>
      <c r="J173" s="174">
        <f>IF(Input!O173=0,+Input!$G173,+Input!$G173+Input!O173)</f>
        <v>234.08333333333334</v>
      </c>
      <c r="K173" s="174">
        <f>IF(Input!P173=0,+Input!$G173,+Input!$G173+Input!P173)</f>
        <v>234.08333333333334</v>
      </c>
      <c r="L173" s="174">
        <f>IF(Input!Q173=0,+Input!$G173,+Input!$G173+Input!Q173)</f>
        <v>234.08333333333334</v>
      </c>
      <c r="M173" s="174">
        <f>IF(Input!R173=0,+Input!$G173,+Input!$G173+Input!R173)</f>
        <v>234.08333333333334</v>
      </c>
      <c r="N173" s="174">
        <f>IF(Input!S173=0,+Input!$G173,+Input!$G173+Input!S173)</f>
        <v>234.08333333333334</v>
      </c>
      <c r="O173" s="175">
        <f t="shared" si="24"/>
        <v>2809.0000000000005</v>
      </c>
      <c r="P173" s="175">
        <f>IF(AND(O173=""),"",+O173/Setup!$B$12)</f>
        <v>12.768181818181819</v>
      </c>
      <c r="Q173" s="175">
        <f>IF(ISNA(IF(O173="","",(+VLOOKUP(A173,'2016'!$A:$P,15,FALSE)))),0,IF(O173="",0,(+VLOOKUP(A173,'2016'!$A:$P,15,FALSE))))</f>
        <v>2809</v>
      </c>
      <c r="R173" s="169"/>
      <c r="S173" s="278"/>
      <c r="T173" s="321"/>
    </row>
    <row r="174" spans="1:20" s="4" customFormat="1" ht="10.5" customHeight="1">
      <c r="A174" s="410" t="s">
        <v>956</v>
      </c>
      <c r="B174" s="161" t="s">
        <v>324</v>
      </c>
      <c r="C174" s="174">
        <f>IF(Input!H174=0,+Input!$G174,+Input!$G174+Input!H174)</f>
        <v>0</v>
      </c>
      <c r="D174" s="174">
        <f>IF(Input!I174=0,+Input!$G174,+Input!$G174+Input!I174)</f>
        <v>0</v>
      </c>
      <c r="E174" s="174">
        <f>IF(Input!J174=0,+Input!$G174,+Input!$G174+Input!J174)</f>
        <v>0</v>
      </c>
      <c r="F174" s="174">
        <f>IF(Input!K174=0,+Input!$G174,+Input!$G174+Input!K174)</f>
        <v>0</v>
      </c>
      <c r="G174" s="174">
        <f>IF(Input!L174=0,+Input!$G174,+Input!$G174+Input!L174)</f>
        <v>0</v>
      </c>
      <c r="H174" s="174">
        <f>IF(Input!M174=0,+Input!$G174,+Input!$G174+Input!M174)</f>
        <v>0</v>
      </c>
      <c r="I174" s="174">
        <f>IF(Input!N174=0,+Input!$G174,+Input!$G174+Input!N174)</f>
        <v>0</v>
      </c>
      <c r="J174" s="174">
        <f>IF(Input!O174=0,+Input!$G174,+Input!$G174+Input!O174)</f>
        <v>0</v>
      </c>
      <c r="K174" s="174">
        <f>IF(Input!P174=0,+Input!$G174,+Input!$G174+Input!P174)</f>
        <v>0</v>
      </c>
      <c r="L174" s="174">
        <f>IF(Input!Q174=0,+Input!$G174,+Input!$G174+Input!Q174)</f>
        <v>0</v>
      </c>
      <c r="M174" s="174">
        <f>IF(Input!R174=0,+Input!$G174,+Input!$G174+Input!R174)</f>
        <v>0</v>
      </c>
      <c r="N174" s="174">
        <f>IF(Input!S174=0,+Input!$G174,+Input!$G174+Input!S174)</f>
        <v>0</v>
      </c>
      <c r="O174" s="175">
        <f t="shared" si="24"/>
        <v>0</v>
      </c>
      <c r="P174" s="175">
        <f>IF(AND(O174=""),"",+O174/Setup!$B$12)</f>
        <v>0</v>
      </c>
      <c r="Q174" s="175">
        <f>IF(ISNA(IF(O174="","",(+VLOOKUP(A174,'2016'!$A:$P,15,FALSE)))),0,IF(O174="",0,(+VLOOKUP(A174,'2016'!$A:$P,15,FALSE))))</f>
        <v>0</v>
      </c>
      <c r="R174" s="169"/>
      <c r="S174" s="278"/>
      <c r="T174" s="321"/>
    </row>
    <row r="175" spans="1:20" s="4" customFormat="1" ht="10.5" customHeight="1">
      <c r="A175" s="410" t="s">
        <v>957</v>
      </c>
      <c r="B175" s="161" t="s">
        <v>325</v>
      </c>
      <c r="C175" s="174">
        <f>IF(Input!H175=0,+Input!$G175,+Input!$G175+Input!H175)</f>
        <v>429.41666666666669</v>
      </c>
      <c r="D175" s="174">
        <f>IF(Input!I175=0,+Input!$G175,+Input!$G175+Input!I175)</f>
        <v>429.41666666666669</v>
      </c>
      <c r="E175" s="174">
        <f>IF(Input!J175=0,+Input!$G175,+Input!$G175+Input!J175)</f>
        <v>429.41666666666669</v>
      </c>
      <c r="F175" s="174">
        <f>IF(Input!K175=0,+Input!$G175,+Input!$G175+Input!K175)</f>
        <v>429.41666666666669</v>
      </c>
      <c r="G175" s="174">
        <f>IF(Input!L175=0,+Input!$G175,+Input!$G175+Input!L175)</f>
        <v>429.41666666666669</v>
      </c>
      <c r="H175" s="174">
        <f>IF(Input!M175=0,+Input!$G175,+Input!$G175+Input!M175)</f>
        <v>429.41666666666669</v>
      </c>
      <c r="I175" s="174">
        <f>IF(Input!N175=0,+Input!$G175,+Input!$G175+Input!N175)</f>
        <v>429.41666666666669</v>
      </c>
      <c r="J175" s="174">
        <f>IF(Input!O175=0,+Input!$G175,+Input!$G175+Input!O175)</f>
        <v>429.41666666666669</v>
      </c>
      <c r="K175" s="174">
        <f>IF(Input!P175=0,+Input!$G175,+Input!$G175+Input!P175)</f>
        <v>429.41666666666669</v>
      </c>
      <c r="L175" s="174">
        <f>IF(Input!Q175=0,+Input!$G175,+Input!$G175+Input!Q175)</f>
        <v>429.41666666666669</v>
      </c>
      <c r="M175" s="174">
        <f>IF(Input!R175=0,+Input!$G175,+Input!$G175+Input!R175)</f>
        <v>429.41666666666669</v>
      </c>
      <c r="N175" s="174">
        <f>IF(Input!S175=0,+Input!$G175,+Input!$G175+Input!S175)</f>
        <v>429.41666666666669</v>
      </c>
      <c r="O175" s="175">
        <f t="shared" si="24"/>
        <v>5153</v>
      </c>
      <c r="P175" s="175">
        <f>IF(AND(O175=""),"",+O175/Setup!$B$12)</f>
        <v>23.422727272727272</v>
      </c>
      <c r="Q175" s="175">
        <f>IF(ISNA(IF(O175="","",(+VLOOKUP(A175,'2016'!$A:$P,15,FALSE)))),0,IF(O175="",0,(+VLOOKUP(A175,'2016'!$A:$P,15,FALSE))))</f>
        <v>5153</v>
      </c>
      <c r="R175" s="169"/>
      <c r="S175" s="278"/>
      <c r="T175" s="321"/>
    </row>
    <row r="176" spans="1:20" s="4" customFormat="1" ht="10.5" customHeight="1">
      <c r="A176" s="410" t="s">
        <v>959</v>
      </c>
      <c r="B176" s="196" t="s">
        <v>539</v>
      </c>
      <c r="C176" s="174">
        <f>IF(Input!H176=0,+Input!$G176,+Input!$G176+Input!H176)</f>
        <v>77.083333333333329</v>
      </c>
      <c r="D176" s="174">
        <f>IF(Input!I176=0,+Input!$G176,+Input!$G176+Input!I176)</f>
        <v>77.083333333333329</v>
      </c>
      <c r="E176" s="174">
        <f>IF(Input!J176=0,+Input!$G176,+Input!$G176+Input!J176)</f>
        <v>77.083333333333329</v>
      </c>
      <c r="F176" s="174">
        <f>IF(Input!K176=0,+Input!$G176,+Input!$G176+Input!K176)</f>
        <v>77.083333333333329</v>
      </c>
      <c r="G176" s="174">
        <f>IF(Input!L176=0,+Input!$G176,+Input!$G176+Input!L176)</f>
        <v>77.083333333333329</v>
      </c>
      <c r="H176" s="174">
        <f>IF(Input!M176=0,+Input!$G176,+Input!$G176+Input!M176)</f>
        <v>77.083333333333329</v>
      </c>
      <c r="I176" s="174">
        <f>IF(Input!N176=0,+Input!$G176,+Input!$G176+Input!N176)</f>
        <v>77.083333333333329</v>
      </c>
      <c r="J176" s="174">
        <f>IF(Input!O176=0,+Input!$G176,+Input!$G176+Input!O176)</f>
        <v>77.083333333333329</v>
      </c>
      <c r="K176" s="174">
        <f>IF(Input!P176=0,+Input!$G176,+Input!$G176+Input!P176)</f>
        <v>77.083333333333329</v>
      </c>
      <c r="L176" s="174">
        <f>IF(Input!Q176=0,+Input!$G176,+Input!$G176+Input!Q176)</f>
        <v>77.083333333333329</v>
      </c>
      <c r="M176" s="174">
        <f>IF(Input!R176=0,+Input!$G176,+Input!$G176+Input!R176)</f>
        <v>77.083333333333329</v>
      </c>
      <c r="N176" s="174">
        <f>IF(Input!S176=0,+Input!$G176,+Input!$G176+Input!S176)</f>
        <v>77.083333333333329</v>
      </c>
      <c r="O176" s="175">
        <f t="shared" si="24"/>
        <v>925.00000000000011</v>
      </c>
      <c r="P176" s="175">
        <f>IF(AND(O176=""),"",+O176/Setup!$B$12)</f>
        <v>4.204545454545455</v>
      </c>
      <c r="Q176" s="175">
        <f>IF(ISNA(IF(O176="","",(+VLOOKUP(A176,'2016'!$A:$P,15,FALSE)))),0,IF(O176="",0,(+VLOOKUP(A176,'2016'!$A:$P,15,FALSE))))</f>
        <v>925</v>
      </c>
      <c r="R176" s="169"/>
      <c r="S176" s="278"/>
      <c r="T176" s="321"/>
    </row>
    <row r="177" spans="1:20" s="4" customFormat="1" ht="10.5" customHeight="1">
      <c r="A177" s="410" t="s">
        <v>961</v>
      </c>
      <c r="B177" s="161" t="s">
        <v>326</v>
      </c>
      <c r="C177" s="174">
        <f>IF(Input!H177=0,+Input!$G177,+Input!$G177+Input!H177)</f>
        <v>929</v>
      </c>
      <c r="D177" s="174">
        <f>IF(Input!I177=0,+Input!$G177,+Input!$G177+Input!I177)</f>
        <v>929</v>
      </c>
      <c r="E177" s="174">
        <f>IF(Input!J177=0,+Input!$G177,+Input!$G177+Input!J177)</f>
        <v>929</v>
      </c>
      <c r="F177" s="174">
        <f>IF(Input!K177=0,+Input!$G177,+Input!$G177+Input!K177)</f>
        <v>929</v>
      </c>
      <c r="G177" s="174">
        <f>IF(Input!L177=0,+Input!$G177,+Input!$G177+Input!L177)</f>
        <v>929</v>
      </c>
      <c r="H177" s="174">
        <f>IF(Input!M177=0,+Input!$G177,+Input!$G177+Input!M177)</f>
        <v>929</v>
      </c>
      <c r="I177" s="174">
        <f>IF(Input!N177=0,+Input!$G177,+Input!$G177+Input!N177)</f>
        <v>929</v>
      </c>
      <c r="J177" s="174">
        <f>IF(Input!O177=0,+Input!$G177,+Input!$G177+Input!O177)</f>
        <v>929</v>
      </c>
      <c r="K177" s="174">
        <f>IF(Input!P177=0,+Input!$G177,+Input!$G177+Input!P177)</f>
        <v>929</v>
      </c>
      <c r="L177" s="174">
        <f>IF(Input!Q177=0,+Input!$G177,+Input!$G177+Input!Q177)</f>
        <v>929</v>
      </c>
      <c r="M177" s="174">
        <f>IF(Input!R177=0,+Input!$G177,+Input!$G177+Input!R177)</f>
        <v>929</v>
      </c>
      <c r="N177" s="174">
        <f>IF(Input!S177=0,+Input!$G177,+Input!$G177+Input!S177)</f>
        <v>929</v>
      </c>
      <c r="O177" s="175">
        <f t="shared" si="24"/>
        <v>11148</v>
      </c>
      <c r="P177" s="175">
        <f>IF(AND(O177=""),"",+O177/Setup!$B$12)</f>
        <v>50.672727272727272</v>
      </c>
      <c r="Q177" s="175">
        <f>IF(ISNA(IF(O177="","",(+VLOOKUP(A177,'2016'!$A:$P,15,FALSE)))),0,IF(O177="",0,(+VLOOKUP(A177,'2016'!$A:$P,15,FALSE))))</f>
        <v>11148</v>
      </c>
      <c r="R177" s="169"/>
      <c r="S177" s="278"/>
      <c r="T177" s="321"/>
    </row>
    <row r="178" spans="1:20" s="4" customFormat="1" ht="10.5" customHeight="1">
      <c r="A178" s="410" t="s">
        <v>963</v>
      </c>
      <c r="B178" s="161" t="s">
        <v>327</v>
      </c>
      <c r="C178" s="174">
        <f>IF(Input!H178=0,+Input!$G178,+Input!$G178+Input!H178)</f>
        <v>0</v>
      </c>
      <c r="D178" s="174">
        <f>IF(Input!I178=0,+Input!$G178,+Input!$G178+Input!I178)</f>
        <v>0</v>
      </c>
      <c r="E178" s="174">
        <f>IF(Input!J178=0,+Input!$G178,+Input!$G178+Input!J178)</f>
        <v>0</v>
      </c>
      <c r="F178" s="174">
        <f>IF(Input!K178=0,+Input!$G178,+Input!$G178+Input!K178)</f>
        <v>0</v>
      </c>
      <c r="G178" s="174">
        <f>IF(Input!L178=0,+Input!$G178,+Input!$G178+Input!L178)</f>
        <v>0</v>
      </c>
      <c r="H178" s="174">
        <f>IF(Input!M178=0,+Input!$G178,+Input!$G178+Input!M178)</f>
        <v>0</v>
      </c>
      <c r="I178" s="174">
        <f>IF(Input!N178=0,+Input!$G178,+Input!$G178+Input!N178)</f>
        <v>0</v>
      </c>
      <c r="J178" s="174">
        <f>IF(Input!O178=0,+Input!$G178,+Input!$G178+Input!O178)</f>
        <v>0</v>
      </c>
      <c r="K178" s="174">
        <f>IF(Input!P178=0,+Input!$G178,+Input!$G178+Input!P178)</f>
        <v>0</v>
      </c>
      <c r="L178" s="174">
        <f>IF(Input!Q178=0,+Input!$G178,+Input!$G178+Input!Q178)</f>
        <v>0</v>
      </c>
      <c r="M178" s="174">
        <f>IF(Input!R178=0,+Input!$G178,+Input!$G178+Input!R178)</f>
        <v>0</v>
      </c>
      <c r="N178" s="174">
        <f>IF(Input!S178=0,+Input!$G178,+Input!$G178+Input!S178)</f>
        <v>0</v>
      </c>
      <c r="O178" s="175">
        <f t="shared" si="24"/>
        <v>0</v>
      </c>
      <c r="P178" s="175">
        <f>IF(AND(O178=""),"",+O178/Setup!$B$12)</f>
        <v>0</v>
      </c>
      <c r="Q178" s="175">
        <f>IF(ISNA(IF(O178="","",(+VLOOKUP(A178,'2016'!$A:$P,15,FALSE)))),0,IF(O178="",0,(+VLOOKUP(A178,'2016'!$A:$P,15,FALSE))))</f>
        <v>0</v>
      </c>
      <c r="R178" s="169"/>
      <c r="S178" s="278"/>
      <c r="T178" s="321"/>
    </row>
    <row r="179" spans="1:20" s="4" customFormat="1" ht="10.5" customHeight="1">
      <c r="A179" s="163"/>
      <c r="B179" s="163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5" t="str">
        <f t="shared" si="24"/>
        <v/>
      </c>
      <c r="P179" s="175" t="str">
        <f>IF(AND(O179=""),"",+O179/Setup!$B$12)</f>
        <v/>
      </c>
      <c r="Q179" s="175" t="str">
        <f>IF(O179="","",(+VLOOKUP(A179,'2016'!$A:$P,15,FALSE)))</f>
        <v/>
      </c>
      <c r="R179" s="169"/>
      <c r="S179" s="274"/>
      <c r="T179" s="321"/>
    </row>
    <row r="180" spans="1:20" s="4" customFormat="1" ht="10.5" customHeight="1">
      <c r="A180" s="159"/>
      <c r="B180" s="159" t="s">
        <v>319</v>
      </c>
      <c r="C180" s="174">
        <f t="shared" ref="C180:N180" si="32">SUM(C169:C178)</f>
        <v>3051.5833333333335</v>
      </c>
      <c r="D180" s="174">
        <f t="shared" si="32"/>
        <v>3051.5833333333335</v>
      </c>
      <c r="E180" s="174">
        <f t="shared" si="32"/>
        <v>3051.5833333333335</v>
      </c>
      <c r="F180" s="174">
        <f t="shared" si="32"/>
        <v>3051.5833333333335</v>
      </c>
      <c r="G180" s="174">
        <f t="shared" si="32"/>
        <v>3051.5833333333335</v>
      </c>
      <c r="H180" s="174">
        <f t="shared" si="32"/>
        <v>3051.5833333333335</v>
      </c>
      <c r="I180" s="174">
        <f t="shared" si="32"/>
        <v>3051.5833333333335</v>
      </c>
      <c r="J180" s="174">
        <f t="shared" si="32"/>
        <v>3051.5833333333335</v>
      </c>
      <c r="K180" s="174">
        <f t="shared" si="32"/>
        <v>3051.5833333333335</v>
      </c>
      <c r="L180" s="174">
        <f t="shared" si="32"/>
        <v>3051.5833333333335</v>
      </c>
      <c r="M180" s="174">
        <f t="shared" si="32"/>
        <v>3051.5833333333335</v>
      </c>
      <c r="N180" s="174">
        <f t="shared" si="32"/>
        <v>3051.5833333333335</v>
      </c>
      <c r="O180" s="175">
        <f t="shared" si="24"/>
        <v>36619</v>
      </c>
      <c r="P180" s="175">
        <f>IF(AND(O180=""),"",+O180/Setup!$B$12)</f>
        <v>166.45</v>
      </c>
      <c r="Q180" s="174">
        <f>SUM(Q169:Q178)</f>
        <v>36619</v>
      </c>
      <c r="R180" s="169"/>
      <c r="S180" s="278"/>
      <c r="T180" s="321"/>
    </row>
    <row r="181" spans="1:20" s="4" customFormat="1" ht="10.5" customHeight="1">
      <c r="A181" s="161"/>
      <c r="B181" s="161" t="s">
        <v>328</v>
      </c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5" t="str">
        <f t="shared" si="24"/>
        <v/>
      </c>
      <c r="P181" s="175" t="str">
        <f>IF(AND(O181=""),"",+O181/Setup!$B$12)</f>
        <v/>
      </c>
      <c r="Q181" s="175" t="str">
        <f>IF(O181="","",(+VLOOKUP(A181,'2016'!$A:$P,15,FALSE)))</f>
        <v/>
      </c>
      <c r="R181" s="169"/>
      <c r="S181" s="278"/>
      <c r="T181" s="321"/>
    </row>
    <row r="182" spans="1:20" s="10" customFormat="1" ht="10.5" customHeight="1">
      <c r="A182" s="410" t="s">
        <v>966</v>
      </c>
      <c r="B182" s="4" t="s">
        <v>644</v>
      </c>
      <c r="C182" s="174">
        <f>IF(Input!H182=0,+Input!$G182,+Input!$G182+Input!H182)</f>
        <v>0</v>
      </c>
      <c r="D182" s="174">
        <f>IF(Input!I182=0,+Input!$G182,+Input!$G182+Input!I182)</f>
        <v>0</v>
      </c>
      <c r="E182" s="174">
        <f>IF(Input!J182=0,+Input!$G182,+Input!$G182+Input!J182)</f>
        <v>0</v>
      </c>
      <c r="F182" s="174">
        <f>IF(Input!K182=0,+Input!$G182,+Input!$G182+Input!K182)</f>
        <v>0</v>
      </c>
      <c r="G182" s="174">
        <f>IF(Input!L182=0,+Input!$G182,+Input!$G182+Input!L182)</f>
        <v>0</v>
      </c>
      <c r="H182" s="174">
        <f>IF(Input!M182=0,+Input!$G182,+Input!$G182+Input!M182)</f>
        <v>0</v>
      </c>
      <c r="I182" s="174">
        <f>IF(Input!N182=0,+Input!$G182,+Input!$G182+Input!N182)</f>
        <v>0</v>
      </c>
      <c r="J182" s="174">
        <f>IF(Input!O182=0,+Input!$G182,+Input!$G182+Input!O182)</f>
        <v>0</v>
      </c>
      <c r="K182" s="174">
        <f>IF(Input!P182=0,+Input!$G182,+Input!$G182+Input!P182)</f>
        <v>0</v>
      </c>
      <c r="L182" s="174">
        <f>IF(Input!Q182=0,+Input!$G182,+Input!$G182+Input!Q182)</f>
        <v>0</v>
      </c>
      <c r="M182" s="174">
        <f>IF(Input!R182=0,+Input!$G182,+Input!$G182+Input!R182)</f>
        <v>0</v>
      </c>
      <c r="N182" s="174">
        <f>IF(Input!S182=0,+Input!$G182,+Input!$G182+Input!S182)</f>
        <v>0</v>
      </c>
      <c r="O182" s="175">
        <f t="shared" si="24"/>
        <v>0</v>
      </c>
      <c r="P182" s="175">
        <f>IF(AND(O182=""),"",+O182/Setup!$B$12)</f>
        <v>0</v>
      </c>
      <c r="Q182" s="175">
        <f>IF(ISNA(IF(O182="","",(+VLOOKUP(A182,'2016'!$A:$P,15,FALSE)))),0,IF(O182="",0,(+VLOOKUP(A182,'2016'!$A:$P,15,FALSE))))</f>
        <v>0</v>
      </c>
      <c r="R182" s="169"/>
      <c r="S182" s="278"/>
      <c r="T182" s="321"/>
    </row>
    <row r="183" spans="1:20" s="17" customFormat="1" ht="10.5" customHeight="1">
      <c r="A183" s="410" t="s">
        <v>967</v>
      </c>
      <c r="B183" s="4" t="s">
        <v>659</v>
      </c>
      <c r="C183" s="174">
        <f>IF(Input!H183=0,+Input!$G183,+Input!$G183+Input!H183)</f>
        <v>220.33333333333334</v>
      </c>
      <c r="D183" s="174">
        <f>IF(Input!I183=0,+Input!$G183,+Input!$G183+Input!I183)</f>
        <v>220.33333333333334</v>
      </c>
      <c r="E183" s="174">
        <f>IF(Input!J183=0,+Input!$G183,+Input!$G183+Input!J183)</f>
        <v>220.33333333333334</v>
      </c>
      <c r="F183" s="174">
        <f>IF(Input!K183=0,+Input!$G183,+Input!$G183+Input!K183)</f>
        <v>220.33333333333334</v>
      </c>
      <c r="G183" s="174">
        <f>IF(Input!L183=0,+Input!$G183,+Input!$G183+Input!L183)</f>
        <v>220.33333333333334</v>
      </c>
      <c r="H183" s="174">
        <f>IF(Input!M183=0,+Input!$G183,+Input!$G183+Input!M183)</f>
        <v>220.33333333333334</v>
      </c>
      <c r="I183" s="174">
        <f>IF(Input!N183=0,+Input!$G183,+Input!$G183+Input!N183)</f>
        <v>220.33333333333334</v>
      </c>
      <c r="J183" s="174">
        <f>IF(Input!O183=0,+Input!$G183,+Input!$G183+Input!O183)</f>
        <v>220.33333333333334</v>
      </c>
      <c r="K183" s="174">
        <f>IF(Input!P183=0,+Input!$G183,+Input!$G183+Input!P183)</f>
        <v>220.33333333333334</v>
      </c>
      <c r="L183" s="174">
        <f>IF(Input!Q183=0,+Input!$G183,+Input!$G183+Input!Q183)</f>
        <v>220.33333333333334</v>
      </c>
      <c r="M183" s="174">
        <f>IF(Input!R183=0,+Input!$G183,+Input!$G183+Input!R183)</f>
        <v>220.33333333333334</v>
      </c>
      <c r="N183" s="174">
        <f>IF(Input!S183=0,+Input!$G183,+Input!$G183+Input!S183)</f>
        <v>220.33333333333334</v>
      </c>
      <c r="O183" s="175">
        <f t="shared" si="24"/>
        <v>2644</v>
      </c>
      <c r="P183" s="175">
        <f>IF(AND(O183=""),"",+O183/Setup!$B$12)</f>
        <v>12.018181818181818</v>
      </c>
      <c r="Q183" s="175">
        <f>IF(ISNA(IF(O183="","",(+VLOOKUP(A183,'2016'!$A:$P,15,FALSE)))),0,IF(O183="",0,(+VLOOKUP(A183,'2016'!$A:$P,15,FALSE))))</f>
        <v>2644</v>
      </c>
      <c r="R183" s="169"/>
      <c r="S183" s="278"/>
      <c r="T183" s="321"/>
    </row>
    <row r="184" spans="1:20" s="4" customFormat="1" ht="10.5" customHeight="1">
      <c r="A184" s="410" t="s">
        <v>969</v>
      </c>
      <c r="B184" s="161" t="s">
        <v>330</v>
      </c>
      <c r="C184" s="174">
        <f>IF(Input!H184=0,+Input!$G184,+Input!$G184+Input!H184)</f>
        <v>0</v>
      </c>
      <c r="D184" s="174">
        <f>IF(Input!I184=0,+Input!$G184,+Input!$G184+Input!I184)</f>
        <v>0</v>
      </c>
      <c r="E184" s="174">
        <f>IF(Input!J184=0,+Input!$G184,+Input!$G184+Input!J184)</f>
        <v>0</v>
      </c>
      <c r="F184" s="174">
        <f>IF(Input!K184=0,+Input!$G184,+Input!$G184+Input!K184)</f>
        <v>0</v>
      </c>
      <c r="G184" s="174">
        <f>IF(Input!L184=0,+Input!$G184,+Input!$G184+Input!L184)</f>
        <v>0</v>
      </c>
      <c r="H184" s="174">
        <f>IF(Input!M184=0,+Input!$G184,+Input!$G184+Input!M184)</f>
        <v>0</v>
      </c>
      <c r="I184" s="174">
        <f>IF(Input!N184=0,+Input!$G184,+Input!$G184+Input!N184)</f>
        <v>0</v>
      </c>
      <c r="J184" s="174">
        <f>IF(Input!O184=0,+Input!$G184,+Input!$G184+Input!O184)</f>
        <v>0</v>
      </c>
      <c r="K184" s="174">
        <f>IF(Input!P184=0,+Input!$G184,+Input!$G184+Input!P184)</f>
        <v>0</v>
      </c>
      <c r="L184" s="174">
        <f>IF(Input!Q184=0,+Input!$G184,+Input!$G184+Input!Q184)</f>
        <v>0</v>
      </c>
      <c r="M184" s="174">
        <f>IF(Input!R184=0,+Input!$G184,+Input!$G184+Input!R184)</f>
        <v>0</v>
      </c>
      <c r="N184" s="174">
        <f>IF(Input!S184=0,+Input!$G184,+Input!$G184+Input!S184)</f>
        <v>0</v>
      </c>
      <c r="O184" s="175">
        <f t="shared" si="24"/>
        <v>0</v>
      </c>
      <c r="P184" s="175">
        <f>IF(AND(O184=""),"",+O184/Setup!$B$12)</f>
        <v>0</v>
      </c>
      <c r="Q184" s="175">
        <f>IF(ISNA(IF(O184="","",(+VLOOKUP(A184,'2016'!$A:$P,15,FALSE)))),0,IF(O184="",0,(+VLOOKUP(A184,'2016'!$A:$P,15,FALSE))))</f>
        <v>0</v>
      </c>
      <c r="R184" s="169"/>
      <c r="S184" s="278"/>
      <c r="T184" s="321"/>
    </row>
    <row r="185" spans="1:20" s="4" customFormat="1" ht="10.5" customHeight="1">
      <c r="A185" s="410" t="s">
        <v>970</v>
      </c>
      <c r="B185" s="161" t="s">
        <v>331</v>
      </c>
      <c r="C185" s="174">
        <f>IF(Input!H185=0,+Input!$G185,+Input!$G185+Input!H185)</f>
        <v>377.41666666666669</v>
      </c>
      <c r="D185" s="174">
        <f>IF(Input!I185=0,+Input!$G185,+Input!$G185+Input!I185)</f>
        <v>377.41666666666669</v>
      </c>
      <c r="E185" s="174">
        <f>IF(Input!J185=0,+Input!$G185,+Input!$G185+Input!J185)</f>
        <v>377.41666666666669</v>
      </c>
      <c r="F185" s="174">
        <f>IF(Input!K185=0,+Input!$G185,+Input!$G185+Input!K185)</f>
        <v>377.41666666666669</v>
      </c>
      <c r="G185" s="174">
        <f>IF(Input!L185=0,+Input!$G185,+Input!$G185+Input!L185)</f>
        <v>377.41666666666669</v>
      </c>
      <c r="H185" s="174">
        <f>IF(Input!M185=0,+Input!$G185,+Input!$G185+Input!M185)</f>
        <v>377.41666666666669</v>
      </c>
      <c r="I185" s="174">
        <f>IF(Input!N185=0,+Input!$G185,+Input!$G185+Input!N185)</f>
        <v>377.41666666666669</v>
      </c>
      <c r="J185" s="174">
        <f>IF(Input!O185=0,+Input!$G185,+Input!$G185+Input!O185)</f>
        <v>377.41666666666669</v>
      </c>
      <c r="K185" s="174">
        <f>IF(Input!P185=0,+Input!$G185,+Input!$G185+Input!P185)</f>
        <v>377.41666666666669</v>
      </c>
      <c r="L185" s="174">
        <f>IF(Input!Q185=0,+Input!$G185,+Input!$G185+Input!Q185)</f>
        <v>377.41666666666669</v>
      </c>
      <c r="M185" s="174">
        <f>IF(Input!R185=0,+Input!$G185,+Input!$G185+Input!R185)</f>
        <v>377.41666666666669</v>
      </c>
      <c r="N185" s="174">
        <f>IF(Input!S185=0,+Input!$G185,+Input!$G185+Input!S185)</f>
        <v>377.41666666666669</v>
      </c>
      <c r="O185" s="175">
        <f t="shared" si="24"/>
        <v>4529</v>
      </c>
      <c r="P185" s="175">
        <f>IF(AND(O185=""),"",+O185/Setup!$B$12)</f>
        <v>20.586363636363636</v>
      </c>
      <c r="Q185" s="175">
        <f>IF(ISNA(IF(O185="","",(+VLOOKUP(A185,'2016'!$A:$P,15,FALSE)))),0,IF(O185="",0,(+VLOOKUP(A185,'2016'!$A:$P,15,FALSE))))</f>
        <v>4529</v>
      </c>
      <c r="R185" s="169"/>
      <c r="S185" s="278"/>
      <c r="T185" s="321"/>
    </row>
    <row r="186" spans="1:20" s="4" customFormat="1" ht="10.5" customHeight="1">
      <c r="A186" s="410" t="s">
        <v>972</v>
      </c>
      <c r="B186" s="161" t="s">
        <v>332</v>
      </c>
      <c r="C186" s="174">
        <f>IF(Input!H186=0,+Input!$G186,+Input!$G186+Input!H186)</f>
        <v>0</v>
      </c>
      <c r="D186" s="174">
        <f>IF(Input!I186=0,+Input!$G186,+Input!$G186+Input!I186)</f>
        <v>0</v>
      </c>
      <c r="E186" s="174">
        <f>IF(Input!J186=0,+Input!$G186,+Input!$G186+Input!J186)</f>
        <v>0</v>
      </c>
      <c r="F186" s="174">
        <f>IF(Input!K186=0,+Input!$G186,+Input!$G186+Input!K186)</f>
        <v>0</v>
      </c>
      <c r="G186" s="174">
        <f>IF(Input!L186=0,+Input!$G186,+Input!$G186+Input!L186)</f>
        <v>0</v>
      </c>
      <c r="H186" s="174">
        <f>IF(Input!M186=0,+Input!$G186,+Input!$G186+Input!M186)</f>
        <v>0</v>
      </c>
      <c r="I186" s="174">
        <f>IF(Input!N186=0,+Input!$G186,+Input!$G186+Input!N186)</f>
        <v>0</v>
      </c>
      <c r="J186" s="174">
        <f>IF(Input!O186=0,+Input!$G186,+Input!$G186+Input!O186)</f>
        <v>0</v>
      </c>
      <c r="K186" s="174">
        <f>IF(Input!P186=0,+Input!$G186,+Input!$G186+Input!P186)</f>
        <v>0</v>
      </c>
      <c r="L186" s="174">
        <f>IF(Input!Q186=0,+Input!$G186,+Input!$G186+Input!Q186)</f>
        <v>0</v>
      </c>
      <c r="M186" s="174">
        <f>IF(Input!R186=0,+Input!$G186,+Input!$G186+Input!R186)</f>
        <v>0</v>
      </c>
      <c r="N186" s="174">
        <f>IF(Input!S186=0,+Input!$G186,+Input!$G186+Input!S186)</f>
        <v>0</v>
      </c>
      <c r="O186" s="175">
        <f t="shared" si="24"/>
        <v>0</v>
      </c>
      <c r="P186" s="175">
        <f>IF(AND(O186=""),"",+O186/Setup!$B$12)</f>
        <v>0</v>
      </c>
      <c r="Q186" s="175">
        <f>IF(ISNA(IF(O186="","",(+VLOOKUP(A186,'2016'!$A:$P,15,FALSE)))),0,IF(O186="",0,(+VLOOKUP(A186,'2016'!$A:$P,15,FALSE))))</f>
        <v>0</v>
      </c>
      <c r="R186" s="169"/>
      <c r="S186" s="278"/>
      <c r="T186" s="321"/>
    </row>
    <row r="187" spans="1:20" s="4" customFormat="1" ht="10.5" customHeight="1">
      <c r="A187" s="410" t="s">
        <v>973</v>
      </c>
      <c r="B187" s="161" t="s">
        <v>333</v>
      </c>
      <c r="C187" s="174">
        <f>IF(Input!H187=0,+Input!$G187,+Input!$G187+Input!H187)</f>
        <v>128.83333333333334</v>
      </c>
      <c r="D187" s="174">
        <f>IF(Input!I187=0,+Input!$G187,+Input!$G187+Input!I187)</f>
        <v>128.83333333333334</v>
      </c>
      <c r="E187" s="174">
        <f>IF(Input!J187=0,+Input!$G187,+Input!$G187+Input!J187)</f>
        <v>128.83333333333334</v>
      </c>
      <c r="F187" s="174">
        <f>IF(Input!K187=0,+Input!$G187,+Input!$G187+Input!K187)</f>
        <v>128.83333333333334</v>
      </c>
      <c r="G187" s="174">
        <f>IF(Input!L187=0,+Input!$G187,+Input!$G187+Input!L187)</f>
        <v>128.83333333333334</v>
      </c>
      <c r="H187" s="174">
        <f>IF(Input!M187=0,+Input!$G187,+Input!$G187+Input!M187)</f>
        <v>128.83333333333334</v>
      </c>
      <c r="I187" s="174">
        <f>IF(Input!N187=0,+Input!$G187,+Input!$G187+Input!N187)</f>
        <v>128.83333333333334</v>
      </c>
      <c r="J187" s="174">
        <f>IF(Input!O187=0,+Input!$G187,+Input!$G187+Input!O187)</f>
        <v>128.83333333333334</v>
      </c>
      <c r="K187" s="174">
        <f>IF(Input!P187=0,+Input!$G187,+Input!$G187+Input!P187)</f>
        <v>128.83333333333334</v>
      </c>
      <c r="L187" s="174">
        <f>IF(Input!Q187=0,+Input!$G187,+Input!$G187+Input!Q187)</f>
        <v>128.83333333333334</v>
      </c>
      <c r="M187" s="174">
        <f>IF(Input!R187=0,+Input!$G187,+Input!$G187+Input!R187)</f>
        <v>128.83333333333334</v>
      </c>
      <c r="N187" s="174">
        <f>IF(Input!S187=0,+Input!$G187,+Input!$G187+Input!S187)</f>
        <v>128.83333333333334</v>
      </c>
      <c r="O187" s="175">
        <f t="shared" si="24"/>
        <v>1545.9999999999998</v>
      </c>
      <c r="P187" s="175">
        <f>IF(AND(O187=""),"",+O187/Setup!$B$12)</f>
        <v>7.0272727272727264</v>
      </c>
      <c r="Q187" s="175">
        <f>IF(ISNA(IF(O187="","",(+VLOOKUP(A187,'2016'!$A:$P,15,FALSE)))),0,IF(O187="",0,(+VLOOKUP(A187,'2016'!$A:$P,15,FALSE))))</f>
        <v>1546</v>
      </c>
      <c r="R187" s="169"/>
      <c r="S187" s="278"/>
      <c r="T187" s="321"/>
    </row>
    <row r="188" spans="1:20" s="4" customFormat="1" ht="10.5" customHeight="1">
      <c r="A188" s="410" t="s">
        <v>975</v>
      </c>
      <c r="B188" s="161" t="s">
        <v>334</v>
      </c>
      <c r="C188" s="174">
        <f>IF(Input!H188=0,+Input!$G188,+Input!$G188+Input!H188)</f>
        <v>0</v>
      </c>
      <c r="D188" s="174">
        <f>IF(Input!I188=0,+Input!$G188,+Input!$G188+Input!I188)</f>
        <v>0</v>
      </c>
      <c r="E188" s="174">
        <f>IF(Input!J188=0,+Input!$G188,+Input!$G188+Input!J188)</f>
        <v>0</v>
      </c>
      <c r="F188" s="174">
        <f>IF(Input!K188=0,+Input!$G188,+Input!$G188+Input!K188)</f>
        <v>0</v>
      </c>
      <c r="G188" s="174">
        <f>IF(Input!L188=0,+Input!$G188,+Input!$G188+Input!L188)</f>
        <v>0</v>
      </c>
      <c r="H188" s="174">
        <f>IF(Input!M188=0,+Input!$G188,+Input!$G188+Input!M188)</f>
        <v>0</v>
      </c>
      <c r="I188" s="174">
        <f>IF(Input!N188=0,+Input!$G188,+Input!$G188+Input!N188)</f>
        <v>0</v>
      </c>
      <c r="J188" s="174">
        <f>IF(Input!O188=0,+Input!$G188,+Input!$G188+Input!O188)</f>
        <v>0</v>
      </c>
      <c r="K188" s="174">
        <f>IF(Input!P188=0,+Input!$G188,+Input!$G188+Input!P188)</f>
        <v>0</v>
      </c>
      <c r="L188" s="174">
        <f>IF(Input!Q188=0,+Input!$G188,+Input!$G188+Input!Q188)</f>
        <v>0</v>
      </c>
      <c r="M188" s="174">
        <f>IF(Input!R188=0,+Input!$G188,+Input!$G188+Input!R188)</f>
        <v>0</v>
      </c>
      <c r="N188" s="174">
        <f>IF(Input!S188=0,+Input!$G188,+Input!$G188+Input!S188)</f>
        <v>0</v>
      </c>
      <c r="O188" s="175">
        <f t="shared" si="24"/>
        <v>0</v>
      </c>
      <c r="P188" s="175">
        <f>IF(AND(O188=""),"",+O188/Setup!$B$12)</f>
        <v>0</v>
      </c>
      <c r="Q188" s="175">
        <f>IF(ISNA(IF(O188="","",(+VLOOKUP(A188,'2016'!$A:$P,15,FALSE)))),0,IF(O188="",0,(+VLOOKUP(A188,'2016'!$A:$P,15,FALSE))))</f>
        <v>0</v>
      </c>
      <c r="R188" s="169"/>
      <c r="S188" s="278"/>
      <c r="T188" s="321"/>
    </row>
    <row r="189" spans="1:20" s="4" customFormat="1" ht="10.5" customHeight="1">
      <c r="A189" s="410" t="s">
        <v>976</v>
      </c>
      <c r="B189" s="161" t="s">
        <v>335</v>
      </c>
      <c r="C189" s="174">
        <f>IF(Input!H189=0,+Input!$G189,+Input!$G189+Input!H189)</f>
        <v>0</v>
      </c>
      <c r="D189" s="174">
        <f>IF(Input!I189=0,+Input!$G189,+Input!$G189+Input!I189)</f>
        <v>0</v>
      </c>
      <c r="E189" s="174">
        <f>IF(Input!J189=0,+Input!$G189,+Input!$G189+Input!J189)</f>
        <v>0</v>
      </c>
      <c r="F189" s="174">
        <f>IF(Input!K189=0,+Input!$G189,+Input!$G189+Input!K189)</f>
        <v>0</v>
      </c>
      <c r="G189" s="174">
        <f>IF(Input!L189=0,+Input!$G189,+Input!$G189+Input!L189)</f>
        <v>0</v>
      </c>
      <c r="H189" s="174">
        <f>IF(Input!M189=0,+Input!$G189,+Input!$G189+Input!M189)</f>
        <v>0</v>
      </c>
      <c r="I189" s="174">
        <f>IF(Input!N189=0,+Input!$G189,+Input!$G189+Input!N189)</f>
        <v>0</v>
      </c>
      <c r="J189" s="174">
        <f>IF(Input!O189=0,+Input!$G189,+Input!$G189+Input!O189)</f>
        <v>0</v>
      </c>
      <c r="K189" s="174">
        <f>IF(Input!P189=0,+Input!$G189,+Input!$G189+Input!P189)</f>
        <v>0</v>
      </c>
      <c r="L189" s="174">
        <f>IF(Input!Q189=0,+Input!$G189,+Input!$G189+Input!Q189)</f>
        <v>0</v>
      </c>
      <c r="M189" s="174">
        <f>IF(Input!R189=0,+Input!$G189,+Input!$G189+Input!R189)</f>
        <v>0</v>
      </c>
      <c r="N189" s="174">
        <f>IF(Input!S189=0,+Input!$G189,+Input!$G189+Input!S189)</f>
        <v>0</v>
      </c>
      <c r="O189" s="175">
        <f t="shared" si="24"/>
        <v>0</v>
      </c>
      <c r="P189" s="175">
        <f>IF(AND(O189=""),"",+O189/Setup!$B$12)</f>
        <v>0</v>
      </c>
      <c r="Q189" s="175">
        <f>IF(ISNA(IF(O189="","",(+VLOOKUP(A189,'2016'!$A:$P,15,FALSE)))),0,IF(O189="",0,(+VLOOKUP(A189,'2016'!$A:$P,15,FALSE))))</f>
        <v>3102</v>
      </c>
      <c r="R189" s="169"/>
      <c r="S189" s="278"/>
      <c r="T189" s="321"/>
    </row>
    <row r="190" spans="1:20" s="4" customFormat="1" ht="10.5" customHeight="1">
      <c r="A190" s="410" t="s">
        <v>978</v>
      </c>
      <c r="B190" s="161" t="s">
        <v>336</v>
      </c>
      <c r="C190" s="174">
        <f>IF(Input!H190=0,+Input!$G190,+Input!$G190+Input!H190)</f>
        <v>64.416666666666671</v>
      </c>
      <c r="D190" s="174">
        <f>IF(Input!I190=0,+Input!$G190,+Input!$G190+Input!I190)</f>
        <v>64.416666666666671</v>
      </c>
      <c r="E190" s="174">
        <f>IF(Input!J190=0,+Input!$G190,+Input!$G190+Input!J190)</f>
        <v>64.416666666666671</v>
      </c>
      <c r="F190" s="174">
        <f>IF(Input!K190=0,+Input!$G190,+Input!$G190+Input!K190)</f>
        <v>64.416666666666671</v>
      </c>
      <c r="G190" s="174">
        <f>IF(Input!L190=0,+Input!$G190,+Input!$G190+Input!L190)</f>
        <v>64.416666666666671</v>
      </c>
      <c r="H190" s="174">
        <f>IF(Input!M190=0,+Input!$G190,+Input!$G190+Input!M190)</f>
        <v>64.416666666666671</v>
      </c>
      <c r="I190" s="174">
        <f>IF(Input!N190=0,+Input!$G190,+Input!$G190+Input!N190)</f>
        <v>64.416666666666671</v>
      </c>
      <c r="J190" s="174">
        <f>IF(Input!O190=0,+Input!$G190,+Input!$G190+Input!O190)</f>
        <v>64.416666666666671</v>
      </c>
      <c r="K190" s="174">
        <f>IF(Input!P190=0,+Input!$G190,+Input!$G190+Input!P190)</f>
        <v>64.416666666666671</v>
      </c>
      <c r="L190" s="174">
        <f>IF(Input!Q190=0,+Input!$G190,+Input!$G190+Input!Q190)</f>
        <v>64.416666666666671</v>
      </c>
      <c r="M190" s="174">
        <f>IF(Input!R190=0,+Input!$G190,+Input!$G190+Input!R190)</f>
        <v>64.416666666666671</v>
      </c>
      <c r="N190" s="174">
        <f>IF(Input!S190=0,+Input!$G190,+Input!$G190+Input!S190)</f>
        <v>64.416666666666671</v>
      </c>
      <c r="O190" s="175">
        <f t="shared" si="24"/>
        <v>772.99999999999989</v>
      </c>
      <c r="P190" s="175">
        <f>IF(AND(O190=""),"",+O190/Setup!$B$12)</f>
        <v>3.5136363636363632</v>
      </c>
      <c r="Q190" s="175">
        <f>IF(ISNA(IF(O190="","",(+VLOOKUP(A190,'2016'!$A:$P,15,FALSE)))),0,IF(O190="",0,(+VLOOKUP(A190,'2016'!$A:$P,15,FALSE))))</f>
        <v>773</v>
      </c>
      <c r="R190" s="169"/>
      <c r="S190" s="278"/>
      <c r="T190" s="321"/>
    </row>
    <row r="191" spans="1:20" s="4" customFormat="1" ht="10.5" customHeight="1">
      <c r="A191" s="410" t="s">
        <v>980</v>
      </c>
      <c r="B191" s="161" t="s">
        <v>337</v>
      </c>
      <c r="C191" s="174">
        <f>IF(Input!H191=0,+Input!$G191,+Input!$G191+Input!H191)</f>
        <v>0</v>
      </c>
      <c r="D191" s="174">
        <f>IF(Input!I191=0,+Input!$G191,+Input!$G191+Input!I191)</f>
        <v>0</v>
      </c>
      <c r="E191" s="174">
        <f>IF(Input!J191=0,+Input!$G191,+Input!$G191+Input!J191)</f>
        <v>0</v>
      </c>
      <c r="F191" s="174">
        <f>IF(Input!K191=0,+Input!$G191,+Input!$G191+Input!K191)</f>
        <v>0</v>
      </c>
      <c r="G191" s="174">
        <f>IF(Input!L191=0,+Input!$G191,+Input!$G191+Input!L191)</f>
        <v>0</v>
      </c>
      <c r="H191" s="174">
        <f>IF(Input!M191=0,+Input!$G191,+Input!$G191+Input!M191)</f>
        <v>0</v>
      </c>
      <c r="I191" s="174">
        <f>IF(Input!N191=0,+Input!$G191,+Input!$G191+Input!N191)</f>
        <v>0</v>
      </c>
      <c r="J191" s="174">
        <f>IF(Input!O191=0,+Input!$G191,+Input!$G191+Input!O191)</f>
        <v>0</v>
      </c>
      <c r="K191" s="174">
        <f>IF(Input!P191=0,+Input!$G191,+Input!$G191+Input!P191)</f>
        <v>0</v>
      </c>
      <c r="L191" s="174">
        <f>IF(Input!Q191=0,+Input!$G191,+Input!$G191+Input!Q191)</f>
        <v>0</v>
      </c>
      <c r="M191" s="174">
        <f>IF(Input!R191=0,+Input!$G191,+Input!$G191+Input!R191)</f>
        <v>0</v>
      </c>
      <c r="N191" s="174">
        <f>IF(Input!S191=0,+Input!$G191,+Input!$G191+Input!S191)</f>
        <v>0</v>
      </c>
      <c r="O191" s="175">
        <f t="shared" si="24"/>
        <v>0</v>
      </c>
      <c r="P191" s="175">
        <f>IF(AND(O191=""),"",+O191/Setup!$B$12)</f>
        <v>0</v>
      </c>
      <c r="Q191" s="175">
        <f>IF(ISNA(IF(O191="","",(+VLOOKUP(A191,'2016'!$A:$P,15,FALSE)))),0,IF(O191="",0,(+VLOOKUP(A191,'2016'!$A:$P,15,FALSE))))</f>
        <v>0</v>
      </c>
      <c r="R191" s="169"/>
      <c r="S191" s="278"/>
      <c r="T191" s="321"/>
    </row>
    <row r="192" spans="1:20" s="4" customFormat="1" ht="10.5" customHeight="1">
      <c r="A192" s="410" t="s">
        <v>981</v>
      </c>
      <c r="B192" s="161" t="s">
        <v>338</v>
      </c>
      <c r="C192" s="174">
        <f>IF(Input!H192=0,+Input!$G192,+Input!$G192+Input!H192)</f>
        <v>206.83333333333334</v>
      </c>
      <c r="D192" s="174">
        <f>IF(Input!I192=0,+Input!$G192,+Input!$G192+Input!I192)</f>
        <v>206.83333333333334</v>
      </c>
      <c r="E192" s="174">
        <f>IF(Input!J192=0,+Input!$G192,+Input!$G192+Input!J192)</f>
        <v>206.83333333333334</v>
      </c>
      <c r="F192" s="174">
        <f>IF(Input!K192=0,+Input!$G192,+Input!$G192+Input!K192)</f>
        <v>206.83333333333334</v>
      </c>
      <c r="G192" s="174">
        <f>IF(Input!L192=0,+Input!$G192,+Input!$G192+Input!L192)</f>
        <v>206.83333333333334</v>
      </c>
      <c r="H192" s="174">
        <f>IF(Input!M192=0,+Input!$G192,+Input!$G192+Input!M192)</f>
        <v>206.83333333333334</v>
      </c>
      <c r="I192" s="174">
        <f>IF(Input!N192=0,+Input!$G192,+Input!$G192+Input!N192)</f>
        <v>206.83333333333334</v>
      </c>
      <c r="J192" s="174">
        <f>IF(Input!O192=0,+Input!$G192,+Input!$G192+Input!O192)</f>
        <v>206.83333333333334</v>
      </c>
      <c r="K192" s="174">
        <f>IF(Input!P192=0,+Input!$G192,+Input!$G192+Input!P192)</f>
        <v>206.83333333333334</v>
      </c>
      <c r="L192" s="174">
        <f>IF(Input!Q192=0,+Input!$G192,+Input!$G192+Input!Q192)</f>
        <v>206.83333333333334</v>
      </c>
      <c r="M192" s="174">
        <f>IF(Input!R192=0,+Input!$G192,+Input!$G192+Input!R192)</f>
        <v>206.83333333333334</v>
      </c>
      <c r="N192" s="174">
        <f>IF(Input!S192=0,+Input!$G192,+Input!$G192+Input!S192)</f>
        <v>206.83333333333334</v>
      </c>
      <c r="O192" s="175">
        <f t="shared" si="24"/>
        <v>2482</v>
      </c>
      <c r="P192" s="175">
        <f>IF(AND(O192=""),"",+O192/Setup!$B$12)</f>
        <v>11.281818181818181</v>
      </c>
      <c r="Q192" s="175">
        <f>IF(ISNA(IF(O192="","",(+VLOOKUP(A192,'2016'!$A:$P,15,FALSE)))),0,IF(O192="",0,(+VLOOKUP(A192,'2016'!$A:$P,15,FALSE))))</f>
        <v>2482</v>
      </c>
      <c r="R192" s="169"/>
      <c r="S192" s="278"/>
      <c r="T192" s="321"/>
    </row>
    <row r="193" spans="1:20" s="4" customFormat="1" ht="10.5" customHeight="1">
      <c r="A193" s="410" t="s">
        <v>983</v>
      </c>
      <c r="B193" s="161" t="s">
        <v>339</v>
      </c>
      <c r="C193" s="174">
        <f>IF(Input!H193=0,+Input!$G193,+Input!$G193+Input!H193)</f>
        <v>58.333333333333336</v>
      </c>
      <c r="D193" s="174">
        <f>IF(Input!I193=0,+Input!$G193,+Input!$G193+Input!I193)</f>
        <v>58.333333333333336</v>
      </c>
      <c r="E193" s="174">
        <f>IF(Input!J193=0,+Input!$G193,+Input!$G193+Input!J193)</f>
        <v>58.333333333333336</v>
      </c>
      <c r="F193" s="174">
        <f>IF(Input!K193=0,+Input!$G193,+Input!$G193+Input!K193)</f>
        <v>58.333333333333336</v>
      </c>
      <c r="G193" s="174">
        <f>IF(Input!L193=0,+Input!$G193,+Input!$G193+Input!L193)</f>
        <v>58.333333333333336</v>
      </c>
      <c r="H193" s="174">
        <f>IF(Input!M193=0,+Input!$G193,+Input!$G193+Input!M193)</f>
        <v>58.333333333333336</v>
      </c>
      <c r="I193" s="174">
        <f>IF(Input!N193=0,+Input!$G193,+Input!$G193+Input!N193)</f>
        <v>58.333333333333336</v>
      </c>
      <c r="J193" s="174">
        <f>IF(Input!O193=0,+Input!$G193,+Input!$G193+Input!O193)</f>
        <v>58.333333333333336</v>
      </c>
      <c r="K193" s="174">
        <f>IF(Input!P193=0,+Input!$G193,+Input!$G193+Input!P193)</f>
        <v>58.333333333333336</v>
      </c>
      <c r="L193" s="174">
        <f>IF(Input!Q193=0,+Input!$G193,+Input!$G193+Input!Q193)</f>
        <v>58.333333333333336</v>
      </c>
      <c r="M193" s="174">
        <f>IF(Input!R193=0,+Input!$G193,+Input!$G193+Input!R193)</f>
        <v>58.333333333333336</v>
      </c>
      <c r="N193" s="174">
        <f>IF(Input!S193=0,+Input!$G193,+Input!$G193+Input!S193)</f>
        <v>58.333333333333336</v>
      </c>
      <c r="O193" s="175">
        <f t="shared" si="24"/>
        <v>700.00000000000011</v>
      </c>
      <c r="P193" s="175">
        <f>IF(AND(O193=""),"",+O193/Setup!$B$12)</f>
        <v>3.1818181818181825</v>
      </c>
      <c r="Q193" s="175">
        <f>IF(ISNA(IF(O193="","",(+VLOOKUP(A193,'2016'!$A:$P,15,FALSE)))),0,IF(O193="",0,(+VLOOKUP(A193,'2016'!$A:$P,15,FALSE))))</f>
        <v>700</v>
      </c>
      <c r="R193" s="169"/>
      <c r="S193" s="278"/>
      <c r="T193" s="321"/>
    </row>
    <row r="194" spans="1:20" s="4" customFormat="1" ht="10.5" customHeight="1">
      <c r="A194" s="410" t="s">
        <v>985</v>
      </c>
      <c r="B194" s="161" t="s">
        <v>340</v>
      </c>
      <c r="C194" s="174">
        <f>IF(Input!H194=0,+Input!$G194,+Input!$G194+Input!H194)</f>
        <v>0</v>
      </c>
      <c r="D194" s="174">
        <f>IF(Input!I194=0,+Input!$G194,+Input!$G194+Input!I194)</f>
        <v>0</v>
      </c>
      <c r="E194" s="174">
        <f>IF(Input!J194=0,+Input!$G194,+Input!$G194+Input!J194)</f>
        <v>0</v>
      </c>
      <c r="F194" s="174">
        <f>IF(Input!K194=0,+Input!$G194,+Input!$G194+Input!K194)</f>
        <v>0</v>
      </c>
      <c r="G194" s="174">
        <f>IF(Input!L194=0,+Input!$G194,+Input!$G194+Input!L194)</f>
        <v>0</v>
      </c>
      <c r="H194" s="174">
        <f>IF(Input!M194=0,+Input!$G194,+Input!$G194+Input!M194)</f>
        <v>0</v>
      </c>
      <c r="I194" s="174">
        <f>IF(Input!N194=0,+Input!$G194,+Input!$G194+Input!N194)</f>
        <v>0</v>
      </c>
      <c r="J194" s="174">
        <f>IF(Input!O194=0,+Input!$G194,+Input!$G194+Input!O194)</f>
        <v>0</v>
      </c>
      <c r="K194" s="174">
        <f>IF(Input!P194=0,+Input!$G194,+Input!$G194+Input!P194)</f>
        <v>0</v>
      </c>
      <c r="L194" s="174">
        <f>IF(Input!Q194=0,+Input!$G194,+Input!$G194+Input!Q194)</f>
        <v>0</v>
      </c>
      <c r="M194" s="174">
        <f>IF(Input!R194=0,+Input!$G194,+Input!$G194+Input!R194)</f>
        <v>0</v>
      </c>
      <c r="N194" s="174">
        <f>IF(Input!S194=0,+Input!$G194,+Input!$G194+Input!S194)</f>
        <v>0</v>
      </c>
      <c r="O194" s="175">
        <f t="shared" si="24"/>
        <v>0</v>
      </c>
      <c r="P194" s="175">
        <f>IF(AND(O194=""),"",+O194/Setup!$B$12)</f>
        <v>0</v>
      </c>
      <c r="Q194" s="175">
        <f>IF(ISNA(IF(O194="","",(+VLOOKUP(A194,'2016'!$A:$P,15,FALSE)))),0,IF(O194="",0,(+VLOOKUP(A194,'2016'!$A:$P,15,FALSE))))</f>
        <v>0</v>
      </c>
      <c r="R194" s="169"/>
      <c r="S194" s="278"/>
      <c r="T194" s="321"/>
    </row>
    <row r="195" spans="1:20" s="4" customFormat="1" ht="10.5" customHeight="1">
      <c r="A195" s="410" t="s">
        <v>986</v>
      </c>
      <c r="B195" s="161" t="s">
        <v>341</v>
      </c>
      <c r="C195" s="174">
        <f>IF(Input!H195=0,+Input!$G195,+Input!$G195+Input!H195)</f>
        <v>0</v>
      </c>
      <c r="D195" s="174">
        <f>IF(Input!I195=0,+Input!$G195,+Input!$G195+Input!I195)</f>
        <v>0</v>
      </c>
      <c r="E195" s="174">
        <f>IF(Input!J195=0,+Input!$G195,+Input!$G195+Input!J195)</f>
        <v>0</v>
      </c>
      <c r="F195" s="174">
        <f>IF(Input!K195=0,+Input!$G195,+Input!$G195+Input!K195)</f>
        <v>0</v>
      </c>
      <c r="G195" s="174">
        <f>IF(Input!L195=0,+Input!$G195,+Input!$G195+Input!L195)</f>
        <v>0</v>
      </c>
      <c r="H195" s="174">
        <f>IF(Input!M195=0,+Input!$G195,+Input!$G195+Input!M195)</f>
        <v>0</v>
      </c>
      <c r="I195" s="174">
        <f>IF(Input!N195=0,+Input!$G195,+Input!$G195+Input!N195)</f>
        <v>0</v>
      </c>
      <c r="J195" s="174">
        <f>IF(Input!O195=0,+Input!$G195,+Input!$G195+Input!O195)</f>
        <v>0</v>
      </c>
      <c r="K195" s="174">
        <f>IF(Input!P195=0,+Input!$G195,+Input!$G195+Input!P195)</f>
        <v>0</v>
      </c>
      <c r="L195" s="174">
        <f>IF(Input!Q195=0,+Input!$G195,+Input!$G195+Input!Q195)</f>
        <v>0</v>
      </c>
      <c r="M195" s="174">
        <f>IF(Input!R195=0,+Input!$G195,+Input!$G195+Input!R195)</f>
        <v>0</v>
      </c>
      <c r="N195" s="174">
        <f>IF(Input!S195=0,+Input!$G195,+Input!$G195+Input!S195)</f>
        <v>0</v>
      </c>
      <c r="O195" s="175">
        <f t="shared" ref="O195" si="33">IF(N195="","",SUM(C195:N195))</f>
        <v>0</v>
      </c>
      <c r="P195" s="175">
        <f>IF(AND(O195=""),"",+O195/Setup!$B$12)</f>
        <v>0</v>
      </c>
      <c r="Q195" s="175">
        <f>IF(ISNA(IF(O195="","",(+VLOOKUP(A195,'2016'!$A:$P,15,FALSE)))),0,IF(O195="",0,(+VLOOKUP(A195,'2016'!$A:$P,15,FALSE))))</f>
        <v>0</v>
      </c>
      <c r="R195" s="169"/>
      <c r="S195" s="278"/>
      <c r="T195" s="321"/>
    </row>
    <row r="196" spans="1:20" s="4" customFormat="1" ht="10.5" customHeight="1">
      <c r="A196" s="163"/>
      <c r="B196" s="163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5" t="str">
        <f t="shared" ref="O196:O244" si="34">IF(N196="","",SUM(C196:N196))</f>
        <v/>
      </c>
      <c r="P196" s="175" t="str">
        <f>IF(AND(O196=""),"",+O196/Setup!$B$12)</f>
        <v/>
      </c>
      <c r="Q196" s="175" t="str">
        <f>IF(O196="","",(+VLOOKUP(A196,'2016'!$A:$P,15,FALSE)))</f>
        <v/>
      </c>
      <c r="R196" s="169"/>
      <c r="S196" s="274"/>
      <c r="T196" s="321"/>
    </row>
    <row r="197" spans="1:20" s="4" customFormat="1" ht="10.5" customHeight="1">
      <c r="A197" s="159"/>
      <c r="B197" s="159" t="s">
        <v>328</v>
      </c>
      <c r="C197" s="174">
        <f t="shared" ref="C197:N197" si="35">SUM(C182:C195)</f>
        <v>1056.1666666666667</v>
      </c>
      <c r="D197" s="174">
        <f t="shared" si="35"/>
        <v>1056.1666666666667</v>
      </c>
      <c r="E197" s="174">
        <f t="shared" si="35"/>
        <v>1056.1666666666667</v>
      </c>
      <c r="F197" s="174">
        <f t="shared" si="35"/>
        <v>1056.1666666666667</v>
      </c>
      <c r="G197" s="174">
        <f t="shared" si="35"/>
        <v>1056.1666666666667</v>
      </c>
      <c r="H197" s="174">
        <f t="shared" si="35"/>
        <v>1056.1666666666667</v>
      </c>
      <c r="I197" s="174">
        <f t="shared" si="35"/>
        <v>1056.1666666666667</v>
      </c>
      <c r="J197" s="174">
        <f t="shared" si="35"/>
        <v>1056.1666666666667</v>
      </c>
      <c r="K197" s="174">
        <f t="shared" si="35"/>
        <v>1056.1666666666667</v>
      </c>
      <c r="L197" s="174">
        <f t="shared" si="35"/>
        <v>1056.1666666666667</v>
      </c>
      <c r="M197" s="174">
        <f t="shared" si="35"/>
        <v>1056.1666666666667</v>
      </c>
      <c r="N197" s="174">
        <f t="shared" si="35"/>
        <v>1056.1666666666667</v>
      </c>
      <c r="O197" s="175">
        <f t="shared" si="34"/>
        <v>12673.999999999998</v>
      </c>
      <c r="P197" s="175">
        <f>IF(AND(O197=""),"",+O197/Setup!$B$12)</f>
        <v>57.609090909090902</v>
      </c>
      <c r="Q197" s="174">
        <f>SUM(Q182:Q195)</f>
        <v>15776</v>
      </c>
      <c r="R197" s="169"/>
      <c r="S197" s="278"/>
      <c r="T197" s="321"/>
    </row>
    <row r="198" spans="1:20" s="4" customFormat="1" ht="10.5" customHeight="1">
      <c r="A198" s="161"/>
      <c r="B198" s="161" t="s">
        <v>342</v>
      </c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5" t="str">
        <f t="shared" si="34"/>
        <v/>
      </c>
      <c r="P198" s="175" t="str">
        <f>IF(AND(O198=""),"",+O198/Setup!$B$12)</f>
        <v/>
      </c>
      <c r="Q198" s="175" t="str">
        <f>IF(O198="","",(+VLOOKUP(A198,'2016'!$A:$P,15,FALSE)))</f>
        <v/>
      </c>
      <c r="R198" s="169"/>
      <c r="S198" s="278"/>
      <c r="T198" s="321"/>
    </row>
    <row r="199" spans="1:20" s="4" customFormat="1" ht="10.5" customHeight="1">
      <c r="A199" s="410" t="s">
        <v>988</v>
      </c>
      <c r="B199" s="161" t="s">
        <v>343</v>
      </c>
      <c r="C199" s="174">
        <f>IF(Input!H199=0,+Input!$G199,+Input!$G199+Input!H199)</f>
        <v>6.166666666666667</v>
      </c>
      <c r="D199" s="174">
        <f>IF(Input!I199=0,+Input!$G199,+Input!$G199+Input!I199)</f>
        <v>6.166666666666667</v>
      </c>
      <c r="E199" s="174">
        <f>IF(Input!J199=0,+Input!$G199,+Input!$G199+Input!J199)</f>
        <v>6.166666666666667</v>
      </c>
      <c r="F199" s="174">
        <f>IF(Input!K199=0,+Input!$G199,+Input!$G199+Input!K199)</f>
        <v>6.166666666666667</v>
      </c>
      <c r="G199" s="174">
        <f>IF(Input!L199=0,+Input!$G199,+Input!$G199+Input!L199)</f>
        <v>6.166666666666667</v>
      </c>
      <c r="H199" s="174">
        <f>IF(Input!M199=0,+Input!$G199,+Input!$G199+Input!M199)</f>
        <v>6.166666666666667</v>
      </c>
      <c r="I199" s="174">
        <f>IF(Input!N199=0,+Input!$G199,+Input!$G199+Input!N199)</f>
        <v>6.166666666666667</v>
      </c>
      <c r="J199" s="174">
        <f>IF(Input!O199=0,+Input!$G199,+Input!$G199+Input!O199)</f>
        <v>6.166666666666667</v>
      </c>
      <c r="K199" s="174">
        <f>IF(Input!P199=0,+Input!$G199,+Input!$G199+Input!P199)</f>
        <v>6.166666666666667</v>
      </c>
      <c r="L199" s="174">
        <f>IF(Input!Q199=0,+Input!$G199,+Input!$G199+Input!Q199)</f>
        <v>6.166666666666667</v>
      </c>
      <c r="M199" s="174">
        <f>IF(Input!R199=0,+Input!$G199,+Input!$G199+Input!R199)</f>
        <v>6.166666666666667</v>
      </c>
      <c r="N199" s="174">
        <f>IF(Input!S199=0,+Input!$G199,+Input!$G199+Input!S199)</f>
        <v>6.166666666666667</v>
      </c>
      <c r="O199" s="175">
        <f t="shared" si="34"/>
        <v>74</v>
      </c>
      <c r="P199" s="175">
        <f>IF(AND(O199=""),"",+O199/Setup!$B$12)</f>
        <v>0.33636363636363636</v>
      </c>
      <c r="Q199" s="175">
        <f>IF(ISNA(IF(O199="","",(+VLOOKUP(A199,'2016'!$A:$P,15,FALSE)))),0,IF(O199="",0,(+VLOOKUP(A199,'2016'!$A:$P,15,FALSE))))</f>
        <v>74</v>
      </c>
      <c r="R199" s="169"/>
      <c r="S199" s="278"/>
      <c r="T199" s="321"/>
    </row>
    <row r="200" spans="1:20" s="10" customFormat="1" ht="10.5" customHeight="1">
      <c r="A200" s="410" t="s">
        <v>990</v>
      </c>
      <c r="B200" s="161" t="s">
        <v>344</v>
      </c>
      <c r="C200" s="174">
        <f>IF(Input!H200=0,+Input!$G200,+Input!$G200+Input!H200)</f>
        <v>0</v>
      </c>
      <c r="D200" s="174">
        <f>IF(Input!I200=0,+Input!$G200,+Input!$G200+Input!I200)</f>
        <v>0</v>
      </c>
      <c r="E200" s="174">
        <f>IF(Input!J200=0,+Input!$G200,+Input!$G200+Input!J200)</f>
        <v>0</v>
      </c>
      <c r="F200" s="174">
        <f>IF(Input!K200=0,+Input!$G200,+Input!$G200+Input!K200)</f>
        <v>0</v>
      </c>
      <c r="G200" s="174">
        <f>IF(Input!L200=0,+Input!$G200,+Input!$G200+Input!L200)</f>
        <v>0</v>
      </c>
      <c r="H200" s="174">
        <f>IF(Input!M200=0,+Input!$G200,+Input!$G200+Input!M200)</f>
        <v>0</v>
      </c>
      <c r="I200" s="174">
        <f>IF(Input!N200=0,+Input!$G200,+Input!$G200+Input!N200)</f>
        <v>0</v>
      </c>
      <c r="J200" s="174">
        <f>IF(Input!O200=0,+Input!$G200,+Input!$G200+Input!O200)</f>
        <v>0</v>
      </c>
      <c r="K200" s="174">
        <f>IF(Input!P200=0,+Input!$G200,+Input!$G200+Input!P200)</f>
        <v>0</v>
      </c>
      <c r="L200" s="174">
        <f>IF(Input!Q200=0,+Input!$G200,+Input!$G200+Input!Q200)</f>
        <v>0</v>
      </c>
      <c r="M200" s="174">
        <f>IF(Input!R200=0,+Input!$G200,+Input!$G200+Input!R200)</f>
        <v>0</v>
      </c>
      <c r="N200" s="174">
        <f>IF(Input!S200=0,+Input!$G200,+Input!$G200+Input!S200)</f>
        <v>0</v>
      </c>
      <c r="O200" s="175">
        <f t="shared" si="34"/>
        <v>0</v>
      </c>
      <c r="P200" s="175">
        <f>IF(AND(O200=""),"",+O200/Setup!$B$12)</f>
        <v>0</v>
      </c>
      <c r="Q200" s="175">
        <f>IF(ISNA(IF(O200="","",(+VLOOKUP(A200,'2016'!$A:$P,15,FALSE)))),0,IF(O200="",0,(+VLOOKUP(A200,'2016'!$A:$P,15,FALSE))))</f>
        <v>0</v>
      </c>
      <c r="R200" s="169"/>
      <c r="S200" s="278"/>
      <c r="T200" s="321"/>
    </row>
    <row r="201" spans="1:20" s="17" customFormat="1" ht="10.5" customHeight="1">
      <c r="A201" s="410" t="s">
        <v>991</v>
      </c>
      <c r="B201" s="161" t="s">
        <v>345</v>
      </c>
      <c r="C201" s="174">
        <f>IF(Input!H201=0,+Input!$G201,+Input!$G201+Input!H201)</f>
        <v>474.41666666666669</v>
      </c>
      <c r="D201" s="174">
        <f>IF(Input!I201=0,+Input!$G201,+Input!$G201+Input!I201)</f>
        <v>474.41666666666669</v>
      </c>
      <c r="E201" s="174">
        <f>IF(Input!J201=0,+Input!$G201,+Input!$G201+Input!J201)</f>
        <v>474.41666666666669</v>
      </c>
      <c r="F201" s="174">
        <f>IF(Input!K201=0,+Input!$G201,+Input!$G201+Input!K201)</f>
        <v>474.41666666666669</v>
      </c>
      <c r="G201" s="174">
        <f>IF(Input!L201=0,+Input!$G201,+Input!$G201+Input!L201)</f>
        <v>474.41666666666669</v>
      </c>
      <c r="H201" s="174">
        <f>IF(Input!M201=0,+Input!$G201,+Input!$G201+Input!M201)</f>
        <v>474.41666666666669</v>
      </c>
      <c r="I201" s="174">
        <f>IF(Input!N201=0,+Input!$G201,+Input!$G201+Input!N201)</f>
        <v>474.41666666666669</v>
      </c>
      <c r="J201" s="174">
        <f>IF(Input!O201=0,+Input!$G201,+Input!$G201+Input!O201)</f>
        <v>474.41666666666669</v>
      </c>
      <c r="K201" s="174">
        <f>IF(Input!P201=0,+Input!$G201,+Input!$G201+Input!P201)</f>
        <v>474.41666666666669</v>
      </c>
      <c r="L201" s="174">
        <f>IF(Input!Q201=0,+Input!$G201,+Input!$G201+Input!Q201)</f>
        <v>474.41666666666669</v>
      </c>
      <c r="M201" s="174">
        <f>IF(Input!R201=0,+Input!$G201,+Input!$G201+Input!R201)</f>
        <v>474.41666666666669</v>
      </c>
      <c r="N201" s="174">
        <f>IF(Input!S201=0,+Input!$G201,+Input!$G201+Input!S201)</f>
        <v>474.41666666666669</v>
      </c>
      <c r="O201" s="175">
        <f t="shared" si="34"/>
        <v>5693.0000000000009</v>
      </c>
      <c r="P201" s="175">
        <f>IF(AND(O201=""),"",+O201/Setup!$B$12)</f>
        <v>25.877272727272732</v>
      </c>
      <c r="Q201" s="175">
        <f>IF(ISNA(IF(O201="","",(+VLOOKUP(A201,'2016'!$A:$P,15,FALSE)))),0,IF(O201="",0,(+VLOOKUP(A201,'2016'!$A:$P,15,FALSE))))</f>
        <v>5693</v>
      </c>
      <c r="R201" s="169"/>
      <c r="S201" s="278"/>
      <c r="T201" s="321"/>
    </row>
    <row r="202" spans="1:20" s="17" customFormat="1" ht="10.5" customHeight="1">
      <c r="A202" s="410" t="s">
        <v>993</v>
      </c>
      <c r="B202" s="161" t="s">
        <v>346</v>
      </c>
      <c r="C202" s="174">
        <f>IF(Input!H202=0,+Input!$G202,+Input!$G202+Input!H202)</f>
        <v>0</v>
      </c>
      <c r="D202" s="174">
        <f>IF(Input!I202=0,+Input!$G202,+Input!$G202+Input!I202)</f>
        <v>0</v>
      </c>
      <c r="E202" s="174">
        <f>IF(Input!J202=0,+Input!$G202,+Input!$G202+Input!J202)</f>
        <v>0</v>
      </c>
      <c r="F202" s="174">
        <f>IF(Input!K202=0,+Input!$G202,+Input!$G202+Input!K202)</f>
        <v>0</v>
      </c>
      <c r="G202" s="174">
        <f>IF(Input!L202=0,+Input!$G202,+Input!$G202+Input!L202)</f>
        <v>0</v>
      </c>
      <c r="H202" s="174">
        <f>IF(Input!M202=0,+Input!$G202,+Input!$G202+Input!M202)</f>
        <v>0</v>
      </c>
      <c r="I202" s="174">
        <f>IF(Input!N202=0,+Input!$G202,+Input!$G202+Input!N202)</f>
        <v>0</v>
      </c>
      <c r="J202" s="174">
        <f>IF(Input!O202=0,+Input!$G202,+Input!$G202+Input!O202)</f>
        <v>0</v>
      </c>
      <c r="K202" s="174">
        <f>IF(Input!P202=0,+Input!$G202,+Input!$G202+Input!P202)</f>
        <v>0</v>
      </c>
      <c r="L202" s="174">
        <f>IF(Input!Q202=0,+Input!$G202,+Input!$G202+Input!Q202)</f>
        <v>0</v>
      </c>
      <c r="M202" s="174">
        <f>IF(Input!R202=0,+Input!$G202,+Input!$G202+Input!R202)</f>
        <v>0</v>
      </c>
      <c r="N202" s="174">
        <f>IF(Input!S202=0,+Input!$G202,+Input!$G202+Input!S202)</f>
        <v>0</v>
      </c>
      <c r="O202" s="175">
        <f t="shared" si="34"/>
        <v>0</v>
      </c>
      <c r="P202" s="175">
        <f>IF(AND(O202=""),"",+O202/Setup!$B$12)</f>
        <v>0</v>
      </c>
      <c r="Q202" s="175">
        <f>IF(ISNA(IF(O202="","",(+VLOOKUP(A202,'2016'!$A:$P,15,FALSE)))),0,IF(O202="",0,(+VLOOKUP(A202,'2016'!$A:$P,15,FALSE))))</f>
        <v>0</v>
      </c>
      <c r="R202" s="169"/>
      <c r="S202" s="274"/>
      <c r="T202" s="321"/>
    </row>
    <row r="203" spans="1:20" s="4" customFormat="1" ht="10.5" customHeight="1">
      <c r="A203" s="163"/>
      <c r="B203" s="16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75" t="str">
        <f t="shared" si="34"/>
        <v/>
      </c>
      <c r="P203" s="175" t="str">
        <f>IF(AND(O203=""),"",+O203/Setup!$B$12)</f>
        <v/>
      </c>
      <c r="Q203" s="175" t="str">
        <f>IF(O203="","",(+VLOOKUP(A203,'2016'!$A:$P,15,FALSE)))</f>
        <v/>
      </c>
      <c r="R203" s="169"/>
      <c r="S203" s="278"/>
      <c r="T203" s="321"/>
    </row>
    <row r="204" spans="1:20" s="4" customFormat="1" ht="10.5" customHeight="1">
      <c r="A204" s="159"/>
      <c r="B204" s="159" t="s">
        <v>342</v>
      </c>
      <c r="C204" s="174">
        <f>SUM(C199:C202)</f>
        <v>480.58333333333337</v>
      </c>
      <c r="D204" s="174">
        <f t="shared" ref="D204:N204" si="36">SUM(D199:D202)</f>
        <v>480.58333333333337</v>
      </c>
      <c r="E204" s="174">
        <f t="shared" si="36"/>
        <v>480.58333333333337</v>
      </c>
      <c r="F204" s="174">
        <f t="shared" si="36"/>
        <v>480.58333333333337</v>
      </c>
      <c r="G204" s="174">
        <f t="shared" si="36"/>
        <v>480.58333333333337</v>
      </c>
      <c r="H204" s="174">
        <f t="shared" si="36"/>
        <v>480.58333333333337</v>
      </c>
      <c r="I204" s="174">
        <f t="shared" si="36"/>
        <v>480.58333333333337</v>
      </c>
      <c r="J204" s="174">
        <f t="shared" si="36"/>
        <v>480.58333333333337</v>
      </c>
      <c r="K204" s="174">
        <f t="shared" si="36"/>
        <v>480.58333333333337</v>
      </c>
      <c r="L204" s="174">
        <f t="shared" si="36"/>
        <v>480.58333333333337</v>
      </c>
      <c r="M204" s="174">
        <f t="shared" si="36"/>
        <v>480.58333333333337</v>
      </c>
      <c r="N204" s="174">
        <f t="shared" si="36"/>
        <v>480.58333333333337</v>
      </c>
      <c r="O204" s="175">
        <f t="shared" si="34"/>
        <v>5767</v>
      </c>
      <c r="P204" s="175">
        <f>IF(AND(O204=""),"",+O204/Setup!$B$12)</f>
        <v>26.213636363636365</v>
      </c>
      <c r="Q204" s="174">
        <f t="shared" ref="Q204" si="37">SUM(Q199:Q202)</f>
        <v>5767</v>
      </c>
      <c r="R204" s="169"/>
      <c r="S204" s="278"/>
      <c r="T204" s="321"/>
    </row>
    <row r="205" spans="1:20" s="4" customFormat="1" ht="10.5" customHeight="1">
      <c r="A205" s="161"/>
      <c r="B205" s="161" t="s">
        <v>347</v>
      </c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5" t="str">
        <f t="shared" si="34"/>
        <v/>
      </c>
      <c r="P205" s="175" t="str">
        <f>IF(AND(O205=""),"",+O205/Setup!$B$12)</f>
        <v/>
      </c>
      <c r="Q205" s="175" t="str">
        <f>IF(O205="","",(+VLOOKUP(A205,'2016'!$A:$P,15,FALSE)))</f>
        <v/>
      </c>
      <c r="R205" s="169"/>
      <c r="S205" s="278"/>
      <c r="T205" s="321"/>
    </row>
    <row r="206" spans="1:20" s="4" customFormat="1" ht="10.5" customHeight="1">
      <c r="A206" s="410" t="s">
        <v>995</v>
      </c>
      <c r="B206" s="161" t="s">
        <v>348</v>
      </c>
      <c r="C206" s="174">
        <f>IF(Input!H206=0,+Input!$G206,+Input!$G206+Input!H206)</f>
        <v>104.75</v>
      </c>
      <c r="D206" s="174">
        <f>IF(Input!I206=0,+Input!$G206,+Input!$G206+Input!I206)</f>
        <v>104.75</v>
      </c>
      <c r="E206" s="174">
        <f>IF(Input!J206=0,+Input!$G206,+Input!$G206+Input!J206)</f>
        <v>104.75</v>
      </c>
      <c r="F206" s="174">
        <f>IF(Input!K206=0,+Input!$G206,+Input!$G206+Input!K206)</f>
        <v>104.75</v>
      </c>
      <c r="G206" s="174">
        <f>IF(Input!L206=0,+Input!$G206,+Input!$G206+Input!L206)</f>
        <v>104.75</v>
      </c>
      <c r="H206" s="174">
        <f>IF(Input!M206=0,+Input!$G206,+Input!$G206+Input!M206)</f>
        <v>104.75</v>
      </c>
      <c r="I206" s="174">
        <f>IF(Input!N206=0,+Input!$G206,+Input!$G206+Input!N206)</f>
        <v>104.75</v>
      </c>
      <c r="J206" s="174">
        <f>IF(Input!O206=0,+Input!$G206,+Input!$G206+Input!O206)</f>
        <v>104.75</v>
      </c>
      <c r="K206" s="174">
        <f>IF(Input!P206=0,+Input!$G206,+Input!$G206+Input!P206)</f>
        <v>104.75</v>
      </c>
      <c r="L206" s="174">
        <f>IF(Input!Q206=0,+Input!$G206,+Input!$G206+Input!Q206)</f>
        <v>104.75</v>
      </c>
      <c r="M206" s="174">
        <f>IF(Input!R206=0,+Input!$G206,+Input!$G206+Input!R206)</f>
        <v>104.75</v>
      </c>
      <c r="N206" s="174">
        <f>IF(Input!S206=0,+Input!$G206,+Input!$G206+Input!S206)</f>
        <v>104.75</v>
      </c>
      <c r="O206" s="175">
        <f t="shared" si="34"/>
        <v>1257</v>
      </c>
      <c r="P206" s="175">
        <f>IF(AND(O206=""),"",+O206/Setup!$B$12)</f>
        <v>5.7136363636363638</v>
      </c>
      <c r="Q206" s="175">
        <f>IF(ISNA(IF(O206="","",(+VLOOKUP(A206,'2016'!$A:$P,15,FALSE)))),0,IF(O206="",0,(+VLOOKUP(A206,'2016'!$A:$P,15,FALSE))))</f>
        <v>1257</v>
      </c>
      <c r="R206" s="169"/>
      <c r="S206" s="278"/>
      <c r="T206" s="321"/>
    </row>
    <row r="207" spans="1:20" s="10" customFormat="1" ht="10.5" customHeight="1">
      <c r="A207" s="410" t="s">
        <v>997</v>
      </c>
      <c r="B207" s="161" t="s">
        <v>349</v>
      </c>
      <c r="C207" s="174">
        <f>IF(Input!H207=0,+Input!$G207,+Input!$G207+Input!H207)</f>
        <v>13.083333333333334</v>
      </c>
      <c r="D207" s="174">
        <f>IF(Input!I207=0,+Input!$G207,+Input!$G207+Input!I207)</f>
        <v>13.083333333333334</v>
      </c>
      <c r="E207" s="174">
        <f>IF(Input!J207=0,+Input!$G207,+Input!$G207+Input!J207)</f>
        <v>13.083333333333334</v>
      </c>
      <c r="F207" s="174">
        <f>IF(Input!K207=0,+Input!$G207,+Input!$G207+Input!K207)</f>
        <v>13.083333333333334</v>
      </c>
      <c r="G207" s="174">
        <f>IF(Input!L207=0,+Input!$G207,+Input!$G207+Input!L207)</f>
        <v>13.083333333333334</v>
      </c>
      <c r="H207" s="174">
        <f>IF(Input!M207=0,+Input!$G207,+Input!$G207+Input!M207)</f>
        <v>13.083333333333334</v>
      </c>
      <c r="I207" s="174">
        <f>IF(Input!N207=0,+Input!$G207,+Input!$G207+Input!N207)</f>
        <v>13.083333333333334</v>
      </c>
      <c r="J207" s="174">
        <f>IF(Input!O207=0,+Input!$G207,+Input!$G207+Input!O207)</f>
        <v>13.083333333333334</v>
      </c>
      <c r="K207" s="174">
        <f>IF(Input!P207=0,+Input!$G207,+Input!$G207+Input!P207)</f>
        <v>13.083333333333334</v>
      </c>
      <c r="L207" s="174">
        <f>IF(Input!Q207=0,+Input!$G207,+Input!$G207+Input!Q207)</f>
        <v>13.083333333333334</v>
      </c>
      <c r="M207" s="174">
        <f>IF(Input!R207=0,+Input!$G207,+Input!$G207+Input!R207)</f>
        <v>13.083333333333334</v>
      </c>
      <c r="N207" s="174">
        <f>IF(Input!S207=0,+Input!$G207,+Input!$G207+Input!S207)</f>
        <v>13.083333333333334</v>
      </c>
      <c r="O207" s="175">
        <f t="shared" si="34"/>
        <v>157</v>
      </c>
      <c r="P207" s="175">
        <f>IF(AND(O207=""),"",+O207/Setup!$B$12)</f>
        <v>0.71363636363636362</v>
      </c>
      <c r="Q207" s="175">
        <f>IF(ISNA(IF(O207="","",(+VLOOKUP(A207,'2016'!$A:$P,15,FALSE)))),0,IF(O207="",0,(+VLOOKUP(A207,'2016'!$A:$P,15,FALSE))))</f>
        <v>157</v>
      </c>
      <c r="R207" s="169"/>
      <c r="S207" s="278"/>
      <c r="T207" s="321"/>
    </row>
    <row r="208" spans="1:20" s="17" customFormat="1" ht="10.5" customHeight="1">
      <c r="A208" s="410" t="s">
        <v>999</v>
      </c>
      <c r="B208" s="161" t="s">
        <v>350</v>
      </c>
      <c r="C208" s="174">
        <f>IF(Input!H208=0,+Input!$G208,+Input!$G208+Input!H208)</f>
        <v>0</v>
      </c>
      <c r="D208" s="174">
        <f>IF(Input!I208=0,+Input!$G208,+Input!$G208+Input!I208)</f>
        <v>0</v>
      </c>
      <c r="E208" s="174">
        <f>IF(Input!J208=0,+Input!$G208,+Input!$G208+Input!J208)</f>
        <v>0</v>
      </c>
      <c r="F208" s="174">
        <f>IF(Input!K208=0,+Input!$G208,+Input!$G208+Input!K208)</f>
        <v>0</v>
      </c>
      <c r="G208" s="174">
        <f>IF(Input!L208=0,+Input!$G208,+Input!$G208+Input!L208)</f>
        <v>0</v>
      </c>
      <c r="H208" s="174">
        <f>IF(Input!M208=0,+Input!$G208,+Input!$G208+Input!M208)</f>
        <v>0</v>
      </c>
      <c r="I208" s="174">
        <f>IF(Input!N208=0,+Input!$G208,+Input!$G208+Input!N208)</f>
        <v>0</v>
      </c>
      <c r="J208" s="174">
        <f>IF(Input!O208=0,+Input!$G208,+Input!$G208+Input!O208)</f>
        <v>0</v>
      </c>
      <c r="K208" s="174">
        <f>IF(Input!P208=0,+Input!$G208,+Input!$G208+Input!P208)</f>
        <v>0</v>
      </c>
      <c r="L208" s="174">
        <f>IF(Input!Q208=0,+Input!$G208,+Input!$G208+Input!Q208)</f>
        <v>0</v>
      </c>
      <c r="M208" s="174">
        <f>IF(Input!R208=0,+Input!$G208,+Input!$G208+Input!R208)</f>
        <v>0</v>
      </c>
      <c r="N208" s="174">
        <f>IF(Input!S208=0,+Input!$G208,+Input!$G208+Input!S208)</f>
        <v>0</v>
      </c>
      <c r="O208" s="175">
        <f t="shared" si="34"/>
        <v>0</v>
      </c>
      <c r="P208" s="175">
        <f>IF(AND(O208=""),"",+O208/Setup!$B$12)</f>
        <v>0</v>
      </c>
      <c r="Q208" s="175">
        <f>IF(ISNA(IF(O208="","",(+VLOOKUP(A208,'2016'!$A:$P,15,FALSE)))),0,IF(O208="",0,(+VLOOKUP(A208,'2016'!$A:$P,15,FALSE))))</f>
        <v>0</v>
      </c>
      <c r="R208" s="169"/>
      <c r="S208" s="278"/>
      <c r="T208" s="321"/>
    </row>
    <row r="209" spans="1:20" s="17" customFormat="1" ht="10.5" customHeight="1">
      <c r="A209" s="410" t="s">
        <v>1000</v>
      </c>
      <c r="B209" s="196" t="s">
        <v>329</v>
      </c>
      <c r="C209" s="174">
        <f>IF(Input!H209=0,+Input!$G209,+Input!$G209+Input!H209)</f>
        <v>14.666666666666666</v>
      </c>
      <c r="D209" s="174">
        <f>IF(Input!I209=0,+Input!$G209,+Input!$G209+Input!I209)</f>
        <v>14.666666666666666</v>
      </c>
      <c r="E209" s="174">
        <f>IF(Input!J209=0,+Input!$G209,+Input!$G209+Input!J209)</f>
        <v>14.666666666666666</v>
      </c>
      <c r="F209" s="174">
        <f>IF(Input!K209=0,+Input!$G209,+Input!$G209+Input!K209)</f>
        <v>14.666666666666666</v>
      </c>
      <c r="G209" s="174">
        <f>IF(Input!L209=0,+Input!$G209,+Input!$G209+Input!L209)</f>
        <v>14.666666666666666</v>
      </c>
      <c r="H209" s="174">
        <f>IF(Input!M209=0,+Input!$G209,+Input!$G209+Input!M209)</f>
        <v>14.666666666666666</v>
      </c>
      <c r="I209" s="174">
        <f>IF(Input!N209=0,+Input!$G209,+Input!$G209+Input!N209)</f>
        <v>14.666666666666666</v>
      </c>
      <c r="J209" s="174">
        <f>IF(Input!O209=0,+Input!$G209,+Input!$G209+Input!O209)</f>
        <v>14.666666666666666</v>
      </c>
      <c r="K209" s="174">
        <f>IF(Input!P209=0,+Input!$G209,+Input!$G209+Input!P209)</f>
        <v>14.666666666666666</v>
      </c>
      <c r="L209" s="174">
        <f>IF(Input!Q209=0,+Input!$G209,+Input!$G209+Input!Q209)</f>
        <v>14.666666666666666</v>
      </c>
      <c r="M209" s="174">
        <f>IF(Input!R209=0,+Input!$G209,+Input!$G209+Input!R209)</f>
        <v>14.666666666666666</v>
      </c>
      <c r="N209" s="174">
        <f>IF(Input!S209=0,+Input!$G209,+Input!$G209+Input!S209)</f>
        <v>14.666666666666666</v>
      </c>
      <c r="O209" s="175">
        <f t="shared" si="34"/>
        <v>175.99999999999997</v>
      </c>
      <c r="P209" s="175">
        <f>IF(AND(O209=""),"",+O209/Setup!$B$12)</f>
        <v>0.79999999999999982</v>
      </c>
      <c r="Q209" s="175">
        <f>IF(ISNA(IF(O209="","",(+VLOOKUP(A209,'2016'!$A:$P,15,FALSE)))),0,IF(O209="",0,(+VLOOKUP(A209,'2016'!$A:$P,15,FALSE))))</f>
        <v>176</v>
      </c>
      <c r="R209" s="169"/>
      <c r="S209" s="278"/>
      <c r="T209" s="321"/>
    </row>
    <row r="210" spans="1:20" s="4" customFormat="1" ht="10.5" customHeight="1">
      <c r="A210" s="410" t="s">
        <v>1002</v>
      </c>
      <c r="B210" s="161" t="s">
        <v>351</v>
      </c>
      <c r="C210" s="174">
        <f>IF(Input!H210=0,+Input!$G210,+Input!$G210+Input!H210)</f>
        <v>258.33333333333331</v>
      </c>
      <c r="D210" s="174">
        <f>IF(Input!I210=0,+Input!$G210,+Input!$G210+Input!I210)</f>
        <v>258.33333333333331</v>
      </c>
      <c r="E210" s="174">
        <f>IF(Input!J210=0,+Input!$G210,+Input!$G210+Input!J210)</f>
        <v>258.33333333333331</v>
      </c>
      <c r="F210" s="174">
        <f>IF(Input!K210=0,+Input!$G210,+Input!$G210+Input!K210)</f>
        <v>258.33333333333331</v>
      </c>
      <c r="G210" s="174">
        <f>IF(Input!L210=0,+Input!$G210,+Input!$G210+Input!L210)</f>
        <v>258.33333333333331</v>
      </c>
      <c r="H210" s="174">
        <f>IF(Input!M210=0,+Input!$G210,+Input!$G210+Input!M210)</f>
        <v>258.33333333333331</v>
      </c>
      <c r="I210" s="174">
        <f>IF(Input!N210=0,+Input!$G210,+Input!$G210+Input!N210)</f>
        <v>258.33333333333331</v>
      </c>
      <c r="J210" s="174">
        <f>IF(Input!O210=0,+Input!$G210,+Input!$G210+Input!O210)</f>
        <v>258.33333333333331</v>
      </c>
      <c r="K210" s="174">
        <f>IF(Input!P210=0,+Input!$G210,+Input!$G210+Input!P210)</f>
        <v>258.33333333333331</v>
      </c>
      <c r="L210" s="174">
        <f>IF(Input!Q210=0,+Input!$G210,+Input!$G210+Input!Q210)</f>
        <v>258.33333333333331</v>
      </c>
      <c r="M210" s="174">
        <f>IF(Input!R210=0,+Input!$G210,+Input!$G210+Input!R210)</f>
        <v>258.33333333333331</v>
      </c>
      <c r="N210" s="174">
        <f>IF(Input!S210=0,+Input!$G210,+Input!$G210+Input!S210)</f>
        <v>258.33333333333331</v>
      </c>
      <c r="O210" s="175">
        <f t="shared" si="34"/>
        <v>3100.0000000000005</v>
      </c>
      <c r="P210" s="175">
        <f>IF(AND(O210=""),"",+O210/Setup!$B$12)</f>
        <v>14.090909090909093</v>
      </c>
      <c r="Q210" s="175">
        <f>IF(ISNA(IF(O210="","",(+VLOOKUP(A210,'2016'!$A:$P,15,FALSE)))),0,IF(O210="",0,(+VLOOKUP(A210,'2016'!$A:$P,15,FALSE))))</f>
        <v>3100</v>
      </c>
      <c r="R210" s="169"/>
      <c r="S210" s="278"/>
      <c r="T210" s="321"/>
    </row>
    <row r="211" spans="1:20" s="4" customFormat="1" ht="10.5" customHeight="1">
      <c r="A211" s="410" t="s">
        <v>1004</v>
      </c>
      <c r="B211" s="161" t="s">
        <v>352</v>
      </c>
      <c r="C211" s="174">
        <f>IF(Input!H211=0,+Input!$G211,+Input!$G211+Input!H211)</f>
        <v>219.75</v>
      </c>
      <c r="D211" s="174">
        <f>IF(Input!I211=0,+Input!$G211,+Input!$G211+Input!I211)</f>
        <v>219.75</v>
      </c>
      <c r="E211" s="174">
        <f>IF(Input!J211=0,+Input!$G211,+Input!$G211+Input!J211)</f>
        <v>219.75</v>
      </c>
      <c r="F211" s="174">
        <f>IF(Input!K211=0,+Input!$G211,+Input!$G211+Input!K211)</f>
        <v>219.75</v>
      </c>
      <c r="G211" s="174">
        <f>IF(Input!L211=0,+Input!$G211,+Input!$G211+Input!L211)</f>
        <v>219.75</v>
      </c>
      <c r="H211" s="174">
        <f>IF(Input!M211=0,+Input!$G211,+Input!$G211+Input!M211)</f>
        <v>219.75</v>
      </c>
      <c r="I211" s="174">
        <f>IF(Input!N211=0,+Input!$G211,+Input!$G211+Input!N211)</f>
        <v>219.75</v>
      </c>
      <c r="J211" s="174">
        <f>IF(Input!O211=0,+Input!$G211,+Input!$G211+Input!O211)</f>
        <v>219.75</v>
      </c>
      <c r="K211" s="174">
        <f>IF(Input!P211=0,+Input!$G211,+Input!$G211+Input!P211)</f>
        <v>219.75</v>
      </c>
      <c r="L211" s="174">
        <f>IF(Input!Q211=0,+Input!$G211,+Input!$G211+Input!Q211)</f>
        <v>219.75</v>
      </c>
      <c r="M211" s="174">
        <f>IF(Input!R211=0,+Input!$G211,+Input!$G211+Input!R211)</f>
        <v>219.75</v>
      </c>
      <c r="N211" s="174">
        <f>IF(Input!S211=0,+Input!$G211,+Input!$G211+Input!S211)</f>
        <v>219.75</v>
      </c>
      <c r="O211" s="175">
        <f t="shared" si="34"/>
        <v>2637</v>
      </c>
      <c r="P211" s="175">
        <f>IF(AND(O211=""),"",+O211/Setup!$B$12)</f>
        <v>11.986363636363636</v>
      </c>
      <c r="Q211" s="175">
        <f>IF(ISNA(IF(O211="","",(+VLOOKUP(A211,'2016'!$A:$P,15,FALSE)))),0,IF(O211="",0,(+VLOOKUP(A211,'2016'!$A:$P,15,FALSE))))</f>
        <v>2637</v>
      </c>
      <c r="R211" s="169"/>
      <c r="S211" s="278"/>
      <c r="T211" s="321"/>
    </row>
    <row r="212" spans="1:20" s="4" customFormat="1" ht="10.5" customHeight="1">
      <c r="A212" s="410" t="s">
        <v>1006</v>
      </c>
      <c r="B212" s="196" t="s">
        <v>540</v>
      </c>
      <c r="C212" s="174">
        <f>IF(Input!H212=0,+Input!$G212,+Input!$G212+Input!H212)</f>
        <v>0</v>
      </c>
      <c r="D212" s="174">
        <f>IF(Input!I212=0,+Input!$G212,+Input!$G212+Input!I212)</f>
        <v>0</v>
      </c>
      <c r="E212" s="174">
        <f>IF(Input!J212=0,+Input!$G212,+Input!$G212+Input!J212)</f>
        <v>0</v>
      </c>
      <c r="F212" s="174">
        <f>IF(Input!K212=0,+Input!$G212,+Input!$G212+Input!K212)</f>
        <v>0</v>
      </c>
      <c r="G212" s="174">
        <f>IF(Input!L212=0,+Input!$G212,+Input!$G212+Input!L212)</f>
        <v>0</v>
      </c>
      <c r="H212" s="174">
        <f>IF(Input!M212=0,+Input!$G212,+Input!$G212+Input!M212)</f>
        <v>0</v>
      </c>
      <c r="I212" s="174">
        <f>IF(Input!N212=0,+Input!$G212,+Input!$G212+Input!N212)</f>
        <v>0</v>
      </c>
      <c r="J212" s="174">
        <f>IF(Input!O212=0,+Input!$G212,+Input!$G212+Input!O212)</f>
        <v>0</v>
      </c>
      <c r="K212" s="174">
        <f>IF(Input!P212=0,+Input!$G212,+Input!$G212+Input!P212)</f>
        <v>0</v>
      </c>
      <c r="L212" s="174">
        <f>IF(Input!Q212=0,+Input!$G212,+Input!$G212+Input!Q212)</f>
        <v>0</v>
      </c>
      <c r="M212" s="174">
        <f>IF(Input!R212=0,+Input!$G212,+Input!$G212+Input!R212)</f>
        <v>0</v>
      </c>
      <c r="N212" s="174">
        <f>IF(Input!S212=0,+Input!$G212,+Input!$G212+Input!S212)</f>
        <v>0</v>
      </c>
      <c r="O212" s="175">
        <f t="shared" si="34"/>
        <v>0</v>
      </c>
      <c r="P212" s="175">
        <f>IF(AND(O212=""),"",+O212/Setup!$B$12)</f>
        <v>0</v>
      </c>
      <c r="Q212" s="175">
        <f>IF(ISNA(IF(O212="","",(+VLOOKUP(A212,'2016'!$A:$P,15,FALSE)))),0,IF(O212="",0,(+VLOOKUP(A212,'2016'!$A:$P,15,FALSE))))</f>
        <v>0</v>
      </c>
      <c r="R212" s="169"/>
      <c r="S212" s="278"/>
      <c r="T212" s="321"/>
    </row>
    <row r="213" spans="1:20" s="4" customFormat="1" ht="10.5" customHeight="1">
      <c r="A213" s="410" t="s">
        <v>1007</v>
      </c>
      <c r="B213" s="161" t="s">
        <v>353</v>
      </c>
      <c r="C213" s="174">
        <f>IF(Input!H213=0,+Input!$G213,+Input!$G213+Input!H213)</f>
        <v>0</v>
      </c>
      <c r="D213" s="174">
        <f>IF(Input!I213=0,+Input!$G213,+Input!$G213+Input!I213)</f>
        <v>0</v>
      </c>
      <c r="E213" s="174">
        <f>IF(Input!J213=0,+Input!$G213,+Input!$G213+Input!J213)</f>
        <v>0</v>
      </c>
      <c r="F213" s="174">
        <f>IF(Input!K213=0,+Input!$G213,+Input!$G213+Input!K213)</f>
        <v>0</v>
      </c>
      <c r="G213" s="174">
        <f>IF(Input!L213=0,+Input!$G213,+Input!$G213+Input!L213)</f>
        <v>0</v>
      </c>
      <c r="H213" s="174">
        <f>IF(Input!M213=0,+Input!$G213,+Input!$G213+Input!M213)</f>
        <v>0</v>
      </c>
      <c r="I213" s="174">
        <f>IF(Input!N213=0,+Input!$G213,+Input!$G213+Input!N213)</f>
        <v>0</v>
      </c>
      <c r="J213" s="174">
        <f>IF(Input!O213=0,+Input!$G213,+Input!$G213+Input!O213)</f>
        <v>0</v>
      </c>
      <c r="K213" s="174">
        <f>IF(Input!P213=0,+Input!$G213,+Input!$G213+Input!P213)</f>
        <v>0</v>
      </c>
      <c r="L213" s="174">
        <f>IF(Input!Q213=0,+Input!$G213,+Input!$G213+Input!Q213)</f>
        <v>0</v>
      </c>
      <c r="M213" s="174">
        <f>IF(Input!R213=0,+Input!$G213,+Input!$G213+Input!R213)</f>
        <v>0</v>
      </c>
      <c r="N213" s="174">
        <f>IF(Input!S213=0,+Input!$G213,+Input!$G213+Input!S213)</f>
        <v>0</v>
      </c>
      <c r="O213" s="175">
        <f t="shared" si="34"/>
        <v>0</v>
      </c>
      <c r="P213" s="175">
        <f>IF(AND(O213=""),"",+O213/Setup!$B$12)</f>
        <v>0</v>
      </c>
      <c r="Q213" s="175">
        <f>IF(ISNA(IF(O213="","",(+VLOOKUP(A213,'2016'!$A:$P,15,FALSE)))),0,IF(O213="",0,(+VLOOKUP(A213,'2016'!$A:$P,15,FALSE))))</f>
        <v>0</v>
      </c>
      <c r="R213" s="169"/>
      <c r="S213" s="278"/>
      <c r="T213" s="321"/>
    </row>
    <row r="214" spans="1:20" s="4" customFormat="1" ht="10.5" customHeight="1">
      <c r="A214" s="410" t="s">
        <v>1008</v>
      </c>
      <c r="B214" s="161" t="s">
        <v>354</v>
      </c>
      <c r="C214" s="174">
        <f>IF(Input!H214=0,+Input!$G214,+Input!$G214+Input!H214)</f>
        <v>0</v>
      </c>
      <c r="D214" s="174">
        <f>IF(Input!I214=0,+Input!$G214,+Input!$G214+Input!I214)</f>
        <v>0</v>
      </c>
      <c r="E214" s="174">
        <f>IF(Input!J214=0,+Input!$G214,+Input!$G214+Input!J214)</f>
        <v>0</v>
      </c>
      <c r="F214" s="174">
        <f>IF(Input!K214=0,+Input!$G214,+Input!$G214+Input!K214)</f>
        <v>0</v>
      </c>
      <c r="G214" s="174">
        <f>IF(Input!L214=0,+Input!$G214,+Input!$G214+Input!L214)</f>
        <v>0</v>
      </c>
      <c r="H214" s="174">
        <f>IF(Input!M214=0,+Input!$G214,+Input!$G214+Input!M214)</f>
        <v>0</v>
      </c>
      <c r="I214" s="174">
        <f>IF(Input!N214=0,+Input!$G214,+Input!$G214+Input!N214)</f>
        <v>0</v>
      </c>
      <c r="J214" s="174">
        <f>IF(Input!O214=0,+Input!$G214,+Input!$G214+Input!O214)</f>
        <v>0</v>
      </c>
      <c r="K214" s="174">
        <f>IF(Input!P214=0,+Input!$G214,+Input!$G214+Input!P214)</f>
        <v>0</v>
      </c>
      <c r="L214" s="174">
        <f>IF(Input!Q214=0,+Input!$G214,+Input!$G214+Input!Q214)</f>
        <v>0</v>
      </c>
      <c r="M214" s="174">
        <f>IF(Input!R214=0,+Input!$G214,+Input!$G214+Input!R214)</f>
        <v>0</v>
      </c>
      <c r="N214" s="174">
        <f>IF(Input!S214=0,+Input!$G214,+Input!$G214+Input!S214)</f>
        <v>0</v>
      </c>
      <c r="O214" s="175">
        <f t="shared" si="34"/>
        <v>0</v>
      </c>
      <c r="P214" s="175">
        <f>IF(AND(O214=""),"",+O214/Setup!$B$12)</f>
        <v>0</v>
      </c>
      <c r="Q214" s="175">
        <f>IF(ISNA(IF(O214="","",(+VLOOKUP(A214,'2016'!$A:$P,15,FALSE)))),0,IF(O214="",0,(+VLOOKUP(A214,'2016'!$A:$P,15,FALSE))))</f>
        <v>0</v>
      </c>
      <c r="R214" s="169"/>
      <c r="S214" s="274"/>
      <c r="T214" s="321"/>
    </row>
    <row r="215" spans="1:20" s="4" customFormat="1" ht="10.5" customHeight="1">
      <c r="A215" s="410" t="s">
        <v>1009</v>
      </c>
      <c r="B215" s="161" t="s">
        <v>355</v>
      </c>
      <c r="C215" s="174">
        <f>IF(Input!H215=0,+Input!$G215,+Input!$G215+Input!H215)</f>
        <v>756.58333333333337</v>
      </c>
      <c r="D215" s="174">
        <f>IF(Input!I215=0,+Input!$G215,+Input!$G215+Input!I215)</f>
        <v>756.58333333333337</v>
      </c>
      <c r="E215" s="174">
        <f>IF(Input!J215=0,+Input!$G215,+Input!$G215+Input!J215)</f>
        <v>756.58333333333337</v>
      </c>
      <c r="F215" s="174">
        <f>IF(Input!K215=0,+Input!$G215,+Input!$G215+Input!K215)</f>
        <v>756.58333333333337</v>
      </c>
      <c r="G215" s="174">
        <f>IF(Input!L215=0,+Input!$G215,+Input!$G215+Input!L215)</f>
        <v>756.58333333333337</v>
      </c>
      <c r="H215" s="174">
        <f>IF(Input!M215=0,+Input!$G215,+Input!$G215+Input!M215)</f>
        <v>756.58333333333337</v>
      </c>
      <c r="I215" s="174">
        <f>IF(Input!N215=0,+Input!$G215,+Input!$G215+Input!N215)</f>
        <v>756.58333333333337</v>
      </c>
      <c r="J215" s="174">
        <f>IF(Input!O215=0,+Input!$G215,+Input!$G215+Input!O215)</f>
        <v>756.58333333333337</v>
      </c>
      <c r="K215" s="174">
        <f>IF(Input!P215=0,+Input!$G215,+Input!$G215+Input!P215)</f>
        <v>756.58333333333337</v>
      </c>
      <c r="L215" s="174">
        <f>IF(Input!Q215=0,+Input!$G215,+Input!$G215+Input!Q215)</f>
        <v>756.58333333333337</v>
      </c>
      <c r="M215" s="174">
        <f>IF(Input!R215=0,+Input!$G215,+Input!$G215+Input!R215)</f>
        <v>756.58333333333337</v>
      </c>
      <c r="N215" s="174">
        <f>IF(Input!S215=0,+Input!$G215,+Input!$G215+Input!S215)</f>
        <v>756.58333333333337</v>
      </c>
      <c r="O215" s="175">
        <f t="shared" si="34"/>
        <v>9079</v>
      </c>
      <c r="P215" s="175">
        <f>IF(AND(O215=""),"",+O215/Setup!$B$12)</f>
        <v>41.268181818181816</v>
      </c>
      <c r="Q215" s="175">
        <f>IF(ISNA(IF(O215="","",(+VLOOKUP(A215,'2016'!$A:$P,15,FALSE)))),0,IF(O215="",0,(+VLOOKUP(A215,'2016'!$A:$P,15,FALSE))))</f>
        <v>9079</v>
      </c>
      <c r="R215" s="169"/>
      <c r="S215" s="274"/>
      <c r="T215" s="321"/>
    </row>
    <row r="216" spans="1:20" s="4" customFormat="1" ht="10.5" customHeight="1">
      <c r="A216" s="410" t="s">
        <v>1011</v>
      </c>
      <c r="B216" s="161" t="s">
        <v>356</v>
      </c>
      <c r="C216" s="174">
        <f>IF(Input!H216=0,+Input!$G216,+Input!$G216+Input!H216)</f>
        <v>165.16666666666666</v>
      </c>
      <c r="D216" s="174">
        <f>IF(Input!I216=0,+Input!$G216,+Input!$G216+Input!I216)</f>
        <v>165.16666666666666</v>
      </c>
      <c r="E216" s="174">
        <f>IF(Input!J216=0,+Input!$G216,+Input!$G216+Input!J216)</f>
        <v>165.16666666666666</v>
      </c>
      <c r="F216" s="174">
        <f>IF(Input!K216=0,+Input!$G216,+Input!$G216+Input!K216)</f>
        <v>165.16666666666666</v>
      </c>
      <c r="G216" s="174">
        <f>IF(Input!L216=0,+Input!$G216,+Input!$G216+Input!L216)</f>
        <v>165.16666666666666</v>
      </c>
      <c r="H216" s="174">
        <f>IF(Input!M216=0,+Input!$G216,+Input!$G216+Input!M216)</f>
        <v>165.16666666666666</v>
      </c>
      <c r="I216" s="174">
        <f>IF(Input!N216=0,+Input!$G216,+Input!$G216+Input!N216)</f>
        <v>165.16666666666666</v>
      </c>
      <c r="J216" s="174">
        <f>IF(Input!O216=0,+Input!$G216,+Input!$G216+Input!O216)</f>
        <v>165.16666666666666</v>
      </c>
      <c r="K216" s="174">
        <f>IF(Input!P216=0,+Input!$G216,+Input!$G216+Input!P216)</f>
        <v>165.16666666666666</v>
      </c>
      <c r="L216" s="174">
        <f>IF(Input!Q216=0,+Input!$G216,+Input!$G216+Input!Q216)</f>
        <v>165.16666666666666</v>
      </c>
      <c r="M216" s="174">
        <f>IF(Input!R216=0,+Input!$G216,+Input!$G216+Input!R216)</f>
        <v>165.16666666666666</v>
      </c>
      <c r="N216" s="174">
        <f>IF(Input!S216=0,+Input!$G216,+Input!$G216+Input!S216)</f>
        <v>165.16666666666666</v>
      </c>
      <c r="O216" s="175">
        <f t="shared" si="34"/>
        <v>1982.0000000000002</v>
      </c>
      <c r="P216" s="175">
        <f>IF(AND(O216=""),"",+O216/Setup!$B$12)</f>
        <v>9.0090909090909097</v>
      </c>
      <c r="Q216" s="175">
        <f>IF(ISNA(IF(O216="","",(+VLOOKUP(A216,'2016'!$A:$P,15,FALSE)))),0,IF(O216="",0,(+VLOOKUP(A216,'2016'!$A:$P,15,FALSE))))</f>
        <v>1982</v>
      </c>
      <c r="R216" s="169"/>
      <c r="S216" s="278"/>
      <c r="T216" s="321"/>
    </row>
    <row r="217" spans="1:20" s="4" customFormat="1" ht="10.5" customHeight="1">
      <c r="A217" s="410" t="s">
        <v>1013</v>
      </c>
      <c r="B217" s="161" t="s">
        <v>357</v>
      </c>
      <c r="C217" s="174">
        <f>IF(Input!H217=0,+Input!$G217,+Input!$G217+Input!H217)</f>
        <v>179.41666666666666</v>
      </c>
      <c r="D217" s="174">
        <f>IF(Input!I217=0,+Input!$G217,+Input!$G217+Input!I217)</f>
        <v>179.41666666666666</v>
      </c>
      <c r="E217" s="174">
        <f>IF(Input!J217=0,+Input!$G217,+Input!$G217+Input!J217)</f>
        <v>179.41666666666666</v>
      </c>
      <c r="F217" s="174">
        <f>IF(Input!K217=0,+Input!$G217,+Input!$G217+Input!K217)</f>
        <v>179.41666666666666</v>
      </c>
      <c r="G217" s="174">
        <f>IF(Input!L217=0,+Input!$G217,+Input!$G217+Input!L217)</f>
        <v>179.41666666666666</v>
      </c>
      <c r="H217" s="174">
        <f>IF(Input!M217=0,+Input!$G217,+Input!$G217+Input!M217)</f>
        <v>179.41666666666666</v>
      </c>
      <c r="I217" s="174">
        <f>IF(Input!N217=0,+Input!$G217,+Input!$G217+Input!N217)</f>
        <v>179.41666666666666</v>
      </c>
      <c r="J217" s="174">
        <f>IF(Input!O217=0,+Input!$G217,+Input!$G217+Input!O217)</f>
        <v>179.41666666666666</v>
      </c>
      <c r="K217" s="174">
        <f>IF(Input!P217=0,+Input!$G217,+Input!$G217+Input!P217)</f>
        <v>179.41666666666666</v>
      </c>
      <c r="L217" s="174">
        <f>IF(Input!Q217=0,+Input!$G217,+Input!$G217+Input!Q217)</f>
        <v>179.41666666666666</v>
      </c>
      <c r="M217" s="174">
        <f>IF(Input!R217=0,+Input!$G217,+Input!$G217+Input!R217)</f>
        <v>179.41666666666666</v>
      </c>
      <c r="N217" s="174">
        <f>IF(Input!S217=0,+Input!$G217,+Input!$G217+Input!S217)</f>
        <v>179.41666666666666</v>
      </c>
      <c r="O217" s="175">
        <f t="shared" si="34"/>
        <v>2153.0000000000005</v>
      </c>
      <c r="P217" s="175">
        <f>IF(AND(O217=""),"",+O217/Setup!$B$12)</f>
        <v>9.7863636363636388</v>
      </c>
      <c r="Q217" s="175">
        <f>IF(ISNA(IF(O217="","",(+VLOOKUP(A217,'2016'!$A:$P,15,FALSE)))),0,IF(O217="",0,(+VLOOKUP(A217,'2016'!$A:$P,15,FALSE))))</f>
        <v>2153</v>
      </c>
      <c r="R217" s="169"/>
      <c r="S217" s="278"/>
      <c r="T217" s="321"/>
    </row>
    <row r="218" spans="1:20" s="4" customFormat="1" ht="10.5" customHeight="1">
      <c r="A218" s="410" t="s">
        <v>1015</v>
      </c>
      <c r="B218" s="161" t="s">
        <v>358</v>
      </c>
      <c r="C218" s="174">
        <f>IF(Input!H218=0,+Input!$G218,+Input!$G218+Input!H218)</f>
        <v>213.25</v>
      </c>
      <c r="D218" s="174">
        <f>IF(Input!I218=0,+Input!$G218,+Input!$G218+Input!I218)</f>
        <v>213.25</v>
      </c>
      <c r="E218" s="174">
        <f>IF(Input!J218=0,+Input!$G218,+Input!$G218+Input!J218)</f>
        <v>213.25</v>
      </c>
      <c r="F218" s="174">
        <f>IF(Input!K218=0,+Input!$G218,+Input!$G218+Input!K218)</f>
        <v>213.25</v>
      </c>
      <c r="G218" s="174">
        <f>IF(Input!L218=0,+Input!$G218,+Input!$G218+Input!L218)</f>
        <v>213.25</v>
      </c>
      <c r="H218" s="174">
        <f>IF(Input!M218=0,+Input!$G218,+Input!$G218+Input!M218)</f>
        <v>213.25</v>
      </c>
      <c r="I218" s="174">
        <f>IF(Input!N218=0,+Input!$G218,+Input!$G218+Input!N218)</f>
        <v>213.25</v>
      </c>
      <c r="J218" s="174">
        <f>IF(Input!O218=0,+Input!$G218,+Input!$G218+Input!O218)</f>
        <v>213.25</v>
      </c>
      <c r="K218" s="174">
        <f>IF(Input!P218=0,+Input!$G218,+Input!$G218+Input!P218)</f>
        <v>213.25</v>
      </c>
      <c r="L218" s="174">
        <f>IF(Input!Q218=0,+Input!$G218,+Input!$G218+Input!Q218)</f>
        <v>213.25</v>
      </c>
      <c r="M218" s="174">
        <f>IF(Input!R218=0,+Input!$G218,+Input!$G218+Input!R218)</f>
        <v>213.25</v>
      </c>
      <c r="N218" s="174">
        <f>IF(Input!S218=0,+Input!$G218,+Input!$G218+Input!S218)</f>
        <v>213.25</v>
      </c>
      <c r="O218" s="175">
        <f t="shared" si="34"/>
        <v>2559</v>
      </c>
      <c r="P218" s="175">
        <f>IF(AND(O218=""),"",+O218/Setup!$B$12)</f>
        <v>11.631818181818181</v>
      </c>
      <c r="Q218" s="175">
        <f>IF(ISNA(IF(O218="","",(+VLOOKUP(A218,'2016'!$A:$P,15,FALSE)))),0,IF(O218="",0,(+VLOOKUP(A218,'2016'!$A:$P,15,FALSE))))</f>
        <v>2559</v>
      </c>
      <c r="R218" s="169"/>
      <c r="S218" s="278"/>
      <c r="T218" s="321"/>
    </row>
    <row r="219" spans="1:20" s="4" customFormat="1" ht="10.5" customHeight="1">
      <c r="A219" s="410" t="s">
        <v>1017</v>
      </c>
      <c r="B219" s="161" t="s">
        <v>359</v>
      </c>
      <c r="C219" s="174">
        <f>IF(Input!H219=0,+Input!$G219,+Input!$G219+Input!H219)</f>
        <v>0</v>
      </c>
      <c r="D219" s="174">
        <f>IF(Input!I219=0,+Input!$G219,+Input!$G219+Input!I219)</f>
        <v>0</v>
      </c>
      <c r="E219" s="174">
        <f>IF(Input!J219=0,+Input!$G219,+Input!$G219+Input!J219)</f>
        <v>0</v>
      </c>
      <c r="F219" s="174">
        <f>IF(Input!K219=0,+Input!$G219,+Input!$G219+Input!K219)</f>
        <v>0</v>
      </c>
      <c r="G219" s="174">
        <f>IF(Input!L219=0,+Input!$G219,+Input!$G219+Input!L219)</f>
        <v>0</v>
      </c>
      <c r="H219" s="174">
        <f>IF(Input!M219=0,+Input!$G219,+Input!$G219+Input!M219)</f>
        <v>0</v>
      </c>
      <c r="I219" s="174">
        <f>IF(Input!N219=0,+Input!$G219,+Input!$G219+Input!N219)</f>
        <v>0</v>
      </c>
      <c r="J219" s="174">
        <f>IF(Input!O219=0,+Input!$G219,+Input!$G219+Input!O219)</f>
        <v>0</v>
      </c>
      <c r="K219" s="174">
        <f>IF(Input!P219=0,+Input!$G219,+Input!$G219+Input!P219)</f>
        <v>0</v>
      </c>
      <c r="L219" s="174">
        <f>IF(Input!Q219=0,+Input!$G219,+Input!$G219+Input!Q219)</f>
        <v>0</v>
      </c>
      <c r="M219" s="174">
        <f>IF(Input!R219=0,+Input!$G219,+Input!$G219+Input!R219)</f>
        <v>0</v>
      </c>
      <c r="N219" s="174">
        <f>IF(Input!S219=0,+Input!$G219,+Input!$G219+Input!S219)</f>
        <v>0</v>
      </c>
      <c r="O219" s="175">
        <f t="shared" si="34"/>
        <v>0</v>
      </c>
      <c r="P219" s="175">
        <f>IF(AND(O219=""),"",+O219/Setup!$B$12)</f>
        <v>0</v>
      </c>
      <c r="Q219" s="175">
        <f>IF(ISNA(IF(O219="","",(+VLOOKUP(A219,'2016'!$A:$P,15,FALSE)))),0,IF(O219="",0,(+VLOOKUP(A219,'2016'!$A:$P,15,FALSE))))</f>
        <v>0</v>
      </c>
      <c r="R219" s="169"/>
      <c r="S219" s="278"/>
      <c r="T219" s="321"/>
    </row>
    <row r="220" spans="1:20" s="4" customFormat="1" ht="10.5" customHeight="1">
      <c r="A220" s="410" t="s">
        <v>1019</v>
      </c>
      <c r="B220" s="161" t="s">
        <v>360</v>
      </c>
      <c r="C220" s="174">
        <f>IF(Input!H220=0,+Input!$G220,+Input!$G220+Input!H220)</f>
        <v>18.333333333333332</v>
      </c>
      <c r="D220" s="174">
        <f>IF(Input!I220=0,+Input!$G220,+Input!$G220+Input!I220)</f>
        <v>18.333333333333332</v>
      </c>
      <c r="E220" s="174">
        <f>IF(Input!J220=0,+Input!$G220,+Input!$G220+Input!J220)</f>
        <v>18.333333333333332</v>
      </c>
      <c r="F220" s="174">
        <f>IF(Input!K220=0,+Input!$G220,+Input!$G220+Input!K220)</f>
        <v>18.333333333333332</v>
      </c>
      <c r="G220" s="174">
        <f>IF(Input!L220=0,+Input!$G220,+Input!$G220+Input!L220)</f>
        <v>18.333333333333332</v>
      </c>
      <c r="H220" s="174">
        <f>IF(Input!M220=0,+Input!$G220,+Input!$G220+Input!M220)</f>
        <v>18.333333333333332</v>
      </c>
      <c r="I220" s="174">
        <f>IF(Input!N220=0,+Input!$G220,+Input!$G220+Input!N220)</f>
        <v>18.333333333333332</v>
      </c>
      <c r="J220" s="174">
        <f>IF(Input!O220=0,+Input!$G220,+Input!$G220+Input!O220)</f>
        <v>18.333333333333332</v>
      </c>
      <c r="K220" s="174">
        <f>IF(Input!P220=0,+Input!$G220,+Input!$G220+Input!P220)</f>
        <v>18.333333333333332</v>
      </c>
      <c r="L220" s="174">
        <f>IF(Input!Q220=0,+Input!$G220,+Input!$G220+Input!Q220)</f>
        <v>18.333333333333332</v>
      </c>
      <c r="M220" s="174">
        <f>IF(Input!R220=0,+Input!$G220,+Input!$G220+Input!R220)</f>
        <v>18.333333333333332</v>
      </c>
      <c r="N220" s="174">
        <f>IF(Input!S220=0,+Input!$G220,+Input!$G220+Input!S220)</f>
        <v>18.333333333333332</v>
      </c>
      <c r="O220" s="175">
        <f t="shared" si="34"/>
        <v>220.00000000000003</v>
      </c>
      <c r="P220" s="175">
        <f>IF(AND(O220=""),"",+O220/Setup!$B$12)</f>
        <v>1.0000000000000002</v>
      </c>
      <c r="Q220" s="175">
        <f>IF(ISNA(IF(O220="","",(+VLOOKUP(A220,'2016'!$A:$P,15,FALSE)))),0,IF(O220="",0,(+VLOOKUP(A220,'2016'!$A:$P,15,FALSE))))</f>
        <v>220</v>
      </c>
      <c r="R220" s="169"/>
      <c r="S220" s="278"/>
      <c r="T220" s="321"/>
    </row>
    <row r="221" spans="1:20" s="4" customFormat="1" ht="10.5" customHeight="1">
      <c r="A221" s="410" t="s">
        <v>1021</v>
      </c>
      <c r="B221" s="161" t="s">
        <v>361</v>
      </c>
      <c r="C221" s="174">
        <f>IF(Input!H221=0,+Input!$G221,+Input!$G221+Input!H221)</f>
        <v>103.83333333333333</v>
      </c>
      <c r="D221" s="174">
        <f>IF(Input!I221=0,+Input!$G221,+Input!$G221+Input!I221)</f>
        <v>103.83333333333333</v>
      </c>
      <c r="E221" s="174">
        <f>IF(Input!J221=0,+Input!$G221,+Input!$G221+Input!J221)</f>
        <v>103.83333333333333</v>
      </c>
      <c r="F221" s="174">
        <f>IF(Input!K221=0,+Input!$G221,+Input!$G221+Input!K221)</f>
        <v>103.83333333333333</v>
      </c>
      <c r="G221" s="174">
        <f>IF(Input!L221=0,+Input!$G221,+Input!$G221+Input!L221)</f>
        <v>103.83333333333333</v>
      </c>
      <c r="H221" s="174">
        <f>IF(Input!M221=0,+Input!$G221,+Input!$G221+Input!M221)</f>
        <v>103.83333333333333</v>
      </c>
      <c r="I221" s="174">
        <f>IF(Input!N221=0,+Input!$G221,+Input!$G221+Input!N221)</f>
        <v>103.83333333333333</v>
      </c>
      <c r="J221" s="174">
        <f>IF(Input!O221=0,+Input!$G221,+Input!$G221+Input!O221)</f>
        <v>103.83333333333333</v>
      </c>
      <c r="K221" s="174">
        <f>IF(Input!P221=0,+Input!$G221,+Input!$G221+Input!P221)</f>
        <v>103.83333333333333</v>
      </c>
      <c r="L221" s="174">
        <f>IF(Input!Q221=0,+Input!$G221,+Input!$G221+Input!Q221)</f>
        <v>103.83333333333333</v>
      </c>
      <c r="M221" s="174">
        <f>IF(Input!R221=0,+Input!$G221,+Input!$G221+Input!R221)</f>
        <v>103.83333333333333</v>
      </c>
      <c r="N221" s="174">
        <f>IF(Input!S221=0,+Input!$G221,+Input!$G221+Input!S221)</f>
        <v>103.83333333333333</v>
      </c>
      <c r="O221" s="175">
        <f t="shared" si="34"/>
        <v>1246</v>
      </c>
      <c r="P221" s="175">
        <f>IF(AND(O221=""),"",+O221/Setup!$B$12)</f>
        <v>5.663636363636364</v>
      </c>
      <c r="Q221" s="175">
        <f>IF(ISNA(IF(O221="","",(+VLOOKUP(A221,'2016'!$A:$P,15,FALSE)))),0,IF(O221="",0,(+VLOOKUP(A221,'2016'!$A:$P,15,FALSE))))</f>
        <v>1246</v>
      </c>
      <c r="R221" s="169"/>
      <c r="S221" s="278"/>
      <c r="T221" s="321"/>
    </row>
    <row r="222" spans="1:20" s="4" customFormat="1" ht="10.5" customHeight="1">
      <c r="A222" s="163"/>
      <c r="B222" s="163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5" t="str">
        <f t="shared" si="34"/>
        <v/>
      </c>
      <c r="P222" s="175" t="str">
        <f>IF(AND(O222=""),"",+O222/Setup!$B$12)</f>
        <v/>
      </c>
      <c r="Q222" s="175" t="str">
        <f>IF(O222="","",(+VLOOKUP(A222,'2016'!$A:$P,15,FALSE)))</f>
        <v/>
      </c>
      <c r="R222" s="169"/>
      <c r="S222" s="278"/>
      <c r="T222" s="321"/>
    </row>
    <row r="223" spans="1:20" s="4" customFormat="1" ht="10.5" customHeight="1">
      <c r="A223" s="159"/>
      <c r="B223" s="169" t="s">
        <v>347</v>
      </c>
      <c r="C223" s="174">
        <f t="shared" ref="C223:N223" si="38">SUM(C206:C221)</f>
        <v>2047.1666666666665</v>
      </c>
      <c r="D223" s="174">
        <f t="shared" si="38"/>
        <v>2047.1666666666665</v>
      </c>
      <c r="E223" s="174">
        <f t="shared" si="38"/>
        <v>2047.1666666666665</v>
      </c>
      <c r="F223" s="174">
        <f t="shared" si="38"/>
        <v>2047.1666666666665</v>
      </c>
      <c r="G223" s="174">
        <f t="shared" si="38"/>
        <v>2047.1666666666665</v>
      </c>
      <c r="H223" s="174">
        <f t="shared" si="38"/>
        <v>2047.1666666666665</v>
      </c>
      <c r="I223" s="174">
        <f t="shared" si="38"/>
        <v>2047.1666666666665</v>
      </c>
      <c r="J223" s="174">
        <f t="shared" si="38"/>
        <v>2047.1666666666665</v>
      </c>
      <c r="K223" s="174">
        <f t="shared" si="38"/>
        <v>2047.1666666666665</v>
      </c>
      <c r="L223" s="174">
        <f t="shared" si="38"/>
        <v>2047.1666666666665</v>
      </c>
      <c r="M223" s="174">
        <f t="shared" si="38"/>
        <v>2047.1666666666665</v>
      </c>
      <c r="N223" s="174">
        <f t="shared" si="38"/>
        <v>2047.1666666666665</v>
      </c>
      <c r="O223" s="175">
        <f t="shared" si="34"/>
        <v>24566</v>
      </c>
      <c r="P223" s="175">
        <f>IF(AND(O223=""),"",+O223/Setup!$B$12)</f>
        <v>111.66363636363636</v>
      </c>
      <c r="Q223" s="174">
        <f>SUM(Q206:Q221)</f>
        <v>24566</v>
      </c>
      <c r="R223" s="169"/>
      <c r="S223" s="278"/>
      <c r="T223" s="321"/>
    </row>
    <row r="224" spans="1:20" s="4" customFormat="1" ht="10.5" customHeight="1">
      <c r="A224" s="161"/>
      <c r="B224" s="161" t="s">
        <v>362</v>
      </c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5" t="str">
        <f t="shared" si="34"/>
        <v/>
      </c>
      <c r="P224" s="175" t="str">
        <f>IF(AND(O224=""),"",+O224/Setup!$B$12)</f>
        <v/>
      </c>
      <c r="Q224" s="175" t="str">
        <f>IF(O224="","",(+VLOOKUP(A224,'2016'!$A:$P,15,FALSE)))</f>
        <v/>
      </c>
      <c r="R224" s="169"/>
      <c r="S224" s="274"/>
      <c r="T224" s="321"/>
    </row>
    <row r="225" spans="1:20" s="4" customFormat="1" ht="10.5" customHeight="1">
      <c r="A225" s="410" t="s">
        <v>1024</v>
      </c>
      <c r="B225" s="196" t="s">
        <v>541</v>
      </c>
      <c r="C225" s="174">
        <f>IF(Input!H225=0,+Input!$G225,+Input!$G225+Input!H225)</f>
        <v>0</v>
      </c>
      <c r="D225" s="174">
        <f>IF(Input!I225=0,+Input!$G225,+Input!$G225+Input!I225)</f>
        <v>0</v>
      </c>
      <c r="E225" s="174">
        <f>IF(Input!J225=0,+Input!$G225,+Input!$G225+Input!J225)</f>
        <v>0</v>
      </c>
      <c r="F225" s="174">
        <f>IF(Input!K225=0,+Input!$G225,+Input!$G225+Input!K225)</f>
        <v>0</v>
      </c>
      <c r="G225" s="174">
        <f>IF(Input!L225=0,+Input!$G225,+Input!$G225+Input!L225)</f>
        <v>0</v>
      </c>
      <c r="H225" s="174">
        <f>IF(Input!M225=0,+Input!$G225,+Input!$G225+Input!M225)</f>
        <v>0</v>
      </c>
      <c r="I225" s="174">
        <f>IF(Input!N225=0,+Input!$G225,+Input!$G225+Input!N225)</f>
        <v>0</v>
      </c>
      <c r="J225" s="174">
        <f>IF(Input!O225=0,+Input!$G225,+Input!$G225+Input!O225)</f>
        <v>0</v>
      </c>
      <c r="K225" s="174">
        <f>IF(Input!P225=0,+Input!$G225,+Input!$G225+Input!P225)</f>
        <v>0</v>
      </c>
      <c r="L225" s="174">
        <f>IF(Input!Q225=0,+Input!$G225,+Input!$G225+Input!Q225)</f>
        <v>0</v>
      </c>
      <c r="M225" s="174">
        <f>IF(Input!R225=0,+Input!$G225,+Input!$G225+Input!R225)</f>
        <v>0</v>
      </c>
      <c r="N225" s="174">
        <f>IF(Input!S225=0,+Input!$G225,+Input!$G225+Input!S225)</f>
        <v>0</v>
      </c>
      <c r="O225" s="175">
        <f t="shared" si="34"/>
        <v>0</v>
      </c>
      <c r="P225" s="175">
        <f>IF(AND(O225=""),"",+O225/Setup!$B$12)</f>
        <v>0</v>
      </c>
      <c r="Q225" s="175">
        <f>IF(ISNA(IF(O225="","",(+VLOOKUP(A225,'2016'!$A:$P,15,FALSE)))),0,IF(O225="",0,(+VLOOKUP(A225,'2016'!$A:$P,15,FALSE))))</f>
        <v>0</v>
      </c>
      <c r="R225" s="169"/>
      <c r="S225" s="274"/>
      <c r="T225" s="321"/>
    </row>
    <row r="226" spans="1:20" s="4" customFormat="1" ht="10.5" customHeight="1">
      <c r="A226" s="410" t="s">
        <v>1025</v>
      </c>
      <c r="B226" s="161" t="s">
        <v>363</v>
      </c>
      <c r="C226" s="174">
        <f>IF(Input!H226=0,+Input!$G226,+Input!$G226+Input!H226)</f>
        <v>0</v>
      </c>
      <c r="D226" s="174">
        <f>IF(Input!I226=0,+Input!$G226,+Input!$G226+Input!I226)</f>
        <v>0</v>
      </c>
      <c r="E226" s="174">
        <f>IF(Input!J226=0,+Input!$G226,+Input!$G226+Input!J226)</f>
        <v>0</v>
      </c>
      <c r="F226" s="174">
        <f>IF(Input!K226=0,+Input!$G226,+Input!$G226+Input!K226)</f>
        <v>0</v>
      </c>
      <c r="G226" s="174">
        <f>IF(Input!L226=0,+Input!$G226,+Input!$G226+Input!L226)</f>
        <v>0</v>
      </c>
      <c r="H226" s="174">
        <f>IF(Input!M226=0,+Input!$G226,+Input!$G226+Input!M226)</f>
        <v>0</v>
      </c>
      <c r="I226" s="174">
        <f>IF(Input!N226=0,+Input!$G226,+Input!$G226+Input!N226)</f>
        <v>0</v>
      </c>
      <c r="J226" s="174">
        <f>IF(Input!O226=0,+Input!$G226,+Input!$G226+Input!O226)</f>
        <v>0</v>
      </c>
      <c r="K226" s="174">
        <f>IF(Input!P226=0,+Input!$G226,+Input!$G226+Input!P226)</f>
        <v>0</v>
      </c>
      <c r="L226" s="174">
        <f>IF(Input!Q226=0,+Input!$G226,+Input!$G226+Input!Q226)</f>
        <v>0</v>
      </c>
      <c r="M226" s="174">
        <f>IF(Input!R226=0,+Input!$G226,+Input!$G226+Input!R226)</f>
        <v>0</v>
      </c>
      <c r="N226" s="174">
        <f>IF(Input!S226=0,+Input!$G226,+Input!$G226+Input!S226)</f>
        <v>0</v>
      </c>
      <c r="O226" s="175">
        <f t="shared" si="34"/>
        <v>0</v>
      </c>
      <c r="P226" s="175">
        <f>IF(AND(O226=""),"",+O226/Setup!$B$12)</f>
        <v>0</v>
      </c>
      <c r="Q226" s="175">
        <f>IF(ISNA(IF(O226="","",(+VLOOKUP(A226,'2016'!$A:$P,15,FALSE)))),0,IF(O226="",0,(+VLOOKUP(A226,'2016'!$A:$P,15,FALSE))))</f>
        <v>26700</v>
      </c>
      <c r="R226" s="169"/>
      <c r="S226" s="278"/>
      <c r="T226" s="321"/>
    </row>
    <row r="227" spans="1:20" s="4" customFormat="1" ht="10.5" customHeight="1">
      <c r="A227" s="410" t="s">
        <v>1027</v>
      </c>
      <c r="B227" s="161" t="s">
        <v>364</v>
      </c>
      <c r="C227" s="174">
        <f>IF(Input!H227=0,+Input!$G227,+Input!$G227+Input!H227)</f>
        <v>50</v>
      </c>
      <c r="D227" s="174">
        <f>IF(Input!I227=0,+Input!$G227,+Input!$G227+Input!I227)</f>
        <v>50</v>
      </c>
      <c r="E227" s="174">
        <f>IF(Input!J227=0,+Input!$G227,+Input!$G227+Input!J227)</f>
        <v>50</v>
      </c>
      <c r="F227" s="174">
        <f>IF(Input!K227=0,+Input!$G227,+Input!$G227+Input!K227)</f>
        <v>50</v>
      </c>
      <c r="G227" s="174">
        <f>IF(Input!L227=0,+Input!$G227,+Input!$G227+Input!L227)</f>
        <v>50</v>
      </c>
      <c r="H227" s="174">
        <f>IF(Input!M227=0,+Input!$G227,+Input!$G227+Input!M227)</f>
        <v>50</v>
      </c>
      <c r="I227" s="174">
        <f>IF(Input!N227=0,+Input!$G227,+Input!$G227+Input!N227)</f>
        <v>50</v>
      </c>
      <c r="J227" s="174">
        <f>IF(Input!O227=0,+Input!$G227,+Input!$G227+Input!O227)</f>
        <v>50</v>
      </c>
      <c r="K227" s="174">
        <f>IF(Input!P227=0,+Input!$G227,+Input!$G227+Input!P227)</f>
        <v>50</v>
      </c>
      <c r="L227" s="174">
        <f>IF(Input!Q227=0,+Input!$G227,+Input!$G227+Input!Q227)</f>
        <v>50</v>
      </c>
      <c r="M227" s="174">
        <f>IF(Input!R227=0,+Input!$G227,+Input!$G227+Input!R227)</f>
        <v>50</v>
      </c>
      <c r="N227" s="174">
        <f>IF(Input!S227=0,+Input!$G227,+Input!$G227+Input!S227)</f>
        <v>50</v>
      </c>
      <c r="O227" s="175">
        <f t="shared" si="34"/>
        <v>600</v>
      </c>
      <c r="P227" s="175">
        <f>IF(AND(O227=""),"",+O227/Setup!$B$12)</f>
        <v>2.7272727272727271</v>
      </c>
      <c r="Q227" s="175">
        <f>IF(ISNA(IF(O227="","",(+VLOOKUP(A227,'2016'!$A:$P,15,FALSE)))),0,IF(O227="",0,(+VLOOKUP(A227,'2016'!$A:$P,15,FALSE))))</f>
        <v>4701</v>
      </c>
      <c r="R227" s="169"/>
      <c r="S227" s="278"/>
      <c r="T227" s="321"/>
    </row>
    <row r="228" spans="1:20" s="4" customFormat="1" ht="10.5" customHeight="1">
      <c r="A228" s="410" t="s">
        <v>1029</v>
      </c>
      <c r="B228" s="161" t="s">
        <v>365</v>
      </c>
      <c r="C228" s="174">
        <f>IF(Input!H228=0,+Input!$G228,+Input!$G228+Input!H228)</f>
        <v>0</v>
      </c>
      <c r="D228" s="174">
        <f>IF(Input!I228=0,+Input!$G228,+Input!$G228+Input!I228)</f>
        <v>0</v>
      </c>
      <c r="E228" s="174">
        <f>IF(Input!J228=0,+Input!$G228,+Input!$G228+Input!J228)</f>
        <v>0</v>
      </c>
      <c r="F228" s="174">
        <f>IF(Input!K228=0,+Input!$G228,+Input!$G228+Input!K228)</f>
        <v>0</v>
      </c>
      <c r="G228" s="174">
        <f>IF(Input!L228=0,+Input!$G228,+Input!$G228+Input!L228)</f>
        <v>0</v>
      </c>
      <c r="H228" s="174">
        <f>IF(Input!M228=0,+Input!$G228,+Input!$G228+Input!M228)</f>
        <v>0</v>
      </c>
      <c r="I228" s="174">
        <f>IF(Input!N228=0,+Input!$G228,+Input!$G228+Input!N228)</f>
        <v>0</v>
      </c>
      <c r="J228" s="174">
        <f>IF(Input!O228=0,+Input!$G228,+Input!$G228+Input!O228)</f>
        <v>0</v>
      </c>
      <c r="K228" s="174">
        <f>IF(Input!P228=0,+Input!$G228,+Input!$G228+Input!P228)</f>
        <v>0</v>
      </c>
      <c r="L228" s="174">
        <f>IF(Input!Q228=0,+Input!$G228,+Input!$G228+Input!Q228)</f>
        <v>0</v>
      </c>
      <c r="M228" s="174">
        <f>IF(Input!R228=0,+Input!$G228,+Input!$G228+Input!R228)</f>
        <v>0</v>
      </c>
      <c r="N228" s="174">
        <f>IF(Input!S228=0,+Input!$G228,+Input!$G228+Input!S228)</f>
        <v>0</v>
      </c>
      <c r="O228" s="175">
        <f t="shared" si="34"/>
        <v>0</v>
      </c>
      <c r="P228" s="175">
        <f>IF(AND(O228=""),"",+O228/Setup!$B$12)</f>
        <v>0</v>
      </c>
      <c r="Q228" s="175">
        <f>IF(ISNA(IF(O228="","",(+VLOOKUP(A228,'2016'!$A:$P,15,FALSE)))),0,IF(O228="",0,(+VLOOKUP(A228,'2016'!$A:$P,15,FALSE))))</f>
        <v>0</v>
      </c>
      <c r="R228" s="169"/>
      <c r="S228" s="278"/>
      <c r="T228" s="321"/>
    </row>
    <row r="229" spans="1:20" s="4" customFormat="1" ht="10.5" customHeight="1">
      <c r="A229" s="410" t="s">
        <v>1030</v>
      </c>
      <c r="B229" s="161" t="s">
        <v>366</v>
      </c>
      <c r="C229" s="174">
        <f>IF(Input!H229=0,+Input!$G229,+Input!$G229+Input!H229)</f>
        <v>0</v>
      </c>
      <c r="D229" s="174">
        <f>IF(Input!I229=0,+Input!$G229,+Input!$G229+Input!I229)</f>
        <v>0</v>
      </c>
      <c r="E229" s="174">
        <f>IF(Input!J229=0,+Input!$G229,+Input!$G229+Input!J229)</f>
        <v>0</v>
      </c>
      <c r="F229" s="174">
        <f>IF(Input!K229=0,+Input!$G229,+Input!$G229+Input!K229)</f>
        <v>0</v>
      </c>
      <c r="G229" s="174">
        <f>IF(Input!L229=0,+Input!$G229,+Input!$G229+Input!L229)</f>
        <v>0</v>
      </c>
      <c r="H229" s="174">
        <f>IF(Input!M229=0,+Input!$G229,+Input!$G229+Input!M229)</f>
        <v>0</v>
      </c>
      <c r="I229" s="174">
        <f>IF(Input!N229=0,+Input!$G229,+Input!$G229+Input!N229)</f>
        <v>0</v>
      </c>
      <c r="J229" s="174">
        <f>IF(Input!O229=0,+Input!$G229,+Input!$G229+Input!O229)</f>
        <v>0</v>
      </c>
      <c r="K229" s="174">
        <f>IF(Input!P229=0,+Input!$G229,+Input!$G229+Input!P229)</f>
        <v>0</v>
      </c>
      <c r="L229" s="174">
        <f>IF(Input!Q229=0,+Input!$G229,+Input!$G229+Input!Q229)</f>
        <v>0</v>
      </c>
      <c r="M229" s="174">
        <f>IF(Input!R229=0,+Input!$G229,+Input!$G229+Input!R229)</f>
        <v>0</v>
      </c>
      <c r="N229" s="174">
        <f>IF(Input!S229=0,+Input!$G229,+Input!$G229+Input!S229)</f>
        <v>0</v>
      </c>
      <c r="O229" s="175">
        <f t="shared" si="34"/>
        <v>0</v>
      </c>
      <c r="P229" s="175">
        <f>IF(AND(O229=""),"",+O229/Setup!$B$12)</f>
        <v>0</v>
      </c>
      <c r="Q229" s="175">
        <f>IF(ISNA(IF(O229="","",(+VLOOKUP(A229,'2016'!$A:$P,15,FALSE)))),0,IF(O229="",0,(+VLOOKUP(A229,'2016'!$A:$P,15,FALSE))))</f>
        <v>0</v>
      </c>
      <c r="R229" s="169"/>
      <c r="S229" s="278"/>
      <c r="T229" s="321"/>
    </row>
    <row r="230" spans="1:20" s="4" customFormat="1" ht="10.5" customHeight="1">
      <c r="A230" s="410" t="s">
        <v>1031</v>
      </c>
      <c r="B230" s="161" t="s">
        <v>367</v>
      </c>
      <c r="C230" s="174">
        <f>IF(Input!H230=0,+Input!$G230,+Input!$G230+Input!H230)</f>
        <v>0</v>
      </c>
      <c r="D230" s="174">
        <f>IF(Input!I230=0,+Input!$G230,+Input!$G230+Input!I230)</f>
        <v>0</v>
      </c>
      <c r="E230" s="174">
        <f>IF(Input!J230=0,+Input!$G230,+Input!$G230+Input!J230)</f>
        <v>0</v>
      </c>
      <c r="F230" s="174">
        <f>IF(Input!K230=0,+Input!$G230,+Input!$G230+Input!K230)</f>
        <v>0</v>
      </c>
      <c r="G230" s="174">
        <f>IF(Input!L230=0,+Input!$G230,+Input!$G230+Input!L230)</f>
        <v>0</v>
      </c>
      <c r="H230" s="174">
        <f>IF(Input!M230=0,+Input!$G230,+Input!$G230+Input!M230)</f>
        <v>0</v>
      </c>
      <c r="I230" s="174">
        <f>IF(Input!N230=0,+Input!$G230,+Input!$G230+Input!N230)</f>
        <v>0</v>
      </c>
      <c r="J230" s="174">
        <f>IF(Input!O230=0,+Input!$G230,+Input!$G230+Input!O230)</f>
        <v>0</v>
      </c>
      <c r="K230" s="174">
        <f>IF(Input!P230=0,+Input!$G230,+Input!$G230+Input!P230)</f>
        <v>0</v>
      </c>
      <c r="L230" s="174">
        <f>IF(Input!Q230=0,+Input!$G230,+Input!$G230+Input!Q230)</f>
        <v>0</v>
      </c>
      <c r="M230" s="174">
        <f>IF(Input!R230=0,+Input!$G230,+Input!$G230+Input!R230)</f>
        <v>0</v>
      </c>
      <c r="N230" s="174">
        <f>IF(Input!S230=0,+Input!$G230,+Input!$G230+Input!S230)</f>
        <v>0</v>
      </c>
      <c r="O230" s="175">
        <f t="shared" si="34"/>
        <v>0</v>
      </c>
      <c r="P230" s="175">
        <f>IF(AND(O230=""),"",+O230/Setup!$B$12)</f>
        <v>0</v>
      </c>
      <c r="Q230" s="175">
        <f>IF(ISNA(IF(O230="","",(+VLOOKUP(A230,'2016'!$A:$P,15,FALSE)))),0,IF(O230="",0,(+VLOOKUP(A230,'2016'!$A:$P,15,FALSE))))</f>
        <v>23728</v>
      </c>
      <c r="R230" s="169"/>
      <c r="S230" s="401"/>
      <c r="T230" s="321"/>
    </row>
    <row r="231" spans="1:20" s="4" customFormat="1" ht="10.5" customHeight="1">
      <c r="A231" s="411" t="s">
        <v>1033</v>
      </c>
      <c r="B231" s="4" t="s">
        <v>1246</v>
      </c>
      <c r="C231" s="174">
        <f>IF(Input!H231=0,+Input!$G231,+Input!$G231+Input!H231)</f>
        <v>0</v>
      </c>
      <c r="D231" s="174">
        <f>IF(Input!I231=0,+Input!$G231,+Input!$G231+Input!I231)</f>
        <v>0</v>
      </c>
      <c r="E231" s="174">
        <f>IF(Input!J231=0,+Input!$G231,+Input!$G231+Input!J231)</f>
        <v>0</v>
      </c>
      <c r="F231" s="174">
        <f>IF(Input!K231=0,+Input!$G231,+Input!$G231+Input!K231)</f>
        <v>0</v>
      </c>
      <c r="G231" s="174">
        <f>IF(Input!L231=0,+Input!$G231,+Input!$G231+Input!L231)</f>
        <v>0</v>
      </c>
      <c r="H231" s="174">
        <f>IF(Input!M231=0,+Input!$G231,+Input!$G231+Input!M231)</f>
        <v>0</v>
      </c>
      <c r="I231" s="174">
        <f>IF(Input!N231=0,+Input!$G231,+Input!$G231+Input!N231)</f>
        <v>0</v>
      </c>
      <c r="J231" s="174">
        <f>IF(Input!O231=0,+Input!$G231,+Input!$G231+Input!O231)</f>
        <v>0</v>
      </c>
      <c r="K231" s="174">
        <f>IF(Input!P231=0,+Input!$G231,+Input!$G231+Input!P231)</f>
        <v>0</v>
      </c>
      <c r="L231" s="174">
        <f>IF(Input!Q231=0,+Input!$G231,+Input!$G231+Input!Q231)</f>
        <v>0</v>
      </c>
      <c r="M231" s="174">
        <f>IF(Input!R231=0,+Input!$G231,+Input!$G231+Input!R231)</f>
        <v>0</v>
      </c>
      <c r="N231" s="174">
        <f>IF(Input!S231=0,+Input!$G231,+Input!$G231+Input!S231)</f>
        <v>0</v>
      </c>
      <c r="O231" s="175">
        <f t="shared" si="34"/>
        <v>0</v>
      </c>
      <c r="P231" s="175">
        <f>IF(AND(O231=""),"",+O231/Setup!$B$12)</f>
        <v>0</v>
      </c>
      <c r="Q231" s="175">
        <f>IF(ISNA(IF(O231="","",(+VLOOKUP(A231,'2016'!$A:$P,15,FALSE)))),0,IF(O231="",0,(+VLOOKUP(A231,'2016'!$A:$P,15,FALSE))))</f>
        <v>0</v>
      </c>
      <c r="R231" s="169"/>
      <c r="S231" s="274"/>
      <c r="T231" s="321"/>
    </row>
    <row r="232" spans="1:20" s="4" customFormat="1" ht="10.5" customHeight="1">
      <c r="A232" s="163"/>
      <c r="B232" s="163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5" t="str">
        <f t="shared" si="34"/>
        <v/>
      </c>
      <c r="P232" s="175" t="str">
        <f>IF(AND(O232=""),"",+O232/Setup!$B$12)</f>
        <v/>
      </c>
      <c r="Q232" s="175" t="str">
        <f>IF(O232="","",(+VLOOKUP(A232,'2016'!$A:$P,15,FALSE)))</f>
        <v/>
      </c>
      <c r="R232" s="169"/>
      <c r="S232" s="278"/>
      <c r="T232" s="321"/>
    </row>
    <row r="233" spans="1:20" s="4" customFormat="1" ht="10.5" customHeight="1">
      <c r="A233" s="159"/>
      <c r="B233" s="159" t="s">
        <v>362</v>
      </c>
      <c r="C233" s="174">
        <f t="shared" ref="C233:N233" si="39">SUM(C225:C231)</f>
        <v>50</v>
      </c>
      <c r="D233" s="174">
        <f t="shared" si="39"/>
        <v>50</v>
      </c>
      <c r="E233" s="174">
        <f t="shared" si="39"/>
        <v>50</v>
      </c>
      <c r="F233" s="174">
        <f t="shared" si="39"/>
        <v>50</v>
      </c>
      <c r="G233" s="174">
        <f t="shared" si="39"/>
        <v>50</v>
      </c>
      <c r="H233" s="174">
        <f t="shared" si="39"/>
        <v>50</v>
      </c>
      <c r="I233" s="174">
        <f t="shared" si="39"/>
        <v>50</v>
      </c>
      <c r="J233" s="174">
        <f t="shared" si="39"/>
        <v>50</v>
      </c>
      <c r="K233" s="174">
        <f t="shared" si="39"/>
        <v>50</v>
      </c>
      <c r="L233" s="174">
        <f t="shared" si="39"/>
        <v>50</v>
      </c>
      <c r="M233" s="174">
        <f t="shared" si="39"/>
        <v>50</v>
      </c>
      <c r="N233" s="174">
        <f t="shared" si="39"/>
        <v>50</v>
      </c>
      <c r="O233" s="175">
        <f t="shared" si="34"/>
        <v>600</v>
      </c>
      <c r="P233" s="175">
        <f>IF(AND(O233=""),"",+O233/Setup!$B$12)</f>
        <v>2.7272727272727271</v>
      </c>
      <c r="Q233" s="174">
        <f>SUM(Q225:Q231)</f>
        <v>55129</v>
      </c>
      <c r="R233" s="169"/>
      <c r="S233" s="278"/>
      <c r="T233" s="321"/>
    </row>
    <row r="234" spans="1:20" s="4" customFormat="1" ht="10.5" customHeight="1">
      <c r="A234" s="164"/>
      <c r="B234" s="163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5" t="str">
        <f t="shared" si="34"/>
        <v/>
      </c>
      <c r="P234" s="175" t="str">
        <f>IF(AND(O234=""),"",+O234/Setup!$B$12)</f>
        <v/>
      </c>
      <c r="Q234" s="175" t="str">
        <f>IF(O234="","",(+VLOOKUP(A234,'2016'!$A:$P,15,FALSE)))</f>
        <v/>
      </c>
      <c r="R234" s="169"/>
      <c r="S234" s="278"/>
      <c r="T234" s="321"/>
    </row>
    <row r="235" spans="1:20" s="4" customFormat="1" ht="10.5" customHeight="1">
      <c r="A235" s="159"/>
      <c r="B235" s="159" t="s">
        <v>318</v>
      </c>
      <c r="C235" s="174">
        <f t="shared" ref="C235:N235" si="40">+C233+C223+C204+C197+C180</f>
        <v>6685.5</v>
      </c>
      <c r="D235" s="174">
        <f t="shared" si="40"/>
        <v>6685.5</v>
      </c>
      <c r="E235" s="174">
        <f t="shared" si="40"/>
        <v>6685.5</v>
      </c>
      <c r="F235" s="174">
        <f t="shared" si="40"/>
        <v>6685.5</v>
      </c>
      <c r="G235" s="174">
        <f t="shared" si="40"/>
        <v>6685.5</v>
      </c>
      <c r="H235" s="174">
        <f t="shared" si="40"/>
        <v>6685.5</v>
      </c>
      <c r="I235" s="174">
        <f t="shared" si="40"/>
        <v>6685.5</v>
      </c>
      <c r="J235" s="174">
        <f t="shared" si="40"/>
        <v>6685.5</v>
      </c>
      <c r="K235" s="174">
        <f t="shared" si="40"/>
        <v>6685.5</v>
      </c>
      <c r="L235" s="174">
        <f t="shared" si="40"/>
        <v>6685.5</v>
      </c>
      <c r="M235" s="174">
        <f t="shared" si="40"/>
        <v>6685.5</v>
      </c>
      <c r="N235" s="174">
        <f t="shared" si="40"/>
        <v>6685.5</v>
      </c>
      <c r="O235" s="175">
        <f t="shared" si="34"/>
        <v>80226</v>
      </c>
      <c r="P235" s="175">
        <f>IF(AND(O235=""),"",+O235/Setup!$B$12)</f>
        <v>364.66363636363639</v>
      </c>
      <c r="Q235" s="174">
        <f>+Q233+Q223+Q204+Q197+Q180</f>
        <v>137857</v>
      </c>
      <c r="R235" s="169"/>
      <c r="S235" s="274"/>
      <c r="T235" s="321"/>
    </row>
    <row r="236" spans="1:20" s="10" customFormat="1" ht="10.5" customHeight="1">
      <c r="A236" s="161"/>
      <c r="B236" s="161" t="s">
        <v>368</v>
      </c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5" t="str">
        <f t="shared" si="34"/>
        <v/>
      </c>
      <c r="P236" s="175" t="str">
        <f>IF(AND(O236=""),"",+O236/Setup!$B$12)</f>
        <v/>
      </c>
      <c r="Q236" s="175" t="str">
        <f>IF(O236="","",(+VLOOKUP(A236,'2016'!$A:$P,15,FALSE)))</f>
        <v/>
      </c>
      <c r="R236" s="169"/>
      <c r="S236" s="274"/>
      <c r="T236" s="321"/>
    </row>
    <row r="237" spans="1:20" s="17" customFormat="1" ht="10.5" customHeight="1">
      <c r="A237" s="410" t="s">
        <v>1035</v>
      </c>
      <c r="B237" s="161" t="s">
        <v>369</v>
      </c>
      <c r="C237" s="174">
        <f>IF(Input!H237=0,+Input!$G237,+Input!$G237+Input!H237)</f>
        <v>2237.8333333333335</v>
      </c>
      <c r="D237" s="174">
        <f>IF(Input!I237=0,+Input!$G237,+Input!$G237+Input!I237)</f>
        <v>2237.8333333333335</v>
      </c>
      <c r="E237" s="174">
        <f>IF(Input!J237=0,+Input!$G237,+Input!$G237+Input!J237)</f>
        <v>2237.8333333333335</v>
      </c>
      <c r="F237" s="174">
        <f>IF(Input!K237=0,+Input!$G237,+Input!$G237+Input!K237)</f>
        <v>2237.8333333333335</v>
      </c>
      <c r="G237" s="174">
        <f>IF(Input!L237=0,+Input!$G237,+Input!$G237+Input!L237)</f>
        <v>2237.8333333333335</v>
      </c>
      <c r="H237" s="174">
        <f>IF(Input!M237=0,+Input!$G237,+Input!$G237+Input!M237)</f>
        <v>2237.8333333333335</v>
      </c>
      <c r="I237" s="174">
        <f>IF(Input!N237=0,+Input!$G237,+Input!$G237+Input!N237)</f>
        <v>2237.8333333333335</v>
      </c>
      <c r="J237" s="174">
        <f>IF(Input!O237=0,+Input!$G237,+Input!$G237+Input!O237)</f>
        <v>2237.8333333333335</v>
      </c>
      <c r="K237" s="174">
        <f>IF(Input!P237=0,+Input!$G237,+Input!$G237+Input!P237)</f>
        <v>2237.8333333333335</v>
      </c>
      <c r="L237" s="174">
        <f>IF(Input!Q237=0,+Input!$G237,+Input!$G237+Input!Q237)</f>
        <v>2237.8333333333335</v>
      </c>
      <c r="M237" s="174">
        <f>IF(Input!R237=0,+Input!$G237,+Input!$G237+Input!R237)</f>
        <v>2237.8333333333335</v>
      </c>
      <c r="N237" s="174">
        <f>IF(Input!S237=0,+Input!$G237,+Input!$G237+Input!S237)</f>
        <v>2237.8333333333335</v>
      </c>
      <c r="O237" s="175">
        <f t="shared" si="34"/>
        <v>26853.999999999996</v>
      </c>
      <c r="P237" s="175">
        <f>IF(AND(O237=""),"",+O237/Setup!$B$12)</f>
        <v>122.06363636363635</v>
      </c>
      <c r="Q237" s="175">
        <f>IF(ISNA(IF(O237="","",(+VLOOKUP(A237,'2016'!$A:$P,15,FALSE)))),0,IF(O237="",0,(+VLOOKUP(A237,'2016'!$A:$P,15,FALSE))))</f>
        <v>26854</v>
      </c>
      <c r="R237" s="169"/>
      <c r="S237" s="274"/>
      <c r="T237" s="321"/>
    </row>
    <row r="238" spans="1:20" s="17" customFormat="1" ht="10.5" customHeight="1">
      <c r="A238" s="410" t="s">
        <v>1037</v>
      </c>
      <c r="B238" s="161" t="s">
        <v>370</v>
      </c>
      <c r="C238" s="174">
        <f>IF(Input!H238=0,+Input!$G238,+Input!$G238+Input!H238)</f>
        <v>117.83333333333333</v>
      </c>
      <c r="D238" s="174">
        <f>IF(Input!I238=0,+Input!$G238,+Input!$G238+Input!I238)</f>
        <v>117.83333333333333</v>
      </c>
      <c r="E238" s="174">
        <f>IF(Input!J238=0,+Input!$G238,+Input!$G238+Input!J238)</f>
        <v>117.83333333333333</v>
      </c>
      <c r="F238" s="174">
        <f>IF(Input!K238=0,+Input!$G238,+Input!$G238+Input!K238)</f>
        <v>117.83333333333333</v>
      </c>
      <c r="G238" s="174">
        <f>IF(Input!L238=0,+Input!$G238,+Input!$G238+Input!L238)</f>
        <v>117.83333333333333</v>
      </c>
      <c r="H238" s="174">
        <f>IF(Input!M238=0,+Input!$G238,+Input!$G238+Input!M238)</f>
        <v>117.83333333333333</v>
      </c>
      <c r="I238" s="174">
        <f>IF(Input!N238=0,+Input!$G238,+Input!$G238+Input!N238)</f>
        <v>117.83333333333333</v>
      </c>
      <c r="J238" s="174">
        <f>IF(Input!O238=0,+Input!$G238,+Input!$G238+Input!O238)</f>
        <v>117.83333333333333</v>
      </c>
      <c r="K238" s="174">
        <f>IF(Input!P238=0,+Input!$G238,+Input!$G238+Input!P238)</f>
        <v>117.83333333333333</v>
      </c>
      <c r="L238" s="174">
        <f>IF(Input!Q238=0,+Input!$G238,+Input!$G238+Input!Q238)</f>
        <v>117.83333333333333</v>
      </c>
      <c r="M238" s="174">
        <f>IF(Input!R238=0,+Input!$G238,+Input!$G238+Input!R238)</f>
        <v>117.83333333333333</v>
      </c>
      <c r="N238" s="174">
        <f>IF(Input!S238=0,+Input!$G238,+Input!$G238+Input!S238)</f>
        <v>117.83333333333333</v>
      </c>
      <c r="O238" s="175">
        <f t="shared" si="34"/>
        <v>1413.9999999999998</v>
      </c>
      <c r="P238" s="175">
        <f>IF(AND(O238=""),"",+O238/Setup!$B$12)</f>
        <v>6.4272727272727259</v>
      </c>
      <c r="Q238" s="175">
        <f>IF(ISNA(IF(O238="","",(+VLOOKUP(A238,'2016'!$A:$P,15,FALSE)))),0,IF(O238="",0,(+VLOOKUP(A238,'2016'!$A:$P,15,FALSE))))</f>
        <v>1414</v>
      </c>
      <c r="R238" s="169"/>
      <c r="S238" s="274"/>
      <c r="T238" s="321"/>
    </row>
    <row r="239" spans="1:20" s="17" customFormat="1" ht="10.5" customHeight="1">
      <c r="A239" s="410" t="s">
        <v>1039</v>
      </c>
      <c r="B239" s="161" t="s">
        <v>371</v>
      </c>
      <c r="C239" s="174">
        <f>IF(Input!H239=0,+Input!$G239,+Input!$G239+Input!H239)</f>
        <v>0</v>
      </c>
      <c r="D239" s="174">
        <f>IF(Input!I239=0,+Input!$G239,+Input!$G239+Input!I239)</f>
        <v>0</v>
      </c>
      <c r="E239" s="174">
        <f>IF(Input!J239=0,+Input!$G239,+Input!$G239+Input!J239)</f>
        <v>0</v>
      </c>
      <c r="F239" s="174">
        <f>IF(Input!K239=0,+Input!$G239,+Input!$G239+Input!K239)</f>
        <v>0</v>
      </c>
      <c r="G239" s="174">
        <f>IF(Input!L239=0,+Input!$G239,+Input!$G239+Input!L239)</f>
        <v>0</v>
      </c>
      <c r="H239" s="174">
        <f>IF(Input!M239=0,+Input!$G239,+Input!$G239+Input!M239)</f>
        <v>0</v>
      </c>
      <c r="I239" s="174">
        <f>IF(Input!N239=0,+Input!$G239,+Input!$G239+Input!N239)</f>
        <v>0</v>
      </c>
      <c r="J239" s="174">
        <f>IF(Input!O239=0,+Input!$G239,+Input!$G239+Input!O239)</f>
        <v>0</v>
      </c>
      <c r="K239" s="174">
        <f>IF(Input!P239=0,+Input!$G239,+Input!$G239+Input!P239)</f>
        <v>0</v>
      </c>
      <c r="L239" s="174">
        <f>IF(Input!Q239=0,+Input!$G239,+Input!$G239+Input!Q239)</f>
        <v>0</v>
      </c>
      <c r="M239" s="174">
        <f>IF(Input!R239=0,+Input!$G239,+Input!$G239+Input!R239)</f>
        <v>0</v>
      </c>
      <c r="N239" s="174">
        <f>IF(Input!S239=0,+Input!$G239,+Input!$G239+Input!S239)</f>
        <v>0</v>
      </c>
      <c r="O239" s="175">
        <f t="shared" si="34"/>
        <v>0</v>
      </c>
      <c r="P239" s="175">
        <f>IF(AND(O239=""),"",+O239/Setup!$B$12)</f>
        <v>0</v>
      </c>
      <c r="Q239" s="175">
        <f>IF(ISNA(IF(O239="","",(+VLOOKUP(A239,'2016'!$A:$P,15,FALSE)))),0,IF(O239="",0,(+VLOOKUP(A239,'2016'!$A:$P,15,FALSE))))</f>
        <v>0</v>
      </c>
      <c r="R239" s="169"/>
      <c r="S239" s="275"/>
      <c r="T239" s="322"/>
    </row>
    <row r="240" spans="1:20" s="4" customFormat="1" ht="10.5" customHeight="1">
      <c r="A240" s="410" t="s">
        <v>1040</v>
      </c>
      <c r="B240" s="161" t="s">
        <v>372</v>
      </c>
      <c r="C240" s="174">
        <f>IF(Input!H240=0,+Input!$G240,+Input!$G240+Input!H240)</f>
        <v>154.58333333333334</v>
      </c>
      <c r="D240" s="174">
        <f>IF(Input!I240=0,+Input!$G240,+Input!$G240+Input!I240)</f>
        <v>154.58333333333334</v>
      </c>
      <c r="E240" s="174">
        <f>IF(Input!J240=0,+Input!$G240,+Input!$G240+Input!J240)</f>
        <v>154.58333333333334</v>
      </c>
      <c r="F240" s="174">
        <f>IF(Input!K240=0,+Input!$G240,+Input!$G240+Input!K240)</f>
        <v>154.58333333333334</v>
      </c>
      <c r="G240" s="174">
        <f>IF(Input!L240=0,+Input!$G240,+Input!$G240+Input!L240)</f>
        <v>154.58333333333334</v>
      </c>
      <c r="H240" s="174">
        <f>IF(Input!M240=0,+Input!$G240,+Input!$G240+Input!M240)</f>
        <v>154.58333333333334</v>
      </c>
      <c r="I240" s="174">
        <f>IF(Input!N240=0,+Input!$G240,+Input!$G240+Input!N240)</f>
        <v>154.58333333333334</v>
      </c>
      <c r="J240" s="174">
        <f>IF(Input!O240=0,+Input!$G240,+Input!$G240+Input!O240)</f>
        <v>154.58333333333334</v>
      </c>
      <c r="K240" s="174">
        <f>IF(Input!P240=0,+Input!$G240,+Input!$G240+Input!P240)</f>
        <v>154.58333333333334</v>
      </c>
      <c r="L240" s="174">
        <f>IF(Input!Q240=0,+Input!$G240,+Input!$G240+Input!Q240)</f>
        <v>154.58333333333334</v>
      </c>
      <c r="M240" s="174">
        <f>IF(Input!R240=0,+Input!$G240,+Input!$G240+Input!R240)</f>
        <v>154.58333333333334</v>
      </c>
      <c r="N240" s="174">
        <f>IF(Input!S240=0,+Input!$G240,+Input!$G240+Input!S240)</f>
        <v>154.58333333333334</v>
      </c>
      <c r="O240" s="175">
        <f t="shared" si="34"/>
        <v>1854.9999999999998</v>
      </c>
      <c r="P240" s="175">
        <f>IF(AND(O240=""),"",+O240/Setup!$B$12)</f>
        <v>8.4318181818181817</v>
      </c>
      <c r="Q240" s="175">
        <f>IF(ISNA(IF(O240="","",(+VLOOKUP(A240,'2016'!$A:$P,15,FALSE)))),0,IF(O240="",0,(+VLOOKUP(A240,'2016'!$A:$P,15,FALSE))))</f>
        <v>1855</v>
      </c>
      <c r="R240" s="169"/>
      <c r="S240" s="273"/>
      <c r="T240" s="320"/>
    </row>
    <row r="241" spans="1:20" s="4" customFormat="1" ht="10.5" customHeight="1">
      <c r="A241" s="410" t="s">
        <v>1042</v>
      </c>
      <c r="B241" s="161" t="s">
        <v>373</v>
      </c>
      <c r="C241" s="174">
        <f>IF(Input!H241=0,+Input!$G241,+Input!$G241+Input!H241)</f>
        <v>660.25</v>
      </c>
      <c r="D241" s="174">
        <f>IF(Input!I241=0,+Input!$G241,+Input!$G241+Input!I241)</f>
        <v>660.25</v>
      </c>
      <c r="E241" s="174">
        <f>IF(Input!J241=0,+Input!$G241,+Input!$G241+Input!J241)</f>
        <v>660.25</v>
      </c>
      <c r="F241" s="174">
        <f>IF(Input!K241=0,+Input!$G241,+Input!$G241+Input!K241)</f>
        <v>660.25</v>
      </c>
      <c r="G241" s="174">
        <f>IF(Input!L241=0,+Input!$G241,+Input!$G241+Input!L241)</f>
        <v>660.25</v>
      </c>
      <c r="H241" s="174">
        <f>IF(Input!M241=0,+Input!$G241,+Input!$G241+Input!M241)</f>
        <v>660.25</v>
      </c>
      <c r="I241" s="174">
        <f>IF(Input!N241=0,+Input!$G241,+Input!$G241+Input!N241)</f>
        <v>660.25</v>
      </c>
      <c r="J241" s="174">
        <f>IF(Input!O241=0,+Input!$G241,+Input!$G241+Input!O241)</f>
        <v>660.25</v>
      </c>
      <c r="K241" s="174">
        <f>IF(Input!P241=0,+Input!$G241,+Input!$G241+Input!P241)</f>
        <v>660.25</v>
      </c>
      <c r="L241" s="174">
        <f>IF(Input!Q241=0,+Input!$G241,+Input!$G241+Input!Q241)</f>
        <v>660.25</v>
      </c>
      <c r="M241" s="174">
        <f>IF(Input!R241=0,+Input!$G241,+Input!$G241+Input!R241)</f>
        <v>660.25</v>
      </c>
      <c r="N241" s="174">
        <f>IF(Input!S241=0,+Input!$G241,+Input!$G241+Input!S241)</f>
        <v>660.25</v>
      </c>
      <c r="O241" s="175">
        <f t="shared" si="34"/>
        <v>7923</v>
      </c>
      <c r="P241" s="175">
        <f>IF(AND(O241=""),"",+O241/Setup!$B$12)</f>
        <v>36.013636363636365</v>
      </c>
      <c r="Q241" s="175">
        <f>IF(ISNA(IF(O241="","",(+VLOOKUP(A241,'2016'!$A:$P,15,FALSE)))),0,IF(O241="",0,(+VLOOKUP(A241,'2016'!$A:$P,15,FALSE))))</f>
        <v>7923</v>
      </c>
      <c r="R241" s="169"/>
      <c r="S241" s="278"/>
      <c r="T241" s="321"/>
    </row>
    <row r="242" spans="1:20" s="4" customFormat="1" ht="10.5" customHeight="1">
      <c r="A242" s="410" t="s">
        <v>1044</v>
      </c>
      <c r="B242" s="161" t="s">
        <v>374</v>
      </c>
      <c r="C242" s="174">
        <f>IF(Input!H242=0,+Input!$G242,+Input!$G242+Input!H242)</f>
        <v>0</v>
      </c>
      <c r="D242" s="174">
        <f>IF(Input!I242=0,+Input!$G242,+Input!$G242+Input!I242)</f>
        <v>0</v>
      </c>
      <c r="E242" s="174">
        <f>IF(Input!J242=0,+Input!$G242,+Input!$G242+Input!J242)</f>
        <v>0</v>
      </c>
      <c r="F242" s="174">
        <f>IF(Input!K242=0,+Input!$G242,+Input!$G242+Input!K242)</f>
        <v>0</v>
      </c>
      <c r="G242" s="174">
        <f>IF(Input!L242=0,+Input!$G242,+Input!$G242+Input!L242)</f>
        <v>0</v>
      </c>
      <c r="H242" s="174">
        <f>IF(Input!M242=0,+Input!$G242,+Input!$G242+Input!M242)</f>
        <v>0</v>
      </c>
      <c r="I242" s="174">
        <f>IF(Input!N242=0,+Input!$G242,+Input!$G242+Input!N242)</f>
        <v>0</v>
      </c>
      <c r="J242" s="174">
        <f>IF(Input!O242=0,+Input!$G242,+Input!$G242+Input!O242)</f>
        <v>0</v>
      </c>
      <c r="K242" s="174">
        <f>IF(Input!P242=0,+Input!$G242,+Input!$G242+Input!P242)</f>
        <v>0</v>
      </c>
      <c r="L242" s="174">
        <f>IF(Input!Q242=0,+Input!$G242,+Input!$G242+Input!Q242)</f>
        <v>0</v>
      </c>
      <c r="M242" s="174">
        <f>IF(Input!R242=0,+Input!$G242,+Input!$G242+Input!R242)</f>
        <v>0</v>
      </c>
      <c r="N242" s="174">
        <f>IF(Input!S242=0,+Input!$G242,+Input!$G242+Input!S242)</f>
        <v>0</v>
      </c>
      <c r="O242" s="175">
        <f t="shared" si="34"/>
        <v>0</v>
      </c>
      <c r="P242" s="175">
        <f>IF(AND(O242=""),"",+O242/Setup!$B$12)</f>
        <v>0</v>
      </c>
      <c r="Q242" s="175">
        <f>IF(ISNA(IF(O242="","",(+VLOOKUP(A242,'2016'!$A:$P,15,FALSE)))),0,IF(O242="",0,(+VLOOKUP(A242,'2016'!$A:$P,15,FALSE))))</f>
        <v>2316</v>
      </c>
      <c r="R242" s="169"/>
      <c r="S242" s="278"/>
      <c r="T242" s="321"/>
    </row>
    <row r="243" spans="1:20" s="4" customFormat="1" ht="10.5" customHeight="1">
      <c r="A243" s="410" t="s">
        <v>1046</v>
      </c>
      <c r="B243" s="161" t="s">
        <v>375</v>
      </c>
      <c r="C243" s="174">
        <f>IF(Input!H243=0,+Input!$G243,+Input!$G243+Input!H243)</f>
        <v>6718.5</v>
      </c>
      <c r="D243" s="174">
        <f>IF(Input!I243=0,+Input!$G243,+Input!$G243+Input!I243)</f>
        <v>6718.5</v>
      </c>
      <c r="E243" s="174">
        <f>IF(Input!J243=0,+Input!$G243,+Input!$G243+Input!J243)</f>
        <v>6718.5</v>
      </c>
      <c r="F243" s="174">
        <f>IF(Input!K243=0,+Input!$G243,+Input!$G243+Input!K243)</f>
        <v>6718.5</v>
      </c>
      <c r="G243" s="174">
        <f>IF(Input!L243=0,+Input!$G243,+Input!$G243+Input!L243)</f>
        <v>6718.5</v>
      </c>
      <c r="H243" s="174">
        <f>IF(Input!M243=0,+Input!$G243,+Input!$G243+Input!M243)</f>
        <v>6718.5</v>
      </c>
      <c r="I243" s="174">
        <f>IF(Input!N243=0,+Input!$G243,+Input!$G243+Input!N243)</f>
        <v>6718.5</v>
      </c>
      <c r="J243" s="174">
        <f>IF(Input!O243=0,+Input!$G243,+Input!$G243+Input!O243)</f>
        <v>6718.5</v>
      </c>
      <c r="K243" s="174">
        <f>IF(Input!P243=0,+Input!$G243,+Input!$G243+Input!P243)</f>
        <v>6718.5</v>
      </c>
      <c r="L243" s="174">
        <f>IF(Input!Q243=0,+Input!$G243,+Input!$G243+Input!Q243)</f>
        <v>6718.5</v>
      </c>
      <c r="M243" s="174">
        <f>IF(Input!R243=0,+Input!$G243,+Input!$G243+Input!R243)</f>
        <v>6718.5</v>
      </c>
      <c r="N243" s="174">
        <f>IF(Input!S243=0,+Input!$G243,+Input!$G243+Input!S243)</f>
        <v>6718.5</v>
      </c>
      <c r="O243" s="175">
        <f t="shared" si="34"/>
        <v>80622</v>
      </c>
      <c r="P243" s="175">
        <f>IF(AND(O243=""),"",+O243/Setup!$B$12)</f>
        <v>366.46363636363634</v>
      </c>
      <c r="Q243" s="175">
        <f>IF(ISNA(IF(O243="","",(+VLOOKUP(A243,'2016'!$A:$P,15,FALSE)))),0,IF(O243="",0,(+VLOOKUP(A243,'2016'!$A:$P,15,FALSE))))</f>
        <v>80622</v>
      </c>
      <c r="R243" s="169"/>
      <c r="S243" s="278"/>
      <c r="T243" s="321"/>
    </row>
    <row r="244" spans="1:20" s="4" customFormat="1" ht="10.5" customHeight="1">
      <c r="A244" s="410" t="s">
        <v>1048</v>
      </c>
      <c r="B244" s="161" t="s">
        <v>376</v>
      </c>
      <c r="C244" s="174">
        <f>IF(Input!H244=0,+Input!$G244,+Input!$G244+Input!H244)</f>
        <v>2775.6666666666665</v>
      </c>
      <c r="D244" s="174">
        <f>IF(Input!I244=0,+Input!$G244,+Input!$G244+Input!I244)</f>
        <v>2775.6666666666665</v>
      </c>
      <c r="E244" s="174">
        <f>IF(Input!J244=0,+Input!$G244,+Input!$G244+Input!J244)</f>
        <v>2775.6666666666665</v>
      </c>
      <c r="F244" s="174">
        <f>IF(Input!K244=0,+Input!$G244,+Input!$G244+Input!K244)</f>
        <v>2775.6666666666665</v>
      </c>
      <c r="G244" s="174">
        <f>IF(Input!L244=0,+Input!$G244,+Input!$G244+Input!L244)</f>
        <v>2775.6666666666665</v>
      </c>
      <c r="H244" s="174">
        <f>IF(Input!M244=0,+Input!$G244,+Input!$G244+Input!M244)</f>
        <v>2775.6666666666665</v>
      </c>
      <c r="I244" s="174">
        <f>IF(Input!N244=0,+Input!$G244,+Input!$G244+Input!N244)</f>
        <v>2775.6666666666665</v>
      </c>
      <c r="J244" s="174">
        <f>IF(Input!O244=0,+Input!$G244,+Input!$G244+Input!O244)</f>
        <v>2775.6666666666665</v>
      </c>
      <c r="K244" s="174">
        <f>IF(Input!P244=0,+Input!$G244,+Input!$G244+Input!P244)</f>
        <v>2775.6666666666665</v>
      </c>
      <c r="L244" s="174">
        <f>IF(Input!Q244=0,+Input!$G244,+Input!$G244+Input!Q244)</f>
        <v>2775.6666666666665</v>
      </c>
      <c r="M244" s="174">
        <f>IF(Input!R244=0,+Input!$G244,+Input!$G244+Input!R244)</f>
        <v>2775.6666666666665</v>
      </c>
      <c r="N244" s="174">
        <f>IF(Input!S244=0,+Input!$G244,+Input!$G244+Input!S244)</f>
        <v>2775.6666666666665</v>
      </c>
      <c r="O244" s="175">
        <f t="shared" si="34"/>
        <v>33308.000000000007</v>
      </c>
      <c r="P244" s="175">
        <f>IF(AND(O244=""),"",+O244/Setup!$B$12)</f>
        <v>151.40000000000003</v>
      </c>
      <c r="Q244" s="175">
        <f>IF(ISNA(IF(O244="","",(+VLOOKUP(A244,'2016'!$A:$P,15,FALSE)))),0,IF(O244="",0,(+VLOOKUP(A244,'2016'!$A:$P,15,FALSE))))</f>
        <v>33308</v>
      </c>
      <c r="R244" s="169"/>
      <c r="S244" s="278"/>
      <c r="T244" s="321"/>
    </row>
    <row r="245" spans="1:20" s="4" customFormat="1" ht="10.5" customHeight="1">
      <c r="A245" s="163"/>
      <c r="B245" s="163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5" t="str">
        <f t="shared" ref="O245:Q293" si="41">IF(N245="","",SUM(C245:N245))</f>
        <v/>
      </c>
      <c r="P245" s="175" t="str">
        <f>IF(AND(O245=""),"",+O245/Setup!$B$12)</f>
        <v/>
      </c>
      <c r="Q245" s="175" t="str">
        <f>IF(O245="","",(+VLOOKUP(A245,'2016'!$A:$P,15,FALSE)))</f>
        <v/>
      </c>
      <c r="R245" s="169"/>
      <c r="S245" s="278"/>
      <c r="T245" s="321"/>
    </row>
    <row r="246" spans="1:20" s="4" customFormat="1" ht="10.5" customHeight="1">
      <c r="A246" s="159"/>
      <c r="B246" s="159" t="s">
        <v>368</v>
      </c>
      <c r="C246" s="174">
        <f t="shared" ref="C246:N246" si="42">SUM(C237:C244)</f>
        <v>12664.666666666666</v>
      </c>
      <c r="D246" s="174">
        <f t="shared" si="42"/>
        <v>12664.666666666666</v>
      </c>
      <c r="E246" s="174">
        <f t="shared" si="42"/>
        <v>12664.666666666666</v>
      </c>
      <c r="F246" s="174">
        <f t="shared" si="42"/>
        <v>12664.666666666666</v>
      </c>
      <c r="G246" s="174">
        <f t="shared" si="42"/>
        <v>12664.666666666666</v>
      </c>
      <c r="H246" s="174">
        <f t="shared" si="42"/>
        <v>12664.666666666666</v>
      </c>
      <c r="I246" s="174">
        <f t="shared" si="42"/>
        <v>12664.666666666666</v>
      </c>
      <c r="J246" s="174">
        <f t="shared" si="42"/>
        <v>12664.666666666666</v>
      </c>
      <c r="K246" s="174">
        <f t="shared" si="42"/>
        <v>12664.666666666666</v>
      </c>
      <c r="L246" s="174">
        <f t="shared" si="42"/>
        <v>12664.666666666666</v>
      </c>
      <c r="M246" s="174">
        <f t="shared" si="42"/>
        <v>12664.666666666666</v>
      </c>
      <c r="N246" s="174">
        <f t="shared" si="42"/>
        <v>12664.666666666666</v>
      </c>
      <c r="O246" s="175">
        <f t="shared" si="41"/>
        <v>151976</v>
      </c>
      <c r="P246" s="175">
        <f>IF(AND(O246=""),"",+O246/Setup!$B$12)</f>
        <v>690.8</v>
      </c>
      <c r="Q246" s="174">
        <f t="shared" ref="Q246" si="43">SUM(Q237:Q244)</f>
        <v>154292</v>
      </c>
      <c r="R246" s="169"/>
      <c r="S246" s="278"/>
      <c r="T246" s="321"/>
    </row>
    <row r="247" spans="1:20" s="4" customFormat="1" ht="10.5" customHeight="1">
      <c r="A247" s="164"/>
      <c r="B247" s="163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5" t="str">
        <f t="shared" si="41"/>
        <v/>
      </c>
      <c r="P247" s="175" t="str">
        <f>IF(AND(O247=""),"",+O247/Setup!$B$12)</f>
        <v/>
      </c>
      <c r="Q247" s="175" t="str">
        <f t="shared" si="41"/>
        <v/>
      </c>
      <c r="R247" s="169"/>
      <c r="S247" s="278"/>
      <c r="T247" s="321"/>
    </row>
    <row r="248" spans="1:20" s="4" customFormat="1" ht="10.5" customHeight="1">
      <c r="A248" s="159"/>
      <c r="B248" s="161" t="s">
        <v>243</v>
      </c>
      <c r="C248" s="174">
        <f t="shared" ref="C248:N248" si="44">+C246+C235+C166+C133+C68</f>
        <v>53844.527666666669</v>
      </c>
      <c r="D248" s="174">
        <f t="shared" si="44"/>
        <v>53883.527666666669</v>
      </c>
      <c r="E248" s="174">
        <f t="shared" si="44"/>
        <v>53922.527666666669</v>
      </c>
      <c r="F248" s="174">
        <f t="shared" si="44"/>
        <v>53945.341303030305</v>
      </c>
      <c r="G248" s="174">
        <f t="shared" si="44"/>
        <v>53961.404939393942</v>
      </c>
      <c r="H248" s="174">
        <f t="shared" si="44"/>
        <v>54042.841303030305</v>
      </c>
      <c r="I248" s="174">
        <f t="shared" si="44"/>
        <v>54138.370848484847</v>
      </c>
      <c r="J248" s="174">
        <f t="shared" si="44"/>
        <v>54217.55721212121</v>
      </c>
      <c r="K248" s="174">
        <f t="shared" si="44"/>
        <v>54187.714030303032</v>
      </c>
      <c r="L248" s="174">
        <f t="shared" si="44"/>
        <v>54182.777666666669</v>
      </c>
      <c r="M248" s="174">
        <f t="shared" si="44"/>
        <v>54177.841303030305</v>
      </c>
      <c r="N248" s="174">
        <f t="shared" si="44"/>
        <v>54170.654939393942</v>
      </c>
      <c r="O248" s="175">
        <f t="shared" si="41"/>
        <v>648675.08654545457</v>
      </c>
      <c r="P248" s="175">
        <f>IF(AND(O248=""),"",+O248/Setup!$B$12)</f>
        <v>2948.523120661157</v>
      </c>
      <c r="Q248" s="174">
        <f>+Q246+Q235+Q166+Q133+Q68</f>
        <v>708218</v>
      </c>
      <c r="R248" s="169"/>
      <c r="S248" s="278"/>
      <c r="T248" s="321"/>
    </row>
    <row r="249" spans="1:20" s="10" customFormat="1" ht="10.5" customHeight="1">
      <c r="A249" s="161"/>
      <c r="B249" s="161" t="s">
        <v>377</v>
      </c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5" t="str">
        <f t="shared" si="41"/>
        <v/>
      </c>
      <c r="P249" s="175" t="str">
        <f>IF(AND(O249=""),"",+O249/Setup!$B$12)</f>
        <v/>
      </c>
      <c r="Q249" s="175" t="str">
        <f>IF(O249="","",(+VLOOKUP(A249,'2016'!$A:$P,15,FALSE)))</f>
        <v/>
      </c>
      <c r="R249" s="169"/>
      <c r="S249" s="278"/>
      <c r="T249" s="321"/>
    </row>
    <row r="250" spans="1:20" s="17" customFormat="1" ht="10.5" customHeight="1">
      <c r="A250" s="161"/>
      <c r="B250" s="161" t="s">
        <v>378</v>
      </c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5" t="str">
        <f t="shared" si="41"/>
        <v/>
      </c>
      <c r="P250" s="175" t="str">
        <f>IF(AND(O250=""),"",+O250/Setup!$B$12)</f>
        <v/>
      </c>
      <c r="Q250" s="175" t="str">
        <f>IF(O250="","",(+VLOOKUP(A250,'2016'!$A:$P,15,FALSE)))</f>
        <v/>
      </c>
      <c r="R250" s="169"/>
      <c r="S250" s="278"/>
      <c r="T250" s="321"/>
    </row>
    <row r="251" spans="1:20" s="18" customFormat="1" ht="10.5" customHeight="1">
      <c r="A251" s="410" t="s">
        <v>1052</v>
      </c>
      <c r="B251" s="161" t="s">
        <v>379</v>
      </c>
      <c r="C251" s="174">
        <f>IF(Input!H251=0,+Input!$G251,+Input!$G251+Input!H251)</f>
        <v>0</v>
      </c>
      <c r="D251" s="174">
        <f>IF(Input!I251=0,+Input!$G251,+Input!$G251+Input!I251)</f>
        <v>0</v>
      </c>
      <c r="E251" s="174">
        <f>IF(Input!J251=0,+Input!$G251,+Input!$G251+Input!J251)</f>
        <v>0</v>
      </c>
      <c r="F251" s="174">
        <f>IF(Input!K251=0,+Input!$G251,+Input!$G251+Input!K251)</f>
        <v>0</v>
      </c>
      <c r="G251" s="174">
        <f>IF(Input!L251=0,+Input!$G251,+Input!$G251+Input!L251)</f>
        <v>0</v>
      </c>
      <c r="H251" s="174">
        <f>IF(Input!M251=0,+Input!$G251,+Input!$G251+Input!M251)</f>
        <v>0</v>
      </c>
      <c r="I251" s="174">
        <f>IF(Input!N251=0,+Input!$G251,+Input!$G251+Input!N251)</f>
        <v>0</v>
      </c>
      <c r="J251" s="174">
        <f>IF(Input!O251=0,+Input!$G251,+Input!$G251+Input!O251)</f>
        <v>0</v>
      </c>
      <c r="K251" s="174">
        <f>IF(Input!P251=0,+Input!$G251,+Input!$G251+Input!P251)</f>
        <v>0</v>
      </c>
      <c r="L251" s="174">
        <f>IF(Input!Q251=0,+Input!$G251,+Input!$G251+Input!Q251)</f>
        <v>0</v>
      </c>
      <c r="M251" s="174">
        <f>IF(Input!R251=0,+Input!$G251,+Input!$G251+Input!R251)</f>
        <v>0</v>
      </c>
      <c r="N251" s="174">
        <f>IF(Input!S251=0,+Input!$G251,+Input!$G251+Input!S251)</f>
        <v>0</v>
      </c>
      <c r="O251" s="175">
        <f t="shared" si="41"/>
        <v>0</v>
      </c>
      <c r="P251" s="175">
        <f>IF(AND(O251=""),"",+O251/Setup!$B$12)</f>
        <v>0</v>
      </c>
      <c r="Q251" s="175">
        <f>IF(ISNA(IF(O251="","",(+VLOOKUP(A251,'2016'!$A:$P,15,FALSE)))),0,IF(O251="",0,(+VLOOKUP(A251,'2016'!$A:$P,15,FALSE))))</f>
        <v>0</v>
      </c>
      <c r="R251" s="169"/>
      <c r="S251" s="278"/>
      <c r="T251" s="321"/>
    </row>
    <row r="252" spans="1:20" s="17" customFormat="1" ht="10.5" customHeight="1">
      <c r="A252" s="410" t="s">
        <v>1053</v>
      </c>
      <c r="B252" s="161" t="s">
        <v>380</v>
      </c>
      <c r="C252" s="174">
        <f>IF(Input!H252=0,+Input!$G252,+Input!$G252+Input!H252)</f>
        <v>0</v>
      </c>
      <c r="D252" s="174">
        <f>IF(Input!I252=0,+Input!$G252,+Input!$G252+Input!I252)</f>
        <v>0</v>
      </c>
      <c r="E252" s="174">
        <f>IF(Input!J252=0,+Input!$G252,+Input!$G252+Input!J252)</f>
        <v>0</v>
      </c>
      <c r="F252" s="174">
        <f>IF(Input!K252=0,+Input!$G252,+Input!$G252+Input!K252)</f>
        <v>0</v>
      </c>
      <c r="G252" s="174">
        <f>IF(Input!L252=0,+Input!$G252,+Input!$G252+Input!L252)</f>
        <v>0</v>
      </c>
      <c r="H252" s="174">
        <f>IF(Input!M252=0,+Input!$G252,+Input!$G252+Input!M252)</f>
        <v>0</v>
      </c>
      <c r="I252" s="174">
        <f>IF(Input!N252=0,+Input!$G252,+Input!$G252+Input!N252)</f>
        <v>0</v>
      </c>
      <c r="J252" s="174">
        <f>IF(Input!O252=0,+Input!$G252,+Input!$G252+Input!O252)</f>
        <v>0</v>
      </c>
      <c r="K252" s="174">
        <f>IF(Input!P252=0,+Input!$G252,+Input!$G252+Input!P252)</f>
        <v>0</v>
      </c>
      <c r="L252" s="174">
        <f>IF(Input!Q252=0,+Input!$G252,+Input!$G252+Input!Q252)</f>
        <v>0</v>
      </c>
      <c r="M252" s="174">
        <f>IF(Input!R252=0,+Input!$G252,+Input!$G252+Input!R252)</f>
        <v>0</v>
      </c>
      <c r="N252" s="174">
        <f>IF(Input!S252=0,+Input!$G252,+Input!$G252+Input!S252)</f>
        <v>0</v>
      </c>
      <c r="O252" s="175">
        <f t="shared" si="41"/>
        <v>0</v>
      </c>
      <c r="P252" s="175">
        <f>IF(AND(O252=""),"",+O252/Setup!$B$12)</f>
        <v>0</v>
      </c>
      <c r="Q252" s="175">
        <f>IF(ISNA(IF(O252="","",(+VLOOKUP(A252,'2016'!$A:$P,15,FALSE)))),0,IF(O252="",0,(+VLOOKUP(A252,'2016'!$A:$P,15,FALSE))))</f>
        <v>0</v>
      </c>
      <c r="R252" s="169"/>
      <c r="S252" s="278"/>
      <c r="T252" s="321"/>
    </row>
    <row r="253" spans="1:20" s="17" customFormat="1" ht="10.5" customHeight="1">
      <c r="A253" s="410" t="s">
        <v>1054</v>
      </c>
      <c r="B253" s="161" t="s">
        <v>381</v>
      </c>
      <c r="C253" s="174">
        <f>IF(Input!H253=0,+Input!$G253,+Input!$G253+Input!H253)</f>
        <v>233.33333333333334</v>
      </c>
      <c r="D253" s="174">
        <f>IF(Input!I253=0,+Input!$G253,+Input!$G253+Input!I253)</f>
        <v>233.33333333333334</v>
      </c>
      <c r="E253" s="174">
        <f>IF(Input!J253=0,+Input!$G253,+Input!$G253+Input!J253)</f>
        <v>233.33333333333334</v>
      </c>
      <c r="F253" s="174">
        <f>IF(Input!K253=0,+Input!$G253,+Input!$G253+Input!K253)</f>
        <v>233.33333333333334</v>
      </c>
      <c r="G253" s="174">
        <f>IF(Input!L253=0,+Input!$G253,+Input!$G253+Input!L253)</f>
        <v>233.33333333333334</v>
      </c>
      <c r="H253" s="174">
        <f>IF(Input!M253=0,+Input!$G253,+Input!$G253+Input!M253)</f>
        <v>233.33333333333334</v>
      </c>
      <c r="I253" s="174">
        <f>IF(Input!N253=0,+Input!$G253,+Input!$G253+Input!N253)</f>
        <v>233.33333333333334</v>
      </c>
      <c r="J253" s="174">
        <f>IF(Input!O253=0,+Input!$G253,+Input!$G253+Input!O253)</f>
        <v>233.33333333333334</v>
      </c>
      <c r="K253" s="174">
        <f>IF(Input!P253=0,+Input!$G253,+Input!$G253+Input!P253)</f>
        <v>233.33333333333334</v>
      </c>
      <c r="L253" s="174">
        <f>IF(Input!Q253=0,+Input!$G253,+Input!$G253+Input!Q253)</f>
        <v>233.33333333333334</v>
      </c>
      <c r="M253" s="174">
        <f>IF(Input!R253=0,+Input!$G253,+Input!$G253+Input!R253)</f>
        <v>233.33333333333334</v>
      </c>
      <c r="N253" s="174">
        <f>IF(Input!S253=0,+Input!$G253,+Input!$G253+Input!S253)</f>
        <v>233.33333333333334</v>
      </c>
      <c r="O253" s="175">
        <f t="shared" si="41"/>
        <v>2800.0000000000005</v>
      </c>
      <c r="P253" s="175">
        <f>IF(AND(O253=""),"",+O253/Setup!$B$12)</f>
        <v>12.72727272727273</v>
      </c>
      <c r="Q253" s="175">
        <f>IF(ISNA(IF(O253="","",(+VLOOKUP(A253,'2016'!$A:$P,15,FALSE)))),0,IF(O253="",0,(+VLOOKUP(A253,'2016'!$A:$P,15,FALSE))))</f>
        <v>2800</v>
      </c>
      <c r="R253" s="169"/>
      <c r="S253" s="278"/>
      <c r="T253" s="321"/>
    </row>
    <row r="254" spans="1:20" s="17" customFormat="1" ht="10.5" customHeight="1">
      <c r="A254" s="410" t="s">
        <v>1056</v>
      </c>
      <c r="B254" s="161" t="s">
        <v>382</v>
      </c>
      <c r="C254" s="174">
        <f>IF(Input!H254=0,+Input!$G254,+Input!$G254+Input!H254)</f>
        <v>10528.166666666666</v>
      </c>
      <c r="D254" s="174">
        <f>IF(Input!I254=0,+Input!$G254,+Input!$G254+Input!I254)</f>
        <v>10528.166666666666</v>
      </c>
      <c r="E254" s="174">
        <f>IF(Input!J254=0,+Input!$G254,+Input!$G254+Input!J254)</f>
        <v>10528.166666666666</v>
      </c>
      <c r="F254" s="174">
        <f>IF(Input!K254=0,+Input!$G254,+Input!$G254+Input!K254)</f>
        <v>10528.166666666666</v>
      </c>
      <c r="G254" s="174">
        <f>IF(Input!L254=0,+Input!$G254,+Input!$G254+Input!L254)</f>
        <v>10528.166666666666</v>
      </c>
      <c r="H254" s="174">
        <f>IF(Input!M254=0,+Input!$G254,+Input!$G254+Input!M254)</f>
        <v>10528.166666666666</v>
      </c>
      <c r="I254" s="174">
        <f>IF(Input!N254=0,+Input!$G254,+Input!$G254+Input!N254)</f>
        <v>10528.166666666666</v>
      </c>
      <c r="J254" s="174">
        <f>IF(Input!O254=0,+Input!$G254,+Input!$G254+Input!O254)</f>
        <v>10528.166666666666</v>
      </c>
      <c r="K254" s="174">
        <f>IF(Input!P254=0,+Input!$G254,+Input!$G254+Input!P254)</f>
        <v>10528.166666666666</v>
      </c>
      <c r="L254" s="174">
        <f>IF(Input!Q254=0,+Input!$G254,+Input!$G254+Input!Q254)</f>
        <v>10528.166666666666</v>
      </c>
      <c r="M254" s="174">
        <f>IF(Input!R254=0,+Input!$G254,+Input!$G254+Input!R254)</f>
        <v>10528.166666666666</v>
      </c>
      <c r="N254" s="174">
        <f>IF(Input!S254=0,+Input!$G254,+Input!$G254+Input!S254)</f>
        <v>10528.166666666666</v>
      </c>
      <c r="O254" s="175">
        <f t="shared" si="41"/>
        <v>126338.00000000001</v>
      </c>
      <c r="P254" s="175">
        <f>IF(AND(O254=""),"",+O254/Setup!$B$12)</f>
        <v>574.26363636363646</v>
      </c>
      <c r="Q254" s="175">
        <f>IF(ISNA(IF(O254="","",(+VLOOKUP(A254,'2016'!$A:$P,15,FALSE)))),0,IF(O254="",0,(+VLOOKUP(A254,'2016'!$A:$P,15,FALSE))))</f>
        <v>126338</v>
      </c>
      <c r="R254" s="169"/>
      <c r="S254" s="278"/>
      <c r="T254" s="321"/>
    </row>
    <row r="255" spans="1:20" s="4" customFormat="1" ht="10.5" customHeight="1">
      <c r="A255" s="410" t="s">
        <v>1058</v>
      </c>
      <c r="B255" s="161" t="s">
        <v>383</v>
      </c>
      <c r="C255" s="174">
        <f>IF(Input!H255=0,+Input!$G255,+Input!$G255+Input!H255)</f>
        <v>0</v>
      </c>
      <c r="D255" s="174">
        <f>IF(Input!I255=0,+Input!$G255,+Input!$G255+Input!I255)</f>
        <v>0</v>
      </c>
      <c r="E255" s="174">
        <f>IF(Input!J255=0,+Input!$G255,+Input!$G255+Input!J255)</f>
        <v>0</v>
      </c>
      <c r="F255" s="174">
        <f>IF(Input!K255=0,+Input!$G255,+Input!$G255+Input!K255)</f>
        <v>0</v>
      </c>
      <c r="G255" s="174">
        <f>IF(Input!L255=0,+Input!$G255,+Input!$G255+Input!L255)</f>
        <v>0</v>
      </c>
      <c r="H255" s="174">
        <f>IF(Input!M255=0,+Input!$G255,+Input!$G255+Input!M255)</f>
        <v>0</v>
      </c>
      <c r="I255" s="174">
        <f>IF(Input!N255=0,+Input!$G255,+Input!$G255+Input!N255)</f>
        <v>0</v>
      </c>
      <c r="J255" s="174">
        <f>IF(Input!O255=0,+Input!$G255,+Input!$G255+Input!O255)</f>
        <v>0</v>
      </c>
      <c r="K255" s="174">
        <f>IF(Input!P255=0,+Input!$G255,+Input!$G255+Input!P255)</f>
        <v>0</v>
      </c>
      <c r="L255" s="174">
        <f>IF(Input!Q255=0,+Input!$G255,+Input!$G255+Input!Q255)</f>
        <v>0</v>
      </c>
      <c r="M255" s="174">
        <f>IF(Input!R255=0,+Input!$G255,+Input!$G255+Input!R255)</f>
        <v>0</v>
      </c>
      <c r="N255" s="174">
        <f>IF(Input!S255=0,+Input!$G255,+Input!$G255+Input!S255)</f>
        <v>0</v>
      </c>
      <c r="O255" s="175">
        <f t="shared" si="41"/>
        <v>0</v>
      </c>
      <c r="P255" s="175">
        <f>IF(AND(O255=""),"",+O255/Setup!$B$12)</f>
        <v>0</v>
      </c>
      <c r="Q255" s="175">
        <f>IF(ISNA(IF(O255="","",(+VLOOKUP(A255,'2016'!$A:$P,15,FALSE)))),0,IF(O255="",0,(+VLOOKUP(A255,'2016'!$A:$P,15,FALSE))))</f>
        <v>0</v>
      </c>
      <c r="R255" s="169"/>
      <c r="S255" s="274"/>
      <c r="T255" s="321"/>
    </row>
    <row r="256" spans="1:20" s="4" customFormat="1" ht="10.5" customHeight="1">
      <c r="A256" s="163"/>
      <c r="B256" s="163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75" t="str">
        <f t="shared" si="41"/>
        <v/>
      </c>
      <c r="P256" s="175" t="str">
        <f>IF(AND(O256=""),"",+O256/Setup!$B$12)</f>
        <v/>
      </c>
      <c r="Q256" s="175" t="str">
        <f>IF(O256="","",(+VLOOKUP(A256,'2016'!$A:$P,15,FALSE)))</f>
        <v/>
      </c>
      <c r="R256" s="169"/>
      <c r="S256" s="273"/>
      <c r="T256" s="320"/>
    </row>
    <row r="257" spans="1:20" s="4" customFormat="1" ht="10.5" customHeight="1">
      <c r="A257" s="159"/>
      <c r="B257" s="159" t="s">
        <v>378</v>
      </c>
      <c r="C257" s="174">
        <f>SUM(C251:C255)</f>
        <v>10761.5</v>
      </c>
      <c r="D257" s="174">
        <f t="shared" ref="D257:N257" si="45">SUM(D251:D255)</f>
        <v>10761.5</v>
      </c>
      <c r="E257" s="174">
        <f t="shared" si="45"/>
        <v>10761.5</v>
      </c>
      <c r="F257" s="174">
        <f t="shared" si="45"/>
        <v>10761.5</v>
      </c>
      <c r="G257" s="174">
        <f t="shared" si="45"/>
        <v>10761.5</v>
      </c>
      <c r="H257" s="174">
        <f t="shared" si="45"/>
        <v>10761.5</v>
      </c>
      <c r="I257" s="174">
        <f t="shared" si="45"/>
        <v>10761.5</v>
      </c>
      <c r="J257" s="174">
        <f t="shared" si="45"/>
        <v>10761.5</v>
      </c>
      <c r="K257" s="174">
        <f t="shared" si="45"/>
        <v>10761.5</v>
      </c>
      <c r="L257" s="174">
        <f t="shared" si="45"/>
        <v>10761.5</v>
      </c>
      <c r="M257" s="174">
        <f t="shared" si="45"/>
        <v>10761.5</v>
      </c>
      <c r="N257" s="174">
        <f t="shared" si="45"/>
        <v>10761.5</v>
      </c>
      <c r="O257" s="175">
        <f t="shared" si="41"/>
        <v>129138</v>
      </c>
      <c r="P257" s="175">
        <f>IF(AND(O257=""),"",+O257/Setup!$B$12)</f>
        <v>586.9909090909091</v>
      </c>
      <c r="Q257" s="174">
        <f t="shared" ref="Q257" si="46">SUM(Q251:Q255)</f>
        <v>129138</v>
      </c>
      <c r="R257" s="169"/>
      <c r="S257" s="278"/>
      <c r="T257" s="321"/>
    </row>
    <row r="258" spans="1:20" s="4" customFormat="1" ht="10.5" customHeight="1">
      <c r="A258" s="161"/>
      <c r="B258" s="161" t="s">
        <v>384</v>
      </c>
      <c r="C258" s="18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75" t="str">
        <f t="shared" si="41"/>
        <v/>
      </c>
      <c r="P258" s="175" t="str">
        <f>IF(AND(O258=""),"",+O258/Setup!$B$12)</f>
        <v/>
      </c>
      <c r="Q258" s="175" t="str">
        <f>IF(O258="","",(+VLOOKUP(A258,'2016'!$A:$P,15,FALSE)))</f>
        <v/>
      </c>
      <c r="R258" s="169"/>
      <c r="S258" s="278"/>
      <c r="T258" s="321"/>
    </row>
    <row r="259" spans="1:20" s="4" customFormat="1" ht="10.5" customHeight="1">
      <c r="A259" s="410" t="s">
        <v>1060</v>
      </c>
      <c r="B259" s="161" t="s">
        <v>385</v>
      </c>
      <c r="C259" s="174">
        <f>IF(Input!H259=0,+Input!$G259,+Input!$G259+Input!H259)</f>
        <v>2397.1666666666665</v>
      </c>
      <c r="D259" s="174">
        <f>IF(Input!I259=0,+Input!$G259,+Input!$G259+Input!I259)</f>
        <v>2397.1666666666665</v>
      </c>
      <c r="E259" s="174">
        <f>IF(Input!J259=0,+Input!$G259,+Input!$G259+Input!J259)</f>
        <v>2397.1666666666665</v>
      </c>
      <c r="F259" s="174">
        <f>IF(Input!K259=0,+Input!$G259,+Input!$G259+Input!K259)</f>
        <v>2397.1666666666665</v>
      </c>
      <c r="G259" s="174">
        <f>IF(Input!L259=0,+Input!$G259,+Input!$G259+Input!L259)</f>
        <v>2397.1666666666665</v>
      </c>
      <c r="H259" s="174">
        <f>IF(Input!M259=0,+Input!$G259,+Input!$G259+Input!M259)</f>
        <v>2397.1666666666665</v>
      </c>
      <c r="I259" s="174">
        <f>IF(Input!N259=0,+Input!$G259,+Input!$G259+Input!N259)</f>
        <v>2397.1666666666665</v>
      </c>
      <c r="J259" s="174">
        <f>IF(Input!O259=0,+Input!$G259,+Input!$G259+Input!O259)</f>
        <v>2397.1666666666665</v>
      </c>
      <c r="K259" s="174">
        <f>IF(Input!P259=0,+Input!$G259,+Input!$G259+Input!P259)</f>
        <v>2397.1666666666665</v>
      </c>
      <c r="L259" s="174">
        <f>IF(Input!Q259=0,+Input!$G259,+Input!$G259+Input!Q259)</f>
        <v>2397.1666666666665</v>
      </c>
      <c r="M259" s="174">
        <f>IF(Input!R259=0,+Input!$G259,+Input!$G259+Input!R259)</f>
        <v>2397.1666666666665</v>
      </c>
      <c r="N259" s="174">
        <f>IF(Input!S259=0,+Input!$G259,+Input!$G259+Input!S259)</f>
        <v>2397.1666666666665</v>
      </c>
      <c r="O259" s="175">
        <f t="shared" si="41"/>
        <v>28766.000000000004</v>
      </c>
      <c r="P259" s="175">
        <f>IF(AND(O259=""),"",+O259/Setup!$B$12)</f>
        <v>130.75454545454548</v>
      </c>
      <c r="Q259" s="175">
        <f>IF(ISNA(IF(O259="","",(+VLOOKUP(A259,'2016'!$A:$P,15,FALSE)))),0,IF(O259="",0,(+VLOOKUP(A259,'2016'!$A:$P,15,FALSE))))</f>
        <v>28766</v>
      </c>
      <c r="R259" s="169"/>
      <c r="S259" s="278"/>
      <c r="T259" s="321"/>
    </row>
    <row r="260" spans="1:20" s="4" customFormat="1" ht="10.5" customHeight="1">
      <c r="A260" s="411" t="s">
        <v>1062</v>
      </c>
      <c r="B260" s="4" t="s">
        <v>1247</v>
      </c>
      <c r="C260" s="174">
        <f>IF(Input!H260=0,+Input!$G260,+Input!$G260+Input!H260)</f>
        <v>0</v>
      </c>
      <c r="D260" s="174">
        <f>IF(Input!I260=0,+Input!$G260,+Input!$G260+Input!I260)</f>
        <v>0</v>
      </c>
      <c r="E260" s="174">
        <f>IF(Input!J260=0,+Input!$G260,+Input!$G260+Input!J260)</f>
        <v>0</v>
      </c>
      <c r="F260" s="174">
        <f>IF(Input!K260=0,+Input!$G260,+Input!$G260+Input!K260)</f>
        <v>0</v>
      </c>
      <c r="G260" s="174">
        <f>IF(Input!L260=0,+Input!$G260,+Input!$G260+Input!L260)</f>
        <v>0</v>
      </c>
      <c r="H260" s="174">
        <f>IF(Input!M260=0,+Input!$G260,+Input!$G260+Input!M260)</f>
        <v>0</v>
      </c>
      <c r="I260" s="174">
        <f>IF(Input!N260=0,+Input!$G260,+Input!$G260+Input!N260)</f>
        <v>0</v>
      </c>
      <c r="J260" s="174">
        <f>IF(Input!O260=0,+Input!$G260,+Input!$G260+Input!O260)</f>
        <v>0</v>
      </c>
      <c r="K260" s="174">
        <f>IF(Input!P260=0,+Input!$G260,+Input!$G260+Input!P260)</f>
        <v>0</v>
      </c>
      <c r="L260" s="174">
        <f>IF(Input!Q260=0,+Input!$G260,+Input!$G260+Input!Q260)</f>
        <v>0</v>
      </c>
      <c r="M260" s="174">
        <f>IF(Input!R260=0,+Input!$G260,+Input!$G260+Input!R260)</f>
        <v>0</v>
      </c>
      <c r="N260" s="174">
        <f>IF(Input!S260=0,+Input!$G260,+Input!$G260+Input!S260)</f>
        <v>0</v>
      </c>
      <c r="O260" s="175">
        <f t="shared" si="41"/>
        <v>0</v>
      </c>
      <c r="P260" s="175">
        <f>IF(AND(O260=""),"",+O260/Setup!$B$12)</f>
        <v>0</v>
      </c>
      <c r="Q260" s="175">
        <f>IF(ISNA(IF(O260="","",(+VLOOKUP(A260,'2016'!$A:$P,15,FALSE)))),0,IF(O260="",0,(+VLOOKUP(A260,'2016'!$A:$P,15,FALSE))))</f>
        <v>0</v>
      </c>
      <c r="R260" s="169"/>
      <c r="S260" s="401"/>
      <c r="T260" s="321"/>
    </row>
    <row r="261" spans="1:20" s="4" customFormat="1" ht="10.5" customHeight="1">
      <c r="A261" s="410" t="s">
        <v>1063</v>
      </c>
      <c r="B261" s="161" t="s">
        <v>544</v>
      </c>
      <c r="C261" s="174">
        <f>IF(Input!H261=0,+Input!$G261,+Input!$G261+Input!H261)</f>
        <v>0</v>
      </c>
      <c r="D261" s="174">
        <f>IF(Input!I261=0,+Input!$G261,+Input!$G261+Input!I261)</f>
        <v>0</v>
      </c>
      <c r="E261" s="174">
        <f>IF(Input!J261=0,+Input!$G261,+Input!$G261+Input!J261)</f>
        <v>0</v>
      </c>
      <c r="F261" s="174">
        <f>IF(Input!K261=0,+Input!$G261,+Input!$G261+Input!K261)</f>
        <v>0</v>
      </c>
      <c r="G261" s="174">
        <f>IF(Input!L261=0,+Input!$G261,+Input!$G261+Input!L261)</f>
        <v>0</v>
      </c>
      <c r="H261" s="174">
        <f>IF(Input!M261=0,+Input!$G261,+Input!$G261+Input!M261)</f>
        <v>0</v>
      </c>
      <c r="I261" s="174">
        <f>IF(Input!N261=0,+Input!$G261,+Input!$G261+Input!N261)</f>
        <v>0</v>
      </c>
      <c r="J261" s="174">
        <f>IF(Input!O261=0,+Input!$G261,+Input!$G261+Input!O261)</f>
        <v>0</v>
      </c>
      <c r="K261" s="174">
        <f>IF(Input!P261=0,+Input!$G261,+Input!$G261+Input!P261)</f>
        <v>0</v>
      </c>
      <c r="L261" s="174">
        <f>IF(Input!Q261=0,+Input!$G261,+Input!$G261+Input!Q261)</f>
        <v>0</v>
      </c>
      <c r="M261" s="174">
        <f>IF(Input!R261=0,+Input!$G261,+Input!$G261+Input!R261)</f>
        <v>0</v>
      </c>
      <c r="N261" s="174">
        <f>IF(Input!S261=0,+Input!$G261,+Input!$G261+Input!S261)</f>
        <v>0</v>
      </c>
      <c r="O261" s="175">
        <f t="shared" si="41"/>
        <v>0</v>
      </c>
      <c r="P261" s="175">
        <f>IF(AND(O261=""),"",+O261/Setup!$B$12)</f>
        <v>0</v>
      </c>
      <c r="Q261" s="175">
        <f>IF(ISNA(IF(O261="","",(+VLOOKUP(A261,'2016'!$A:$P,15,FALSE)))),0,IF(O261="",0,(+VLOOKUP(A261,'2016'!$A:$P,15,FALSE))))</f>
        <v>0</v>
      </c>
      <c r="R261" s="169"/>
      <c r="S261" s="274"/>
      <c r="T261" s="321"/>
    </row>
    <row r="262" spans="1:20" s="4" customFormat="1" ht="10.5" customHeight="1">
      <c r="A262" s="163"/>
      <c r="B262" s="163"/>
      <c r="C262" s="174"/>
      <c r="D262" s="174"/>
      <c r="E262" s="174"/>
      <c r="F262" s="174"/>
      <c r="G262" s="174"/>
      <c r="H262" s="174"/>
      <c r="I262" s="174"/>
      <c r="J262" s="174"/>
      <c r="K262" s="174"/>
      <c r="L262" s="174"/>
      <c r="M262" s="174"/>
      <c r="N262" s="174"/>
      <c r="O262" s="175" t="str">
        <f t="shared" si="41"/>
        <v/>
      </c>
      <c r="P262" s="175" t="str">
        <f>IF(AND(O262=""),"",+O262/Setup!$B$12)</f>
        <v/>
      </c>
      <c r="Q262" s="175" t="str">
        <f>IF(O262="","",(+VLOOKUP(A262,'2016'!$A:$P,15,FALSE)))</f>
        <v/>
      </c>
      <c r="R262" s="169"/>
      <c r="S262" s="275"/>
      <c r="T262" s="322"/>
    </row>
    <row r="263" spans="1:20" s="4" customFormat="1" ht="10.5" customHeight="1">
      <c r="A263" s="159"/>
      <c r="B263" s="159" t="s">
        <v>384</v>
      </c>
      <c r="C263" s="174">
        <f t="shared" ref="C263:N263" si="47">SUM(C259:C261)</f>
        <v>2397.1666666666665</v>
      </c>
      <c r="D263" s="174">
        <f t="shared" si="47"/>
        <v>2397.1666666666665</v>
      </c>
      <c r="E263" s="174">
        <f t="shared" si="47"/>
        <v>2397.1666666666665</v>
      </c>
      <c r="F263" s="174">
        <f t="shared" si="47"/>
        <v>2397.1666666666665</v>
      </c>
      <c r="G263" s="174">
        <f t="shared" si="47"/>
        <v>2397.1666666666665</v>
      </c>
      <c r="H263" s="174">
        <f t="shared" si="47"/>
        <v>2397.1666666666665</v>
      </c>
      <c r="I263" s="174">
        <f t="shared" si="47"/>
        <v>2397.1666666666665</v>
      </c>
      <c r="J263" s="174">
        <f t="shared" si="47"/>
        <v>2397.1666666666665</v>
      </c>
      <c r="K263" s="174">
        <f t="shared" si="47"/>
        <v>2397.1666666666665</v>
      </c>
      <c r="L263" s="174">
        <f t="shared" si="47"/>
        <v>2397.1666666666665</v>
      </c>
      <c r="M263" s="174">
        <f t="shared" si="47"/>
        <v>2397.1666666666665</v>
      </c>
      <c r="N263" s="174">
        <f t="shared" si="47"/>
        <v>2397.1666666666665</v>
      </c>
      <c r="O263" s="175">
        <f t="shared" si="41"/>
        <v>28766.000000000004</v>
      </c>
      <c r="P263" s="175">
        <f>IF(AND(O263=""),"",+O263/Setup!$B$12)</f>
        <v>130.75454545454548</v>
      </c>
      <c r="Q263" s="174">
        <f t="shared" ref="Q263" si="48">SUM(Q259:Q261)</f>
        <v>28766</v>
      </c>
      <c r="R263" s="169"/>
      <c r="S263" s="273"/>
      <c r="T263" s="320"/>
    </row>
    <row r="264" spans="1:20" s="4" customFormat="1" ht="10.5" customHeight="1">
      <c r="A264" s="164"/>
      <c r="B264" s="163"/>
      <c r="C264" s="174"/>
      <c r="D264" s="174"/>
      <c r="E264" s="174"/>
      <c r="F264" s="174"/>
      <c r="G264" s="174"/>
      <c r="H264" s="174"/>
      <c r="I264" s="174"/>
      <c r="J264" s="174"/>
      <c r="K264" s="174"/>
      <c r="L264" s="174"/>
      <c r="M264" s="174"/>
      <c r="N264" s="174"/>
      <c r="O264" s="175" t="str">
        <f t="shared" si="41"/>
        <v/>
      </c>
      <c r="P264" s="175" t="str">
        <f>IF(AND(O264=""),"",+O264/Setup!$B$12)</f>
        <v/>
      </c>
      <c r="Q264" s="175" t="str">
        <f t="shared" si="41"/>
        <v/>
      </c>
      <c r="R264" s="169"/>
      <c r="S264" s="278"/>
      <c r="T264" s="321"/>
    </row>
    <row r="265" spans="1:20" s="4" customFormat="1" ht="10.5" customHeight="1">
      <c r="A265" s="159"/>
      <c r="B265" s="159" t="s">
        <v>377</v>
      </c>
      <c r="C265" s="174">
        <f t="shared" ref="C265:N265" si="49">+C263+C257</f>
        <v>13158.666666666666</v>
      </c>
      <c r="D265" s="174">
        <f t="shared" si="49"/>
        <v>13158.666666666666</v>
      </c>
      <c r="E265" s="174">
        <f t="shared" si="49"/>
        <v>13158.666666666666</v>
      </c>
      <c r="F265" s="174">
        <f t="shared" si="49"/>
        <v>13158.666666666666</v>
      </c>
      <c r="G265" s="174">
        <f t="shared" si="49"/>
        <v>13158.666666666666</v>
      </c>
      <c r="H265" s="174">
        <f t="shared" si="49"/>
        <v>13158.666666666666</v>
      </c>
      <c r="I265" s="174">
        <f t="shared" si="49"/>
        <v>13158.666666666666</v>
      </c>
      <c r="J265" s="174">
        <f t="shared" si="49"/>
        <v>13158.666666666666</v>
      </c>
      <c r="K265" s="174">
        <f t="shared" si="49"/>
        <v>13158.666666666666</v>
      </c>
      <c r="L265" s="174">
        <f t="shared" si="49"/>
        <v>13158.666666666666</v>
      </c>
      <c r="M265" s="174">
        <f t="shared" si="49"/>
        <v>13158.666666666666</v>
      </c>
      <c r="N265" s="174">
        <f t="shared" si="49"/>
        <v>13158.666666666666</v>
      </c>
      <c r="O265" s="175">
        <f t="shared" si="41"/>
        <v>157904</v>
      </c>
      <c r="P265" s="175">
        <f>IF(AND(O265=""),"",+O265/Setup!$B$12)</f>
        <v>717.74545454545455</v>
      </c>
      <c r="Q265" s="174">
        <f t="shared" ref="Q265" si="50">+Q263+Q257</f>
        <v>157904</v>
      </c>
      <c r="R265" s="169"/>
      <c r="S265" s="278"/>
      <c r="T265" s="321"/>
    </row>
    <row r="266" spans="1:20" s="10" customFormat="1" ht="10.5" customHeight="1">
      <c r="A266" s="164"/>
      <c r="B266" s="163"/>
      <c r="C266" s="174"/>
      <c r="D266" s="174"/>
      <c r="E266" s="174"/>
      <c r="F266" s="174"/>
      <c r="G266" s="174"/>
      <c r="H266" s="174"/>
      <c r="I266" s="174"/>
      <c r="J266" s="174"/>
      <c r="K266" s="174"/>
      <c r="L266" s="174"/>
      <c r="M266" s="174"/>
      <c r="N266" s="174"/>
      <c r="O266" s="175" t="str">
        <f t="shared" si="41"/>
        <v/>
      </c>
      <c r="P266" s="175" t="str">
        <f>IF(AND(O266=""),"",+O266/Setup!$B$12)</f>
        <v/>
      </c>
      <c r="Q266" s="175" t="str">
        <f t="shared" si="41"/>
        <v/>
      </c>
      <c r="R266" s="169"/>
      <c r="S266" s="278"/>
      <c r="T266" s="321"/>
    </row>
    <row r="267" spans="1:20" s="17" customFormat="1" ht="10.5" customHeight="1">
      <c r="A267" s="159"/>
      <c r="B267" s="161" t="s">
        <v>137</v>
      </c>
      <c r="C267" s="174">
        <f t="shared" ref="C267:N267" si="51">+C265+C248</f>
        <v>67003.194333333333</v>
      </c>
      <c r="D267" s="174">
        <f t="shared" si="51"/>
        <v>67042.194333333333</v>
      </c>
      <c r="E267" s="174">
        <f t="shared" si="51"/>
        <v>67081.194333333333</v>
      </c>
      <c r="F267" s="174">
        <f t="shared" si="51"/>
        <v>67104.007969696977</v>
      </c>
      <c r="G267" s="174">
        <f t="shared" si="51"/>
        <v>67120.071606060606</v>
      </c>
      <c r="H267" s="174">
        <f t="shared" si="51"/>
        <v>67201.507969696977</v>
      </c>
      <c r="I267" s="174">
        <f t="shared" si="51"/>
        <v>67297.037515151518</v>
      </c>
      <c r="J267" s="174">
        <f t="shared" si="51"/>
        <v>67376.223878787874</v>
      </c>
      <c r="K267" s="174">
        <f t="shared" si="51"/>
        <v>67346.380696969703</v>
      </c>
      <c r="L267" s="174">
        <f t="shared" si="51"/>
        <v>67341.444333333333</v>
      </c>
      <c r="M267" s="174">
        <f t="shared" si="51"/>
        <v>67336.507969696977</v>
      </c>
      <c r="N267" s="174">
        <f t="shared" si="51"/>
        <v>67329.321606060606</v>
      </c>
      <c r="O267" s="175">
        <f t="shared" si="41"/>
        <v>806579.08654545457</v>
      </c>
      <c r="P267" s="175">
        <f>IF(AND(O267=""),"",+O267/Setup!$B$12)</f>
        <v>3666.2685752066118</v>
      </c>
      <c r="Q267" s="174">
        <f t="shared" ref="Q267" si="52">+Q265+Q248</f>
        <v>866122</v>
      </c>
      <c r="R267" s="169"/>
      <c r="S267" s="278"/>
      <c r="T267" s="321"/>
    </row>
    <row r="268" spans="1:20" s="18" customFormat="1" ht="10.5" customHeight="1">
      <c r="A268" s="164"/>
      <c r="B268" s="163"/>
      <c r="C268" s="174"/>
      <c r="D268" s="174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175" t="str">
        <f t="shared" si="41"/>
        <v/>
      </c>
      <c r="P268" s="175" t="str">
        <f>IF(AND(O268=""),"",+O268/Setup!$B$12)</f>
        <v/>
      </c>
      <c r="Q268" s="175" t="str">
        <f t="shared" si="41"/>
        <v/>
      </c>
      <c r="R268" s="169"/>
      <c r="S268" s="278"/>
      <c r="T268" s="321"/>
    </row>
    <row r="269" spans="1:20" s="17" customFormat="1" ht="10.5" customHeight="1">
      <c r="A269" s="159"/>
      <c r="B269" s="159" t="s">
        <v>66</v>
      </c>
      <c r="C269" s="174">
        <f t="shared" ref="C269:N269" si="53">C62-C267</f>
        <v>172032.05566666665</v>
      </c>
      <c r="D269" s="174">
        <f t="shared" si="53"/>
        <v>173293.05566666665</v>
      </c>
      <c r="E269" s="174">
        <f t="shared" si="53"/>
        <v>174554.05566666665</v>
      </c>
      <c r="F269" s="174">
        <f t="shared" si="53"/>
        <v>175291.69657575755</v>
      </c>
      <c r="G269" s="174">
        <f t="shared" si="53"/>
        <v>175811.08748484848</v>
      </c>
      <c r="H269" s="174">
        <f t="shared" si="53"/>
        <v>178444.19657575755</v>
      </c>
      <c r="I269" s="174">
        <f t="shared" si="53"/>
        <v>181532.98521212122</v>
      </c>
      <c r="J269" s="174">
        <f t="shared" si="53"/>
        <v>184093.34430303029</v>
      </c>
      <c r="K269" s="174">
        <f t="shared" si="53"/>
        <v>183128.41475757578</v>
      </c>
      <c r="L269" s="174">
        <f t="shared" si="53"/>
        <v>182968.80566666665</v>
      </c>
      <c r="M269" s="174">
        <f t="shared" si="53"/>
        <v>182809.19657575755</v>
      </c>
      <c r="N269" s="174">
        <f t="shared" si="53"/>
        <v>182576.83748484848</v>
      </c>
      <c r="O269" s="175">
        <f t="shared" si="41"/>
        <v>2146535.7316363635</v>
      </c>
      <c r="P269" s="175">
        <f>IF(AND(O269=""),"",+O269/Setup!$B$12)</f>
        <v>9756.9805983471069</v>
      </c>
      <c r="Q269" s="174">
        <f>Q62-Q267</f>
        <v>1300779</v>
      </c>
      <c r="R269" s="169"/>
      <c r="S269" s="278"/>
      <c r="T269" s="321"/>
    </row>
    <row r="270" spans="1:20" s="17" customFormat="1" ht="10.5" customHeight="1">
      <c r="A270" s="165"/>
      <c r="B270" s="165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5" t="str">
        <f t="shared" si="41"/>
        <v/>
      </c>
      <c r="P270" s="175" t="str">
        <f>IF(AND(O270=""),"",+O270/Setup!$B$12)</f>
        <v/>
      </c>
      <c r="Q270" s="175" t="str">
        <f t="shared" si="41"/>
        <v/>
      </c>
      <c r="R270" s="169"/>
      <c r="S270" s="278"/>
      <c r="T270" s="321"/>
    </row>
    <row r="271" spans="1:20" s="17" customFormat="1" ht="10.5" customHeight="1">
      <c r="A271" s="160"/>
      <c r="B271" s="160" t="s">
        <v>138</v>
      </c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178"/>
      <c r="O271" s="175" t="str">
        <f t="shared" si="41"/>
        <v/>
      </c>
      <c r="P271" s="175" t="str">
        <f>IF(AND(O271=""),"",+O271/Setup!$B$12)</f>
        <v/>
      </c>
      <c r="Q271" s="175" t="str">
        <f>IF(O271="","",(+VLOOKUP(A271,'2016'!$A:$P,15,FALSE)))</f>
        <v/>
      </c>
      <c r="R271" s="169"/>
      <c r="S271" s="274"/>
      <c r="T271" s="321"/>
    </row>
    <row r="272" spans="1:20" s="4" customFormat="1" ht="10.5" customHeight="1">
      <c r="A272" s="410" t="s">
        <v>1067</v>
      </c>
      <c r="B272" s="161" t="s">
        <v>387</v>
      </c>
      <c r="C272" s="174">
        <f>IF(Input!H272=0,+Input!$G272,+Input!$G272+Input!H272)</f>
        <v>2595.6666666666665</v>
      </c>
      <c r="D272" s="174">
        <f>IF(Input!I272=0,+Input!$G272,+Input!$G272+Input!I272)</f>
        <v>2595.6666666666665</v>
      </c>
      <c r="E272" s="174">
        <f>IF(Input!J272=0,+Input!$G272,+Input!$G272+Input!J272)</f>
        <v>2595.6666666666665</v>
      </c>
      <c r="F272" s="174">
        <f>IF(Input!K272=0,+Input!$G272,+Input!$G272+Input!K272)</f>
        <v>2595.6666666666665</v>
      </c>
      <c r="G272" s="174">
        <f>IF(Input!L272=0,+Input!$G272,+Input!$G272+Input!L272)</f>
        <v>2595.6666666666665</v>
      </c>
      <c r="H272" s="174">
        <f>IF(Input!M272=0,+Input!$G272,+Input!$G272+Input!M272)</f>
        <v>2595.6666666666665</v>
      </c>
      <c r="I272" s="174">
        <f>IF(Input!N272=0,+Input!$G272,+Input!$G272+Input!N272)</f>
        <v>2595.6666666666665</v>
      </c>
      <c r="J272" s="174">
        <f>IF(Input!O272=0,+Input!$G272,+Input!$G272+Input!O272)</f>
        <v>2595.6666666666665</v>
      </c>
      <c r="K272" s="174">
        <f>IF(Input!P272=0,+Input!$G272,+Input!$G272+Input!P272)</f>
        <v>2595.6666666666665</v>
      </c>
      <c r="L272" s="174">
        <f>IF(Input!Q272=0,+Input!$G272,+Input!$G272+Input!Q272)</f>
        <v>2595.6666666666665</v>
      </c>
      <c r="M272" s="174">
        <f>IF(Input!R272=0,+Input!$G272,+Input!$G272+Input!R272)</f>
        <v>2595.6666666666665</v>
      </c>
      <c r="N272" s="174">
        <f>IF(Input!S272=0,+Input!$G272,+Input!$G272+Input!S272)</f>
        <v>2595.6666666666665</v>
      </c>
      <c r="O272" s="175">
        <f t="shared" si="41"/>
        <v>31148.000000000004</v>
      </c>
      <c r="P272" s="175">
        <f>IF(AND(O272=""),"",+O272/Setup!$B$12)</f>
        <v>141.58181818181819</v>
      </c>
      <c r="Q272" s="175">
        <f>IF(ISNA(IF(O272="","",(+VLOOKUP(A272,'2016'!$A:$P,15,FALSE)))),0,IF(O272="",0,(+VLOOKUP(A272,'2016'!$A:$P,15,FALSE))))</f>
        <v>31148</v>
      </c>
      <c r="R272" s="169"/>
      <c r="S272" s="275"/>
      <c r="T272" s="322"/>
    </row>
    <row r="273" spans="1:20" s="4" customFormat="1" ht="10.5" customHeight="1">
      <c r="A273" s="410" t="s">
        <v>1069</v>
      </c>
      <c r="B273" s="161" t="s">
        <v>388</v>
      </c>
      <c r="C273" s="174">
        <f>IF(Input!H273=0,+Input!$G273,+Input!$G273+Input!H273)</f>
        <v>196</v>
      </c>
      <c r="D273" s="174">
        <f>IF(Input!I273=0,+Input!$G273,+Input!$G273+Input!I273)</f>
        <v>196</v>
      </c>
      <c r="E273" s="174">
        <f>IF(Input!J273=0,+Input!$G273,+Input!$G273+Input!J273)</f>
        <v>196</v>
      </c>
      <c r="F273" s="174">
        <f>IF(Input!K273=0,+Input!$G273,+Input!$G273+Input!K273)</f>
        <v>196</v>
      </c>
      <c r="G273" s="174">
        <f>IF(Input!L273=0,+Input!$G273,+Input!$G273+Input!L273)</f>
        <v>196</v>
      </c>
      <c r="H273" s="174">
        <f>IF(Input!M273=0,+Input!$G273,+Input!$G273+Input!M273)</f>
        <v>196</v>
      </c>
      <c r="I273" s="174">
        <f>IF(Input!N273=0,+Input!$G273,+Input!$G273+Input!N273)</f>
        <v>196</v>
      </c>
      <c r="J273" s="174">
        <f>IF(Input!O273=0,+Input!$G273,+Input!$G273+Input!O273)</f>
        <v>196</v>
      </c>
      <c r="K273" s="174">
        <f>IF(Input!P273=0,+Input!$G273,+Input!$G273+Input!P273)</f>
        <v>196</v>
      </c>
      <c r="L273" s="174">
        <f>IF(Input!Q273=0,+Input!$G273,+Input!$G273+Input!Q273)</f>
        <v>196</v>
      </c>
      <c r="M273" s="174">
        <f>IF(Input!R273=0,+Input!$G273,+Input!$G273+Input!R273)</f>
        <v>196</v>
      </c>
      <c r="N273" s="174">
        <f>IF(Input!S273=0,+Input!$G273,+Input!$G273+Input!S273)</f>
        <v>196</v>
      </c>
      <c r="O273" s="175">
        <f t="shared" si="41"/>
        <v>2352</v>
      </c>
      <c r="P273" s="175">
        <f>IF(AND(O273=""),"",+O273/Setup!$B$12)</f>
        <v>10.690909090909091</v>
      </c>
      <c r="Q273" s="175">
        <f>IF(ISNA(IF(O273="","",(+VLOOKUP(A273,'2016'!$A:$P,15,FALSE)))),0,IF(O273="",0,(+VLOOKUP(A273,'2016'!$A:$P,15,FALSE))))</f>
        <v>2352</v>
      </c>
      <c r="R273" s="169"/>
      <c r="S273" s="274"/>
      <c r="T273" s="321"/>
    </row>
    <row r="274" spans="1:20" s="4" customFormat="1" ht="10.5" customHeight="1">
      <c r="A274" s="410" t="s">
        <v>1071</v>
      </c>
      <c r="B274" s="161" t="s">
        <v>389</v>
      </c>
      <c r="C274" s="174">
        <f>IF(Input!H274=0,+Input!$G274,+Input!$G274+Input!H274)</f>
        <v>353.66666666666669</v>
      </c>
      <c r="D274" s="174">
        <f>IF(Input!I274=0,+Input!$G274,+Input!$G274+Input!I274)</f>
        <v>353.66666666666669</v>
      </c>
      <c r="E274" s="174">
        <f>IF(Input!J274=0,+Input!$G274,+Input!$G274+Input!J274)</f>
        <v>353.66666666666669</v>
      </c>
      <c r="F274" s="174">
        <f>IF(Input!K274=0,+Input!$G274,+Input!$G274+Input!K274)</f>
        <v>353.66666666666669</v>
      </c>
      <c r="G274" s="174">
        <f>IF(Input!L274=0,+Input!$G274,+Input!$G274+Input!L274)</f>
        <v>353.66666666666669</v>
      </c>
      <c r="H274" s="174">
        <f>IF(Input!M274=0,+Input!$G274,+Input!$G274+Input!M274)</f>
        <v>353.66666666666669</v>
      </c>
      <c r="I274" s="174">
        <f>IF(Input!N274=0,+Input!$G274,+Input!$G274+Input!N274)</f>
        <v>353.66666666666669</v>
      </c>
      <c r="J274" s="174">
        <f>IF(Input!O274=0,+Input!$G274,+Input!$G274+Input!O274)</f>
        <v>353.66666666666669</v>
      </c>
      <c r="K274" s="174">
        <f>IF(Input!P274=0,+Input!$G274,+Input!$G274+Input!P274)</f>
        <v>353.66666666666669</v>
      </c>
      <c r="L274" s="174">
        <f>IF(Input!Q274=0,+Input!$G274,+Input!$G274+Input!Q274)</f>
        <v>353.66666666666669</v>
      </c>
      <c r="M274" s="174">
        <f>IF(Input!R274=0,+Input!$G274,+Input!$G274+Input!R274)</f>
        <v>353.66666666666669</v>
      </c>
      <c r="N274" s="174">
        <f>IF(Input!S274=0,+Input!$G274,+Input!$G274+Input!S274)</f>
        <v>353.66666666666669</v>
      </c>
      <c r="O274" s="175">
        <f t="shared" si="41"/>
        <v>4243.9999999999991</v>
      </c>
      <c r="P274" s="175">
        <f>IF(AND(O274=""),"",+O274/Setup!$B$12)</f>
        <v>19.290909090909086</v>
      </c>
      <c r="Q274" s="175">
        <f>IF(ISNA(IF(O274="","",(+VLOOKUP(A274,'2016'!$A:$P,15,FALSE)))),0,IF(O274="",0,(+VLOOKUP(A274,'2016'!$A:$P,15,FALSE))))</f>
        <v>4244</v>
      </c>
      <c r="R274" s="169"/>
      <c r="S274" s="275"/>
      <c r="T274" s="322"/>
    </row>
    <row r="275" spans="1:20" s="4" customFormat="1" ht="10.5" customHeight="1">
      <c r="A275" s="410" t="s">
        <v>1073</v>
      </c>
      <c r="B275" s="161" t="s">
        <v>390</v>
      </c>
      <c r="C275" s="174">
        <f>IF(Input!H275=0,+Input!$G275,+Input!$G275+Input!H275)</f>
        <v>241.66666666666666</v>
      </c>
      <c r="D275" s="174">
        <f>IF(Input!I275=0,+Input!$G275,+Input!$G275+Input!I275)</f>
        <v>241.66666666666666</v>
      </c>
      <c r="E275" s="174">
        <f>IF(Input!J275=0,+Input!$G275,+Input!$G275+Input!J275)</f>
        <v>241.66666666666666</v>
      </c>
      <c r="F275" s="174">
        <f>IF(Input!K275=0,+Input!$G275,+Input!$G275+Input!K275)</f>
        <v>241.66666666666666</v>
      </c>
      <c r="G275" s="174">
        <f>IF(Input!L275=0,+Input!$G275,+Input!$G275+Input!L275)</f>
        <v>241.66666666666666</v>
      </c>
      <c r="H275" s="174">
        <f>IF(Input!M275=0,+Input!$G275,+Input!$G275+Input!M275)</f>
        <v>241.66666666666666</v>
      </c>
      <c r="I275" s="174">
        <f>IF(Input!N275=0,+Input!$G275,+Input!$G275+Input!N275)</f>
        <v>241.66666666666666</v>
      </c>
      <c r="J275" s="174">
        <f>IF(Input!O275=0,+Input!$G275,+Input!$G275+Input!O275)</f>
        <v>241.66666666666666</v>
      </c>
      <c r="K275" s="174">
        <f>IF(Input!P275=0,+Input!$G275,+Input!$G275+Input!P275)</f>
        <v>241.66666666666666</v>
      </c>
      <c r="L275" s="174">
        <f>IF(Input!Q275=0,+Input!$G275,+Input!$G275+Input!Q275)</f>
        <v>241.66666666666666</v>
      </c>
      <c r="M275" s="174">
        <f>IF(Input!R275=0,+Input!$G275,+Input!$G275+Input!R275)</f>
        <v>241.66666666666666</v>
      </c>
      <c r="N275" s="174">
        <f>IF(Input!S275=0,+Input!$G275,+Input!$G275+Input!S275)</f>
        <v>241.66666666666666</v>
      </c>
      <c r="O275" s="175">
        <f t="shared" si="41"/>
        <v>2899.9999999999995</v>
      </c>
      <c r="P275" s="175">
        <f>IF(AND(O275=""),"",+O275/Setup!$B$12)</f>
        <v>13.18181818181818</v>
      </c>
      <c r="Q275" s="175">
        <f>IF(ISNA(IF(O275="","",(+VLOOKUP(A275,'2016'!$A:$P,15,FALSE)))),0,IF(O275="",0,(+VLOOKUP(A275,'2016'!$A:$P,15,FALSE))))</f>
        <v>2900</v>
      </c>
      <c r="R275" s="169"/>
      <c r="S275" s="274"/>
      <c r="T275" s="321"/>
    </row>
    <row r="276" spans="1:20" s="4" customFormat="1" ht="10.5" customHeight="1">
      <c r="A276" s="410" t="s">
        <v>1075</v>
      </c>
      <c r="B276" s="161" t="s">
        <v>391</v>
      </c>
      <c r="C276" s="174">
        <f>IF(Input!H276=0,+Input!$G276,+Input!$G276+Input!H276)</f>
        <v>25</v>
      </c>
      <c r="D276" s="174">
        <f>IF(Input!I276=0,+Input!$G276,+Input!$G276+Input!I276)</f>
        <v>25</v>
      </c>
      <c r="E276" s="174">
        <f>IF(Input!J276=0,+Input!$G276,+Input!$G276+Input!J276)</f>
        <v>25</v>
      </c>
      <c r="F276" s="174">
        <f>IF(Input!K276=0,+Input!$G276,+Input!$G276+Input!K276)</f>
        <v>25</v>
      </c>
      <c r="G276" s="174">
        <f>IF(Input!L276=0,+Input!$G276,+Input!$G276+Input!L276)</f>
        <v>25</v>
      </c>
      <c r="H276" s="174">
        <f>IF(Input!M276=0,+Input!$G276,+Input!$G276+Input!M276)</f>
        <v>25</v>
      </c>
      <c r="I276" s="174">
        <f>IF(Input!N276=0,+Input!$G276,+Input!$G276+Input!N276)</f>
        <v>25</v>
      </c>
      <c r="J276" s="174">
        <f>IF(Input!O276=0,+Input!$G276,+Input!$G276+Input!O276)</f>
        <v>25</v>
      </c>
      <c r="K276" s="174">
        <f>IF(Input!P276=0,+Input!$G276,+Input!$G276+Input!P276)</f>
        <v>25</v>
      </c>
      <c r="L276" s="174">
        <f>IF(Input!Q276=0,+Input!$G276,+Input!$G276+Input!Q276)</f>
        <v>25</v>
      </c>
      <c r="M276" s="174">
        <f>IF(Input!R276=0,+Input!$G276,+Input!$G276+Input!R276)</f>
        <v>25</v>
      </c>
      <c r="N276" s="174">
        <f>IF(Input!S276=0,+Input!$G276,+Input!$G276+Input!S276)</f>
        <v>25</v>
      </c>
      <c r="O276" s="175">
        <f t="shared" si="41"/>
        <v>300</v>
      </c>
      <c r="P276" s="175">
        <f>IF(AND(O276=""),"",+O276/Setup!$B$12)</f>
        <v>1.3636363636363635</v>
      </c>
      <c r="Q276" s="175">
        <f>IF(ISNA(IF(O276="","",(+VLOOKUP(A276,'2016'!$A:$P,15,FALSE)))),0,IF(O276="",0,(+VLOOKUP(A276,'2016'!$A:$P,15,FALSE))))</f>
        <v>300</v>
      </c>
      <c r="R276" s="169"/>
      <c r="S276" s="273"/>
      <c r="T276" s="320"/>
    </row>
    <row r="277" spans="1:20" s="4" customFormat="1" ht="10.5" customHeight="1">
      <c r="A277" s="410" t="s">
        <v>1077</v>
      </c>
      <c r="B277" s="161" t="s">
        <v>392</v>
      </c>
      <c r="C277" s="174">
        <f>IF(Input!H277=0,+Input!$G277,+Input!$G277+Input!H277)</f>
        <v>3465.1666666666665</v>
      </c>
      <c r="D277" s="174">
        <f>IF(Input!I277=0,+Input!$G277,+Input!$G277+Input!I277)</f>
        <v>3465.1666666666665</v>
      </c>
      <c r="E277" s="174">
        <f>IF(Input!J277=0,+Input!$G277,+Input!$G277+Input!J277)</f>
        <v>3465.1666666666665</v>
      </c>
      <c r="F277" s="174">
        <f>IF(Input!K277=0,+Input!$G277,+Input!$G277+Input!K277)</f>
        <v>3465.1666666666665</v>
      </c>
      <c r="G277" s="174">
        <f>IF(Input!L277=0,+Input!$G277,+Input!$G277+Input!L277)</f>
        <v>3465.1666666666665</v>
      </c>
      <c r="H277" s="174">
        <f>IF(Input!M277=0,+Input!$G277,+Input!$G277+Input!M277)</f>
        <v>3465.1666666666665</v>
      </c>
      <c r="I277" s="174">
        <f>IF(Input!N277=0,+Input!$G277,+Input!$G277+Input!N277)</f>
        <v>3465.1666666666665</v>
      </c>
      <c r="J277" s="174">
        <f>IF(Input!O277=0,+Input!$G277,+Input!$G277+Input!O277)</f>
        <v>3465.1666666666665</v>
      </c>
      <c r="K277" s="174">
        <f>IF(Input!P277=0,+Input!$G277,+Input!$G277+Input!P277)</f>
        <v>3465.1666666666665</v>
      </c>
      <c r="L277" s="174">
        <f>IF(Input!Q277=0,+Input!$G277,+Input!$G277+Input!Q277)</f>
        <v>3465.1666666666665</v>
      </c>
      <c r="M277" s="174">
        <f>IF(Input!R277=0,+Input!$G277,+Input!$G277+Input!R277)</f>
        <v>3465.1666666666665</v>
      </c>
      <c r="N277" s="174">
        <f>IF(Input!S277=0,+Input!$G277,+Input!$G277+Input!S277)</f>
        <v>3465.1666666666665</v>
      </c>
      <c r="O277" s="175">
        <f t="shared" si="41"/>
        <v>41582</v>
      </c>
      <c r="P277" s="175">
        <f>IF(AND(O277=""),"",+O277/Setup!$B$12)</f>
        <v>189.0090909090909</v>
      </c>
      <c r="Q277" s="175">
        <f>IF(ISNA(IF(O277="","",(+VLOOKUP(A277,'2016'!$A:$P,15,FALSE)))),0,IF(O277="",0,(+VLOOKUP(A277,'2016'!$A:$P,15,FALSE))))</f>
        <v>41582</v>
      </c>
      <c r="R277" s="169"/>
      <c r="S277" s="278"/>
      <c r="T277" s="321"/>
    </row>
    <row r="278" spans="1:20" s="10" customFormat="1" ht="10.5" customHeight="1">
      <c r="A278" s="410" t="s">
        <v>1079</v>
      </c>
      <c r="B278" s="161" t="s">
        <v>393</v>
      </c>
      <c r="C278" s="174">
        <f>IF(Input!H278=0,+Input!$G278,+Input!$G278+Input!H278)</f>
        <v>72</v>
      </c>
      <c r="D278" s="174">
        <f>IF(Input!I278=0,+Input!$G278,+Input!$G278+Input!I278)</f>
        <v>72</v>
      </c>
      <c r="E278" s="174">
        <f>IF(Input!J278=0,+Input!$G278,+Input!$G278+Input!J278)</f>
        <v>72</v>
      </c>
      <c r="F278" s="174">
        <f>IF(Input!K278=0,+Input!$G278,+Input!$G278+Input!K278)</f>
        <v>72</v>
      </c>
      <c r="G278" s="174">
        <f>IF(Input!L278=0,+Input!$G278,+Input!$G278+Input!L278)</f>
        <v>72</v>
      </c>
      <c r="H278" s="174">
        <f>IF(Input!M278=0,+Input!$G278,+Input!$G278+Input!M278)</f>
        <v>72</v>
      </c>
      <c r="I278" s="174">
        <f>IF(Input!N278=0,+Input!$G278,+Input!$G278+Input!N278)</f>
        <v>72</v>
      </c>
      <c r="J278" s="174">
        <f>IF(Input!O278=0,+Input!$G278,+Input!$G278+Input!O278)</f>
        <v>72</v>
      </c>
      <c r="K278" s="174">
        <f>IF(Input!P278=0,+Input!$G278,+Input!$G278+Input!P278)</f>
        <v>72</v>
      </c>
      <c r="L278" s="174">
        <f>IF(Input!Q278=0,+Input!$G278,+Input!$G278+Input!Q278)</f>
        <v>72</v>
      </c>
      <c r="M278" s="174">
        <f>IF(Input!R278=0,+Input!$G278,+Input!$G278+Input!R278)</f>
        <v>72</v>
      </c>
      <c r="N278" s="174">
        <f>IF(Input!S278=0,+Input!$G278,+Input!$G278+Input!S278)</f>
        <v>72</v>
      </c>
      <c r="O278" s="175">
        <f t="shared" si="41"/>
        <v>864</v>
      </c>
      <c r="P278" s="175">
        <f>IF(AND(O278=""),"",+O278/Setup!$B$12)</f>
        <v>3.9272727272727272</v>
      </c>
      <c r="Q278" s="175">
        <f>IF(ISNA(IF(O278="","",(+VLOOKUP(A278,'2016'!$A:$P,15,FALSE)))),0,IF(O278="",0,(+VLOOKUP(A278,'2016'!$A:$P,15,FALSE))))</f>
        <v>864</v>
      </c>
      <c r="R278" s="169"/>
      <c r="S278" s="278"/>
      <c r="T278" s="321"/>
    </row>
    <row r="279" spans="1:20" s="17" customFormat="1" ht="10.5" customHeight="1">
      <c r="A279" s="410" t="s">
        <v>1081</v>
      </c>
      <c r="B279" s="161" t="s">
        <v>394</v>
      </c>
      <c r="C279" s="174">
        <f>IF(Input!H279=0,+Input!$G279,+Input!$G279+Input!H279)</f>
        <v>0</v>
      </c>
      <c r="D279" s="174">
        <f>IF(Input!I279=0,+Input!$G279,+Input!$G279+Input!I279)</f>
        <v>0</v>
      </c>
      <c r="E279" s="174">
        <f>IF(Input!J279=0,+Input!$G279,+Input!$G279+Input!J279)</f>
        <v>0</v>
      </c>
      <c r="F279" s="174">
        <f>IF(Input!K279=0,+Input!$G279,+Input!$G279+Input!K279)</f>
        <v>0</v>
      </c>
      <c r="G279" s="174">
        <f>IF(Input!L279=0,+Input!$G279,+Input!$G279+Input!L279)</f>
        <v>0</v>
      </c>
      <c r="H279" s="174">
        <f>IF(Input!M279=0,+Input!$G279,+Input!$G279+Input!M279)</f>
        <v>0</v>
      </c>
      <c r="I279" s="174">
        <f>IF(Input!N279=0,+Input!$G279,+Input!$G279+Input!N279)</f>
        <v>0</v>
      </c>
      <c r="J279" s="174">
        <f>IF(Input!O279=0,+Input!$G279,+Input!$G279+Input!O279)</f>
        <v>0</v>
      </c>
      <c r="K279" s="174">
        <f>IF(Input!P279=0,+Input!$G279,+Input!$G279+Input!P279)</f>
        <v>0</v>
      </c>
      <c r="L279" s="174">
        <f>IF(Input!Q279=0,+Input!$G279,+Input!$G279+Input!Q279)</f>
        <v>0</v>
      </c>
      <c r="M279" s="174">
        <f>IF(Input!R279=0,+Input!$G279,+Input!$G279+Input!R279)</f>
        <v>0</v>
      </c>
      <c r="N279" s="174">
        <f>IF(Input!S279=0,+Input!$G279,+Input!$G279+Input!S279)</f>
        <v>0</v>
      </c>
      <c r="O279" s="175">
        <f t="shared" si="41"/>
        <v>0</v>
      </c>
      <c r="P279" s="175">
        <f>IF(AND(O279=""),"",+O279/Setup!$B$12)</f>
        <v>0</v>
      </c>
      <c r="Q279" s="175">
        <f>IF(ISNA(IF(O279="","",(+VLOOKUP(A279,'2016'!$A:$P,15,FALSE)))),0,IF(O279="",0,(+VLOOKUP(A279,'2016'!$A:$P,15,FALSE))))</f>
        <v>0</v>
      </c>
      <c r="R279" s="169"/>
      <c r="S279" s="274"/>
      <c r="T279" s="321"/>
    </row>
    <row r="280" spans="1:20" s="17" customFormat="1" ht="10.5" customHeight="1">
      <c r="A280" s="410" t="s">
        <v>1083</v>
      </c>
      <c r="B280" s="161" t="s">
        <v>395</v>
      </c>
      <c r="C280" s="174">
        <f>IF(Input!H280=0,+Input!$G280,+Input!$G280+Input!H280)</f>
        <v>104.16666666666667</v>
      </c>
      <c r="D280" s="174">
        <f>IF(Input!I280=0,+Input!$G280,+Input!$G280+Input!I280)</f>
        <v>104.16666666666667</v>
      </c>
      <c r="E280" s="174">
        <f>IF(Input!J280=0,+Input!$G280,+Input!$G280+Input!J280)</f>
        <v>104.16666666666667</v>
      </c>
      <c r="F280" s="174">
        <f>IF(Input!K280=0,+Input!$G280,+Input!$G280+Input!K280)</f>
        <v>104.16666666666667</v>
      </c>
      <c r="G280" s="174">
        <f>IF(Input!L280=0,+Input!$G280,+Input!$G280+Input!L280)</f>
        <v>104.16666666666667</v>
      </c>
      <c r="H280" s="174">
        <f>IF(Input!M280=0,+Input!$G280,+Input!$G280+Input!M280)</f>
        <v>104.16666666666667</v>
      </c>
      <c r="I280" s="174">
        <f>IF(Input!N280=0,+Input!$G280,+Input!$G280+Input!N280)</f>
        <v>104.16666666666667</v>
      </c>
      <c r="J280" s="174">
        <f>IF(Input!O280=0,+Input!$G280,+Input!$G280+Input!O280)</f>
        <v>104.16666666666667</v>
      </c>
      <c r="K280" s="174">
        <f>IF(Input!P280=0,+Input!$G280,+Input!$G280+Input!P280)</f>
        <v>104.16666666666667</v>
      </c>
      <c r="L280" s="174">
        <f>IF(Input!Q280=0,+Input!$G280,+Input!$G280+Input!Q280)</f>
        <v>104.16666666666667</v>
      </c>
      <c r="M280" s="174">
        <f>IF(Input!R280=0,+Input!$G280,+Input!$G280+Input!R280)</f>
        <v>104.16666666666667</v>
      </c>
      <c r="N280" s="174">
        <f>IF(Input!S280=0,+Input!$G280,+Input!$G280+Input!S280)</f>
        <v>104.16666666666667</v>
      </c>
      <c r="O280" s="175">
        <f t="shared" si="41"/>
        <v>1250</v>
      </c>
      <c r="P280" s="175">
        <f>IF(AND(O280=""),"",+O280/Setup!$B$12)</f>
        <v>5.6818181818181817</v>
      </c>
      <c r="Q280" s="175">
        <f>IF(ISNA(IF(O280="","",(+VLOOKUP(A280,'2016'!$A:$P,15,FALSE)))),0,IF(O280="",0,(+VLOOKUP(A280,'2016'!$A:$P,15,FALSE))))</f>
        <v>1250</v>
      </c>
      <c r="R280" s="169"/>
      <c r="S280" s="275"/>
      <c r="T280" s="322"/>
    </row>
    <row r="281" spans="1:20" s="4" customFormat="1" ht="10.5" customHeight="1">
      <c r="A281" s="410" t="s">
        <v>1085</v>
      </c>
      <c r="B281" s="161" t="s">
        <v>396</v>
      </c>
      <c r="C281" s="174">
        <f>IF(Input!H281=0,+Input!$G281,+Input!$G281+Input!H281)</f>
        <v>402.91666666666669</v>
      </c>
      <c r="D281" s="174">
        <f>IF(Input!I281=0,+Input!$G281,+Input!$G281+Input!I281)</f>
        <v>402.91666666666669</v>
      </c>
      <c r="E281" s="174">
        <f>IF(Input!J281=0,+Input!$G281,+Input!$G281+Input!J281)</f>
        <v>402.91666666666669</v>
      </c>
      <c r="F281" s="174">
        <f>IF(Input!K281=0,+Input!$G281,+Input!$G281+Input!K281)</f>
        <v>402.91666666666669</v>
      </c>
      <c r="G281" s="174">
        <f>IF(Input!L281=0,+Input!$G281,+Input!$G281+Input!L281)</f>
        <v>402.91666666666669</v>
      </c>
      <c r="H281" s="174">
        <f>IF(Input!M281=0,+Input!$G281,+Input!$G281+Input!M281)</f>
        <v>402.91666666666669</v>
      </c>
      <c r="I281" s="174">
        <f>IF(Input!N281=0,+Input!$G281,+Input!$G281+Input!N281)</f>
        <v>402.91666666666669</v>
      </c>
      <c r="J281" s="174">
        <f>IF(Input!O281=0,+Input!$G281,+Input!$G281+Input!O281)</f>
        <v>402.91666666666669</v>
      </c>
      <c r="K281" s="174">
        <f>IF(Input!P281=0,+Input!$G281,+Input!$G281+Input!P281)</f>
        <v>402.91666666666669</v>
      </c>
      <c r="L281" s="174">
        <f>IF(Input!Q281=0,+Input!$G281,+Input!$G281+Input!Q281)</f>
        <v>402.91666666666669</v>
      </c>
      <c r="M281" s="174">
        <f>IF(Input!R281=0,+Input!$G281,+Input!$G281+Input!R281)</f>
        <v>402.91666666666669</v>
      </c>
      <c r="N281" s="174">
        <f>IF(Input!S281=0,+Input!$G281,+Input!$G281+Input!S281)</f>
        <v>402.91666666666669</v>
      </c>
      <c r="O281" s="175">
        <f t="shared" si="41"/>
        <v>4835</v>
      </c>
      <c r="P281" s="175">
        <f>IF(AND(O281=""),"",+O281/Setup!$B$12)</f>
        <v>21.977272727272727</v>
      </c>
      <c r="Q281" s="175">
        <f>IF(ISNA(IF(O281="","",(+VLOOKUP(A281,'2016'!$A:$P,15,FALSE)))),0,IF(O281="",0,(+VLOOKUP(A281,'2016'!$A:$P,15,FALSE))))</f>
        <v>4835</v>
      </c>
      <c r="R281" s="169"/>
      <c r="S281" s="273"/>
      <c r="T281" s="320"/>
    </row>
    <row r="282" spans="1:20" s="4" customFormat="1" ht="10.5" customHeight="1">
      <c r="A282" s="410" t="s">
        <v>1087</v>
      </c>
      <c r="B282" s="161" t="s">
        <v>397</v>
      </c>
      <c r="C282" s="174">
        <f>IF(Input!H282=0,+Input!$G282,+Input!$G282+Input!H282)</f>
        <v>720.41666666666663</v>
      </c>
      <c r="D282" s="174">
        <f>IF(Input!I282=0,+Input!$G282,+Input!$G282+Input!I282)</f>
        <v>720.41666666666663</v>
      </c>
      <c r="E282" s="174">
        <f>IF(Input!J282=0,+Input!$G282,+Input!$G282+Input!J282)</f>
        <v>720.41666666666663</v>
      </c>
      <c r="F282" s="174">
        <f>IF(Input!K282=0,+Input!$G282,+Input!$G282+Input!K282)</f>
        <v>720.41666666666663</v>
      </c>
      <c r="G282" s="174">
        <f>IF(Input!L282=0,+Input!$G282,+Input!$G282+Input!L282)</f>
        <v>720.41666666666663</v>
      </c>
      <c r="H282" s="174">
        <f>IF(Input!M282=0,+Input!$G282,+Input!$G282+Input!M282)</f>
        <v>720.41666666666663</v>
      </c>
      <c r="I282" s="174">
        <f>IF(Input!N282=0,+Input!$G282,+Input!$G282+Input!N282)</f>
        <v>720.41666666666663</v>
      </c>
      <c r="J282" s="174">
        <f>IF(Input!O282=0,+Input!$G282,+Input!$G282+Input!O282)</f>
        <v>720.41666666666663</v>
      </c>
      <c r="K282" s="174">
        <f>IF(Input!P282=0,+Input!$G282,+Input!$G282+Input!P282)</f>
        <v>720.41666666666663</v>
      </c>
      <c r="L282" s="174">
        <f>IF(Input!Q282=0,+Input!$G282,+Input!$G282+Input!Q282)</f>
        <v>720.41666666666663</v>
      </c>
      <c r="M282" s="174">
        <f>IF(Input!R282=0,+Input!$G282,+Input!$G282+Input!R282)</f>
        <v>720.41666666666663</v>
      </c>
      <c r="N282" s="174">
        <f>IF(Input!S282=0,+Input!$G282,+Input!$G282+Input!S282)</f>
        <v>720.41666666666663</v>
      </c>
      <c r="O282" s="175">
        <f t="shared" si="41"/>
        <v>8645.0000000000018</v>
      </c>
      <c r="P282" s="175">
        <f>IF(AND(O282=""),"",+O282/Setup!$B$12)</f>
        <v>39.295454545454554</v>
      </c>
      <c r="Q282" s="175">
        <f>IF(ISNA(IF(O282="","",(+VLOOKUP(A282,'2016'!$A:$P,15,FALSE)))),0,IF(O282="",0,(+VLOOKUP(A282,'2016'!$A:$P,15,FALSE))))</f>
        <v>8645</v>
      </c>
      <c r="R282" s="169"/>
      <c r="S282" s="278"/>
      <c r="T282" s="321"/>
    </row>
    <row r="283" spans="1:20" s="4" customFormat="1" ht="10.5" customHeight="1">
      <c r="A283" s="410" t="s">
        <v>1089</v>
      </c>
      <c r="B283" s="161" t="s">
        <v>398</v>
      </c>
      <c r="C283" s="174">
        <f>IF(Input!H283=0,+Input!$G283,+Input!$G283+Input!H283)</f>
        <v>41.416666666666664</v>
      </c>
      <c r="D283" s="174">
        <f>IF(Input!I283=0,+Input!$G283,+Input!$G283+Input!I283)</f>
        <v>41.416666666666664</v>
      </c>
      <c r="E283" s="174">
        <f>IF(Input!J283=0,+Input!$G283,+Input!$G283+Input!J283)</f>
        <v>41.416666666666664</v>
      </c>
      <c r="F283" s="174">
        <f>IF(Input!K283=0,+Input!$G283,+Input!$G283+Input!K283)</f>
        <v>41.416666666666664</v>
      </c>
      <c r="G283" s="174">
        <f>IF(Input!L283=0,+Input!$G283,+Input!$G283+Input!L283)</f>
        <v>41.416666666666664</v>
      </c>
      <c r="H283" s="174">
        <f>IF(Input!M283=0,+Input!$G283,+Input!$G283+Input!M283)</f>
        <v>41.416666666666664</v>
      </c>
      <c r="I283" s="174">
        <f>IF(Input!N283=0,+Input!$G283,+Input!$G283+Input!N283)</f>
        <v>41.416666666666664</v>
      </c>
      <c r="J283" s="174">
        <f>IF(Input!O283=0,+Input!$G283,+Input!$G283+Input!O283)</f>
        <v>41.416666666666664</v>
      </c>
      <c r="K283" s="174">
        <f>IF(Input!P283=0,+Input!$G283,+Input!$G283+Input!P283)</f>
        <v>41.416666666666664</v>
      </c>
      <c r="L283" s="174">
        <f>IF(Input!Q283=0,+Input!$G283,+Input!$G283+Input!Q283)</f>
        <v>41.416666666666664</v>
      </c>
      <c r="M283" s="174">
        <f>IF(Input!R283=0,+Input!$G283,+Input!$G283+Input!R283)</f>
        <v>41.416666666666664</v>
      </c>
      <c r="N283" s="174">
        <f>IF(Input!S283=0,+Input!$G283,+Input!$G283+Input!S283)</f>
        <v>41.416666666666664</v>
      </c>
      <c r="O283" s="175">
        <f t="shared" si="41"/>
        <v>497.00000000000006</v>
      </c>
      <c r="P283" s="175">
        <f>IF(AND(O283=""),"",+O283/Setup!$B$12)</f>
        <v>2.2590909090909093</v>
      </c>
      <c r="Q283" s="175">
        <f>IF(ISNA(IF(O283="","",(+VLOOKUP(A283,'2016'!$A:$P,15,FALSE)))),0,IF(O283="",0,(+VLOOKUP(A283,'2016'!$A:$P,15,FALSE))))</f>
        <v>497</v>
      </c>
      <c r="R283" s="169"/>
      <c r="S283" s="278"/>
      <c r="T283" s="321"/>
    </row>
    <row r="284" spans="1:20" s="4" customFormat="1" ht="10.5" customHeight="1">
      <c r="A284" s="410" t="s">
        <v>1091</v>
      </c>
      <c r="B284" s="161" t="s">
        <v>399</v>
      </c>
      <c r="C284" s="174">
        <f>IF(Input!H284=0,+Input!$G284,+Input!$G284+Input!H284)</f>
        <v>0</v>
      </c>
      <c r="D284" s="174">
        <f>IF(Input!I284=0,+Input!$G284,+Input!$G284+Input!I284)</f>
        <v>0</v>
      </c>
      <c r="E284" s="174">
        <f>IF(Input!J284=0,+Input!$G284,+Input!$G284+Input!J284)</f>
        <v>0</v>
      </c>
      <c r="F284" s="174">
        <f>IF(Input!K284=0,+Input!$G284,+Input!$G284+Input!K284)</f>
        <v>0</v>
      </c>
      <c r="G284" s="174">
        <f>IF(Input!L284=0,+Input!$G284,+Input!$G284+Input!L284)</f>
        <v>0</v>
      </c>
      <c r="H284" s="174">
        <f>IF(Input!M284=0,+Input!$G284,+Input!$G284+Input!M284)</f>
        <v>0</v>
      </c>
      <c r="I284" s="174">
        <f>IF(Input!N284=0,+Input!$G284,+Input!$G284+Input!N284)</f>
        <v>0</v>
      </c>
      <c r="J284" s="174">
        <f>IF(Input!O284=0,+Input!$G284,+Input!$G284+Input!O284)</f>
        <v>0</v>
      </c>
      <c r="K284" s="174">
        <f>IF(Input!P284=0,+Input!$G284,+Input!$G284+Input!P284)</f>
        <v>0</v>
      </c>
      <c r="L284" s="174">
        <f>IF(Input!Q284=0,+Input!$G284,+Input!$G284+Input!Q284)</f>
        <v>0</v>
      </c>
      <c r="M284" s="174">
        <f>IF(Input!R284=0,+Input!$G284,+Input!$G284+Input!R284)</f>
        <v>0</v>
      </c>
      <c r="N284" s="174">
        <f>IF(Input!S284=0,+Input!$G284,+Input!$G284+Input!S284)</f>
        <v>0</v>
      </c>
      <c r="O284" s="175">
        <f t="shared" si="41"/>
        <v>0</v>
      </c>
      <c r="P284" s="175">
        <f>IF(AND(O284=""),"",+O284/Setup!$B$12)</f>
        <v>0</v>
      </c>
      <c r="Q284" s="175">
        <f>IF(ISNA(IF(O284="","",(+VLOOKUP(A284,'2016'!$A:$P,15,FALSE)))),0,IF(O284="",0,(+VLOOKUP(A284,'2016'!$A:$P,15,FALSE))))</f>
        <v>0</v>
      </c>
      <c r="R284" s="169"/>
      <c r="S284" s="278"/>
      <c r="T284" s="321"/>
    </row>
    <row r="285" spans="1:20" s="4" customFormat="1" ht="10.5" customHeight="1">
      <c r="A285" s="410" t="s">
        <v>1092</v>
      </c>
      <c r="B285" s="161" t="s">
        <v>400</v>
      </c>
      <c r="C285" s="174">
        <f>IF(Input!H285=0,+Input!$G285,+Input!$G285+Input!H285)</f>
        <v>0</v>
      </c>
      <c r="D285" s="174">
        <f>IF(Input!I285=0,+Input!$G285,+Input!$G285+Input!I285)</f>
        <v>0</v>
      </c>
      <c r="E285" s="174">
        <f>IF(Input!J285=0,+Input!$G285,+Input!$G285+Input!J285)</f>
        <v>0</v>
      </c>
      <c r="F285" s="174">
        <f>IF(Input!K285=0,+Input!$G285,+Input!$G285+Input!K285)</f>
        <v>0</v>
      </c>
      <c r="G285" s="174">
        <f>IF(Input!L285=0,+Input!$G285,+Input!$G285+Input!L285)</f>
        <v>0</v>
      </c>
      <c r="H285" s="174">
        <f>IF(Input!M285=0,+Input!$G285,+Input!$G285+Input!M285)</f>
        <v>0</v>
      </c>
      <c r="I285" s="174">
        <f>IF(Input!N285=0,+Input!$G285,+Input!$G285+Input!N285)</f>
        <v>0</v>
      </c>
      <c r="J285" s="174">
        <f>IF(Input!O285=0,+Input!$G285,+Input!$G285+Input!O285)</f>
        <v>0</v>
      </c>
      <c r="K285" s="174">
        <f>IF(Input!P285=0,+Input!$G285,+Input!$G285+Input!P285)</f>
        <v>0</v>
      </c>
      <c r="L285" s="174">
        <f>IF(Input!Q285=0,+Input!$G285,+Input!$G285+Input!Q285)</f>
        <v>0</v>
      </c>
      <c r="M285" s="174">
        <f>IF(Input!R285=0,+Input!$G285,+Input!$G285+Input!R285)</f>
        <v>0</v>
      </c>
      <c r="N285" s="174">
        <f>IF(Input!S285=0,+Input!$G285,+Input!$G285+Input!S285)</f>
        <v>0</v>
      </c>
      <c r="O285" s="175">
        <f t="shared" si="41"/>
        <v>0</v>
      </c>
      <c r="P285" s="175">
        <f>IF(AND(O285=""),"",+O285/Setup!$B$12)</f>
        <v>0</v>
      </c>
      <c r="Q285" s="175">
        <f>IF(ISNA(IF(O285="","",(+VLOOKUP(A285,'2016'!$A:$P,15,FALSE)))),0,IF(O285="",0,(+VLOOKUP(A285,'2016'!$A:$P,15,FALSE))))</f>
        <v>0</v>
      </c>
      <c r="R285" s="169"/>
      <c r="S285" s="278"/>
      <c r="T285" s="321"/>
    </row>
    <row r="286" spans="1:20" s="4" customFormat="1" ht="10.5" customHeight="1">
      <c r="A286" s="411" t="s">
        <v>1094</v>
      </c>
      <c r="B286" s="4" t="s">
        <v>1248</v>
      </c>
      <c r="C286" s="174">
        <f>IF(Input!H286=0,+Input!$G286,+Input!$G286+Input!H286)</f>
        <v>0</v>
      </c>
      <c r="D286" s="174">
        <f>IF(Input!I286=0,+Input!$G286,+Input!$G286+Input!I286)</f>
        <v>0</v>
      </c>
      <c r="E286" s="174">
        <f>IF(Input!J286=0,+Input!$G286,+Input!$G286+Input!J286)</f>
        <v>0</v>
      </c>
      <c r="F286" s="174">
        <f>IF(Input!K286=0,+Input!$G286,+Input!$G286+Input!K286)</f>
        <v>0</v>
      </c>
      <c r="G286" s="174">
        <f>IF(Input!L286=0,+Input!$G286,+Input!$G286+Input!L286)</f>
        <v>0</v>
      </c>
      <c r="H286" s="174">
        <f>IF(Input!M286=0,+Input!$G286,+Input!$G286+Input!M286)</f>
        <v>0</v>
      </c>
      <c r="I286" s="174">
        <f>IF(Input!N286=0,+Input!$G286,+Input!$G286+Input!N286)</f>
        <v>0</v>
      </c>
      <c r="J286" s="174">
        <f>IF(Input!O286=0,+Input!$G286,+Input!$G286+Input!O286)</f>
        <v>0</v>
      </c>
      <c r="K286" s="174">
        <f>IF(Input!P286=0,+Input!$G286,+Input!$G286+Input!P286)</f>
        <v>0</v>
      </c>
      <c r="L286" s="174">
        <f>IF(Input!Q286=0,+Input!$G286,+Input!$G286+Input!Q286)</f>
        <v>0</v>
      </c>
      <c r="M286" s="174">
        <f>IF(Input!R286=0,+Input!$G286,+Input!$G286+Input!R286)</f>
        <v>0</v>
      </c>
      <c r="N286" s="174">
        <f>IF(Input!S286=0,+Input!$G286,+Input!$G286+Input!S286)</f>
        <v>0</v>
      </c>
      <c r="O286" s="175">
        <f t="shared" si="41"/>
        <v>0</v>
      </c>
      <c r="P286" s="175">
        <f>IF(AND(O286=""),"",+O286/Setup!$B$12)</f>
        <v>0</v>
      </c>
      <c r="Q286" s="175">
        <f>IF(ISNA(IF(O286="","",(+VLOOKUP(A286,'2016'!$A:$P,15,FALSE)))),0,IF(O286="",0,(+VLOOKUP(A286,'2016'!$A:$P,15,FALSE))))</f>
        <v>0</v>
      </c>
      <c r="R286" s="169"/>
      <c r="S286" s="401"/>
      <c r="T286" s="321"/>
    </row>
    <row r="287" spans="1:20" s="4" customFormat="1" ht="10.5" customHeight="1">
      <c r="A287" s="411" t="s">
        <v>1095</v>
      </c>
      <c r="B287" s="4" t="s">
        <v>1249</v>
      </c>
      <c r="C287" s="174">
        <f>IF(Input!H287=0,+Input!$G287,+Input!$G287+Input!H287)</f>
        <v>0</v>
      </c>
      <c r="D287" s="174">
        <f>IF(Input!I287=0,+Input!$G287,+Input!$G287+Input!I287)</f>
        <v>0</v>
      </c>
      <c r="E287" s="174">
        <f>IF(Input!J287=0,+Input!$G287,+Input!$G287+Input!J287)</f>
        <v>0</v>
      </c>
      <c r="F287" s="174">
        <f>IF(Input!K287=0,+Input!$G287,+Input!$G287+Input!K287)</f>
        <v>0</v>
      </c>
      <c r="G287" s="174">
        <f>IF(Input!L287=0,+Input!$G287,+Input!$G287+Input!L287)</f>
        <v>0</v>
      </c>
      <c r="H287" s="174">
        <f>IF(Input!M287=0,+Input!$G287,+Input!$G287+Input!M287)</f>
        <v>0</v>
      </c>
      <c r="I287" s="174">
        <f>IF(Input!N287=0,+Input!$G287,+Input!$G287+Input!N287)</f>
        <v>0</v>
      </c>
      <c r="J287" s="174">
        <f>IF(Input!O287=0,+Input!$G287,+Input!$G287+Input!O287)</f>
        <v>0</v>
      </c>
      <c r="K287" s="174">
        <f>IF(Input!P287=0,+Input!$G287,+Input!$G287+Input!P287)</f>
        <v>0</v>
      </c>
      <c r="L287" s="174">
        <f>IF(Input!Q287=0,+Input!$G287,+Input!$G287+Input!Q287)</f>
        <v>0</v>
      </c>
      <c r="M287" s="174">
        <f>IF(Input!R287=0,+Input!$G287,+Input!$G287+Input!R287)</f>
        <v>0</v>
      </c>
      <c r="N287" s="174">
        <f>IF(Input!S287=0,+Input!$G287,+Input!$G287+Input!S287)</f>
        <v>0</v>
      </c>
      <c r="O287" s="175">
        <f t="shared" si="41"/>
        <v>0</v>
      </c>
      <c r="P287" s="175">
        <f>IF(AND(O287=""),"",+O287/Setup!$B$12)</f>
        <v>0</v>
      </c>
      <c r="Q287" s="175">
        <f>IF(ISNA(IF(O287="","",(+VLOOKUP(A287,'2016'!$A:$P,15,FALSE)))),0,IF(O287="",0,(+VLOOKUP(A287,'2016'!$A:$P,15,FALSE))))</f>
        <v>0</v>
      </c>
      <c r="R287" s="169"/>
      <c r="S287" s="329"/>
      <c r="T287" s="321"/>
    </row>
    <row r="288" spans="1:20" s="4" customFormat="1" ht="10.5" customHeight="1">
      <c r="A288" s="163"/>
      <c r="B288" s="163"/>
      <c r="C288" s="174"/>
      <c r="D288" s="174"/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175" t="str">
        <f t="shared" si="41"/>
        <v/>
      </c>
      <c r="P288" s="175" t="str">
        <f>IF(AND(O288=""),"",+O288/Setup!$B$12)</f>
        <v/>
      </c>
      <c r="Q288" s="175" t="str">
        <f>IF(O288="","",(+VLOOKUP(A288,'2016'!$A:$P,15,FALSE)))</f>
        <v/>
      </c>
      <c r="R288" s="169"/>
      <c r="S288" s="278"/>
      <c r="T288" s="321"/>
    </row>
    <row r="289" spans="1:20" s="4" customFormat="1" ht="10.5" customHeight="1">
      <c r="A289" s="159"/>
      <c r="B289" s="159" t="s">
        <v>139</v>
      </c>
      <c r="C289" s="174">
        <f>SUM(C272:C285)</f>
        <v>8218.0833333333339</v>
      </c>
      <c r="D289" s="174">
        <f t="shared" ref="D289:N289" si="54">SUM(D272:D285)</f>
        <v>8218.0833333333339</v>
      </c>
      <c r="E289" s="174">
        <f t="shared" si="54"/>
        <v>8218.0833333333339</v>
      </c>
      <c r="F289" s="174">
        <f t="shared" si="54"/>
        <v>8218.0833333333339</v>
      </c>
      <c r="G289" s="174">
        <f t="shared" si="54"/>
        <v>8218.0833333333339</v>
      </c>
      <c r="H289" s="174">
        <f t="shared" si="54"/>
        <v>8218.0833333333339</v>
      </c>
      <c r="I289" s="174">
        <f t="shared" si="54"/>
        <v>8218.0833333333339</v>
      </c>
      <c r="J289" s="174">
        <f t="shared" si="54"/>
        <v>8218.0833333333339</v>
      </c>
      <c r="K289" s="174">
        <f t="shared" si="54"/>
        <v>8218.0833333333339</v>
      </c>
      <c r="L289" s="174">
        <f t="shared" si="54"/>
        <v>8218.0833333333339</v>
      </c>
      <c r="M289" s="174">
        <f t="shared" si="54"/>
        <v>8218.0833333333339</v>
      </c>
      <c r="N289" s="174">
        <f t="shared" si="54"/>
        <v>8218.0833333333339</v>
      </c>
      <c r="O289" s="175">
        <f t="shared" si="41"/>
        <v>98616.999999999985</v>
      </c>
      <c r="P289" s="175">
        <f>IF(AND(O289=""),"",+O289/Setup!$B$12)</f>
        <v>448.25909090909084</v>
      </c>
      <c r="Q289" s="174">
        <f t="shared" ref="Q289" si="55">SUM(Q272:Q285)</f>
        <v>98617</v>
      </c>
      <c r="R289" s="169"/>
      <c r="S289" s="278"/>
      <c r="T289" s="321"/>
    </row>
    <row r="290" spans="1:20" s="4" customFormat="1" ht="10.5" customHeight="1">
      <c r="A290" s="165"/>
      <c r="B290" s="165"/>
      <c r="C290" s="174"/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5" t="str">
        <f t="shared" si="41"/>
        <v/>
      </c>
      <c r="P290" s="175" t="str">
        <f>IF(AND(O290=""),"",+O290/Setup!$B$12)</f>
        <v/>
      </c>
      <c r="Q290" s="175" t="str">
        <f>IF(O290="","",(+VLOOKUP(A290,'2016'!$A:$P,15,FALSE)))</f>
        <v/>
      </c>
      <c r="R290" s="169"/>
      <c r="S290" s="278"/>
      <c r="T290" s="321"/>
    </row>
    <row r="291" spans="1:20" s="4" customFormat="1" ht="10.5" customHeight="1">
      <c r="A291" s="160"/>
      <c r="B291" s="160" t="s">
        <v>401</v>
      </c>
      <c r="C291" s="174"/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5" t="str">
        <f t="shared" si="41"/>
        <v/>
      </c>
      <c r="P291" s="175" t="str">
        <f>IF(AND(O291=""),"",+O291/Setup!$B$12)</f>
        <v/>
      </c>
      <c r="Q291" s="175" t="str">
        <f>IF(O291="","",(+VLOOKUP(A291,'2016'!$A:$P,15,FALSE)))</f>
        <v/>
      </c>
      <c r="R291" s="169"/>
      <c r="S291" s="278"/>
      <c r="T291" s="321"/>
    </row>
    <row r="292" spans="1:20" s="4" customFormat="1" ht="10.5" customHeight="1">
      <c r="A292" s="410" t="s">
        <v>1098</v>
      </c>
      <c r="B292" s="161" t="s">
        <v>402</v>
      </c>
      <c r="C292" s="174">
        <f>IF(Input!H292=0,+Input!$G292,+Input!$G292+Input!H292)</f>
        <v>0</v>
      </c>
      <c r="D292" s="174">
        <f>IF(Input!I292=0,+Input!$G292,+Input!$G292+Input!I292)</f>
        <v>0</v>
      </c>
      <c r="E292" s="174">
        <f>IF(Input!J292=0,+Input!$G292,+Input!$G292+Input!J292)</f>
        <v>0</v>
      </c>
      <c r="F292" s="174">
        <f>IF(Input!K292=0,+Input!$G292,+Input!$G292+Input!K292)</f>
        <v>0</v>
      </c>
      <c r="G292" s="174">
        <f>IF(Input!L292=0,+Input!$G292,+Input!$G292+Input!L292)</f>
        <v>0</v>
      </c>
      <c r="H292" s="174">
        <f>IF(Input!M292=0,+Input!$G292,+Input!$G292+Input!M292)</f>
        <v>0</v>
      </c>
      <c r="I292" s="174">
        <f>IF(Input!N292=0,+Input!$G292,+Input!$G292+Input!N292)</f>
        <v>0</v>
      </c>
      <c r="J292" s="174">
        <f>IF(Input!O292=0,+Input!$G292,+Input!$G292+Input!O292)</f>
        <v>0</v>
      </c>
      <c r="K292" s="174">
        <f>IF(Input!P292=0,+Input!$G292,+Input!$G292+Input!P292)</f>
        <v>0</v>
      </c>
      <c r="L292" s="174">
        <f>IF(Input!Q292=0,+Input!$G292,+Input!$G292+Input!Q292)</f>
        <v>0</v>
      </c>
      <c r="M292" s="174">
        <f>IF(Input!R292=0,+Input!$G292,+Input!$G292+Input!R292)</f>
        <v>0</v>
      </c>
      <c r="N292" s="174">
        <f>IF(Input!S292=0,+Input!$G292,+Input!$G292+Input!S292)</f>
        <v>0</v>
      </c>
      <c r="O292" s="175">
        <f t="shared" si="41"/>
        <v>0</v>
      </c>
      <c r="P292" s="175">
        <f>IF(AND(O292=""),"",+O292/Setup!$B$12)</f>
        <v>0</v>
      </c>
      <c r="Q292" s="175">
        <f>IF(ISNA(IF(O292="","",(+VLOOKUP(A292,'2016'!$A:$P,15,FALSE)))),0,IF(O292="",0,(+VLOOKUP(A292,'2016'!$A:$P,15,FALSE))))</f>
        <v>0</v>
      </c>
      <c r="R292" s="169"/>
      <c r="S292" s="278"/>
      <c r="T292" s="321"/>
    </row>
    <row r="293" spans="1:20" s="4" customFormat="1" ht="10.5" customHeight="1">
      <c r="A293" s="410" t="s">
        <v>1099</v>
      </c>
      <c r="B293" s="161" t="s">
        <v>403</v>
      </c>
      <c r="C293" s="174">
        <f>IF(Input!H293=0,+Input!$G293,+Input!$G293+Input!H293)</f>
        <v>0</v>
      </c>
      <c r="D293" s="174">
        <f>IF(Input!I293=0,+Input!$G293,+Input!$G293+Input!I293)</f>
        <v>0</v>
      </c>
      <c r="E293" s="174">
        <f>IF(Input!J293=0,+Input!$G293,+Input!$G293+Input!J293)</f>
        <v>0</v>
      </c>
      <c r="F293" s="174">
        <f>IF(Input!K293=0,+Input!$G293,+Input!$G293+Input!K293)</f>
        <v>0</v>
      </c>
      <c r="G293" s="174">
        <f>IF(Input!L293=0,+Input!$G293,+Input!$G293+Input!L293)</f>
        <v>0</v>
      </c>
      <c r="H293" s="174">
        <f>IF(Input!M293=0,+Input!$G293,+Input!$G293+Input!M293)</f>
        <v>0</v>
      </c>
      <c r="I293" s="174">
        <f>IF(Input!N293=0,+Input!$G293,+Input!$G293+Input!N293)</f>
        <v>0</v>
      </c>
      <c r="J293" s="174">
        <f>IF(Input!O293=0,+Input!$G293,+Input!$G293+Input!O293)</f>
        <v>0</v>
      </c>
      <c r="K293" s="174">
        <f>IF(Input!P293=0,+Input!$G293,+Input!$G293+Input!P293)</f>
        <v>0</v>
      </c>
      <c r="L293" s="174">
        <f>IF(Input!Q293=0,+Input!$G293,+Input!$G293+Input!Q293)</f>
        <v>0</v>
      </c>
      <c r="M293" s="174">
        <f>IF(Input!R293=0,+Input!$G293,+Input!$G293+Input!R293)</f>
        <v>0</v>
      </c>
      <c r="N293" s="174">
        <f>IF(Input!S293=0,+Input!$G293,+Input!$G293+Input!S293)</f>
        <v>0</v>
      </c>
      <c r="O293" s="175">
        <f t="shared" si="41"/>
        <v>0</v>
      </c>
      <c r="P293" s="175">
        <f>IF(AND(O293=""),"",+O293/Setup!$B$12)</f>
        <v>0</v>
      </c>
      <c r="Q293" s="175">
        <f>IF(ISNA(IF(O293="","",(+VLOOKUP(A293,'2016'!$A:$P,15,FALSE)))),0,IF(O293="",0,(+VLOOKUP(A293,'2016'!$A:$P,15,FALSE))))</f>
        <v>0</v>
      </c>
      <c r="R293" s="169"/>
      <c r="S293" s="274"/>
      <c r="T293" s="321"/>
    </row>
    <row r="294" spans="1:20" s="18" customFormat="1" ht="10.5" customHeight="1">
      <c r="A294" s="410" t="s">
        <v>1100</v>
      </c>
      <c r="B294" s="161" t="s">
        <v>404</v>
      </c>
      <c r="C294" s="174">
        <f>IF(Input!H294=0,+Input!$G294,+Input!$G294+Input!H294)</f>
        <v>0</v>
      </c>
      <c r="D294" s="174">
        <f>IF(Input!I294=0,+Input!$G294,+Input!$G294+Input!I294)</f>
        <v>0</v>
      </c>
      <c r="E294" s="174">
        <f>IF(Input!J294=0,+Input!$G294,+Input!$G294+Input!J294)</f>
        <v>0</v>
      </c>
      <c r="F294" s="174">
        <f>IF(Input!K294=0,+Input!$G294,+Input!$G294+Input!K294)</f>
        <v>0</v>
      </c>
      <c r="G294" s="174">
        <f>IF(Input!L294=0,+Input!$G294,+Input!$G294+Input!L294)</f>
        <v>0</v>
      </c>
      <c r="H294" s="174">
        <f>IF(Input!M294=0,+Input!$G294,+Input!$G294+Input!M294)</f>
        <v>0</v>
      </c>
      <c r="I294" s="174">
        <f>IF(Input!N294=0,+Input!$G294,+Input!$G294+Input!N294)</f>
        <v>0</v>
      </c>
      <c r="J294" s="174">
        <f>IF(Input!O294=0,+Input!$G294,+Input!$G294+Input!O294)</f>
        <v>0</v>
      </c>
      <c r="K294" s="174">
        <f>IF(Input!P294=0,+Input!$G294,+Input!$G294+Input!P294)</f>
        <v>0</v>
      </c>
      <c r="L294" s="174">
        <f>IF(Input!Q294=0,+Input!$G294,+Input!$G294+Input!Q294)</f>
        <v>0</v>
      </c>
      <c r="M294" s="174">
        <f>IF(Input!R294=0,+Input!$G294,+Input!$G294+Input!R294)</f>
        <v>0</v>
      </c>
      <c r="N294" s="174">
        <f>IF(Input!S294=0,+Input!$G294,+Input!$G294+Input!S294)</f>
        <v>0</v>
      </c>
      <c r="O294" s="175">
        <f t="shared" ref="O294:O297" si="56">IF(N294="","",SUM(C294:N294))</f>
        <v>0</v>
      </c>
      <c r="P294" s="175">
        <f>IF(AND(O294=""),"",+O294/Setup!$B$12)</f>
        <v>0</v>
      </c>
      <c r="Q294" s="175">
        <f>IF(ISNA(IF(O294="","",(+VLOOKUP(A294,'2016'!$A:$P,15,FALSE)))),0,IF(O294="",0,(+VLOOKUP(A294,'2016'!$A:$P,15,FALSE))))</f>
        <v>0</v>
      </c>
      <c r="R294" s="169"/>
      <c r="S294" s="274"/>
      <c r="T294" s="320"/>
    </row>
    <row r="295" spans="1:20" s="17" customFormat="1" ht="10.5" customHeight="1">
      <c r="A295" s="410" t="s">
        <v>1101</v>
      </c>
      <c r="B295" s="161" t="s">
        <v>405</v>
      </c>
      <c r="C295" s="174">
        <f>IF(Input!H295=0,+Input!$G295,+Input!$G295+Input!H295)</f>
        <v>0</v>
      </c>
      <c r="D295" s="174">
        <f>IF(Input!I295=0,+Input!$G295,+Input!$G295+Input!I295)</f>
        <v>0</v>
      </c>
      <c r="E295" s="174">
        <f>IF(Input!J295=0,+Input!$G295,+Input!$G295+Input!J295)</f>
        <v>0</v>
      </c>
      <c r="F295" s="174">
        <f>IF(Input!K295=0,+Input!$G295,+Input!$G295+Input!K295)</f>
        <v>0</v>
      </c>
      <c r="G295" s="174">
        <f>IF(Input!L295=0,+Input!$G295,+Input!$G295+Input!L295)</f>
        <v>0</v>
      </c>
      <c r="H295" s="174">
        <f>IF(Input!M295=0,+Input!$G295,+Input!$G295+Input!M295)</f>
        <v>0</v>
      </c>
      <c r="I295" s="174">
        <f>IF(Input!N295=0,+Input!$G295,+Input!$G295+Input!N295)</f>
        <v>0</v>
      </c>
      <c r="J295" s="174">
        <f>IF(Input!O295=0,+Input!$G295,+Input!$G295+Input!O295)</f>
        <v>0</v>
      </c>
      <c r="K295" s="174">
        <f>IF(Input!P295=0,+Input!$G295,+Input!$G295+Input!P295)</f>
        <v>0</v>
      </c>
      <c r="L295" s="174">
        <f>IF(Input!Q295=0,+Input!$G295,+Input!$G295+Input!Q295)</f>
        <v>0</v>
      </c>
      <c r="M295" s="174">
        <f>IF(Input!R295=0,+Input!$G295,+Input!$G295+Input!R295)</f>
        <v>0</v>
      </c>
      <c r="N295" s="174">
        <f>IF(Input!S295=0,+Input!$G295,+Input!$G295+Input!S295)</f>
        <v>0</v>
      </c>
      <c r="O295" s="175">
        <f t="shared" si="56"/>
        <v>0</v>
      </c>
      <c r="P295" s="175">
        <f>IF(AND(O295=""),"",+O295/Setup!$B$12)</f>
        <v>0</v>
      </c>
      <c r="Q295" s="175">
        <f>IF(ISNA(IF(O295="","",(+VLOOKUP(A295,'2016'!$A:$P,15,FALSE)))),0,IF(O295="",0,(+VLOOKUP(A295,'2016'!$A:$P,15,FALSE))))</f>
        <v>0</v>
      </c>
      <c r="R295" s="169"/>
      <c r="S295" s="275"/>
      <c r="T295" s="322"/>
    </row>
    <row r="296" spans="1:20" s="4" customFormat="1" ht="10.5" customHeight="1">
      <c r="A296" s="410" t="s">
        <v>1102</v>
      </c>
      <c r="B296" s="161" t="s">
        <v>406</v>
      </c>
      <c r="C296" s="174">
        <f>IF(Input!H296=0,+Input!$G296,+Input!$G296+Input!H296)</f>
        <v>248.66666666666666</v>
      </c>
      <c r="D296" s="174">
        <f>IF(Input!I296=0,+Input!$G296,+Input!$G296+Input!I296)</f>
        <v>248.66666666666666</v>
      </c>
      <c r="E296" s="174">
        <f>IF(Input!J296=0,+Input!$G296,+Input!$G296+Input!J296)</f>
        <v>248.66666666666666</v>
      </c>
      <c r="F296" s="174">
        <f>IF(Input!K296=0,+Input!$G296,+Input!$G296+Input!K296)</f>
        <v>248.66666666666666</v>
      </c>
      <c r="G296" s="174">
        <f>IF(Input!L296=0,+Input!$G296,+Input!$G296+Input!L296)</f>
        <v>248.66666666666666</v>
      </c>
      <c r="H296" s="174">
        <f>IF(Input!M296=0,+Input!$G296,+Input!$G296+Input!M296)</f>
        <v>248.66666666666666</v>
      </c>
      <c r="I296" s="174">
        <f>IF(Input!N296=0,+Input!$G296,+Input!$G296+Input!N296)</f>
        <v>248.66666666666666</v>
      </c>
      <c r="J296" s="174">
        <f>IF(Input!O296=0,+Input!$G296,+Input!$G296+Input!O296)</f>
        <v>248.66666666666666</v>
      </c>
      <c r="K296" s="174">
        <f>IF(Input!P296=0,+Input!$G296,+Input!$G296+Input!P296)</f>
        <v>248.66666666666666</v>
      </c>
      <c r="L296" s="174">
        <f>IF(Input!Q296=0,+Input!$G296,+Input!$G296+Input!Q296)</f>
        <v>248.66666666666666</v>
      </c>
      <c r="M296" s="174">
        <f>IF(Input!R296=0,+Input!$G296,+Input!$G296+Input!R296)</f>
        <v>248.66666666666666</v>
      </c>
      <c r="N296" s="174">
        <f>IF(Input!S296=0,+Input!$G296,+Input!$G296+Input!S296)</f>
        <v>248.66666666666666</v>
      </c>
      <c r="O296" s="175">
        <f t="shared" si="56"/>
        <v>2983.9999999999995</v>
      </c>
      <c r="P296" s="175">
        <f>IF(AND(O296=""),"",+O296/Setup!$B$12)</f>
        <v>13.563636363636361</v>
      </c>
      <c r="Q296" s="175">
        <f>IF(ISNA(IF(O296="","",(+VLOOKUP(A296,'2016'!$A:$P,15,FALSE)))),0,IF(O296="",0,(+VLOOKUP(A296,'2016'!$A:$P,15,FALSE))))</f>
        <v>2984</v>
      </c>
      <c r="R296" s="169"/>
      <c r="S296" s="273"/>
      <c r="T296" s="320"/>
    </row>
    <row r="297" spans="1:20" s="4" customFormat="1" ht="10.5" customHeight="1">
      <c r="A297" s="410" t="s">
        <v>1104</v>
      </c>
      <c r="B297" s="161" t="s">
        <v>407</v>
      </c>
      <c r="C297" s="174">
        <f>IF(Input!H297=0,+Input!$G297,+Input!$G297+Input!H297)</f>
        <v>-282</v>
      </c>
      <c r="D297" s="174">
        <f>IF(Input!I297=0,+Input!$G297,+Input!$G297+Input!I297)</f>
        <v>-282</v>
      </c>
      <c r="E297" s="174">
        <f>IF(Input!J297=0,+Input!$G297,+Input!$G297+Input!J297)</f>
        <v>-282</v>
      </c>
      <c r="F297" s="174">
        <f>IF(Input!K297=0,+Input!$G297,+Input!$G297+Input!K297)</f>
        <v>-282</v>
      </c>
      <c r="G297" s="174">
        <f>IF(Input!L297=0,+Input!$G297,+Input!$G297+Input!L297)</f>
        <v>-282</v>
      </c>
      <c r="H297" s="174">
        <f>IF(Input!M297=0,+Input!$G297,+Input!$G297+Input!M297)</f>
        <v>-282</v>
      </c>
      <c r="I297" s="174">
        <f>IF(Input!N297=0,+Input!$G297,+Input!$G297+Input!N297)</f>
        <v>-282</v>
      </c>
      <c r="J297" s="174">
        <f>IF(Input!O297=0,+Input!$G297,+Input!$G297+Input!O297)</f>
        <v>-282</v>
      </c>
      <c r="K297" s="174">
        <f>IF(Input!P297=0,+Input!$G297,+Input!$G297+Input!P297)</f>
        <v>-282</v>
      </c>
      <c r="L297" s="174">
        <f>IF(Input!Q297=0,+Input!$G297,+Input!$G297+Input!Q297)</f>
        <v>-282</v>
      </c>
      <c r="M297" s="174">
        <f>IF(Input!R297=0,+Input!$G297,+Input!$G297+Input!R297)</f>
        <v>-282</v>
      </c>
      <c r="N297" s="174">
        <f>IF(Input!S297=0,+Input!$G297,+Input!$G297+Input!S297)</f>
        <v>-282</v>
      </c>
      <c r="O297" s="175">
        <f t="shared" si="56"/>
        <v>-3384</v>
      </c>
      <c r="P297" s="175">
        <f>IF(AND(O297=""),"",+O297/Setup!$B$12)</f>
        <v>-15.381818181818181</v>
      </c>
      <c r="Q297" s="175">
        <f>IF(ISNA(IF(O297="","",(+VLOOKUP(A297,'2016'!$A:$P,15,FALSE)))),0,IF(O297="",0,(+VLOOKUP(A297,'2016'!$A:$P,15,FALSE))))</f>
        <v>-3384</v>
      </c>
      <c r="R297" s="169"/>
      <c r="S297" s="278"/>
      <c r="T297" s="321"/>
    </row>
    <row r="298" spans="1:20" s="17" customFormat="1" ht="10.5" customHeight="1">
      <c r="A298" s="163"/>
      <c r="B298" s="163"/>
      <c r="C298" s="174"/>
      <c r="D298" s="174"/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5" t="str">
        <f t="shared" ref="O298:Q330" si="57">IF(N298="","",SUM(C298:N298))</f>
        <v/>
      </c>
      <c r="P298" s="175" t="str">
        <f>IF(AND(O298=""),"",+O298/Setup!$B$12)</f>
        <v/>
      </c>
      <c r="Q298" s="175" t="str">
        <f>IF(O298="","",(+VLOOKUP(A298,'2016'!$A:$P,15,FALSE)))</f>
        <v/>
      </c>
      <c r="R298" s="169"/>
      <c r="S298" s="278"/>
      <c r="T298" s="321"/>
    </row>
    <row r="299" spans="1:20" s="4" customFormat="1" ht="10.5" customHeight="1">
      <c r="A299" s="159"/>
      <c r="B299" s="159" t="s">
        <v>408</v>
      </c>
      <c r="C299" s="174">
        <f t="shared" ref="C299:N299" si="58">SUM(C292:C297)</f>
        <v>-33.333333333333343</v>
      </c>
      <c r="D299" s="174">
        <f t="shared" si="58"/>
        <v>-33.333333333333343</v>
      </c>
      <c r="E299" s="174">
        <f t="shared" si="58"/>
        <v>-33.333333333333343</v>
      </c>
      <c r="F299" s="174">
        <f t="shared" si="58"/>
        <v>-33.333333333333343</v>
      </c>
      <c r="G299" s="174">
        <f t="shared" si="58"/>
        <v>-33.333333333333343</v>
      </c>
      <c r="H299" s="174">
        <f t="shared" si="58"/>
        <v>-33.333333333333343</v>
      </c>
      <c r="I299" s="174">
        <f t="shared" si="58"/>
        <v>-33.333333333333343</v>
      </c>
      <c r="J299" s="174">
        <f t="shared" si="58"/>
        <v>-33.333333333333343</v>
      </c>
      <c r="K299" s="174">
        <f t="shared" si="58"/>
        <v>-33.333333333333343</v>
      </c>
      <c r="L299" s="174">
        <f t="shared" si="58"/>
        <v>-33.333333333333343</v>
      </c>
      <c r="M299" s="174">
        <f t="shared" si="58"/>
        <v>-33.333333333333343</v>
      </c>
      <c r="N299" s="174">
        <f t="shared" si="58"/>
        <v>-33.333333333333343</v>
      </c>
      <c r="O299" s="175">
        <f t="shared" si="57"/>
        <v>-400.00000000000023</v>
      </c>
      <c r="P299" s="175">
        <f>IF(AND(O299=""),"",+O299/Setup!$B$12)</f>
        <v>-1.8181818181818192</v>
      </c>
      <c r="Q299" s="175">
        <f t="shared" si="57"/>
        <v>-735.15151515151558</v>
      </c>
      <c r="R299" s="169"/>
      <c r="S299" s="278"/>
      <c r="T299" s="321"/>
    </row>
    <row r="300" spans="1:20" s="17" customFormat="1" ht="10.5" customHeight="1">
      <c r="A300" s="164"/>
      <c r="B300" s="163"/>
      <c r="C300" s="174"/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5" t="str">
        <f t="shared" si="57"/>
        <v/>
      </c>
      <c r="P300" s="175"/>
      <c r="Q300" s="175" t="str">
        <f t="shared" si="57"/>
        <v/>
      </c>
      <c r="R300" s="169"/>
      <c r="S300" s="278"/>
      <c r="T300" s="321"/>
    </row>
    <row r="301" spans="1:20" s="4" customFormat="1" ht="10.5" customHeight="1">
      <c r="A301" s="165"/>
      <c r="B301" s="165"/>
      <c r="C301" s="174"/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175" t="str">
        <f t="shared" si="57"/>
        <v/>
      </c>
      <c r="P301" s="175"/>
      <c r="Q301" s="175" t="str">
        <f t="shared" si="57"/>
        <v/>
      </c>
      <c r="R301" s="169"/>
      <c r="S301" s="278"/>
      <c r="T301" s="321"/>
    </row>
    <row r="302" spans="1:20" s="4" customFormat="1" ht="10.5" customHeight="1">
      <c r="A302" s="159"/>
      <c r="B302" s="161" t="s">
        <v>140</v>
      </c>
      <c r="C302" s="174">
        <f t="shared" ref="C302:N302" si="59">+C269-C299-C289</f>
        <v>163847.30566666665</v>
      </c>
      <c r="D302" s="174">
        <f t="shared" si="59"/>
        <v>165108.30566666665</v>
      </c>
      <c r="E302" s="174">
        <f t="shared" si="59"/>
        <v>166369.30566666665</v>
      </c>
      <c r="F302" s="174">
        <f t="shared" si="59"/>
        <v>167106.94657575755</v>
      </c>
      <c r="G302" s="174">
        <f t="shared" si="59"/>
        <v>167626.33748484848</v>
      </c>
      <c r="H302" s="174">
        <f t="shared" si="59"/>
        <v>170259.44657575755</v>
      </c>
      <c r="I302" s="174">
        <f t="shared" si="59"/>
        <v>173348.23521212122</v>
      </c>
      <c r="J302" s="174">
        <f t="shared" si="59"/>
        <v>175908.59430303029</v>
      </c>
      <c r="K302" s="174">
        <f t="shared" si="59"/>
        <v>174943.66475757578</v>
      </c>
      <c r="L302" s="174">
        <f t="shared" si="59"/>
        <v>174784.05566666665</v>
      </c>
      <c r="M302" s="174">
        <f t="shared" si="59"/>
        <v>174624.44657575755</v>
      </c>
      <c r="N302" s="174">
        <f t="shared" si="59"/>
        <v>174392.08748484848</v>
      </c>
      <c r="O302" s="175">
        <f t="shared" si="57"/>
        <v>2048318.7316363635</v>
      </c>
      <c r="P302" s="175">
        <f>IF(AND(O302=""),"",+O302/Setup!$B$12)</f>
        <v>9310.5396892561985</v>
      </c>
      <c r="Q302" s="174">
        <f>+Q269-Q299-Q289</f>
        <v>1202897.1515151516</v>
      </c>
      <c r="R302" s="169"/>
      <c r="S302" s="278"/>
      <c r="T302" s="321"/>
    </row>
    <row r="303" spans="1:20" s="4" customFormat="1" ht="10.5" customHeight="1">
      <c r="A303" s="165"/>
      <c r="B303" s="165"/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  <c r="M303" s="174"/>
      <c r="N303" s="174"/>
      <c r="O303" s="175" t="str">
        <f t="shared" si="57"/>
        <v/>
      </c>
      <c r="P303" s="175" t="str">
        <f>IF(AND(O303=""),"",+O303/Setup!$B$12)</f>
        <v/>
      </c>
      <c r="Q303" s="175" t="str">
        <f>IF(O303="","",(+VLOOKUP(A303,'2016'!$A:$P,15,FALSE)))</f>
        <v/>
      </c>
      <c r="R303" s="169"/>
      <c r="S303" s="278"/>
      <c r="T303" s="321"/>
    </row>
    <row r="304" spans="1:20" s="4" customFormat="1" ht="10.5" customHeight="1">
      <c r="A304" s="160"/>
      <c r="B304" s="160" t="s">
        <v>409</v>
      </c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  <c r="M304" s="174"/>
      <c r="N304" s="174"/>
      <c r="O304" s="175" t="str">
        <f t="shared" si="57"/>
        <v/>
      </c>
      <c r="P304" s="175" t="str">
        <f>IF(AND(O304=""),"",+O304/Setup!$B$12)</f>
        <v/>
      </c>
      <c r="Q304" s="175" t="str">
        <f>IF(O304="","",(+VLOOKUP(A304,'2016'!$A:$P,15,FALSE)))</f>
        <v/>
      </c>
      <c r="R304" s="169"/>
      <c r="S304" s="278"/>
      <c r="T304" s="321"/>
    </row>
    <row r="305" spans="1:20" s="4" customFormat="1" ht="10.5" customHeight="1">
      <c r="A305" s="410" t="s">
        <v>1109</v>
      </c>
      <c r="B305" s="161" t="s">
        <v>410</v>
      </c>
      <c r="C305" s="174">
        <f>IF(Input!H305=0,+Input!$G305,+Input!$G305+Input!H305)</f>
        <v>41552.5</v>
      </c>
      <c r="D305" s="174">
        <f>IF(Input!I305=0,+Input!$G305,+Input!$G305+Input!I305)</f>
        <v>41552.5</v>
      </c>
      <c r="E305" s="174">
        <f>IF(Input!J305=0,+Input!$G305,+Input!$G305+Input!J305)</f>
        <v>41552.5</v>
      </c>
      <c r="F305" s="174">
        <f>IF(Input!K305=0,+Input!$G305,+Input!$G305+Input!K305)</f>
        <v>41552.5</v>
      </c>
      <c r="G305" s="174">
        <f>IF(Input!L305=0,+Input!$G305,+Input!$G305+Input!L305)</f>
        <v>41552.5</v>
      </c>
      <c r="H305" s="174">
        <f>IF(Input!M305=0,+Input!$G305,+Input!$G305+Input!M305)</f>
        <v>41552.5</v>
      </c>
      <c r="I305" s="174">
        <f>IF(Input!N305=0,+Input!$G305,+Input!$G305+Input!N305)</f>
        <v>41552.5</v>
      </c>
      <c r="J305" s="174">
        <f>IF(Input!O305=0,+Input!$G305,+Input!$G305+Input!O305)</f>
        <v>41552.5</v>
      </c>
      <c r="K305" s="174">
        <f>IF(Input!P305=0,+Input!$G305,+Input!$G305+Input!P305)</f>
        <v>41552.5</v>
      </c>
      <c r="L305" s="174">
        <f>IF(Input!Q305=0,+Input!$G305,+Input!$G305+Input!Q305)</f>
        <v>41552.5</v>
      </c>
      <c r="M305" s="174">
        <f>IF(Input!R305=0,+Input!$G305,+Input!$G305+Input!R305)</f>
        <v>41552.5</v>
      </c>
      <c r="N305" s="174">
        <f>IF(Input!S305=0,+Input!$G305,+Input!$G305+Input!S305)</f>
        <v>41552.5</v>
      </c>
      <c r="O305" s="175">
        <f t="shared" si="57"/>
        <v>498630</v>
      </c>
      <c r="P305" s="175">
        <f>IF(AND(O305=""),"",+O305/Setup!$B$12)</f>
        <v>2266.5</v>
      </c>
      <c r="Q305" s="175">
        <f>IF(ISNA(IF(O305="","",(+VLOOKUP(A305,'2016'!$A:$P,15,FALSE)))),0,IF(O305="",0,(+VLOOKUP(A305,'2016'!$A:$P,15,FALSE))))</f>
        <v>498630</v>
      </c>
      <c r="R305" s="169"/>
      <c r="S305" s="278"/>
      <c r="T305" s="321"/>
    </row>
    <row r="306" spans="1:20" s="4" customFormat="1" ht="10.5" customHeight="1">
      <c r="A306" s="410" t="s">
        <v>1111</v>
      </c>
      <c r="B306" s="161" t="s">
        <v>411</v>
      </c>
      <c r="C306" s="174">
        <f>IF(Input!H306=0,+Input!$G306,+Input!$G306+Input!H306)</f>
        <v>0</v>
      </c>
      <c r="D306" s="174">
        <f>IF(Input!I306=0,+Input!$G306,+Input!$G306+Input!I306)</f>
        <v>0</v>
      </c>
      <c r="E306" s="174">
        <f>IF(Input!J306=0,+Input!$G306,+Input!$G306+Input!J306)</f>
        <v>0</v>
      </c>
      <c r="F306" s="174">
        <f>IF(Input!K306=0,+Input!$G306,+Input!$G306+Input!K306)</f>
        <v>0</v>
      </c>
      <c r="G306" s="174">
        <f>IF(Input!L306=0,+Input!$G306,+Input!$G306+Input!L306)</f>
        <v>0</v>
      </c>
      <c r="H306" s="174">
        <f>IF(Input!M306=0,+Input!$G306,+Input!$G306+Input!M306)</f>
        <v>0</v>
      </c>
      <c r="I306" s="174">
        <f>IF(Input!N306=0,+Input!$G306,+Input!$G306+Input!N306)</f>
        <v>0</v>
      </c>
      <c r="J306" s="174">
        <f>IF(Input!O306=0,+Input!$G306,+Input!$G306+Input!O306)</f>
        <v>0</v>
      </c>
      <c r="K306" s="174">
        <f>IF(Input!P306=0,+Input!$G306,+Input!$G306+Input!P306)</f>
        <v>0</v>
      </c>
      <c r="L306" s="174">
        <f>IF(Input!Q306=0,+Input!$G306,+Input!$G306+Input!Q306)</f>
        <v>0</v>
      </c>
      <c r="M306" s="174">
        <f>IF(Input!R306=0,+Input!$G306,+Input!$G306+Input!R306)</f>
        <v>0</v>
      </c>
      <c r="N306" s="174">
        <f>IF(Input!S306=0,+Input!$G306,+Input!$G306+Input!S306)</f>
        <v>0</v>
      </c>
      <c r="O306" s="175">
        <f t="shared" si="57"/>
        <v>0</v>
      </c>
      <c r="P306" s="175">
        <f>IF(AND(O306=""),"",+O306/Setup!$B$12)</f>
        <v>0</v>
      </c>
      <c r="Q306" s="175">
        <f>IF(ISNA(IF(O306="","",(+VLOOKUP(A306,'2016'!$A:$P,15,FALSE)))),0,IF(O306="",0,(+VLOOKUP(A306,'2016'!$A:$P,15,FALSE))))</f>
        <v>0</v>
      </c>
      <c r="R306" s="169"/>
      <c r="S306" s="278"/>
      <c r="T306" s="321"/>
    </row>
    <row r="307" spans="1:20" s="4" customFormat="1" ht="10.5" customHeight="1">
      <c r="A307" s="410" t="s">
        <v>1113</v>
      </c>
      <c r="B307" s="161" t="s">
        <v>412</v>
      </c>
      <c r="C307" s="174">
        <f>IF(Input!H307=0,+Input!$G307,+Input!$G307+Input!H307)</f>
        <v>0</v>
      </c>
      <c r="D307" s="174">
        <f>IF(Input!I307=0,+Input!$G307,+Input!$G307+Input!I307)</f>
        <v>0</v>
      </c>
      <c r="E307" s="174">
        <f>IF(Input!J307=0,+Input!$G307,+Input!$G307+Input!J307)</f>
        <v>0</v>
      </c>
      <c r="F307" s="174">
        <f>IF(Input!K307=0,+Input!$G307,+Input!$G307+Input!K307)</f>
        <v>0</v>
      </c>
      <c r="G307" s="174">
        <f>IF(Input!L307=0,+Input!$G307,+Input!$G307+Input!L307)</f>
        <v>0</v>
      </c>
      <c r="H307" s="174">
        <f>IF(Input!M307=0,+Input!$G307,+Input!$G307+Input!M307)</f>
        <v>0</v>
      </c>
      <c r="I307" s="174">
        <f>IF(Input!N307=0,+Input!$G307,+Input!$G307+Input!N307)</f>
        <v>0</v>
      </c>
      <c r="J307" s="174">
        <f>IF(Input!O307=0,+Input!$G307,+Input!$G307+Input!O307)</f>
        <v>0</v>
      </c>
      <c r="K307" s="174">
        <f>IF(Input!P307=0,+Input!$G307,+Input!$G307+Input!P307)</f>
        <v>0</v>
      </c>
      <c r="L307" s="174">
        <f>IF(Input!Q307=0,+Input!$G307,+Input!$G307+Input!Q307)</f>
        <v>0</v>
      </c>
      <c r="M307" s="174">
        <f>IF(Input!R307=0,+Input!$G307,+Input!$G307+Input!R307)</f>
        <v>0</v>
      </c>
      <c r="N307" s="174">
        <f>IF(Input!S307=0,+Input!$G307,+Input!$G307+Input!S307)</f>
        <v>0</v>
      </c>
      <c r="O307" s="175">
        <f t="shared" si="57"/>
        <v>0</v>
      </c>
      <c r="P307" s="175">
        <f>IF(AND(O307=""),"",+O307/Setup!$B$12)</f>
        <v>0</v>
      </c>
      <c r="Q307" s="175">
        <f>IF(ISNA(IF(O307="","",(+VLOOKUP(A307,'2016'!$A:$P,15,FALSE)))),0,IF(O307="",0,(+VLOOKUP(A307,'2016'!$A:$P,15,FALSE))))</f>
        <v>0</v>
      </c>
      <c r="R307" s="169"/>
      <c r="S307" s="278"/>
      <c r="T307" s="321"/>
    </row>
    <row r="308" spans="1:20" s="4" customFormat="1" ht="10.5" customHeight="1">
      <c r="A308" s="410" t="s">
        <v>1114</v>
      </c>
      <c r="B308" s="161" t="s">
        <v>413</v>
      </c>
      <c r="C308" s="174">
        <f>IF(Input!H308=0,+Input!$G308,+Input!$G308+Input!H308)</f>
        <v>0</v>
      </c>
      <c r="D308" s="174">
        <f>IF(Input!I308=0,+Input!$G308,+Input!$G308+Input!I308)</f>
        <v>0</v>
      </c>
      <c r="E308" s="174">
        <f>IF(Input!J308=0,+Input!$G308,+Input!$G308+Input!J308)</f>
        <v>0</v>
      </c>
      <c r="F308" s="174">
        <f>IF(Input!K308=0,+Input!$G308,+Input!$G308+Input!K308)</f>
        <v>0</v>
      </c>
      <c r="G308" s="174">
        <f>IF(Input!L308=0,+Input!$G308,+Input!$G308+Input!L308)</f>
        <v>0</v>
      </c>
      <c r="H308" s="174">
        <f>IF(Input!M308=0,+Input!$G308,+Input!$G308+Input!M308)</f>
        <v>0</v>
      </c>
      <c r="I308" s="174">
        <f>IF(Input!N308=0,+Input!$G308,+Input!$G308+Input!N308)</f>
        <v>0</v>
      </c>
      <c r="J308" s="174">
        <f>IF(Input!O308=0,+Input!$G308,+Input!$G308+Input!O308)</f>
        <v>0</v>
      </c>
      <c r="K308" s="174">
        <f>IF(Input!P308=0,+Input!$G308,+Input!$G308+Input!P308)</f>
        <v>0</v>
      </c>
      <c r="L308" s="174">
        <f>IF(Input!Q308=0,+Input!$G308,+Input!$G308+Input!Q308)</f>
        <v>0</v>
      </c>
      <c r="M308" s="174">
        <f>IF(Input!R308=0,+Input!$G308,+Input!$G308+Input!R308)</f>
        <v>0</v>
      </c>
      <c r="N308" s="174">
        <f>IF(Input!S308=0,+Input!$G308,+Input!$G308+Input!S308)</f>
        <v>0</v>
      </c>
      <c r="O308" s="175">
        <f t="shared" si="57"/>
        <v>0</v>
      </c>
      <c r="P308" s="175">
        <f>IF(AND(O308=""),"",+O308/Setup!$B$12)</f>
        <v>0</v>
      </c>
      <c r="Q308" s="175">
        <f>IF(ISNA(IF(O308="","",(+VLOOKUP(A308,'2016'!$A:$P,15,FALSE)))),0,IF(O308="",0,(+VLOOKUP(A308,'2016'!$A:$P,15,FALSE))))</f>
        <v>0</v>
      </c>
      <c r="R308" s="169"/>
      <c r="S308" s="278"/>
      <c r="T308" s="321"/>
    </row>
    <row r="309" spans="1:20" s="17" customFormat="1" ht="10.5" customHeight="1">
      <c r="A309" s="163"/>
      <c r="B309" s="163"/>
      <c r="C309" s="174"/>
      <c r="D309" s="174"/>
      <c r="E309" s="174"/>
      <c r="F309" s="174"/>
      <c r="G309" s="174"/>
      <c r="H309" s="174"/>
      <c r="I309" s="174"/>
      <c r="J309" s="174"/>
      <c r="K309" s="174"/>
      <c r="L309" s="174"/>
      <c r="M309" s="174"/>
      <c r="N309" s="174"/>
      <c r="O309" s="175" t="str">
        <f t="shared" si="57"/>
        <v/>
      </c>
      <c r="P309" s="175" t="str">
        <f>IF(AND(O309=""),"",+O309/Setup!$B$12)</f>
        <v/>
      </c>
      <c r="Q309" s="175" t="str">
        <f>IF(O309="","",(+VLOOKUP(A309,'2016'!$A:$P,15,FALSE)))</f>
        <v/>
      </c>
      <c r="R309" s="169"/>
      <c r="S309" s="278"/>
      <c r="T309" s="321"/>
    </row>
    <row r="310" spans="1:20" s="4" customFormat="1" ht="10.5" customHeight="1">
      <c r="A310" s="159"/>
      <c r="B310" s="159" t="s">
        <v>414</v>
      </c>
      <c r="C310" s="174">
        <f t="shared" ref="C310:N310" si="60">SUM(C305:C308)</f>
        <v>41552.5</v>
      </c>
      <c r="D310" s="174">
        <f t="shared" si="60"/>
        <v>41552.5</v>
      </c>
      <c r="E310" s="174">
        <f t="shared" si="60"/>
        <v>41552.5</v>
      </c>
      <c r="F310" s="174">
        <f t="shared" si="60"/>
        <v>41552.5</v>
      </c>
      <c r="G310" s="174">
        <f t="shared" si="60"/>
        <v>41552.5</v>
      </c>
      <c r="H310" s="174">
        <f t="shared" si="60"/>
        <v>41552.5</v>
      </c>
      <c r="I310" s="174">
        <f t="shared" si="60"/>
        <v>41552.5</v>
      </c>
      <c r="J310" s="174">
        <f t="shared" si="60"/>
        <v>41552.5</v>
      </c>
      <c r="K310" s="174">
        <f t="shared" si="60"/>
        <v>41552.5</v>
      </c>
      <c r="L310" s="174">
        <f t="shared" si="60"/>
        <v>41552.5</v>
      </c>
      <c r="M310" s="174">
        <f t="shared" si="60"/>
        <v>41552.5</v>
      </c>
      <c r="N310" s="174">
        <f t="shared" si="60"/>
        <v>41552.5</v>
      </c>
      <c r="O310" s="175">
        <f t="shared" si="57"/>
        <v>498630</v>
      </c>
      <c r="P310" s="175">
        <f>IF(AND(O310=""),"",+O310/Setup!$B$12)</f>
        <v>2266.5</v>
      </c>
      <c r="Q310" s="174">
        <f t="shared" ref="Q310" si="61">SUM(Q305:Q308)</f>
        <v>498630</v>
      </c>
      <c r="R310" s="169"/>
      <c r="S310" s="278"/>
      <c r="T310" s="321"/>
    </row>
    <row r="311" spans="1:20" s="4" customFormat="1" ht="10.5" customHeight="1">
      <c r="A311" s="165"/>
      <c r="B311" s="165"/>
      <c r="C311" s="174"/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175" t="str">
        <f t="shared" si="57"/>
        <v/>
      </c>
      <c r="P311" s="175" t="str">
        <f>IF(AND(O311=""),"",+O311/Setup!$B$12)</f>
        <v/>
      </c>
      <c r="Q311" s="175" t="str">
        <f>IF(O311="","",(+VLOOKUP(A311,'2016'!$A:$P,15,FALSE)))</f>
        <v/>
      </c>
      <c r="R311" s="169"/>
      <c r="S311" s="278"/>
      <c r="T311" s="321"/>
    </row>
    <row r="312" spans="1:20" s="4" customFormat="1" ht="10.5" customHeight="1">
      <c r="A312" s="160"/>
      <c r="B312" s="160" t="s">
        <v>142</v>
      </c>
      <c r="C312" s="174"/>
      <c r="D312" s="174"/>
      <c r="E312" s="174"/>
      <c r="F312" s="174"/>
      <c r="G312" s="174"/>
      <c r="H312" s="174"/>
      <c r="I312" s="174"/>
      <c r="J312" s="174"/>
      <c r="K312" s="174"/>
      <c r="L312" s="174"/>
      <c r="M312" s="174"/>
      <c r="N312" s="174"/>
      <c r="O312" s="175" t="str">
        <f t="shared" si="57"/>
        <v/>
      </c>
      <c r="P312" s="175" t="str">
        <f>IF(AND(O312=""),"",+O312/Setup!$B$12)</f>
        <v/>
      </c>
      <c r="Q312" s="175" t="str">
        <f>IF(O312="","",(+VLOOKUP(A312,'2016'!$A:$P,15,FALSE)))</f>
        <v/>
      </c>
      <c r="R312" s="169"/>
      <c r="S312" s="278"/>
      <c r="T312" s="321"/>
    </row>
    <row r="313" spans="1:20" s="4" customFormat="1" ht="10.5" customHeight="1">
      <c r="A313" s="410" t="s">
        <v>1118</v>
      </c>
      <c r="B313" s="161" t="s">
        <v>415</v>
      </c>
      <c r="C313" s="174">
        <f>IF(Input!H313=0,+Input!$G313,+Input!$G313+Input!H313)</f>
        <v>0</v>
      </c>
      <c r="D313" s="174">
        <f>IF(Input!I313=0,+Input!$G313,+Input!$G313+Input!I313)</f>
        <v>0</v>
      </c>
      <c r="E313" s="174">
        <f>IF(Input!J313=0,+Input!$G313,+Input!$G313+Input!J313)</f>
        <v>0</v>
      </c>
      <c r="F313" s="174">
        <f>IF(Input!K313=0,+Input!$G313,+Input!$G313+Input!K313)</f>
        <v>0</v>
      </c>
      <c r="G313" s="174">
        <f>IF(Input!L313=0,+Input!$G313,+Input!$G313+Input!L313)</f>
        <v>0</v>
      </c>
      <c r="H313" s="174">
        <f>IF(Input!M313=0,+Input!$G313,+Input!$G313+Input!M313)</f>
        <v>0</v>
      </c>
      <c r="I313" s="174">
        <f>IF(Input!N313=0,+Input!$G313,+Input!$G313+Input!N313)</f>
        <v>0</v>
      </c>
      <c r="J313" s="174">
        <f>IF(Input!O313=0,+Input!$G313,+Input!$G313+Input!O313)</f>
        <v>0</v>
      </c>
      <c r="K313" s="174">
        <f>IF(Input!P313=0,+Input!$G313,+Input!$G313+Input!P313)</f>
        <v>0</v>
      </c>
      <c r="L313" s="174">
        <f>IF(Input!Q313=0,+Input!$G313,+Input!$G313+Input!Q313)</f>
        <v>0</v>
      </c>
      <c r="M313" s="174">
        <f>IF(Input!R313=0,+Input!$G313,+Input!$G313+Input!R313)</f>
        <v>0</v>
      </c>
      <c r="N313" s="174">
        <f>IF(Input!S313=0,+Input!$G313,+Input!$G313+Input!S313)</f>
        <v>0</v>
      </c>
      <c r="O313" s="175">
        <f t="shared" si="57"/>
        <v>0</v>
      </c>
      <c r="P313" s="175">
        <f>IF(AND(O313=""),"",+O313/Setup!$B$12)</f>
        <v>0</v>
      </c>
      <c r="Q313" s="175">
        <f>IF(ISNA(IF(O313="","",(+VLOOKUP(A313,'2016'!$A:$P,15,FALSE)))),0,IF(O313="",0,(+VLOOKUP(A313,'2016'!$A:$P,15,FALSE))))</f>
        <v>0</v>
      </c>
      <c r="R313" s="169"/>
      <c r="S313" s="278"/>
      <c r="T313" s="321"/>
    </row>
    <row r="314" spans="1:20" s="4" customFormat="1" ht="10.5" customHeight="1">
      <c r="A314" s="410" t="s">
        <v>1120</v>
      </c>
      <c r="B314" s="161" t="s">
        <v>416</v>
      </c>
      <c r="C314" s="174">
        <f>IF(Input!H314=0,+Input!$G314,+Input!$G314+Input!H314)</f>
        <v>0</v>
      </c>
      <c r="D314" s="174">
        <f>IF(Input!I314=0,+Input!$G314,+Input!$G314+Input!I314)</f>
        <v>0</v>
      </c>
      <c r="E314" s="174">
        <f>IF(Input!J314=0,+Input!$G314,+Input!$G314+Input!J314)</f>
        <v>0</v>
      </c>
      <c r="F314" s="174">
        <f>IF(Input!K314=0,+Input!$G314,+Input!$G314+Input!K314)</f>
        <v>0</v>
      </c>
      <c r="G314" s="174">
        <f>IF(Input!L314=0,+Input!$G314,+Input!$G314+Input!L314)</f>
        <v>0</v>
      </c>
      <c r="H314" s="174">
        <f>IF(Input!M314=0,+Input!$G314,+Input!$G314+Input!M314)</f>
        <v>0</v>
      </c>
      <c r="I314" s="174">
        <f>IF(Input!N314=0,+Input!$G314,+Input!$G314+Input!N314)</f>
        <v>0</v>
      </c>
      <c r="J314" s="174">
        <f>IF(Input!O314=0,+Input!$G314,+Input!$G314+Input!O314)</f>
        <v>0</v>
      </c>
      <c r="K314" s="174">
        <f>IF(Input!P314=0,+Input!$G314,+Input!$G314+Input!P314)</f>
        <v>0</v>
      </c>
      <c r="L314" s="174">
        <f>IF(Input!Q314=0,+Input!$G314,+Input!$G314+Input!Q314)</f>
        <v>0</v>
      </c>
      <c r="M314" s="174">
        <f>IF(Input!R314=0,+Input!$G314,+Input!$G314+Input!R314)</f>
        <v>0</v>
      </c>
      <c r="N314" s="174">
        <f>IF(Input!S314=0,+Input!$G314,+Input!$G314+Input!S314)</f>
        <v>0</v>
      </c>
      <c r="O314" s="175">
        <f t="shared" si="57"/>
        <v>0</v>
      </c>
      <c r="P314" s="175">
        <f>IF(AND(O314=""),"",+O314/Setup!$B$12)</f>
        <v>0</v>
      </c>
      <c r="Q314" s="175">
        <f>IF(ISNA(IF(O314="","",(+VLOOKUP(A314,'2016'!$A:$P,15,FALSE)))),0,IF(O314="",0,(+VLOOKUP(A314,'2016'!$A:$P,15,FALSE))))</f>
        <v>0</v>
      </c>
      <c r="R314" s="169"/>
      <c r="S314" s="278"/>
      <c r="T314" s="321"/>
    </row>
    <row r="315" spans="1:20" s="4" customFormat="1" ht="10.5" customHeight="1">
      <c r="A315" s="163"/>
      <c r="B315" s="163"/>
      <c r="C315" s="184"/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75" t="str">
        <f t="shared" si="57"/>
        <v/>
      </c>
      <c r="P315" s="175" t="str">
        <f>IF(AND(O315=""),"",+O315/Setup!$B$12)</f>
        <v/>
      </c>
      <c r="Q315" s="175" t="str">
        <f>IF(O315="","",(+VLOOKUP(A315,'2016'!$A:$P,15,FALSE)))</f>
        <v/>
      </c>
      <c r="R315" s="169"/>
      <c r="S315" s="278"/>
      <c r="T315" s="321"/>
    </row>
    <row r="316" spans="1:20" s="4" customFormat="1" ht="10.5" customHeight="1">
      <c r="A316" s="159"/>
      <c r="B316" s="159" t="s">
        <v>143</v>
      </c>
      <c r="C316" s="174">
        <f t="shared" ref="C316:N316" si="62">SUM(C313:C314)</f>
        <v>0</v>
      </c>
      <c r="D316" s="174">
        <f t="shared" si="62"/>
        <v>0</v>
      </c>
      <c r="E316" s="174">
        <f t="shared" si="62"/>
        <v>0</v>
      </c>
      <c r="F316" s="174">
        <f t="shared" si="62"/>
        <v>0</v>
      </c>
      <c r="G316" s="174">
        <f t="shared" si="62"/>
        <v>0</v>
      </c>
      <c r="H316" s="174">
        <f t="shared" si="62"/>
        <v>0</v>
      </c>
      <c r="I316" s="174">
        <f t="shared" si="62"/>
        <v>0</v>
      </c>
      <c r="J316" s="174">
        <f t="shared" si="62"/>
        <v>0</v>
      </c>
      <c r="K316" s="174">
        <f t="shared" si="62"/>
        <v>0</v>
      </c>
      <c r="L316" s="174">
        <f t="shared" si="62"/>
        <v>0</v>
      </c>
      <c r="M316" s="174">
        <f t="shared" si="62"/>
        <v>0</v>
      </c>
      <c r="N316" s="174">
        <f t="shared" si="62"/>
        <v>0</v>
      </c>
      <c r="O316" s="175">
        <f t="shared" si="57"/>
        <v>0</v>
      </c>
      <c r="P316" s="175">
        <f>IF(AND(O316=""),"",+O316/Setup!$B$12)</f>
        <v>0</v>
      </c>
      <c r="Q316" s="174">
        <f t="shared" ref="Q316" si="63">SUM(Q313:Q314)</f>
        <v>0</v>
      </c>
      <c r="R316" s="169"/>
      <c r="S316" s="278"/>
      <c r="T316" s="321"/>
    </row>
    <row r="317" spans="1:20" s="4" customFormat="1" ht="10.5" customHeight="1">
      <c r="A317" s="164"/>
      <c r="B317" s="163"/>
      <c r="C317" s="174"/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5" t="str">
        <f t="shared" si="57"/>
        <v/>
      </c>
      <c r="P317" s="175" t="str">
        <f>IF(AND(O317=""),"",+O317/Setup!$B$12)</f>
        <v/>
      </c>
      <c r="Q317" s="175" t="str">
        <f>IF(O317="","",(+VLOOKUP(A317,'2016'!$A:$P,15,FALSE)))</f>
        <v/>
      </c>
      <c r="R317" s="169"/>
      <c r="S317" s="278"/>
      <c r="T317" s="321"/>
    </row>
    <row r="318" spans="1:20" s="4" customFormat="1" ht="10.5" customHeight="1">
      <c r="A318" s="165"/>
      <c r="B318" s="165"/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5" t="str">
        <f t="shared" si="57"/>
        <v/>
      </c>
      <c r="P318" s="175" t="str">
        <f>IF(AND(O318=""),"",+O318/Setup!$B$12)</f>
        <v/>
      </c>
      <c r="Q318" s="175" t="str">
        <f>IF(O318="","",(+VLOOKUP(A318,'2016'!$A:$P,15,FALSE)))</f>
        <v/>
      </c>
      <c r="R318" s="169"/>
      <c r="S318" s="278"/>
      <c r="T318" s="321"/>
    </row>
    <row r="319" spans="1:20" s="4" customFormat="1" ht="10.5" customHeight="1">
      <c r="A319" s="159"/>
      <c r="B319" s="161" t="s">
        <v>523</v>
      </c>
      <c r="C319" s="174">
        <f t="shared" ref="C319:N319" si="64">+C302-C310-C316</f>
        <v>122294.80566666665</v>
      </c>
      <c r="D319" s="174">
        <f t="shared" si="64"/>
        <v>123555.80566666665</v>
      </c>
      <c r="E319" s="174">
        <f t="shared" si="64"/>
        <v>124816.80566666665</v>
      </c>
      <c r="F319" s="174">
        <f t="shared" si="64"/>
        <v>125554.44657575755</v>
      </c>
      <c r="G319" s="174">
        <f t="shared" si="64"/>
        <v>126073.83748484848</v>
      </c>
      <c r="H319" s="174">
        <f t="shared" si="64"/>
        <v>128706.94657575755</v>
      </c>
      <c r="I319" s="174">
        <f t="shared" si="64"/>
        <v>131795.73521212122</v>
      </c>
      <c r="J319" s="174">
        <f t="shared" si="64"/>
        <v>134356.09430303029</v>
      </c>
      <c r="K319" s="174">
        <f t="shared" si="64"/>
        <v>133391.16475757578</v>
      </c>
      <c r="L319" s="174">
        <f t="shared" si="64"/>
        <v>133231.55566666665</v>
      </c>
      <c r="M319" s="174">
        <f t="shared" si="64"/>
        <v>133071.94657575755</v>
      </c>
      <c r="N319" s="174">
        <f t="shared" si="64"/>
        <v>132839.58748484848</v>
      </c>
      <c r="O319" s="175">
        <f t="shared" si="57"/>
        <v>1549688.7316363635</v>
      </c>
      <c r="P319" s="175">
        <f>IF(AND(O319=""),"",+O319/Setup!$B$12)</f>
        <v>7044.0396892561976</v>
      </c>
      <c r="Q319" s="174">
        <f t="shared" ref="Q319" si="65">+Q302-Q310-Q316</f>
        <v>704267.15151515161</v>
      </c>
      <c r="R319" s="169"/>
      <c r="S319" s="278"/>
      <c r="T319" s="321"/>
    </row>
    <row r="320" spans="1:20" s="4" customFormat="1" ht="10.5" customHeight="1">
      <c r="A320" s="164"/>
      <c r="B320" s="16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40" t="str">
        <f t="shared" si="57"/>
        <v/>
      </c>
      <c r="P320" s="140" t="str">
        <f>IF(AND(O320=""),"",+O320/Setup!$B$12)</f>
        <v/>
      </c>
      <c r="Q320" s="175" t="str">
        <f>IF(O320="","",(+VLOOKUP(A320,'2016'!$A:$P,15,FALSE)))</f>
        <v/>
      </c>
      <c r="R320" s="169"/>
      <c r="S320" s="278"/>
      <c r="T320" s="321"/>
    </row>
    <row r="321" spans="1:20" s="4" customFormat="1" ht="10.5" customHeight="1">
      <c r="A321" s="165"/>
      <c r="B321" s="165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40"/>
      <c r="P321" s="140" t="str">
        <f>IF(AND(O321=""),"",+O321/Setup!$B$12)</f>
        <v/>
      </c>
      <c r="Q321" s="175" t="str">
        <f>IF(O321="","",(+VLOOKUP(A321,'2016'!$A:$P,15,FALSE)))</f>
        <v/>
      </c>
      <c r="R321" s="169"/>
      <c r="S321" s="278"/>
      <c r="T321" s="321"/>
    </row>
    <row r="322" spans="1:20" s="4" customFormat="1" ht="10.5" customHeight="1">
      <c r="A322" s="160"/>
      <c r="B322" s="160" t="s">
        <v>505</v>
      </c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40" t="str">
        <f t="shared" si="57"/>
        <v/>
      </c>
      <c r="P322" s="140" t="str">
        <f>IF(AND(O322=""),"",+O322/Setup!$B$12)</f>
        <v/>
      </c>
      <c r="Q322" s="175" t="str">
        <f>IF(O322="","",(+VLOOKUP(A322,'2016'!$A:$P,15,FALSE)))</f>
        <v/>
      </c>
      <c r="R322" s="169"/>
      <c r="S322" s="278"/>
      <c r="T322" s="321"/>
    </row>
    <row r="323" spans="1:20" s="4" customFormat="1" ht="10.5" customHeight="1">
      <c r="A323" s="410" t="s">
        <v>1123</v>
      </c>
      <c r="B323" s="161" t="s">
        <v>509</v>
      </c>
      <c r="C323" s="174">
        <f>IF(Input!H323=0,+Input!$G323,+Input!$G323+Input!H323)</f>
        <v>0</v>
      </c>
      <c r="D323" s="174">
        <f>IF(Input!I323=0,+Input!$G323,+Input!$G323+Input!I323)</f>
        <v>0</v>
      </c>
      <c r="E323" s="174">
        <f>IF(Input!J323=0,+Input!$G323,+Input!$G323+Input!J323)</f>
        <v>0</v>
      </c>
      <c r="F323" s="174">
        <f>IF(Input!K323=0,+Input!$G323,+Input!$G323+Input!K323)</f>
        <v>0</v>
      </c>
      <c r="G323" s="174">
        <f>IF(Input!L323=0,+Input!$G323,+Input!$G323+Input!L323)</f>
        <v>0</v>
      </c>
      <c r="H323" s="174">
        <f>IF(Input!M323=0,+Input!$G323,+Input!$G323+Input!M323)</f>
        <v>0</v>
      </c>
      <c r="I323" s="174">
        <f>IF(Input!N323=0,+Input!$G323,+Input!$G323+Input!N323)</f>
        <v>0</v>
      </c>
      <c r="J323" s="174">
        <f>IF(Input!O323=0,+Input!$G323,+Input!$G323+Input!O323)</f>
        <v>0</v>
      </c>
      <c r="K323" s="174">
        <f>IF(Input!P323=0,+Input!$G323,+Input!$G323+Input!P323)</f>
        <v>0</v>
      </c>
      <c r="L323" s="174">
        <f>IF(Input!Q323=0,+Input!$G323,+Input!$G323+Input!Q323)</f>
        <v>0</v>
      </c>
      <c r="M323" s="174">
        <f>IF(Input!R323=0,+Input!$G323,+Input!$G323+Input!R323)</f>
        <v>0</v>
      </c>
      <c r="N323" s="174">
        <f>IF(Input!S323=0,+Input!$G323,+Input!$G323+Input!S323)</f>
        <v>0</v>
      </c>
      <c r="O323" s="175">
        <f t="shared" si="57"/>
        <v>0</v>
      </c>
      <c r="P323" s="175">
        <f>IF(AND(O323=""),"",+O323/Setup!$B$12)</f>
        <v>0</v>
      </c>
      <c r="Q323" s="175">
        <f>IF(ISNA(IF(O323="","",(+VLOOKUP(A323,'2016'!$A:$P,15,FALSE)))),0,IF(O323="",0,(+VLOOKUP(A323,'2016'!$A:$P,15,FALSE))))</f>
        <v>0</v>
      </c>
      <c r="R323" s="169"/>
      <c r="S323" s="278"/>
      <c r="T323" s="321"/>
    </row>
    <row r="324" spans="1:20" s="4" customFormat="1" ht="10.5" customHeight="1">
      <c r="A324" s="410" t="s">
        <v>1124</v>
      </c>
      <c r="B324" s="161" t="s">
        <v>510</v>
      </c>
      <c r="C324" s="174">
        <f>IF(Input!H324=0,+Input!$G324,+Input!$G324+Input!H324)</f>
        <v>0</v>
      </c>
      <c r="D324" s="174">
        <f>IF(Input!I324=0,+Input!$G324,+Input!$G324+Input!I324)</f>
        <v>0</v>
      </c>
      <c r="E324" s="174">
        <f>IF(Input!J324=0,+Input!$G324,+Input!$G324+Input!J324)</f>
        <v>0</v>
      </c>
      <c r="F324" s="174">
        <f>IF(Input!K324=0,+Input!$G324,+Input!$G324+Input!K324)</f>
        <v>0</v>
      </c>
      <c r="G324" s="174">
        <f>IF(Input!L324=0,+Input!$G324,+Input!$G324+Input!L324)</f>
        <v>0</v>
      </c>
      <c r="H324" s="174">
        <f>IF(Input!M324=0,+Input!$G324,+Input!$G324+Input!M324)</f>
        <v>0</v>
      </c>
      <c r="I324" s="174">
        <f>IF(Input!N324=0,+Input!$G324,+Input!$G324+Input!N324)</f>
        <v>0</v>
      </c>
      <c r="J324" s="174">
        <f>IF(Input!O324=0,+Input!$G324,+Input!$G324+Input!O324)</f>
        <v>0</v>
      </c>
      <c r="K324" s="174">
        <f>IF(Input!P324=0,+Input!$G324,+Input!$G324+Input!P324)</f>
        <v>0</v>
      </c>
      <c r="L324" s="174">
        <f>IF(Input!Q324=0,+Input!$G324,+Input!$G324+Input!Q324)</f>
        <v>0</v>
      </c>
      <c r="M324" s="174">
        <f>IF(Input!R324=0,+Input!$G324,+Input!$G324+Input!R324)</f>
        <v>0</v>
      </c>
      <c r="N324" s="174">
        <f>IF(Input!S324=0,+Input!$G324,+Input!$G324+Input!S324)</f>
        <v>0</v>
      </c>
      <c r="O324" s="175">
        <f t="shared" si="57"/>
        <v>0</v>
      </c>
      <c r="P324" s="175">
        <f>IF(AND(O324=""),"",+O324/Setup!$B$12)</f>
        <v>0</v>
      </c>
      <c r="Q324" s="175">
        <f>IF(ISNA(IF(O324="","",(+VLOOKUP(A324,'2016'!$A:$P,15,FALSE)))),0,IF(O324="",0,(+VLOOKUP(A324,'2016'!$A:$P,15,FALSE))))</f>
        <v>0</v>
      </c>
      <c r="R324" s="169"/>
      <c r="S324" s="278"/>
      <c r="T324" s="321"/>
    </row>
    <row r="325" spans="1:20" s="4" customFormat="1" ht="10.5" customHeight="1">
      <c r="A325" s="410" t="s">
        <v>1125</v>
      </c>
      <c r="B325" s="161" t="s">
        <v>511</v>
      </c>
      <c r="C325" s="174">
        <f>IF(Input!H325=0,+Input!$G325,+Input!$G325+Input!H325)</f>
        <v>0</v>
      </c>
      <c r="D325" s="174">
        <f>IF(Input!I325=0,+Input!$G325,+Input!$G325+Input!I325)</f>
        <v>0</v>
      </c>
      <c r="E325" s="174">
        <f>IF(Input!J325=0,+Input!$G325,+Input!$G325+Input!J325)</f>
        <v>0</v>
      </c>
      <c r="F325" s="174">
        <f>IF(Input!K325=0,+Input!$G325,+Input!$G325+Input!K325)</f>
        <v>0</v>
      </c>
      <c r="G325" s="174">
        <f>IF(Input!L325=0,+Input!$G325,+Input!$G325+Input!L325)</f>
        <v>0</v>
      </c>
      <c r="H325" s="174">
        <f>IF(Input!M325=0,+Input!$G325,+Input!$G325+Input!M325)</f>
        <v>0</v>
      </c>
      <c r="I325" s="174">
        <f>IF(Input!N325=0,+Input!$G325,+Input!$G325+Input!N325)</f>
        <v>0</v>
      </c>
      <c r="J325" s="174">
        <f>IF(Input!O325=0,+Input!$G325,+Input!$G325+Input!O325)</f>
        <v>0</v>
      </c>
      <c r="K325" s="174">
        <f>IF(Input!P325=0,+Input!$G325,+Input!$G325+Input!P325)</f>
        <v>0</v>
      </c>
      <c r="L325" s="174">
        <f>IF(Input!Q325=0,+Input!$G325,+Input!$G325+Input!Q325)</f>
        <v>0</v>
      </c>
      <c r="M325" s="174">
        <f>IF(Input!R325=0,+Input!$G325,+Input!$G325+Input!R325)</f>
        <v>0</v>
      </c>
      <c r="N325" s="174">
        <f>IF(Input!S325=0,+Input!$G325,+Input!$G325+Input!S325)</f>
        <v>0</v>
      </c>
      <c r="O325" s="175">
        <f t="shared" si="57"/>
        <v>0</v>
      </c>
      <c r="P325" s="175">
        <f>IF(AND(O325=""),"",+O325/Setup!$B$12)</f>
        <v>0</v>
      </c>
      <c r="Q325" s="175">
        <f>IF(ISNA(IF(O325="","",(+VLOOKUP(A325,'2016'!$A:$P,15,FALSE)))),0,IF(O325="",0,(+VLOOKUP(A325,'2016'!$A:$P,15,FALSE))))</f>
        <v>0</v>
      </c>
      <c r="R325" s="169"/>
      <c r="S325" s="278"/>
      <c r="T325" s="321"/>
    </row>
    <row r="326" spans="1:20" s="4" customFormat="1" ht="10.5" customHeight="1">
      <c r="A326" s="410" t="s">
        <v>1126</v>
      </c>
      <c r="B326" s="161" t="s">
        <v>512</v>
      </c>
      <c r="C326" s="174">
        <f>IF(Input!H326=0,+Input!$G326,+Input!$G326+Input!H326)</f>
        <v>0</v>
      </c>
      <c r="D326" s="174">
        <f>IF(Input!I326=0,+Input!$G326,+Input!$G326+Input!I326)</f>
        <v>0</v>
      </c>
      <c r="E326" s="174">
        <f>IF(Input!J326=0,+Input!$G326,+Input!$G326+Input!J326)</f>
        <v>0</v>
      </c>
      <c r="F326" s="174">
        <f>IF(Input!K326=0,+Input!$G326,+Input!$G326+Input!K326)</f>
        <v>0</v>
      </c>
      <c r="G326" s="174">
        <f>IF(Input!L326=0,+Input!$G326,+Input!$G326+Input!L326)</f>
        <v>0</v>
      </c>
      <c r="H326" s="174">
        <f>IF(Input!M326=0,+Input!$G326,+Input!$G326+Input!M326)</f>
        <v>0</v>
      </c>
      <c r="I326" s="174">
        <f>IF(Input!N326=0,+Input!$G326,+Input!$G326+Input!N326)</f>
        <v>0</v>
      </c>
      <c r="J326" s="174">
        <f>IF(Input!O326=0,+Input!$G326,+Input!$G326+Input!O326)</f>
        <v>0</v>
      </c>
      <c r="K326" s="174">
        <f>IF(Input!P326=0,+Input!$G326,+Input!$G326+Input!P326)</f>
        <v>0</v>
      </c>
      <c r="L326" s="174">
        <f>IF(Input!Q326=0,+Input!$G326,+Input!$G326+Input!Q326)</f>
        <v>0</v>
      </c>
      <c r="M326" s="174">
        <f>IF(Input!R326=0,+Input!$G326,+Input!$G326+Input!R326)</f>
        <v>0</v>
      </c>
      <c r="N326" s="174">
        <f>IF(Input!S326=0,+Input!$G326,+Input!$G326+Input!S326)</f>
        <v>0</v>
      </c>
      <c r="O326" s="175">
        <f t="shared" si="57"/>
        <v>0</v>
      </c>
      <c r="P326" s="175">
        <f>IF(AND(O326=""),"",+O326/Setup!$B$12)</f>
        <v>0</v>
      </c>
      <c r="Q326" s="175">
        <f>IF(ISNA(IF(O326="","",(+VLOOKUP(A326,'2016'!$A:$P,15,FALSE)))),0,IF(O326="",0,(+VLOOKUP(A326,'2016'!$A:$P,15,FALSE))))</f>
        <v>0</v>
      </c>
      <c r="R326" s="169"/>
      <c r="S326" s="278"/>
      <c r="T326" s="321"/>
    </row>
    <row r="327" spans="1:20" s="10" customFormat="1" ht="10.5" customHeight="1">
      <c r="A327" s="410" t="s">
        <v>1127</v>
      </c>
      <c r="B327" s="161" t="s">
        <v>513</v>
      </c>
      <c r="C327" s="174">
        <f>IF(Input!H327=0,+Input!$G327,+Input!$G327+Input!H327)</f>
        <v>0</v>
      </c>
      <c r="D327" s="174">
        <f>IF(Input!I327=0,+Input!$G327,+Input!$G327+Input!I327)</f>
        <v>0</v>
      </c>
      <c r="E327" s="174">
        <f>IF(Input!J327=0,+Input!$G327,+Input!$G327+Input!J327)</f>
        <v>0</v>
      </c>
      <c r="F327" s="174">
        <f>IF(Input!K327=0,+Input!$G327,+Input!$G327+Input!K327)</f>
        <v>0</v>
      </c>
      <c r="G327" s="174">
        <f>IF(Input!L327=0,+Input!$G327,+Input!$G327+Input!L327)</f>
        <v>0</v>
      </c>
      <c r="H327" s="174">
        <f>IF(Input!M327=0,+Input!$G327,+Input!$G327+Input!M327)</f>
        <v>0</v>
      </c>
      <c r="I327" s="174">
        <f>IF(Input!N327=0,+Input!$G327,+Input!$G327+Input!N327)</f>
        <v>0</v>
      </c>
      <c r="J327" s="174">
        <f>IF(Input!O327=0,+Input!$G327,+Input!$G327+Input!O327)</f>
        <v>0</v>
      </c>
      <c r="K327" s="174">
        <f>IF(Input!P327=0,+Input!$G327,+Input!$G327+Input!P327)</f>
        <v>0</v>
      </c>
      <c r="L327" s="174">
        <f>IF(Input!Q327=0,+Input!$G327,+Input!$G327+Input!Q327)</f>
        <v>0</v>
      </c>
      <c r="M327" s="174">
        <f>IF(Input!R327=0,+Input!$G327,+Input!$G327+Input!R327)</f>
        <v>0</v>
      </c>
      <c r="N327" s="174">
        <f>IF(Input!S327=0,+Input!$G327,+Input!$G327+Input!S327)</f>
        <v>0</v>
      </c>
      <c r="O327" s="175">
        <f t="shared" si="57"/>
        <v>0</v>
      </c>
      <c r="P327" s="175">
        <f>IF(AND(O327=""),"",+O327/Setup!$B$12)</f>
        <v>0</v>
      </c>
      <c r="Q327" s="175">
        <f>IF(ISNA(IF(O327="","",(+VLOOKUP(A327,'2016'!$A:$P,15,FALSE)))),0,IF(O327="",0,(+VLOOKUP(A327,'2016'!$A:$P,15,FALSE))))</f>
        <v>0</v>
      </c>
      <c r="R327" s="169"/>
      <c r="S327" s="278"/>
      <c r="T327" s="321"/>
    </row>
    <row r="328" spans="1:20" s="17" customFormat="1" ht="10.5" customHeight="1">
      <c r="A328" s="410" t="s">
        <v>1128</v>
      </c>
      <c r="B328" s="161" t="s">
        <v>514</v>
      </c>
      <c r="C328" s="174">
        <f>IF(Input!H328=0,+Input!$G328,+Input!$G328+Input!H328)</f>
        <v>0</v>
      </c>
      <c r="D328" s="174">
        <f>IF(Input!I328=0,+Input!$G328,+Input!$G328+Input!I328)</f>
        <v>0</v>
      </c>
      <c r="E328" s="174">
        <f>IF(Input!J328=0,+Input!$G328,+Input!$G328+Input!J328)</f>
        <v>0</v>
      </c>
      <c r="F328" s="174">
        <f>IF(Input!K328=0,+Input!$G328,+Input!$G328+Input!K328)</f>
        <v>0</v>
      </c>
      <c r="G328" s="174">
        <f>IF(Input!L328=0,+Input!$G328,+Input!$G328+Input!L328)</f>
        <v>0</v>
      </c>
      <c r="H328" s="174">
        <f>IF(Input!M328=0,+Input!$G328,+Input!$G328+Input!M328)</f>
        <v>0</v>
      </c>
      <c r="I328" s="174">
        <f>IF(Input!N328=0,+Input!$G328,+Input!$G328+Input!N328)</f>
        <v>0</v>
      </c>
      <c r="J328" s="174">
        <f>IF(Input!O328=0,+Input!$G328,+Input!$G328+Input!O328)</f>
        <v>0</v>
      </c>
      <c r="K328" s="174">
        <f>IF(Input!P328=0,+Input!$G328,+Input!$G328+Input!P328)</f>
        <v>0</v>
      </c>
      <c r="L328" s="174">
        <f>IF(Input!Q328=0,+Input!$G328,+Input!$G328+Input!Q328)</f>
        <v>0</v>
      </c>
      <c r="M328" s="174">
        <f>IF(Input!R328=0,+Input!$G328,+Input!$G328+Input!R328)</f>
        <v>0</v>
      </c>
      <c r="N328" s="174">
        <f>IF(Input!S328=0,+Input!$G328,+Input!$G328+Input!S328)</f>
        <v>0</v>
      </c>
      <c r="O328" s="175">
        <f t="shared" si="57"/>
        <v>0</v>
      </c>
      <c r="P328" s="175">
        <f>IF(AND(O328=""),"",+O328/Setup!$B$12)</f>
        <v>0</v>
      </c>
      <c r="Q328" s="175">
        <f>IF(ISNA(IF(O328="","",(+VLOOKUP(A328,'2016'!$A:$P,15,FALSE)))),0,IF(O328="",0,(+VLOOKUP(A328,'2016'!$A:$P,15,FALSE))))</f>
        <v>0</v>
      </c>
      <c r="R328" s="169"/>
      <c r="S328" s="278"/>
      <c r="T328" s="321"/>
    </row>
    <row r="329" spans="1:20" s="18" customFormat="1" ht="10.5" customHeight="1">
      <c r="A329" s="410" t="s">
        <v>1129</v>
      </c>
      <c r="B329" s="161" t="s">
        <v>515</v>
      </c>
      <c r="C329" s="174">
        <f>IF(Input!H329=0,+Input!$G329,+Input!$G329+Input!H329)</f>
        <v>0</v>
      </c>
      <c r="D329" s="174">
        <f>IF(Input!I329=0,+Input!$G329,+Input!$G329+Input!I329)</f>
        <v>0</v>
      </c>
      <c r="E329" s="174">
        <f>IF(Input!J329=0,+Input!$G329,+Input!$G329+Input!J329)</f>
        <v>0</v>
      </c>
      <c r="F329" s="174">
        <f>IF(Input!K329=0,+Input!$G329,+Input!$G329+Input!K329)</f>
        <v>0</v>
      </c>
      <c r="G329" s="174">
        <f>IF(Input!L329=0,+Input!$G329,+Input!$G329+Input!L329)</f>
        <v>0</v>
      </c>
      <c r="H329" s="174">
        <f>IF(Input!M329=0,+Input!$G329,+Input!$G329+Input!M329)</f>
        <v>0</v>
      </c>
      <c r="I329" s="174">
        <f>IF(Input!N329=0,+Input!$G329,+Input!$G329+Input!N329)</f>
        <v>0</v>
      </c>
      <c r="J329" s="174">
        <f>IF(Input!O329=0,+Input!$G329,+Input!$G329+Input!O329)</f>
        <v>0</v>
      </c>
      <c r="K329" s="174">
        <f>IF(Input!P329=0,+Input!$G329,+Input!$G329+Input!P329)</f>
        <v>0</v>
      </c>
      <c r="L329" s="174">
        <f>IF(Input!Q329=0,+Input!$G329,+Input!$G329+Input!Q329)</f>
        <v>0</v>
      </c>
      <c r="M329" s="174">
        <f>IF(Input!R329=0,+Input!$G329,+Input!$G329+Input!R329)</f>
        <v>0</v>
      </c>
      <c r="N329" s="174">
        <f>IF(Input!S329=0,+Input!$G329,+Input!$G329+Input!S329)</f>
        <v>0</v>
      </c>
      <c r="O329" s="175">
        <f t="shared" si="57"/>
        <v>0</v>
      </c>
      <c r="P329" s="175">
        <f>IF(AND(O329=""),"",+O329/Setup!$B$12)</f>
        <v>0</v>
      </c>
      <c r="Q329" s="175">
        <f>IF(ISNA(IF(O329="","",(+VLOOKUP(A329,'2016'!$A:$P,15,FALSE)))),0,IF(O329="",0,(+VLOOKUP(A329,'2016'!$A:$P,15,FALSE))))</f>
        <v>0</v>
      </c>
      <c r="R329" s="169"/>
      <c r="S329" s="278"/>
      <c r="T329" s="321"/>
    </row>
    <row r="330" spans="1:20" s="17" customFormat="1" ht="10.5" customHeight="1">
      <c r="A330" s="410" t="s">
        <v>1130</v>
      </c>
      <c r="B330" s="161" t="s">
        <v>516</v>
      </c>
      <c r="C330" s="174">
        <f>IF(Input!H330=0,+Input!$G330,+Input!$G330+Input!H330)</f>
        <v>0</v>
      </c>
      <c r="D330" s="174">
        <f>IF(Input!I330=0,+Input!$G330,+Input!$G330+Input!I330)</f>
        <v>0</v>
      </c>
      <c r="E330" s="174">
        <f>IF(Input!J330=0,+Input!$G330,+Input!$G330+Input!J330)</f>
        <v>0</v>
      </c>
      <c r="F330" s="174">
        <f>IF(Input!K330=0,+Input!$G330,+Input!$G330+Input!K330)</f>
        <v>0</v>
      </c>
      <c r="G330" s="174">
        <f>IF(Input!L330=0,+Input!$G330,+Input!$G330+Input!L330)</f>
        <v>0</v>
      </c>
      <c r="H330" s="174">
        <f>IF(Input!M330=0,+Input!$G330,+Input!$G330+Input!M330)</f>
        <v>0</v>
      </c>
      <c r="I330" s="174">
        <f>IF(Input!N330=0,+Input!$G330,+Input!$G330+Input!N330)</f>
        <v>0</v>
      </c>
      <c r="J330" s="174">
        <f>IF(Input!O330=0,+Input!$G330,+Input!$G330+Input!O330)</f>
        <v>0</v>
      </c>
      <c r="K330" s="174">
        <f>IF(Input!P330=0,+Input!$G330,+Input!$G330+Input!P330)</f>
        <v>0</v>
      </c>
      <c r="L330" s="174">
        <f>IF(Input!Q330=0,+Input!$G330,+Input!$G330+Input!Q330)</f>
        <v>0</v>
      </c>
      <c r="M330" s="174">
        <f>IF(Input!R330=0,+Input!$G330,+Input!$G330+Input!R330)</f>
        <v>0</v>
      </c>
      <c r="N330" s="174">
        <f>IF(Input!S330=0,+Input!$G330,+Input!$G330+Input!S330)</f>
        <v>0</v>
      </c>
      <c r="O330" s="175">
        <f t="shared" si="57"/>
        <v>0</v>
      </c>
      <c r="P330" s="175">
        <f>IF(AND(O330=""),"",+O330/Setup!$B$12)</f>
        <v>0</v>
      </c>
      <c r="Q330" s="175">
        <f>IF(ISNA(IF(O330="","",(+VLOOKUP(A330,'2016'!$A:$P,15,FALSE)))),0,IF(O330="",0,(+VLOOKUP(A330,'2016'!$A:$P,15,FALSE))))</f>
        <v>0</v>
      </c>
      <c r="R330" s="169"/>
      <c r="S330" s="278"/>
      <c r="T330" s="321"/>
    </row>
    <row r="331" spans="1:20" s="4" customFormat="1" ht="10.5" customHeight="1">
      <c r="A331" s="410" t="s">
        <v>1131</v>
      </c>
      <c r="B331" s="161" t="s">
        <v>517</v>
      </c>
      <c r="C331" s="174">
        <f>IF(Input!H331=0,+Input!$G331,+Input!$G331+Input!H331)</f>
        <v>0</v>
      </c>
      <c r="D331" s="174">
        <f>IF(Input!I331=0,+Input!$G331,+Input!$G331+Input!I331)</f>
        <v>0</v>
      </c>
      <c r="E331" s="174">
        <f>IF(Input!J331=0,+Input!$G331,+Input!$G331+Input!J331)</f>
        <v>0</v>
      </c>
      <c r="F331" s="174">
        <f>IF(Input!K331=0,+Input!$G331,+Input!$G331+Input!K331)</f>
        <v>0</v>
      </c>
      <c r="G331" s="174">
        <f>IF(Input!L331=0,+Input!$G331,+Input!$G331+Input!L331)</f>
        <v>0</v>
      </c>
      <c r="H331" s="174">
        <f>IF(Input!M331=0,+Input!$G331,+Input!$G331+Input!M331)</f>
        <v>0</v>
      </c>
      <c r="I331" s="174">
        <f>IF(Input!N331=0,+Input!$G331,+Input!$G331+Input!N331)</f>
        <v>0</v>
      </c>
      <c r="J331" s="174">
        <f>IF(Input!O331=0,+Input!$G331,+Input!$G331+Input!O331)</f>
        <v>0</v>
      </c>
      <c r="K331" s="174">
        <f>IF(Input!P331=0,+Input!$G331,+Input!$G331+Input!P331)</f>
        <v>0</v>
      </c>
      <c r="L331" s="174">
        <f>IF(Input!Q331=0,+Input!$G331,+Input!$G331+Input!Q331)</f>
        <v>0</v>
      </c>
      <c r="M331" s="174">
        <f>IF(Input!R331=0,+Input!$G331,+Input!$G331+Input!R331)</f>
        <v>0</v>
      </c>
      <c r="N331" s="174">
        <f>IF(Input!S331=0,+Input!$G331,+Input!$G331+Input!S331)</f>
        <v>0</v>
      </c>
      <c r="O331" s="175">
        <f t="shared" ref="O331" si="66">IF(N331="","",SUM(C331:N331))</f>
        <v>0</v>
      </c>
      <c r="P331" s="175">
        <f>IF(AND(O331=""),"",+O331/Setup!$B$12)</f>
        <v>0</v>
      </c>
      <c r="Q331" s="175">
        <f>IF(ISNA(IF(O331="","",(+VLOOKUP(A331,'2016'!$A:$P,15,FALSE)))),0,IF(O331="",0,(+VLOOKUP(A331,'2016'!$A:$P,15,FALSE))))</f>
        <v>0</v>
      </c>
      <c r="R331" s="169"/>
      <c r="S331" s="278"/>
      <c r="T331" s="321"/>
    </row>
    <row r="332" spans="1:20" s="4" customFormat="1" ht="10.5" customHeight="1">
      <c r="A332" s="163"/>
      <c r="B332" s="163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40" t="str">
        <f t="shared" ref="O332:Q394" si="67">IF(N332="","",SUM(C332:N332))</f>
        <v/>
      </c>
      <c r="P332" s="140" t="str">
        <f>IF(AND(O332=""),"",+O332/Setup!$B$12)</f>
        <v/>
      </c>
      <c r="Q332" s="175" t="str">
        <f>IF(O332="","",(+VLOOKUP(A332,'2016'!$A:$P,15,FALSE)))</f>
        <v/>
      </c>
      <c r="R332" s="169"/>
      <c r="S332" s="278"/>
      <c r="T332" s="321"/>
    </row>
    <row r="333" spans="1:20" s="4" customFormat="1" ht="10.5" customHeight="1">
      <c r="A333" s="159"/>
      <c r="B333" s="159" t="s">
        <v>506</v>
      </c>
      <c r="C333" s="152">
        <f>SUM(C323:C331)</f>
        <v>0</v>
      </c>
      <c r="D333" s="152">
        <f t="shared" ref="D333:N333" si="68">SUM(D323:D331)</f>
        <v>0</v>
      </c>
      <c r="E333" s="152">
        <f t="shared" si="68"/>
        <v>0</v>
      </c>
      <c r="F333" s="152">
        <f t="shared" si="68"/>
        <v>0</v>
      </c>
      <c r="G333" s="152">
        <f t="shared" si="68"/>
        <v>0</v>
      </c>
      <c r="H333" s="152">
        <f t="shared" si="68"/>
        <v>0</v>
      </c>
      <c r="I333" s="152">
        <f t="shared" si="68"/>
        <v>0</v>
      </c>
      <c r="J333" s="152">
        <f t="shared" si="68"/>
        <v>0</v>
      </c>
      <c r="K333" s="152">
        <f t="shared" si="68"/>
        <v>0</v>
      </c>
      <c r="L333" s="152">
        <f t="shared" si="68"/>
        <v>0</v>
      </c>
      <c r="M333" s="152">
        <f t="shared" si="68"/>
        <v>0</v>
      </c>
      <c r="N333" s="152">
        <f t="shared" si="68"/>
        <v>0</v>
      </c>
      <c r="O333" s="140">
        <f t="shared" si="67"/>
        <v>0</v>
      </c>
      <c r="P333" s="140">
        <f>IF(AND(O333=""),"",+O333/Setup!$B$12)</f>
        <v>0</v>
      </c>
      <c r="Q333" s="152">
        <f t="shared" ref="Q333" si="69">SUM(Q323:Q331)</f>
        <v>0</v>
      </c>
      <c r="R333" s="169"/>
      <c r="S333" s="278"/>
      <c r="T333" s="321"/>
    </row>
    <row r="334" spans="1:20" s="4" customFormat="1" ht="10.5" customHeight="1">
      <c r="A334" s="164"/>
      <c r="B334" s="163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40" t="str">
        <f t="shared" si="67"/>
        <v/>
      </c>
      <c r="P334" s="140"/>
      <c r="Q334" s="140" t="str">
        <f t="shared" si="67"/>
        <v/>
      </c>
      <c r="R334" s="169"/>
      <c r="S334" s="278"/>
      <c r="T334" s="321"/>
    </row>
    <row r="335" spans="1:20" s="4" customFormat="1" ht="10.5" customHeight="1">
      <c r="A335" s="165"/>
      <c r="B335" s="165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40" t="str">
        <f t="shared" si="67"/>
        <v/>
      </c>
      <c r="P335" s="140" t="str">
        <f>IF(AND(O335=""),"",+O335/Setup!$B$12)</f>
        <v/>
      </c>
      <c r="Q335" s="140" t="str">
        <f t="shared" si="67"/>
        <v/>
      </c>
      <c r="R335" s="169"/>
      <c r="S335" s="278"/>
      <c r="T335" s="321"/>
    </row>
    <row r="336" spans="1:20" s="4" customFormat="1" ht="10.5" customHeight="1">
      <c r="A336" s="159"/>
      <c r="B336" s="161" t="s">
        <v>526</v>
      </c>
      <c r="C336" s="152">
        <f>+C319-C333</f>
        <v>122294.80566666665</v>
      </c>
      <c r="D336" s="152">
        <f t="shared" ref="D336:N336" si="70">+D319-D333</f>
        <v>123555.80566666665</v>
      </c>
      <c r="E336" s="152">
        <f t="shared" si="70"/>
        <v>124816.80566666665</v>
      </c>
      <c r="F336" s="152">
        <f t="shared" si="70"/>
        <v>125554.44657575755</v>
      </c>
      <c r="G336" s="152">
        <f t="shared" si="70"/>
        <v>126073.83748484848</v>
      </c>
      <c r="H336" s="152">
        <f t="shared" si="70"/>
        <v>128706.94657575755</v>
      </c>
      <c r="I336" s="152">
        <f t="shared" si="70"/>
        <v>131795.73521212122</v>
      </c>
      <c r="J336" s="152">
        <f t="shared" si="70"/>
        <v>134356.09430303029</v>
      </c>
      <c r="K336" s="152">
        <f t="shared" si="70"/>
        <v>133391.16475757578</v>
      </c>
      <c r="L336" s="152">
        <f t="shared" si="70"/>
        <v>133231.55566666665</v>
      </c>
      <c r="M336" s="152">
        <f t="shared" si="70"/>
        <v>133071.94657575755</v>
      </c>
      <c r="N336" s="152">
        <f t="shared" si="70"/>
        <v>132839.58748484848</v>
      </c>
      <c r="O336" s="140">
        <f t="shared" si="67"/>
        <v>1549688.7316363635</v>
      </c>
      <c r="P336" s="140">
        <f>IF(AND(O336=""),"",+O336/Setup!$B$12)</f>
        <v>7044.0396892561976</v>
      </c>
      <c r="Q336" s="152">
        <f t="shared" ref="Q336" si="71">+Q319-Q333</f>
        <v>704267.15151515161</v>
      </c>
      <c r="R336" s="169"/>
      <c r="S336" s="278"/>
      <c r="T336" s="321"/>
    </row>
    <row r="337" spans="1:20" s="4" customFormat="1" ht="10.5" customHeight="1">
      <c r="A337" s="164"/>
      <c r="B337" s="166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40" t="str">
        <f t="shared" si="67"/>
        <v/>
      </c>
      <c r="P337" s="140" t="str">
        <f>IF(AND(O337=""),"",+O337/Setup!$B$12)</f>
        <v/>
      </c>
      <c r="Q337" s="175" t="str">
        <f>IF(O337="","",(+VLOOKUP(A337,'2016'!$A:$P,15,FALSE)))</f>
        <v/>
      </c>
      <c r="R337" s="169"/>
      <c r="S337" s="278"/>
      <c r="T337" s="321"/>
    </row>
    <row r="338" spans="1:20" s="4" customFormat="1" ht="10.5" customHeight="1">
      <c r="A338" s="165"/>
      <c r="B338" s="165"/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40" t="str">
        <f t="shared" si="67"/>
        <v/>
      </c>
      <c r="P338" s="140" t="str">
        <f>IF(AND(O338=""),"",+O338/Setup!$B$12)</f>
        <v/>
      </c>
      <c r="Q338" s="175" t="str">
        <f>IF(O338="","",(+VLOOKUP(A338,'2016'!$A:$P,15,FALSE)))</f>
        <v/>
      </c>
      <c r="R338" s="169"/>
      <c r="S338" s="278"/>
      <c r="T338" s="321"/>
    </row>
    <row r="339" spans="1:20" s="4" customFormat="1" ht="10.5" customHeight="1">
      <c r="A339" s="160"/>
      <c r="B339" s="160" t="s">
        <v>73</v>
      </c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40" t="str">
        <f t="shared" si="67"/>
        <v/>
      </c>
      <c r="P339" s="140" t="str">
        <f>IF(AND(O339=""),"",+O339/Setup!$B$12)</f>
        <v/>
      </c>
      <c r="Q339" s="175"/>
      <c r="R339" s="169"/>
      <c r="S339" s="278"/>
      <c r="T339" s="321"/>
    </row>
    <row r="340" spans="1:20" s="4" customFormat="1" ht="10.5" customHeight="1">
      <c r="A340" s="410" t="s">
        <v>1134</v>
      </c>
      <c r="B340" s="161" t="s">
        <v>417</v>
      </c>
      <c r="C340" s="174">
        <f>IF(Input!H340=0,+Input!$G340,+Input!$G340+Input!H340)</f>
        <v>0</v>
      </c>
      <c r="D340" s="174">
        <f>IF(Input!I340=0,+Input!$G340,+Input!$G340+Input!I340)</f>
        <v>0</v>
      </c>
      <c r="E340" s="174">
        <f>IF(Input!J340=0,+Input!$G340,+Input!$G340+Input!J340)</f>
        <v>0</v>
      </c>
      <c r="F340" s="174">
        <f>IF(Input!K340=0,+Input!$G340,+Input!$G340+Input!K340)</f>
        <v>0</v>
      </c>
      <c r="G340" s="174">
        <f>IF(Input!L340=0,+Input!$G340,+Input!$G340+Input!L340)</f>
        <v>0</v>
      </c>
      <c r="H340" s="174">
        <f>IF(Input!M340=0,+Input!$G340,+Input!$G340+Input!M340)</f>
        <v>0</v>
      </c>
      <c r="I340" s="174">
        <f>IF(Input!N340=0,+Input!$G340,+Input!$G340+Input!N340)</f>
        <v>0</v>
      </c>
      <c r="J340" s="174">
        <f>IF(Input!O340=0,+Input!$G340,+Input!$G340+Input!O340)</f>
        <v>0</v>
      </c>
      <c r="K340" s="174">
        <f>IF(Input!P340=0,+Input!$G340,+Input!$G340+Input!P340)</f>
        <v>0</v>
      </c>
      <c r="L340" s="174">
        <f>IF(Input!Q340=0,+Input!$G340,+Input!$G340+Input!Q340)</f>
        <v>0</v>
      </c>
      <c r="M340" s="174">
        <f>IF(Input!R340=0,+Input!$G340,+Input!$G340+Input!R340)</f>
        <v>0</v>
      </c>
      <c r="N340" s="174">
        <f>IF(Input!S340=0,+Input!$G340,+Input!$G340+Input!S340)</f>
        <v>0</v>
      </c>
      <c r="O340" s="175">
        <f t="shared" si="67"/>
        <v>0</v>
      </c>
      <c r="P340" s="175">
        <f>IF(AND(O340=""),"",+O340/Setup!$B$12)</f>
        <v>0</v>
      </c>
      <c r="Q340" s="175">
        <f>IF(ISNA(IF(O340="","",(+VLOOKUP(A340,'2016'!$A:$P,15,FALSE)))),0,IF(O340="",0,(+VLOOKUP(A340,'2016'!$A:$P,15,FALSE))))</f>
        <v>0</v>
      </c>
      <c r="R340" s="169"/>
      <c r="S340" s="278"/>
      <c r="T340" s="321"/>
    </row>
    <row r="341" spans="1:20" s="4" customFormat="1" ht="10.5" customHeight="1">
      <c r="A341" s="410" t="s">
        <v>1135</v>
      </c>
      <c r="B341" s="161" t="s">
        <v>418</v>
      </c>
      <c r="C341" s="174">
        <f>IF(Input!H341=0,+Input!$G341,+Input!$G341+Input!H341)</f>
        <v>0</v>
      </c>
      <c r="D341" s="174">
        <f>IF(Input!I341=0,+Input!$G341,+Input!$G341+Input!I341)</f>
        <v>0</v>
      </c>
      <c r="E341" s="174">
        <f>IF(Input!J341=0,+Input!$G341,+Input!$G341+Input!J341)</f>
        <v>0</v>
      </c>
      <c r="F341" s="174">
        <f>IF(Input!K341=0,+Input!$G341,+Input!$G341+Input!K341)</f>
        <v>0</v>
      </c>
      <c r="G341" s="174">
        <f>IF(Input!L341=0,+Input!$G341,+Input!$G341+Input!L341)</f>
        <v>0</v>
      </c>
      <c r="H341" s="174">
        <f>IF(Input!M341=0,+Input!$G341,+Input!$G341+Input!M341)</f>
        <v>0</v>
      </c>
      <c r="I341" s="174">
        <f>IF(Input!N341=0,+Input!$G341,+Input!$G341+Input!N341)</f>
        <v>0</v>
      </c>
      <c r="J341" s="174">
        <f>IF(Input!O341=0,+Input!$G341,+Input!$G341+Input!O341)</f>
        <v>0</v>
      </c>
      <c r="K341" s="174">
        <f>IF(Input!P341=0,+Input!$G341,+Input!$G341+Input!P341)</f>
        <v>0</v>
      </c>
      <c r="L341" s="174">
        <f>IF(Input!Q341=0,+Input!$G341,+Input!$G341+Input!Q341)</f>
        <v>0</v>
      </c>
      <c r="M341" s="174">
        <f>IF(Input!R341=0,+Input!$G341,+Input!$G341+Input!R341)</f>
        <v>0</v>
      </c>
      <c r="N341" s="174">
        <f>IF(Input!S341=0,+Input!$G341,+Input!$G341+Input!S341)</f>
        <v>0</v>
      </c>
      <c r="O341" s="175">
        <f t="shared" si="67"/>
        <v>0</v>
      </c>
      <c r="P341" s="175">
        <f>IF(AND(O341=""),"",+O341/Setup!$B$12)</f>
        <v>0</v>
      </c>
      <c r="Q341" s="175">
        <f>IF(ISNA(IF(O341="","",(+VLOOKUP(A341,'2016'!$A:$P,15,FALSE)))),0,IF(O341="",0,(+VLOOKUP(A341,'2016'!$A:$P,15,FALSE))))</f>
        <v>0</v>
      </c>
      <c r="R341" s="169"/>
      <c r="S341" s="278"/>
      <c r="T341" s="321"/>
    </row>
    <row r="342" spans="1:20" s="4" customFormat="1" ht="10.5" customHeight="1">
      <c r="A342" s="410" t="s">
        <v>1136</v>
      </c>
      <c r="B342" s="161" t="s">
        <v>419</v>
      </c>
      <c r="C342" s="174">
        <f>IF(Input!H342=0,+Input!$G342,+Input!$G342+Input!H342)</f>
        <v>0</v>
      </c>
      <c r="D342" s="174">
        <f>IF(Input!I342=0,+Input!$G342,+Input!$G342+Input!I342)</f>
        <v>0</v>
      </c>
      <c r="E342" s="174">
        <f>IF(Input!J342=0,+Input!$G342,+Input!$G342+Input!J342)</f>
        <v>0</v>
      </c>
      <c r="F342" s="174">
        <f>IF(Input!K342=0,+Input!$G342,+Input!$G342+Input!K342)</f>
        <v>0</v>
      </c>
      <c r="G342" s="174">
        <f>IF(Input!L342=0,+Input!$G342,+Input!$G342+Input!L342)</f>
        <v>0</v>
      </c>
      <c r="H342" s="174">
        <f>IF(Input!M342=0,+Input!$G342,+Input!$G342+Input!M342)</f>
        <v>0</v>
      </c>
      <c r="I342" s="174">
        <f>IF(Input!N342=0,+Input!$G342,+Input!$G342+Input!N342)</f>
        <v>0</v>
      </c>
      <c r="J342" s="174">
        <f>IF(Input!O342=0,+Input!$G342,+Input!$G342+Input!O342)</f>
        <v>0</v>
      </c>
      <c r="K342" s="174">
        <f>IF(Input!P342=0,+Input!$G342,+Input!$G342+Input!P342)</f>
        <v>0</v>
      </c>
      <c r="L342" s="174">
        <f>IF(Input!Q342=0,+Input!$G342,+Input!$G342+Input!Q342)</f>
        <v>0</v>
      </c>
      <c r="M342" s="174">
        <f>IF(Input!R342=0,+Input!$G342,+Input!$G342+Input!R342)</f>
        <v>0</v>
      </c>
      <c r="N342" s="174">
        <f>IF(Input!S342=0,+Input!$G342,+Input!$G342+Input!S342)</f>
        <v>0</v>
      </c>
      <c r="O342" s="175">
        <f t="shared" si="67"/>
        <v>0</v>
      </c>
      <c r="P342" s="175">
        <f>IF(AND(O342=""),"",+O342/Setup!$B$12)</f>
        <v>0</v>
      </c>
      <c r="Q342" s="175">
        <f>IF(ISNA(IF(O342="","",(+VLOOKUP(A342,'2016'!$A:$P,15,FALSE)))),0,IF(O342="",0,(+VLOOKUP(A342,'2016'!$A:$P,15,FALSE))))</f>
        <v>0</v>
      </c>
      <c r="R342" s="169"/>
      <c r="S342" s="278"/>
      <c r="T342" s="321"/>
    </row>
    <row r="343" spans="1:20" s="4" customFormat="1" ht="10.5" customHeight="1">
      <c r="A343" s="410" t="s">
        <v>1137</v>
      </c>
      <c r="B343" s="161" t="s">
        <v>420</v>
      </c>
      <c r="C343" s="174">
        <f>IF(Input!H343=0,+Input!$G343,+Input!$G343+Input!H343)</f>
        <v>3656.4166666666665</v>
      </c>
      <c r="D343" s="174">
        <f>IF(Input!I343=0,+Input!$G343,+Input!$G343+Input!I343)</f>
        <v>3656.4166666666665</v>
      </c>
      <c r="E343" s="174">
        <f>IF(Input!J343=0,+Input!$G343,+Input!$G343+Input!J343)</f>
        <v>3656.4166666666665</v>
      </c>
      <c r="F343" s="174">
        <f>IF(Input!K343=0,+Input!$G343,+Input!$G343+Input!K343)</f>
        <v>3656.4166666666665</v>
      </c>
      <c r="G343" s="174">
        <f>IF(Input!L343=0,+Input!$G343,+Input!$G343+Input!L343)</f>
        <v>3656.4166666666665</v>
      </c>
      <c r="H343" s="174">
        <f>IF(Input!M343=0,+Input!$G343,+Input!$G343+Input!M343)</f>
        <v>3656.4166666666665</v>
      </c>
      <c r="I343" s="174">
        <f>IF(Input!N343=0,+Input!$G343,+Input!$G343+Input!N343)</f>
        <v>3656.4166666666665</v>
      </c>
      <c r="J343" s="174">
        <f>IF(Input!O343=0,+Input!$G343,+Input!$G343+Input!O343)</f>
        <v>3656.4166666666665</v>
      </c>
      <c r="K343" s="174">
        <f>IF(Input!P343=0,+Input!$G343,+Input!$G343+Input!P343)</f>
        <v>3656.4166666666665</v>
      </c>
      <c r="L343" s="174">
        <f>IF(Input!Q343=0,+Input!$G343,+Input!$G343+Input!Q343)</f>
        <v>3656.4166666666665</v>
      </c>
      <c r="M343" s="174">
        <f>IF(Input!R343=0,+Input!$G343,+Input!$G343+Input!R343)</f>
        <v>3656.4166666666665</v>
      </c>
      <c r="N343" s="174">
        <f>IF(Input!S343=0,+Input!$G343,+Input!$G343+Input!S343)</f>
        <v>3656.4166666666665</v>
      </c>
      <c r="O343" s="175">
        <f t="shared" si="67"/>
        <v>43876.999999999993</v>
      </c>
      <c r="P343" s="175">
        <f>IF(AND(O343=""),"",+O343/Setup!$B$12)</f>
        <v>199.44090909090906</v>
      </c>
      <c r="Q343" s="175">
        <f>IF(ISNA(IF(O343="","",(+VLOOKUP(A343,'2016'!$A:$P,15,FALSE)))),0,IF(O343="",0,(+VLOOKUP(A343,'2016'!$A:$P,15,FALSE))))</f>
        <v>43877</v>
      </c>
      <c r="R343" s="169"/>
      <c r="S343" s="278"/>
      <c r="T343" s="321"/>
    </row>
    <row r="344" spans="1:20" s="4" customFormat="1" ht="10.5" customHeight="1">
      <c r="A344" s="410" t="s">
        <v>1139</v>
      </c>
      <c r="B344" s="161" t="s">
        <v>421</v>
      </c>
      <c r="C344" s="174">
        <f>IF(Input!H344=0,+Input!$G344,+Input!$G344+Input!H344)</f>
        <v>13145.75</v>
      </c>
      <c r="D344" s="174">
        <f>IF(Input!I344=0,+Input!$G344,+Input!$G344+Input!I344)</f>
        <v>13145.75</v>
      </c>
      <c r="E344" s="174">
        <f>IF(Input!J344=0,+Input!$G344,+Input!$G344+Input!J344)</f>
        <v>13145.75</v>
      </c>
      <c r="F344" s="174">
        <f>IF(Input!K344=0,+Input!$G344,+Input!$G344+Input!K344)</f>
        <v>13145.75</v>
      </c>
      <c r="G344" s="174">
        <f>IF(Input!L344=0,+Input!$G344,+Input!$G344+Input!L344)</f>
        <v>13145.75</v>
      </c>
      <c r="H344" s="174">
        <f>IF(Input!M344=0,+Input!$G344,+Input!$G344+Input!M344)</f>
        <v>13145.75</v>
      </c>
      <c r="I344" s="174">
        <f>IF(Input!N344=0,+Input!$G344,+Input!$G344+Input!N344)</f>
        <v>13145.75</v>
      </c>
      <c r="J344" s="174">
        <f>IF(Input!O344=0,+Input!$G344,+Input!$G344+Input!O344)</f>
        <v>13145.75</v>
      </c>
      <c r="K344" s="174">
        <f>IF(Input!P344=0,+Input!$G344,+Input!$G344+Input!P344)</f>
        <v>13145.75</v>
      </c>
      <c r="L344" s="174">
        <f>IF(Input!Q344=0,+Input!$G344,+Input!$G344+Input!Q344)</f>
        <v>13145.75</v>
      </c>
      <c r="M344" s="174">
        <f>IF(Input!R344=0,+Input!$G344,+Input!$G344+Input!R344)</f>
        <v>13145.75</v>
      </c>
      <c r="N344" s="174">
        <f>IF(Input!S344=0,+Input!$G344,+Input!$G344+Input!S344)</f>
        <v>13145.75</v>
      </c>
      <c r="O344" s="175">
        <f t="shared" si="67"/>
        <v>157749</v>
      </c>
      <c r="P344" s="175">
        <f>IF(AND(O344=""),"",+O344/Setup!$B$12)</f>
        <v>717.04090909090905</v>
      </c>
      <c r="Q344" s="175">
        <f>IF(ISNA(IF(O344="","",(+VLOOKUP(A344,'2016'!$A:$P,15,FALSE)))),0,IF(O344="",0,(+VLOOKUP(A344,'2016'!$A:$P,15,FALSE))))</f>
        <v>157749</v>
      </c>
      <c r="R344" s="169"/>
      <c r="S344" s="278"/>
      <c r="T344" s="321"/>
    </row>
    <row r="345" spans="1:20" s="4" customFormat="1" ht="10.5" customHeight="1">
      <c r="A345" s="410" t="s">
        <v>1141</v>
      </c>
      <c r="B345" s="161" t="s">
        <v>422</v>
      </c>
      <c r="C345" s="174">
        <f>IF(Input!H345=0,+Input!$G345,+Input!$G345+Input!H345)</f>
        <v>0</v>
      </c>
      <c r="D345" s="174">
        <f>IF(Input!I345=0,+Input!$G345,+Input!$G345+Input!I345)</f>
        <v>0</v>
      </c>
      <c r="E345" s="174">
        <f>IF(Input!J345=0,+Input!$G345,+Input!$G345+Input!J345)</f>
        <v>0</v>
      </c>
      <c r="F345" s="174">
        <f>IF(Input!K345=0,+Input!$G345,+Input!$G345+Input!K345)</f>
        <v>0</v>
      </c>
      <c r="G345" s="174">
        <f>IF(Input!L345=0,+Input!$G345,+Input!$G345+Input!L345)</f>
        <v>0</v>
      </c>
      <c r="H345" s="174">
        <f>IF(Input!M345=0,+Input!$G345,+Input!$G345+Input!M345)</f>
        <v>0</v>
      </c>
      <c r="I345" s="174">
        <f>IF(Input!N345=0,+Input!$G345,+Input!$G345+Input!N345)</f>
        <v>0</v>
      </c>
      <c r="J345" s="174">
        <f>IF(Input!O345=0,+Input!$G345,+Input!$G345+Input!O345)</f>
        <v>0</v>
      </c>
      <c r="K345" s="174">
        <f>IF(Input!P345=0,+Input!$G345,+Input!$G345+Input!P345)</f>
        <v>0</v>
      </c>
      <c r="L345" s="174">
        <f>IF(Input!Q345=0,+Input!$G345,+Input!$G345+Input!Q345)</f>
        <v>0</v>
      </c>
      <c r="M345" s="174">
        <f>IF(Input!R345=0,+Input!$G345,+Input!$G345+Input!R345)</f>
        <v>0</v>
      </c>
      <c r="N345" s="174">
        <f>IF(Input!S345=0,+Input!$G345,+Input!$G345+Input!S345)</f>
        <v>0</v>
      </c>
      <c r="O345" s="175">
        <f t="shared" si="67"/>
        <v>0</v>
      </c>
      <c r="P345" s="175">
        <f>IF(AND(O345=""),"",+O345/Setup!$B$12)</f>
        <v>0</v>
      </c>
      <c r="Q345" s="175">
        <f>IF(ISNA(IF(O345="","",(+VLOOKUP(A345,'2016'!$A:$P,15,FALSE)))),0,IF(O345="",0,(+VLOOKUP(A345,'2016'!$A:$P,15,FALSE))))</f>
        <v>0</v>
      </c>
      <c r="R345" s="169"/>
      <c r="S345" s="278"/>
      <c r="T345" s="321"/>
    </row>
    <row r="346" spans="1:20" s="4" customFormat="1" ht="10.5" customHeight="1">
      <c r="A346" s="410" t="s">
        <v>1142</v>
      </c>
      <c r="B346" s="161" t="s">
        <v>423</v>
      </c>
      <c r="C346" s="174">
        <f>IF(Input!H346=0,+Input!$G346,+Input!$G346+Input!H346)</f>
        <v>0</v>
      </c>
      <c r="D346" s="174">
        <f>IF(Input!I346=0,+Input!$G346,+Input!$G346+Input!I346)</f>
        <v>0</v>
      </c>
      <c r="E346" s="174">
        <f>IF(Input!J346=0,+Input!$G346,+Input!$G346+Input!J346)</f>
        <v>0</v>
      </c>
      <c r="F346" s="174">
        <f>IF(Input!K346=0,+Input!$G346,+Input!$G346+Input!K346)</f>
        <v>0</v>
      </c>
      <c r="G346" s="174">
        <f>IF(Input!L346=0,+Input!$G346,+Input!$G346+Input!L346)</f>
        <v>0</v>
      </c>
      <c r="H346" s="174">
        <f>IF(Input!M346=0,+Input!$G346,+Input!$G346+Input!M346)</f>
        <v>0</v>
      </c>
      <c r="I346" s="174">
        <f>IF(Input!N346=0,+Input!$G346,+Input!$G346+Input!N346)</f>
        <v>0</v>
      </c>
      <c r="J346" s="174">
        <f>IF(Input!O346=0,+Input!$G346,+Input!$G346+Input!O346)</f>
        <v>0</v>
      </c>
      <c r="K346" s="174">
        <f>IF(Input!P346=0,+Input!$G346,+Input!$G346+Input!P346)</f>
        <v>0</v>
      </c>
      <c r="L346" s="174">
        <f>IF(Input!Q346=0,+Input!$G346,+Input!$G346+Input!Q346)</f>
        <v>0</v>
      </c>
      <c r="M346" s="174">
        <f>IF(Input!R346=0,+Input!$G346,+Input!$G346+Input!R346)</f>
        <v>0</v>
      </c>
      <c r="N346" s="174">
        <f>IF(Input!S346=0,+Input!$G346,+Input!$G346+Input!S346)</f>
        <v>0</v>
      </c>
      <c r="O346" s="175">
        <f t="shared" si="67"/>
        <v>0</v>
      </c>
      <c r="P346" s="175">
        <f>IF(AND(O346=""),"",+O346/Setup!$B$12)</f>
        <v>0</v>
      </c>
      <c r="Q346" s="175">
        <f>IF(ISNA(IF(O346="","",(+VLOOKUP(A346,'2016'!$A:$P,15,FALSE)))),0,IF(O346="",0,(+VLOOKUP(A346,'2016'!$A:$P,15,FALSE))))</f>
        <v>0</v>
      </c>
      <c r="R346" s="169"/>
      <c r="S346" s="278"/>
      <c r="T346" s="321"/>
    </row>
    <row r="347" spans="1:20" s="4" customFormat="1" ht="10.5" customHeight="1">
      <c r="A347" s="410" t="s">
        <v>1143</v>
      </c>
      <c r="B347" s="161" t="s">
        <v>424</v>
      </c>
      <c r="C347" s="174">
        <f>IF(Input!H347=0,+Input!$G347,+Input!$G347+Input!H347)</f>
        <v>0</v>
      </c>
      <c r="D347" s="174">
        <f>IF(Input!I347=0,+Input!$G347,+Input!$G347+Input!I347)</f>
        <v>0</v>
      </c>
      <c r="E347" s="174">
        <f>IF(Input!J347=0,+Input!$G347,+Input!$G347+Input!J347)</f>
        <v>0</v>
      </c>
      <c r="F347" s="174">
        <f>IF(Input!K347=0,+Input!$G347,+Input!$G347+Input!K347)</f>
        <v>0</v>
      </c>
      <c r="G347" s="174">
        <f>IF(Input!L347=0,+Input!$G347,+Input!$G347+Input!L347)</f>
        <v>0</v>
      </c>
      <c r="H347" s="174">
        <f>IF(Input!M347=0,+Input!$G347,+Input!$G347+Input!M347)</f>
        <v>0</v>
      </c>
      <c r="I347" s="174">
        <f>IF(Input!N347=0,+Input!$G347,+Input!$G347+Input!N347)</f>
        <v>0</v>
      </c>
      <c r="J347" s="174">
        <f>IF(Input!O347=0,+Input!$G347,+Input!$G347+Input!O347)</f>
        <v>0</v>
      </c>
      <c r="K347" s="174">
        <f>IF(Input!P347=0,+Input!$G347,+Input!$G347+Input!P347)</f>
        <v>0</v>
      </c>
      <c r="L347" s="174">
        <f>IF(Input!Q347=0,+Input!$G347,+Input!$G347+Input!Q347)</f>
        <v>0</v>
      </c>
      <c r="M347" s="174">
        <f>IF(Input!R347=0,+Input!$G347,+Input!$G347+Input!R347)</f>
        <v>0</v>
      </c>
      <c r="N347" s="174">
        <f>IF(Input!S347=0,+Input!$G347,+Input!$G347+Input!S347)</f>
        <v>0</v>
      </c>
      <c r="O347" s="175">
        <f t="shared" si="67"/>
        <v>0</v>
      </c>
      <c r="P347" s="175">
        <f>IF(AND(O347=""),"",+O347/Setup!$B$12)</f>
        <v>0</v>
      </c>
      <c r="Q347" s="175">
        <f>IF(ISNA(IF(O347="","",(+VLOOKUP(A347,'2016'!$A:$P,15,FALSE)))),0,IF(O347="",0,(+VLOOKUP(A347,'2016'!$A:$P,15,FALSE))))</f>
        <v>0</v>
      </c>
      <c r="R347" s="169"/>
      <c r="S347" s="278"/>
      <c r="T347" s="321"/>
    </row>
    <row r="348" spans="1:20" s="4" customFormat="1" ht="10.5" customHeight="1">
      <c r="A348" s="410" t="s">
        <v>1144</v>
      </c>
      <c r="B348" s="161" t="s">
        <v>425</v>
      </c>
      <c r="C348" s="174">
        <f>IF(Input!H348=0,+Input!$G348,+Input!$G348+Input!H348)</f>
        <v>0</v>
      </c>
      <c r="D348" s="174">
        <f>IF(Input!I348=0,+Input!$G348,+Input!$G348+Input!I348)</f>
        <v>0</v>
      </c>
      <c r="E348" s="174">
        <f>IF(Input!J348=0,+Input!$G348,+Input!$G348+Input!J348)</f>
        <v>0</v>
      </c>
      <c r="F348" s="174">
        <f>IF(Input!K348=0,+Input!$G348,+Input!$G348+Input!K348)</f>
        <v>0</v>
      </c>
      <c r="G348" s="174">
        <f>IF(Input!L348=0,+Input!$G348,+Input!$G348+Input!L348)</f>
        <v>0</v>
      </c>
      <c r="H348" s="174">
        <f>IF(Input!M348=0,+Input!$G348,+Input!$G348+Input!M348)</f>
        <v>0</v>
      </c>
      <c r="I348" s="174">
        <f>IF(Input!N348=0,+Input!$G348,+Input!$G348+Input!N348)</f>
        <v>0</v>
      </c>
      <c r="J348" s="174">
        <f>IF(Input!O348=0,+Input!$G348,+Input!$G348+Input!O348)</f>
        <v>0</v>
      </c>
      <c r="K348" s="174">
        <f>IF(Input!P348=0,+Input!$G348,+Input!$G348+Input!P348)</f>
        <v>0</v>
      </c>
      <c r="L348" s="174">
        <f>IF(Input!Q348=0,+Input!$G348,+Input!$G348+Input!Q348)</f>
        <v>0</v>
      </c>
      <c r="M348" s="174">
        <f>IF(Input!R348=0,+Input!$G348,+Input!$G348+Input!R348)</f>
        <v>0</v>
      </c>
      <c r="N348" s="174">
        <f>IF(Input!S348=0,+Input!$G348,+Input!$G348+Input!S348)</f>
        <v>0</v>
      </c>
      <c r="O348" s="175">
        <f t="shared" si="67"/>
        <v>0</v>
      </c>
      <c r="P348" s="175">
        <f>IF(AND(O348=""),"",+O348/Setup!$B$12)</f>
        <v>0</v>
      </c>
      <c r="Q348" s="175">
        <f>IF(ISNA(IF(O348="","",(+VLOOKUP(A348,'2016'!$A:$P,15,FALSE)))),0,IF(O348="",0,(+VLOOKUP(A348,'2016'!$A:$P,15,FALSE))))</f>
        <v>0</v>
      </c>
      <c r="R348" s="169"/>
      <c r="S348" s="278"/>
      <c r="T348" s="321"/>
    </row>
    <row r="349" spans="1:20" s="4" customFormat="1" ht="10.5" customHeight="1">
      <c r="A349" s="410" t="s">
        <v>1145</v>
      </c>
      <c r="B349" s="161" t="s">
        <v>426</v>
      </c>
      <c r="C349" s="174">
        <f>IF(Input!H349=0,+Input!$G349,+Input!$G349+Input!H349)</f>
        <v>0</v>
      </c>
      <c r="D349" s="174">
        <f>IF(Input!I349=0,+Input!$G349,+Input!$G349+Input!I349)</f>
        <v>0</v>
      </c>
      <c r="E349" s="174">
        <f>IF(Input!J349=0,+Input!$G349,+Input!$G349+Input!J349)</f>
        <v>0</v>
      </c>
      <c r="F349" s="174">
        <f>IF(Input!K349=0,+Input!$G349,+Input!$G349+Input!K349)</f>
        <v>0</v>
      </c>
      <c r="G349" s="174">
        <f>IF(Input!L349=0,+Input!$G349,+Input!$G349+Input!L349)</f>
        <v>0</v>
      </c>
      <c r="H349" s="174">
        <f>IF(Input!M349=0,+Input!$G349,+Input!$G349+Input!M349)</f>
        <v>0</v>
      </c>
      <c r="I349" s="174">
        <f>IF(Input!N349=0,+Input!$G349,+Input!$G349+Input!N349)</f>
        <v>0</v>
      </c>
      <c r="J349" s="174">
        <f>IF(Input!O349=0,+Input!$G349,+Input!$G349+Input!O349)</f>
        <v>0</v>
      </c>
      <c r="K349" s="174">
        <f>IF(Input!P349=0,+Input!$G349,+Input!$G349+Input!P349)</f>
        <v>0</v>
      </c>
      <c r="L349" s="174">
        <f>IF(Input!Q349=0,+Input!$G349,+Input!$G349+Input!Q349)</f>
        <v>0</v>
      </c>
      <c r="M349" s="174">
        <f>IF(Input!R349=0,+Input!$G349,+Input!$G349+Input!R349)</f>
        <v>0</v>
      </c>
      <c r="N349" s="174">
        <f>IF(Input!S349=0,+Input!$G349,+Input!$G349+Input!S349)</f>
        <v>0</v>
      </c>
      <c r="O349" s="175">
        <f t="shared" si="67"/>
        <v>0</v>
      </c>
      <c r="P349" s="175">
        <f>IF(AND(O349=""),"",+O349/Setup!$B$12)</f>
        <v>0</v>
      </c>
      <c r="Q349" s="175">
        <f>IF(ISNA(IF(O349="","",(+VLOOKUP(A349,'2016'!$A:$P,15,FALSE)))),0,IF(O349="",0,(+VLOOKUP(A349,'2016'!$A:$P,15,FALSE))))</f>
        <v>0</v>
      </c>
      <c r="R349" s="169"/>
      <c r="S349" s="278"/>
      <c r="T349" s="321"/>
    </row>
    <row r="350" spans="1:20" s="4" customFormat="1" ht="10.5" customHeight="1">
      <c r="A350" s="410" t="s">
        <v>1146</v>
      </c>
      <c r="B350" s="161" t="s">
        <v>427</v>
      </c>
      <c r="C350" s="174">
        <f>IF(Input!H350=0,+Input!$G350,+Input!$G350+Input!H350)</f>
        <v>0</v>
      </c>
      <c r="D350" s="174">
        <f>IF(Input!I350=0,+Input!$G350,+Input!$G350+Input!I350)</f>
        <v>0</v>
      </c>
      <c r="E350" s="174">
        <f>IF(Input!J350=0,+Input!$G350,+Input!$G350+Input!J350)</f>
        <v>0</v>
      </c>
      <c r="F350" s="174">
        <f>IF(Input!K350=0,+Input!$G350,+Input!$G350+Input!K350)</f>
        <v>0</v>
      </c>
      <c r="G350" s="174">
        <f>IF(Input!L350=0,+Input!$G350,+Input!$G350+Input!L350)</f>
        <v>0</v>
      </c>
      <c r="H350" s="174">
        <f>IF(Input!M350=0,+Input!$G350,+Input!$G350+Input!M350)</f>
        <v>0</v>
      </c>
      <c r="I350" s="174">
        <f>IF(Input!N350=0,+Input!$G350,+Input!$G350+Input!N350)</f>
        <v>0</v>
      </c>
      <c r="J350" s="174">
        <f>IF(Input!O350=0,+Input!$G350,+Input!$G350+Input!O350)</f>
        <v>0</v>
      </c>
      <c r="K350" s="174">
        <f>IF(Input!P350=0,+Input!$G350,+Input!$G350+Input!P350)</f>
        <v>0</v>
      </c>
      <c r="L350" s="174">
        <f>IF(Input!Q350=0,+Input!$G350,+Input!$G350+Input!Q350)</f>
        <v>0</v>
      </c>
      <c r="M350" s="174">
        <f>IF(Input!R350=0,+Input!$G350,+Input!$G350+Input!R350)</f>
        <v>0</v>
      </c>
      <c r="N350" s="174">
        <f>IF(Input!S350=0,+Input!$G350,+Input!$G350+Input!S350)</f>
        <v>0</v>
      </c>
      <c r="O350" s="175">
        <f t="shared" si="67"/>
        <v>0</v>
      </c>
      <c r="P350" s="175">
        <f>IF(AND(O350=""),"",+O350/Setup!$B$12)</f>
        <v>0</v>
      </c>
      <c r="Q350" s="175">
        <f>IF(ISNA(IF(O350="","",(+VLOOKUP(A350,'2016'!$A:$P,15,FALSE)))),0,IF(O350="",0,(+VLOOKUP(A350,'2016'!$A:$P,15,FALSE))))</f>
        <v>0</v>
      </c>
      <c r="R350" s="169"/>
      <c r="S350" s="278"/>
      <c r="T350" s="321"/>
    </row>
    <row r="351" spans="1:20" s="4" customFormat="1" ht="10.5" customHeight="1">
      <c r="A351" s="410" t="s">
        <v>1147</v>
      </c>
      <c r="B351" s="161" t="s">
        <v>428</v>
      </c>
      <c r="C351" s="174">
        <f>IF(Input!H351=0,+Input!$G351,+Input!$G351+Input!H351)</f>
        <v>0</v>
      </c>
      <c r="D351" s="174">
        <f>IF(Input!I351=0,+Input!$G351,+Input!$G351+Input!I351)</f>
        <v>0</v>
      </c>
      <c r="E351" s="174">
        <f>IF(Input!J351=0,+Input!$G351,+Input!$G351+Input!J351)</f>
        <v>0</v>
      </c>
      <c r="F351" s="174">
        <f>IF(Input!K351=0,+Input!$G351,+Input!$G351+Input!K351)</f>
        <v>0</v>
      </c>
      <c r="G351" s="174">
        <f>IF(Input!L351=0,+Input!$G351,+Input!$G351+Input!L351)</f>
        <v>0</v>
      </c>
      <c r="H351" s="174">
        <f>IF(Input!M351=0,+Input!$G351,+Input!$G351+Input!M351)</f>
        <v>0</v>
      </c>
      <c r="I351" s="174">
        <f>IF(Input!N351=0,+Input!$G351,+Input!$G351+Input!N351)</f>
        <v>0</v>
      </c>
      <c r="J351" s="174">
        <f>IF(Input!O351=0,+Input!$G351,+Input!$G351+Input!O351)</f>
        <v>0</v>
      </c>
      <c r="K351" s="174">
        <f>IF(Input!P351=0,+Input!$G351,+Input!$G351+Input!P351)</f>
        <v>0</v>
      </c>
      <c r="L351" s="174">
        <f>IF(Input!Q351=0,+Input!$G351,+Input!$G351+Input!Q351)</f>
        <v>0</v>
      </c>
      <c r="M351" s="174">
        <f>IF(Input!R351=0,+Input!$G351,+Input!$G351+Input!R351)</f>
        <v>0</v>
      </c>
      <c r="N351" s="174">
        <f>IF(Input!S351=0,+Input!$G351,+Input!$G351+Input!S351)</f>
        <v>0</v>
      </c>
      <c r="O351" s="175">
        <f t="shared" si="67"/>
        <v>0</v>
      </c>
      <c r="P351" s="175">
        <f>IF(AND(O351=""),"",+O351/Setup!$B$12)</f>
        <v>0</v>
      </c>
      <c r="Q351" s="175">
        <f>IF(ISNA(IF(O351="","",(+VLOOKUP(A351,'2016'!$A:$P,15,FALSE)))),0,IF(O351="",0,(+VLOOKUP(A351,'2016'!$A:$P,15,FALSE))))</f>
        <v>0</v>
      </c>
      <c r="R351" s="169"/>
      <c r="S351" s="278"/>
      <c r="T351" s="321"/>
    </row>
    <row r="352" spans="1:20" s="4" customFormat="1" ht="10.5" customHeight="1">
      <c r="A352" s="410" t="s">
        <v>1148</v>
      </c>
      <c r="B352" s="161" t="s">
        <v>429</v>
      </c>
      <c r="C352" s="174">
        <f>IF(Input!H352=0,+Input!$G352,+Input!$G352+Input!H352)</f>
        <v>0</v>
      </c>
      <c r="D352" s="174">
        <f>IF(Input!I352=0,+Input!$G352,+Input!$G352+Input!I352)</f>
        <v>0</v>
      </c>
      <c r="E352" s="174">
        <f>IF(Input!J352=0,+Input!$G352,+Input!$G352+Input!J352)</f>
        <v>0</v>
      </c>
      <c r="F352" s="174">
        <f>IF(Input!K352=0,+Input!$G352,+Input!$G352+Input!K352)</f>
        <v>0</v>
      </c>
      <c r="G352" s="174">
        <f>IF(Input!L352=0,+Input!$G352,+Input!$G352+Input!L352)</f>
        <v>0</v>
      </c>
      <c r="H352" s="174">
        <f>IF(Input!M352=0,+Input!$G352,+Input!$G352+Input!M352)</f>
        <v>0</v>
      </c>
      <c r="I352" s="174">
        <f>IF(Input!N352=0,+Input!$G352,+Input!$G352+Input!N352)</f>
        <v>0</v>
      </c>
      <c r="J352" s="174">
        <f>IF(Input!O352=0,+Input!$G352,+Input!$G352+Input!O352)</f>
        <v>0</v>
      </c>
      <c r="K352" s="174">
        <f>IF(Input!P352=0,+Input!$G352,+Input!$G352+Input!P352)</f>
        <v>0</v>
      </c>
      <c r="L352" s="174">
        <f>IF(Input!Q352=0,+Input!$G352,+Input!$G352+Input!Q352)</f>
        <v>0</v>
      </c>
      <c r="M352" s="174">
        <f>IF(Input!R352=0,+Input!$G352,+Input!$G352+Input!R352)</f>
        <v>0</v>
      </c>
      <c r="N352" s="174">
        <f>IF(Input!S352=0,+Input!$G352,+Input!$G352+Input!S352)</f>
        <v>0</v>
      </c>
      <c r="O352" s="175">
        <f t="shared" si="67"/>
        <v>0</v>
      </c>
      <c r="P352" s="175">
        <f>IF(AND(O352=""),"",+O352/Setup!$B$12)</f>
        <v>0</v>
      </c>
      <c r="Q352" s="175">
        <f>IF(ISNA(IF(O352="","",(+VLOOKUP(A352,'2016'!$A:$P,15,FALSE)))),0,IF(O352="",0,(+VLOOKUP(A352,'2016'!$A:$P,15,FALSE))))</f>
        <v>0</v>
      </c>
      <c r="R352" s="169"/>
      <c r="S352" s="278"/>
      <c r="T352" s="321"/>
    </row>
    <row r="353" spans="1:20" s="4" customFormat="1" ht="10.5" customHeight="1">
      <c r="A353" s="410" t="s">
        <v>1149</v>
      </c>
      <c r="B353" s="161" t="s">
        <v>430</v>
      </c>
      <c r="C353" s="174">
        <f>IF(Input!H353=0,+Input!$G353,+Input!$G353+Input!H353)</f>
        <v>0</v>
      </c>
      <c r="D353" s="174">
        <f>IF(Input!I353=0,+Input!$G353,+Input!$G353+Input!I353)</f>
        <v>0</v>
      </c>
      <c r="E353" s="174">
        <f>IF(Input!J353=0,+Input!$G353,+Input!$G353+Input!J353)</f>
        <v>0</v>
      </c>
      <c r="F353" s="174">
        <f>IF(Input!K353=0,+Input!$G353,+Input!$G353+Input!K353)</f>
        <v>0</v>
      </c>
      <c r="G353" s="174">
        <f>IF(Input!L353=0,+Input!$G353,+Input!$G353+Input!L353)</f>
        <v>0</v>
      </c>
      <c r="H353" s="174">
        <f>IF(Input!M353=0,+Input!$G353,+Input!$G353+Input!M353)</f>
        <v>0</v>
      </c>
      <c r="I353" s="174">
        <f>IF(Input!N353=0,+Input!$G353,+Input!$G353+Input!N353)</f>
        <v>0</v>
      </c>
      <c r="J353" s="174">
        <f>IF(Input!O353=0,+Input!$G353,+Input!$G353+Input!O353)</f>
        <v>0</v>
      </c>
      <c r="K353" s="174">
        <f>IF(Input!P353=0,+Input!$G353,+Input!$G353+Input!P353)</f>
        <v>0</v>
      </c>
      <c r="L353" s="174">
        <f>IF(Input!Q353=0,+Input!$G353,+Input!$G353+Input!Q353)</f>
        <v>0</v>
      </c>
      <c r="M353" s="174">
        <f>IF(Input!R353=0,+Input!$G353,+Input!$G353+Input!R353)</f>
        <v>0</v>
      </c>
      <c r="N353" s="174">
        <f>IF(Input!S353=0,+Input!$G353,+Input!$G353+Input!S353)</f>
        <v>0</v>
      </c>
      <c r="O353" s="175">
        <f t="shared" si="67"/>
        <v>0</v>
      </c>
      <c r="P353" s="175">
        <f>IF(AND(O353=""),"",+O353/Setup!$B$12)</f>
        <v>0</v>
      </c>
      <c r="Q353" s="175">
        <f>IF(ISNA(IF(O353="","",(+VLOOKUP(A353,'2016'!$A:$P,15,FALSE)))),0,IF(O353="",0,(+VLOOKUP(A353,'2016'!$A:$P,15,FALSE))))</f>
        <v>0</v>
      </c>
      <c r="R353" s="169"/>
      <c r="S353" s="278"/>
      <c r="T353" s="321"/>
    </row>
    <row r="354" spans="1:20" s="4" customFormat="1" ht="10.5" customHeight="1">
      <c r="A354" s="410" t="s">
        <v>1150</v>
      </c>
      <c r="B354" s="161" t="s">
        <v>431</v>
      </c>
      <c r="C354" s="174">
        <f>IF(Input!H354=0,+Input!$G354,+Input!$G354+Input!H354)</f>
        <v>0</v>
      </c>
      <c r="D354" s="174">
        <f>IF(Input!I354=0,+Input!$G354,+Input!$G354+Input!I354)</f>
        <v>0</v>
      </c>
      <c r="E354" s="174">
        <f>IF(Input!J354=0,+Input!$G354,+Input!$G354+Input!J354)</f>
        <v>0</v>
      </c>
      <c r="F354" s="174">
        <f>IF(Input!K354=0,+Input!$G354,+Input!$G354+Input!K354)</f>
        <v>0</v>
      </c>
      <c r="G354" s="174">
        <f>IF(Input!L354=0,+Input!$G354,+Input!$G354+Input!L354)</f>
        <v>0</v>
      </c>
      <c r="H354" s="174">
        <f>IF(Input!M354=0,+Input!$G354,+Input!$G354+Input!M354)</f>
        <v>0</v>
      </c>
      <c r="I354" s="174">
        <f>IF(Input!N354=0,+Input!$G354,+Input!$G354+Input!N354)</f>
        <v>0</v>
      </c>
      <c r="J354" s="174">
        <f>IF(Input!O354=0,+Input!$G354,+Input!$G354+Input!O354)</f>
        <v>0</v>
      </c>
      <c r="K354" s="174">
        <f>IF(Input!P354=0,+Input!$G354,+Input!$G354+Input!P354)</f>
        <v>0</v>
      </c>
      <c r="L354" s="174">
        <f>IF(Input!Q354=0,+Input!$G354,+Input!$G354+Input!Q354)</f>
        <v>0</v>
      </c>
      <c r="M354" s="174">
        <f>IF(Input!R354=0,+Input!$G354,+Input!$G354+Input!R354)</f>
        <v>0</v>
      </c>
      <c r="N354" s="174">
        <f>IF(Input!S354=0,+Input!$G354,+Input!$G354+Input!S354)</f>
        <v>0</v>
      </c>
      <c r="O354" s="175">
        <f t="shared" si="67"/>
        <v>0</v>
      </c>
      <c r="P354" s="175">
        <f>IF(AND(O354=""),"",+O354/Setup!$B$12)</f>
        <v>0</v>
      </c>
      <c r="Q354" s="175">
        <f>IF(ISNA(IF(O354="","",(+VLOOKUP(A354,'2016'!$A:$P,15,FALSE)))),0,IF(O354="",0,(+VLOOKUP(A354,'2016'!$A:$P,15,FALSE))))</f>
        <v>0</v>
      </c>
      <c r="R354" s="169"/>
      <c r="S354" s="278"/>
      <c r="T354" s="321"/>
    </row>
    <row r="355" spans="1:20" s="4" customFormat="1" ht="10.5" customHeight="1">
      <c r="A355" s="410" t="s">
        <v>1151</v>
      </c>
      <c r="B355" s="161" t="s">
        <v>432</v>
      </c>
      <c r="C355" s="174">
        <f>IF(Input!H355=0,+Input!$G355,+Input!$G355+Input!H355)</f>
        <v>0</v>
      </c>
      <c r="D355" s="174">
        <f>IF(Input!I355=0,+Input!$G355,+Input!$G355+Input!I355)</f>
        <v>0</v>
      </c>
      <c r="E355" s="174">
        <f>IF(Input!J355=0,+Input!$G355,+Input!$G355+Input!J355)</f>
        <v>0</v>
      </c>
      <c r="F355" s="174">
        <f>IF(Input!K355=0,+Input!$G355,+Input!$G355+Input!K355)</f>
        <v>0</v>
      </c>
      <c r="G355" s="174">
        <f>IF(Input!L355=0,+Input!$G355,+Input!$G355+Input!L355)</f>
        <v>0</v>
      </c>
      <c r="H355" s="174">
        <f>IF(Input!M355=0,+Input!$G355,+Input!$G355+Input!M355)</f>
        <v>0</v>
      </c>
      <c r="I355" s="174">
        <f>IF(Input!N355=0,+Input!$G355,+Input!$G355+Input!N355)</f>
        <v>0</v>
      </c>
      <c r="J355" s="174">
        <f>IF(Input!O355=0,+Input!$G355,+Input!$G355+Input!O355)</f>
        <v>0</v>
      </c>
      <c r="K355" s="174">
        <f>IF(Input!P355=0,+Input!$G355,+Input!$G355+Input!P355)</f>
        <v>0</v>
      </c>
      <c r="L355" s="174">
        <f>IF(Input!Q355=0,+Input!$G355,+Input!$G355+Input!Q355)</f>
        <v>0</v>
      </c>
      <c r="M355" s="174">
        <f>IF(Input!R355=0,+Input!$G355,+Input!$G355+Input!R355)</f>
        <v>0</v>
      </c>
      <c r="N355" s="174">
        <f>IF(Input!S355=0,+Input!$G355,+Input!$G355+Input!S355)</f>
        <v>0</v>
      </c>
      <c r="O355" s="175">
        <f t="shared" si="67"/>
        <v>0</v>
      </c>
      <c r="P355" s="175">
        <f>IF(AND(O355=""),"",+O355/Setup!$B$12)</f>
        <v>0</v>
      </c>
      <c r="Q355" s="175">
        <f>IF(ISNA(IF(O355="","",(+VLOOKUP(A355,'2016'!$A:$P,15,FALSE)))),0,IF(O355="",0,(+VLOOKUP(A355,'2016'!$A:$P,15,FALSE))))</f>
        <v>0</v>
      </c>
      <c r="R355" s="169"/>
      <c r="S355" s="278"/>
      <c r="T355" s="321"/>
    </row>
    <row r="356" spans="1:20" s="4" customFormat="1" ht="10.5" customHeight="1">
      <c r="A356" s="410" t="s">
        <v>1152</v>
      </c>
      <c r="B356" s="161" t="s">
        <v>433</v>
      </c>
      <c r="C356" s="174">
        <f>IF(Input!H356=0,+Input!$G356,+Input!$G356+Input!H356)</f>
        <v>0</v>
      </c>
      <c r="D356" s="174">
        <f>IF(Input!I356=0,+Input!$G356,+Input!$G356+Input!I356)</f>
        <v>0</v>
      </c>
      <c r="E356" s="174">
        <f>IF(Input!J356=0,+Input!$G356,+Input!$G356+Input!J356)</f>
        <v>0</v>
      </c>
      <c r="F356" s="174">
        <f>IF(Input!K356=0,+Input!$G356,+Input!$G356+Input!K356)</f>
        <v>0</v>
      </c>
      <c r="G356" s="174">
        <f>IF(Input!L356=0,+Input!$G356,+Input!$G356+Input!L356)</f>
        <v>0</v>
      </c>
      <c r="H356" s="174">
        <f>IF(Input!M356=0,+Input!$G356,+Input!$G356+Input!M356)</f>
        <v>0</v>
      </c>
      <c r="I356" s="174">
        <f>IF(Input!N356=0,+Input!$G356,+Input!$G356+Input!N356)</f>
        <v>0</v>
      </c>
      <c r="J356" s="174">
        <f>IF(Input!O356=0,+Input!$G356,+Input!$G356+Input!O356)</f>
        <v>0</v>
      </c>
      <c r="K356" s="174">
        <f>IF(Input!P356=0,+Input!$G356,+Input!$G356+Input!P356)</f>
        <v>0</v>
      </c>
      <c r="L356" s="174">
        <f>IF(Input!Q356=0,+Input!$G356,+Input!$G356+Input!Q356)</f>
        <v>0</v>
      </c>
      <c r="M356" s="174">
        <f>IF(Input!R356=0,+Input!$G356,+Input!$G356+Input!R356)</f>
        <v>0</v>
      </c>
      <c r="N356" s="174">
        <f>IF(Input!S356=0,+Input!$G356,+Input!$G356+Input!S356)</f>
        <v>0</v>
      </c>
      <c r="O356" s="175">
        <f t="shared" si="67"/>
        <v>0</v>
      </c>
      <c r="P356" s="175">
        <f>IF(AND(O356=""),"",+O356/Setup!$B$12)</f>
        <v>0</v>
      </c>
      <c r="Q356" s="175">
        <f>IF(ISNA(IF(O356="","",(+VLOOKUP(A356,'2016'!$A:$P,15,FALSE)))),0,IF(O356="",0,(+VLOOKUP(A356,'2016'!$A:$P,15,FALSE))))</f>
        <v>0</v>
      </c>
      <c r="R356" s="169"/>
      <c r="S356" s="278"/>
      <c r="T356" s="321"/>
    </row>
    <row r="357" spans="1:20" s="4" customFormat="1" ht="10.5" customHeight="1">
      <c r="A357" s="410" t="s">
        <v>1153</v>
      </c>
      <c r="B357" s="161" t="s">
        <v>434</v>
      </c>
      <c r="C357" s="174">
        <f>IF(Input!H357=0,+Input!$G357,+Input!$G357+Input!H357)</f>
        <v>0</v>
      </c>
      <c r="D357" s="174">
        <f>IF(Input!I357=0,+Input!$G357,+Input!$G357+Input!I357)</f>
        <v>0</v>
      </c>
      <c r="E357" s="174">
        <f>IF(Input!J357=0,+Input!$G357,+Input!$G357+Input!J357)</f>
        <v>0</v>
      </c>
      <c r="F357" s="174">
        <f>IF(Input!K357=0,+Input!$G357,+Input!$G357+Input!K357)</f>
        <v>0</v>
      </c>
      <c r="G357" s="174">
        <f>IF(Input!L357=0,+Input!$G357,+Input!$G357+Input!L357)</f>
        <v>0</v>
      </c>
      <c r="H357" s="174">
        <f>IF(Input!M357=0,+Input!$G357,+Input!$G357+Input!M357)</f>
        <v>0</v>
      </c>
      <c r="I357" s="174">
        <f>IF(Input!N357=0,+Input!$G357,+Input!$G357+Input!N357)</f>
        <v>0</v>
      </c>
      <c r="J357" s="174">
        <f>IF(Input!O357=0,+Input!$G357,+Input!$G357+Input!O357)</f>
        <v>0</v>
      </c>
      <c r="K357" s="174">
        <f>IF(Input!P357=0,+Input!$G357,+Input!$G357+Input!P357)</f>
        <v>0</v>
      </c>
      <c r="L357" s="174">
        <f>IF(Input!Q357=0,+Input!$G357,+Input!$G357+Input!Q357)</f>
        <v>0</v>
      </c>
      <c r="M357" s="174">
        <f>IF(Input!R357=0,+Input!$G357,+Input!$G357+Input!R357)</f>
        <v>0</v>
      </c>
      <c r="N357" s="174">
        <f>IF(Input!S357=0,+Input!$G357,+Input!$G357+Input!S357)</f>
        <v>0</v>
      </c>
      <c r="O357" s="175">
        <f t="shared" si="67"/>
        <v>0</v>
      </c>
      <c r="P357" s="175">
        <f>IF(AND(O357=""),"",+O357/Setup!$B$12)</f>
        <v>0</v>
      </c>
      <c r="Q357" s="175">
        <f>IF(ISNA(IF(O357="","",(+VLOOKUP(A357,'2016'!$A:$P,15,FALSE)))),0,IF(O357="",0,(+VLOOKUP(A357,'2016'!$A:$P,15,FALSE))))</f>
        <v>0</v>
      </c>
      <c r="R357" s="169"/>
      <c r="S357" s="278"/>
      <c r="T357" s="321"/>
    </row>
    <row r="358" spans="1:20" s="4" customFormat="1" ht="10.5" customHeight="1">
      <c r="A358" s="410" t="s">
        <v>1154</v>
      </c>
      <c r="B358" s="161" t="s">
        <v>435</v>
      </c>
      <c r="C358" s="174">
        <f>IF(Input!H358=0,+Input!$G358,+Input!$G358+Input!H358)</f>
        <v>0</v>
      </c>
      <c r="D358" s="174">
        <f>IF(Input!I358=0,+Input!$G358,+Input!$G358+Input!I358)</f>
        <v>0</v>
      </c>
      <c r="E358" s="174">
        <f>IF(Input!J358=0,+Input!$G358,+Input!$G358+Input!J358)</f>
        <v>0</v>
      </c>
      <c r="F358" s="174">
        <f>IF(Input!K358=0,+Input!$G358,+Input!$G358+Input!K358)</f>
        <v>0</v>
      </c>
      <c r="G358" s="174">
        <f>IF(Input!L358=0,+Input!$G358,+Input!$G358+Input!L358)</f>
        <v>0</v>
      </c>
      <c r="H358" s="174">
        <f>IF(Input!M358=0,+Input!$G358,+Input!$G358+Input!M358)</f>
        <v>0</v>
      </c>
      <c r="I358" s="174">
        <f>IF(Input!N358=0,+Input!$G358,+Input!$G358+Input!N358)</f>
        <v>0</v>
      </c>
      <c r="J358" s="174">
        <f>IF(Input!O358=0,+Input!$G358,+Input!$G358+Input!O358)</f>
        <v>0</v>
      </c>
      <c r="K358" s="174">
        <f>IF(Input!P358=0,+Input!$G358,+Input!$G358+Input!P358)</f>
        <v>0</v>
      </c>
      <c r="L358" s="174">
        <f>IF(Input!Q358=0,+Input!$G358,+Input!$G358+Input!Q358)</f>
        <v>0</v>
      </c>
      <c r="M358" s="174">
        <f>IF(Input!R358=0,+Input!$G358,+Input!$G358+Input!R358)</f>
        <v>0</v>
      </c>
      <c r="N358" s="174">
        <f>IF(Input!S358=0,+Input!$G358,+Input!$G358+Input!S358)</f>
        <v>0</v>
      </c>
      <c r="O358" s="175">
        <f t="shared" si="67"/>
        <v>0</v>
      </c>
      <c r="P358" s="175">
        <f>IF(AND(O358=""),"",+O358/Setup!$B$12)</f>
        <v>0</v>
      </c>
      <c r="Q358" s="175">
        <f>IF(ISNA(IF(O358="","",(+VLOOKUP(A358,'2016'!$A:$P,15,FALSE)))),0,IF(O358="",0,(+VLOOKUP(A358,'2016'!$A:$P,15,FALSE))))</f>
        <v>0</v>
      </c>
      <c r="R358" s="169"/>
      <c r="S358" s="274"/>
      <c r="T358" s="320"/>
    </row>
    <row r="359" spans="1:20" s="4" customFormat="1" ht="10.5" customHeight="1">
      <c r="A359" s="410" t="s">
        <v>1155</v>
      </c>
      <c r="B359" s="161" t="s">
        <v>436</v>
      </c>
      <c r="C359" s="174">
        <f>IF(Input!H359=0,+Input!$G359,+Input!$G359+Input!H359)</f>
        <v>0</v>
      </c>
      <c r="D359" s="174">
        <f>IF(Input!I359=0,+Input!$G359,+Input!$G359+Input!I359)</f>
        <v>0</v>
      </c>
      <c r="E359" s="174">
        <f>IF(Input!J359=0,+Input!$G359,+Input!$G359+Input!J359)</f>
        <v>0</v>
      </c>
      <c r="F359" s="174">
        <f>IF(Input!K359=0,+Input!$G359,+Input!$G359+Input!K359)</f>
        <v>0</v>
      </c>
      <c r="G359" s="174">
        <f>IF(Input!L359=0,+Input!$G359,+Input!$G359+Input!L359)</f>
        <v>0</v>
      </c>
      <c r="H359" s="174">
        <f>IF(Input!M359=0,+Input!$G359,+Input!$G359+Input!M359)</f>
        <v>0</v>
      </c>
      <c r="I359" s="174">
        <f>IF(Input!N359=0,+Input!$G359,+Input!$G359+Input!N359)</f>
        <v>0</v>
      </c>
      <c r="J359" s="174">
        <f>IF(Input!O359=0,+Input!$G359,+Input!$G359+Input!O359)</f>
        <v>0</v>
      </c>
      <c r="K359" s="174">
        <f>IF(Input!P359=0,+Input!$G359,+Input!$G359+Input!P359)</f>
        <v>0</v>
      </c>
      <c r="L359" s="174">
        <f>IF(Input!Q359=0,+Input!$G359,+Input!$G359+Input!Q359)</f>
        <v>0</v>
      </c>
      <c r="M359" s="174">
        <f>IF(Input!R359=0,+Input!$G359,+Input!$G359+Input!R359)</f>
        <v>0</v>
      </c>
      <c r="N359" s="174">
        <f>IF(Input!S359=0,+Input!$G359,+Input!$G359+Input!S359)</f>
        <v>0</v>
      </c>
      <c r="O359" s="175">
        <f t="shared" si="67"/>
        <v>0</v>
      </c>
      <c r="P359" s="175">
        <f>IF(AND(O359=""),"",+O359/Setup!$B$12)</f>
        <v>0</v>
      </c>
      <c r="Q359" s="175">
        <f>IF(ISNA(IF(O359="","",(+VLOOKUP(A359,'2016'!$A:$P,15,FALSE)))),0,IF(O359="",0,(+VLOOKUP(A359,'2016'!$A:$P,15,FALSE))))</f>
        <v>0</v>
      </c>
      <c r="R359" s="169"/>
      <c r="S359" s="276"/>
      <c r="T359" s="323"/>
    </row>
    <row r="360" spans="1:20" s="4" customFormat="1" ht="10.5" customHeight="1">
      <c r="A360" s="410" t="s">
        <v>1156</v>
      </c>
      <c r="B360" s="161" t="s">
        <v>437</v>
      </c>
      <c r="C360" s="174">
        <f>IF(Input!H360=0,+Input!$G360,+Input!$G360+Input!H360)</f>
        <v>0</v>
      </c>
      <c r="D360" s="174">
        <f>IF(Input!I360=0,+Input!$G360,+Input!$G360+Input!I360)</f>
        <v>0</v>
      </c>
      <c r="E360" s="174">
        <f>IF(Input!J360=0,+Input!$G360,+Input!$G360+Input!J360)</f>
        <v>0</v>
      </c>
      <c r="F360" s="174">
        <f>IF(Input!K360=0,+Input!$G360,+Input!$G360+Input!K360)</f>
        <v>0</v>
      </c>
      <c r="G360" s="174">
        <f>IF(Input!L360=0,+Input!$G360,+Input!$G360+Input!L360)</f>
        <v>0</v>
      </c>
      <c r="H360" s="174">
        <f>IF(Input!M360=0,+Input!$G360,+Input!$G360+Input!M360)</f>
        <v>0</v>
      </c>
      <c r="I360" s="174">
        <f>IF(Input!N360=0,+Input!$G360,+Input!$G360+Input!N360)</f>
        <v>0</v>
      </c>
      <c r="J360" s="174">
        <f>IF(Input!O360=0,+Input!$G360,+Input!$G360+Input!O360)</f>
        <v>0</v>
      </c>
      <c r="K360" s="174">
        <f>IF(Input!P360=0,+Input!$G360,+Input!$G360+Input!P360)</f>
        <v>0</v>
      </c>
      <c r="L360" s="174">
        <f>IF(Input!Q360=0,+Input!$G360,+Input!$G360+Input!Q360)</f>
        <v>0</v>
      </c>
      <c r="M360" s="174">
        <f>IF(Input!R360=0,+Input!$G360,+Input!$G360+Input!R360)</f>
        <v>0</v>
      </c>
      <c r="N360" s="174">
        <f>IF(Input!S360=0,+Input!$G360,+Input!$G360+Input!S360)</f>
        <v>0</v>
      </c>
      <c r="O360" s="175">
        <f t="shared" si="67"/>
        <v>0</v>
      </c>
      <c r="P360" s="175">
        <f>IF(AND(O360=""),"",+O360/Setup!$B$12)</f>
        <v>0</v>
      </c>
      <c r="Q360" s="175">
        <f>IF(ISNA(IF(O360="","",(+VLOOKUP(A360,'2016'!$A:$P,15,FALSE)))),0,IF(O360="",0,(+VLOOKUP(A360,'2016'!$A:$P,15,FALSE))))</f>
        <v>0</v>
      </c>
      <c r="R360" s="169"/>
      <c r="S360" s="276"/>
      <c r="T360" s="323"/>
    </row>
    <row r="361" spans="1:20" s="4" customFormat="1" ht="10.5" customHeight="1">
      <c r="A361" s="410" t="s">
        <v>1157</v>
      </c>
      <c r="B361" s="161" t="s">
        <v>438</v>
      </c>
      <c r="C361" s="174">
        <f>IF(Input!H361=0,+Input!$G361,+Input!$G361+Input!H361)</f>
        <v>0</v>
      </c>
      <c r="D361" s="174">
        <f>IF(Input!I361=0,+Input!$G361,+Input!$G361+Input!I361)</f>
        <v>0</v>
      </c>
      <c r="E361" s="174">
        <f>IF(Input!J361=0,+Input!$G361,+Input!$G361+Input!J361)</f>
        <v>0</v>
      </c>
      <c r="F361" s="174">
        <f>IF(Input!K361=0,+Input!$G361,+Input!$G361+Input!K361)</f>
        <v>0</v>
      </c>
      <c r="G361" s="174">
        <f>IF(Input!L361=0,+Input!$G361,+Input!$G361+Input!L361)</f>
        <v>0</v>
      </c>
      <c r="H361" s="174">
        <f>IF(Input!M361=0,+Input!$G361,+Input!$G361+Input!M361)</f>
        <v>0</v>
      </c>
      <c r="I361" s="174">
        <f>IF(Input!N361=0,+Input!$G361,+Input!$G361+Input!N361)</f>
        <v>0</v>
      </c>
      <c r="J361" s="174">
        <f>IF(Input!O361=0,+Input!$G361,+Input!$G361+Input!O361)</f>
        <v>0</v>
      </c>
      <c r="K361" s="174">
        <f>IF(Input!P361=0,+Input!$G361,+Input!$G361+Input!P361)</f>
        <v>0</v>
      </c>
      <c r="L361" s="174">
        <f>IF(Input!Q361=0,+Input!$G361,+Input!$G361+Input!Q361)</f>
        <v>0</v>
      </c>
      <c r="M361" s="174">
        <f>IF(Input!R361=0,+Input!$G361,+Input!$G361+Input!R361)</f>
        <v>0</v>
      </c>
      <c r="N361" s="174">
        <f>IF(Input!S361=0,+Input!$G361,+Input!$G361+Input!S361)</f>
        <v>0</v>
      </c>
      <c r="O361" s="175">
        <f t="shared" si="67"/>
        <v>0</v>
      </c>
      <c r="P361" s="175">
        <f>IF(AND(O361=""),"",+O361/Setup!$B$12)</f>
        <v>0</v>
      </c>
      <c r="Q361" s="175">
        <f>IF(ISNA(IF(O361="","",(+VLOOKUP(A361,'2016'!$A:$P,15,FALSE)))),0,IF(O361="",0,(+VLOOKUP(A361,'2016'!$A:$P,15,FALSE))))</f>
        <v>0</v>
      </c>
      <c r="R361" s="169"/>
      <c r="S361" s="3"/>
      <c r="T361" s="11"/>
    </row>
    <row r="362" spans="1:20" s="4" customFormat="1" ht="10.5" customHeight="1">
      <c r="A362" s="410" t="s">
        <v>1158</v>
      </c>
      <c r="B362" s="161" t="s">
        <v>439</v>
      </c>
      <c r="C362" s="174">
        <f>IF(Input!H362=0,+Input!$G362,+Input!$G362+Input!H362)</f>
        <v>0</v>
      </c>
      <c r="D362" s="174">
        <f>IF(Input!I362=0,+Input!$G362,+Input!$G362+Input!I362)</f>
        <v>0</v>
      </c>
      <c r="E362" s="174">
        <f>IF(Input!J362=0,+Input!$G362,+Input!$G362+Input!J362)</f>
        <v>0</v>
      </c>
      <c r="F362" s="174">
        <f>IF(Input!K362=0,+Input!$G362,+Input!$G362+Input!K362)</f>
        <v>0</v>
      </c>
      <c r="G362" s="174">
        <f>IF(Input!L362=0,+Input!$G362,+Input!$G362+Input!L362)</f>
        <v>0</v>
      </c>
      <c r="H362" s="174">
        <f>IF(Input!M362=0,+Input!$G362,+Input!$G362+Input!M362)</f>
        <v>0</v>
      </c>
      <c r="I362" s="174">
        <f>IF(Input!N362=0,+Input!$G362,+Input!$G362+Input!N362)</f>
        <v>0</v>
      </c>
      <c r="J362" s="174">
        <f>IF(Input!O362=0,+Input!$G362,+Input!$G362+Input!O362)</f>
        <v>0</v>
      </c>
      <c r="K362" s="174">
        <f>IF(Input!P362=0,+Input!$G362,+Input!$G362+Input!P362)</f>
        <v>0</v>
      </c>
      <c r="L362" s="174">
        <f>IF(Input!Q362=0,+Input!$G362,+Input!$G362+Input!Q362)</f>
        <v>0</v>
      </c>
      <c r="M362" s="174">
        <f>IF(Input!R362=0,+Input!$G362,+Input!$G362+Input!R362)</f>
        <v>0</v>
      </c>
      <c r="N362" s="174">
        <f>IF(Input!S362=0,+Input!$G362,+Input!$G362+Input!S362)</f>
        <v>0</v>
      </c>
      <c r="O362" s="175">
        <f t="shared" si="67"/>
        <v>0</v>
      </c>
      <c r="P362" s="175">
        <f>IF(AND(O362=""),"",+O362/Setup!$B$12)</f>
        <v>0</v>
      </c>
      <c r="Q362" s="175">
        <f>IF(ISNA(IF(O362="","",(+VLOOKUP(A362,'2016'!$A:$P,15,FALSE)))),0,IF(O362="",0,(+VLOOKUP(A362,'2016'!$A:$P,15,FALSE))))</f>
        <v>0</v>
      </c>
      <c r="R362" s="169"/>
      <c r="S362" s="3"/>
      <c r="T362" s="11"/>
    </row>
    <row r="363" spans="1:20" s="4" customFormat="1" ht="10.5" customHeight="1">
      <c r="A363" s="410" t="s">
        <v>1159</v>
      </c>
      <c r="B363" s="161" t="s">
        <v>440</v>
      </c>
      <c r="C363" s="174">
        <f>IF(Input!H363=0,+Input!$G363,+Input!$G363+Input!H363)</f>
        <v>0</v>
      </c>
      <c r="D363" s="174">
        <f>IF(Input!I363=0,+Input!$G363,+Input!$G363+Input!I363)</f>
        <v>0</v>
      </c>
      <c r="E363" s="174">
        <f>IF(Input!J363=0,+Input!$G363,+Input!$G363+Input!J363)</f>
        <v>0</v>
      </c>
      <c r="F363" s="174">
        <f>IF(Input!K363=0,+Input!$G363,+Input!$G363+Input!K363)</f>
        <v>0</v>
      </c>
      <c r="G363" s="174">
        <f>IF(Input!L363=0,+Input!$G363,+Input!$G363+Input!L363)</f>
        <v>0</v>
      </c>
      <c r="H363" s="174">
        <f>IF(Input!M363=0,+Input!$G363,+Input!$G363+Input!M363)</f>
        <v>0</v>
      </c>
      <c r="I363" s="174">
        <f>IF(Input!N363=0,+Input!$G363,+Input!$G363+Input!N363)</f>
        <v>0</v>
      </c>
      <c r="J363" s="174">
        <f>IF(Input!O363=0,+Input!$G363,+Input!$G363+Input!O363)</f>
        <v>0</v>
      </c>
      <c r="K363" s="174">
        <f>IF(Input!P363=0,+Input!$G363,+Input!$G363+Input!P363)</f>
        <v>0</v>
      </c>
      <c r="L363" s="174">
        <f>IF(Input!Q363=0,+Input!$G363,+Input!$G363+Input!Q363)</f>
        <v>0</v>
      </c>
      <c r="M363" s="174">
        <f>IF(Input!R363=0,+Input!$G363,+Input!$G363+Input!R363)</f>
        <v>0</v>
      </c>
      <c r="N363" s="174">
        <f>IF(Input!S363=0,+Input!$G363,+Input!$G363+Input!S363)</f>
        <v>0</v>
      </c>
      <c r="O363" s="175">
        <f t="shared" si="67"/>
        <v>0</v>
      </c>
      <c r="P363" s="175">
        <f>IF(AND(O363=""),"",+O363/Setup!$B$12)</f>
        <v>0</v>
      </c>
      <c r="Q363" s="175">
        <f>IF(ISNA(IF(O363="","",(+VLOOKUP(A363,'2016'!$A:$P,15,FALSE)))),0,IF(O363="",0,(+VLOOKUP(A363,'2016'!$A:$P,15,FALSE))))</f>
        <v>0</v>
      </c>
      <c r="R363" s="169"/>
      <c r="S363" s="3"/>
      <c r="T363" s="11"/>
    </row>
    <row r="364" spans="1:20" s="4" customFormat="1" ht="10.5" customHeight="1">
      <c r="A364" s="410" t="s">
        <v>1160</v>
      </c>
      <c r="B364" s="161" t="s">
        <v>441</v>
      </c>
      <c r="C364" s="174">
        <f>IF(Input!H364=0,+Input!$G364,+Input!$G364+Input!H364)</f>
        <v>0</v>
      </c>
      <c r="D364" s="174">
        <f>IF(Input!I364=0,+Input!$G364,+Input!$G364+Input!I364)</f>
        <v>0</v>
      </c>
      <c r="E364" s="174">
        <f>IF(Input!J364=0,+Input!$G364,+Input!$G364+Input!J364)</f>
        <v>0</v>
      </c>
      <c r="F364" s="174">
        <f>IF(Input!K364=0,+Input!$G364,+Input!$G364+Input!K364)</f>
        <v>0</v>
      </c>
      <c r="G364" s="174">
        <f>IF(Input!L364=0,+Input!$G364,+Input!$G364+Input!L364)</f>
        <v>0</v>
      </c>
      <c r="H364" s="174">
        <f>IF(Input!M364=0,+Input!$G364,+Input!$G364+Input!M364)</f>
        <v>0</v>
      </c>
      <c r="I364" s="174">
        <f>IF(Input!N364=0,+Input!$G364,+Input!$G364+Input!N364)</f>
        <v>0</v>
      </c>
      <c r="J364" s="174">
        <f>IF(Input!O364=0,+Input!$G364,+Input!$G364+Input!O364)</f>
        <v>0</v>
      </c>
      <c r="K364" s="174">
        <f>IF(Input!P364=0,+Input!$G364,+Input!$G364+Input!P364)</f>
        <v>0</v>
      </c>
      <c r="L364" s="174">
        <f>IF(Input!Q364=0,+Input!$G364,+Input!$G364+Input!Q364)</f>
        <v>0</v>
      </c>
      <c r="M364" s="174">
        <f>IF(Input!R364=0,+Input!$G364,+Input!$G364+Input!R364)</f>
        <v>0</v>
      </c>
      <c r="N364" s="174">
        <f>IF(Input!S364=0,+Input!$G364,+Input!$G364+Input!S364)</f>
        <v>0</v>
      </c>
      <c r="O364" s="175">
        <f t="shared" si="67"/>
        <v>0</v>
      </c>
      <c r="P364" s="175">
        <f>IF(AND(O364=""),"",+O364/Setup!$B$12)</f>
        <v>0</v>
      </c>
      <c r="Q364" s="175">
        <f>IF(ISNA(IF(O364="","",(+VLOOKUP(A364,'2016'!$A:$P,15,FALSE)))),0,IF(O364="",0,(+VLOOKUP(A364,'2016'!$A:$P,15,FALSE))))</f>
        <v>0</v>
      </c>
      <c r="R364" s="169"/>
      <c r="S364" s="3"/>
      <c r="T364" s="11"/>
    </row>
    <row r="365" spans="1:20" s="4" customFormat="1" ht="10.5" customHeight="1">
      <c r="A365" s="410" t="s">
        <v>1161</v>
      </c>
      <c r="B365" s="161" t="s">
        <v>442</v>
      </c>
      <c r="C365" s="174">
        <f>IF(Input!H365=0,+Input!$G365,+Input!$G365+Input!H365)</f>
        <v>0</v>
      </c>
      <c r="D365" s="174">
        <f>IF(Input!I365=0,+Input!$G365,+Input!$G365+Input!I365)</f>
        <v>0</v>
      </c>
      <c r="E365" s="174">
        <f>IF(Input!J365=0,+Input!$G365,+Input!$G365+Input!J365)</f>
        <v>0</v>
      </c>
      <c r="F365" s="174">
        <f>IF(Input!K365=0,+Input!$G365,+Input!$G365+Input!K365)</f>
        <v>0</v>
      </c>
      <c r="G365" s="174">
        <f>IF(Input!L365=0,+Input!$G365,+Input!$G365+Input!L365)</f>
        <v>0</v>
      </c>
      <c r="H365" s="174">
        <f>IF(Input!M365=0,+Input!$G365,+Input!$G365+Input!M365)</f>
        <v>0</v>
      </c>
      <c r="I365" s="174">
        <f>IF(Input!N365=0,+Input!$G365,+Input!$G365+Input!N365)</f>
        <v>0</v>
      </c>
      <c r="J365" s="174">
        <f>IF(Input!O365=0,+Input!$G365,+Input!$G365+Input!O365)</f>
        <v>0</v>
      </c>
      <c r="K365" s="174">
        <f>IF(Input!P365=0,+Input!$G365,+Input!$G365+Input!P365)</f>
        <v>0</v>
      </c>
      <c r="L365" s="174">
        <f>IF(Input!Q365=0,+Input!$G365,+Input!$G365+Input!Q365)</f>
        <v>0</v>
      </c>
      <c r="M365" s="174">
        <f>IF(Input!R365=0,+Input!$G365,+Input!$G365+Input!R365)</f>
        <v>0</v>
      </c>
      <c r="N365" s="174">
        <f>IF(Input!S365=0,+Input!$G365,+Input!$G365+Input!S365)</f>
        <v>0</v>
      </c>
      <c r="O365" s="175">
        <f t="shared" si="67"/>
        <v>0</v>
      </c>
      <c r="P365" s="175">
        <f>IF(AND(O365=""),"",+O365/Setup!$B$12)</f>
        <v>0</v>
      </c>
      <c r="Q365" s="175">
        <f>IF(ISNA(IF(O365="","",(+VLOOKUP(A365,'2016'!$A:$P,15,FALSE)))),0,IF(O365="",0,(+VLOOKUP(A365,'2016'!$A:$P,15,FALSE))))</f>
        <v>0</v>
      </c>
      <c r="R365" s="169"/>
      <c r="S365" s="3"/>
      <c r="T365" s="11"/>
    </row>
    <row r="366" spans="1:20" s="4" customFormat="1" ht="10.5" customHeight="1">
      <c r="A366" s="410" t="s">
        <v>1162</v>
      </c>
      <c r="B366" s="161" t="s">
        <v>443</v>
      </c>
      <c r="C366" s="174">
        <f>IF(Input!H366=0,+Input!$G366,+Input!$G366+Input!H366)</f>
        <v>0</v>
      </c>
      <c r="D366" s="174">
        <f>IF(Input!I366=0,+Input!$G366,+Input!$G366+Input!I366)</f>
        <v>0</v>
      </c>
      <c r="E366" s="174">
        <f>IF(Input!J366=0,+Input!$G366,+Input!$G366+Input!J366)</f>
        <v>0</v>
      </c>
      <c r="F366" s="174">
        <f>IF(Input!K366=0,+Input!$G366,+Input!$G366+Input!K366)</f>
        <v>0</v>
      </c>
      <c r="G366" s="174">
        <f>IF(Input!L366=0,+Input!$G366,+Input!$G366+Input!L366)</f>
        <v>0</v>
      </c>
      <c r="H366" s="174">
        <f>IF(Input!M366=0,+Input!$G366,+Input!$G366+Input!M366)</f>
        <v>0</v>
      </c>
      <c r="I366" s="174">
        <f>IF(Input!N366=0,+Input!$G366,+Input!$G366+Input!N366)</f>
        <v>0</v>
      </c>
      <c r="J366" s="174">
        <f>IF(Input!O366=0,+Input!$G366,+Input!$G366+Input!O366)</f>
        <v>0</v>
      </c>
      <c r="K366" s="174">
        <f>IF(Input!P366=0,+Input!$G366,+Input!$G366+Input!P366)</f>
        <v>0</v>
      </c>
      <c r="L366" s="174">
        <f>IF(Input!Q366=0,+Input!$G366,+Input!$G366+Input!Q366)</f>
        <v>0</v>
      </c>
      <c r="M366" s="174">
        <f>IF(Input!R366=0,+Input!$G366,+Input!$G366+Input!R366)</f>
        <v>0</v>
      </c>
      <c r="N366" s="174">
        <f>IF(Input!S366=0,+Input!$G366,+Input!$G366+Input!S366)</f>
        <v>0</v>
      </c>
      <c r="O366" s="175">
        <f t="shared" si="67"/>
        <v>0</v>
      </c>
      <c r="P366" s="175">
        <f>IF(AND(O366=""),"",+O366/Setup!$B$12)</f>
        <v>0</v>
      </c>
      <c r="Q366" s="175">
        <f>IF(ISNA(IF(O366="","",(+VLOOKUP(A366,'2016'!$A:$P,15,FALSE)))),0,IF(O366="",0,(+VLOOKUP(A366,'2016'!$A:$P,15,FALSE))))</f>
        <v>0</v>
      </c>
      <c r="R366" s="169"/>
      <c r="S366" s="3"/>
      <c r="T366" s="11"/>
    </row>
    <row r="367" spans="1:20" s="4" customFormat="1" ht="10.5" customHeight="1">
      <c r="A367" s="410" t="s">
        <v>1163</v>
      </c>
      <c r="B367" s="161" t="s">
        <v>444</v>
      </c>
      <c r="C367" s="174">
        <f>IF(Input!H367=0,+Input!$G367,+Input!$G367+Input!H367)</f>
        <v>0</v>
      </c>
      <c r="D367" s="174">
        <f>IF(Input!I367=0,+Input!$G367,+Input!$G367+Input!I367)</f>
        <v>0</v>
      </c>
      <c r="E367" s="174">
        <f>IF(Input!J367=0,+Input!$G367,+Input!$G367+Input!J367)</f>
        <v>0</v>
      </c>
      <c r="F367" s="174">
        <f>IF(Input!K367=0,+Input!$G367,+Input!$G367+Input!K367)</f>
        <v>0</v>
      </c>
      <c r="G367" s="174">
        <f>IF(Input!L367=0,+Input!$G367,+Input!$G367+Input!L367)</f>
        <v>0</v>
      </c>
      <c r="H367" s="174">
        <f>IF(Input!M367=0,+Input!$G367,+Input!$G367+Input!M367)</f>
        <v>0</v>
      </c>
      <c r="I367" s="174">
        <f>IF(Input!N367=0,+Input!$G367,+Input!$G367+Input!N367)</f>
        <v>0</v>
      </c>
      <c r="J367" s="174">
        <f>IF(Input!O367=0,+Input!$G367,+Input!$G367+Input!O367)</f>
        <v>0</v>
      </c>
      <c r="K367" s="174">
        <f>IF(Input!P367=0,+Input!$G367,+Input!$G367+Input!P367)</f>
        <v>0</v>
      </c>
      <c r="L367" s="174">
        <f>IF(Input!Q367=0,+Input!$G367,+Input!$G367+Input!Q367)</f>
        <v>0</v>
      </c>
      <c r="M367" s="174">
        <f>IF(Input!R367=0,+Input!$G367,+Input!$G367+Input!R367)</f>
        <v>0</v>
      </c>
      <c r="N367" s="174">
        <f>IF(Input!S367=0,+Input!$G367,+Input!$G367+Input!S367)</f>
        <v>0</v>
      </c>
      <c r="O367" s="175">
        <f t="shared" si="67"/>
        <v>0</v>
      </c>
      <c r="P367" s="175">
        <f>IF(AND(O367=""),"",+O367/Setup!$B$12)</f>
        <v>0</v>
      </c>
      <c r="Q367" s="175">
        <f>IF(ISNA(IF(O367="","",(+VLOOKUP(A367,'2016'!$A:$P,15,FALSE)))),0,IF(O367="",0,(+VLOOKUP(A367,'2016'!$A:$P,15,FALSE))))</f>
        <v>0</v>
      </c>
      <c r="R367" s="169"/>
      <c r="S367" s="3"/>
      <c r="T367" s="11"/>
    </row>
    <row r="368" spans="1:20" s="4" customFormat="1" ht="10.5" customHeight="1">
      <c r="A368" s="410" t="s">
        <v>1164</v>
      </c>
      <c r="B368" s="161" t="s">
        <v>445</v>
      </c>
      <c r="C368" s="174">
        <f>IF(Input!H368=0,+Input!$G368,+Input!$G368+Input!H368)</f>
        <v>0</v>
      </c>
      <c r="D368" s="174">
        <f>IF(Input!I368=0,+Input!$G368,+Input!$G368+Input!I368)</f>
        <v>0</v>
      </c>
      <c r="E368" s="174">
        <f>IF(Input!J368=0,+Input!$G368,+Input!$G368+Input!J368)</f>
        <v>0</v>
      </c>
      <c r="F368" s="174">
        <f>IF(Input!K368=0,+Input!$G368,+Input!$G368+Input!K368)</f>
        <v>0</v>
      </c>
      <c r="G368" s="174">
        <f>IF(Input!L368=0,+Input!$G368,+Input!$G368+Input!L368)</f>
        <v>0</v>
      </c>
      <c r="H368" s="174">
        <f>IF(Input!M368=0,+Input!$G368,+Input!$G368+Input!M368)</f>
        <v>0</v>
      </c>
      <c r="I368" s="174">
        <f>IF(Input!N368=0,+Input!$G368,+Input!$G368+Input!N368)</f>
        <v>0</v>
      </c>
      <c r="J368" s="174">
        <f>IF(Input!O368=0,+Input!$G368,+Input!$G368+Input!O368)</f>
        <v>0</v>
      </c>
      <c r="K368" s="174">
        <f>IF(Input!P368=0,+Input!$G368,+Input!$G368+Input!P368)</f>
        <v>0</v>
      </c>
      <c r="L368" s="174">
        <f>IF(Input!Q368=0,+Input!$G368,+Input!$G368+Input!Q368)</f>
        <v>0</v>
      </c>
      <c r="M368" s="174">
        <f>IF(Input!R368=0,+Input!$G368,+Input!$G368+Input!R368)</f>
        <v>0</v>
      </c>
      <c r="N368" s="174">
        <f>IF(Input!S368=0,+Input!$G368,+Input!$G368+Input!S368)</f>
        <v>0</v>
      </c>
      <c r="O368" s="175">
        <f t="shared" si="67"/>
        <v>0</v>
      </c>
      <c r="P368" s="175">
        <f>IF(AND(O368=""),"",+O368/Setup!$B$12)</f>
        <v>0</v>
      </c>
      <c r="Q368" s="175">
        <f>IF(ISNA(IF(O368="","",(+VLOOKUP(A368,'2016'!$A:$P,15,FALSE)))),0,IF(O368="",0,(+VLOOKUP(A368,'2016'!$A:$P,15,FALSE))))</f>
        <v>0</v>
      </c>
      <c r="R368" s="169"/>
      <c r="S368" s="3"/>
      <c r="T368" s="11"/>
    </row>
    <row r="369" spans="1:20" s="4" customFormat="1" ht="10.5" customHeight="1">
      <c r="A369" s="410" t="s">
        <v>1165</v>
      </c>
      <c r="B369" s="161" t="s">
        <v>446</v>
      </c>
      <c r="C369" s="174">
        <f>IF(Input!H369=0,+Input!$G369,+Input!$G369+Input!H369)</f>
        <v>1680.6666666666667</v>
      </c>
      <c r="D369" s="174">
        <f>IF(Input!I369=0,+Input!$G369,+Input!$G369+Input!I369)</f>
        <v>1680.6666666666667</v>
      </c>
      <c r="E369" s="174">
        <f>IF(Input!J369=0,+Input!$G369,+Input!$G369+Input!J369)</f>
        <v>1680.6666666666667</v>
      </c>
      <c r="F369" s="174">
        <f>IF(Input!K369=0,+Input!$G369,+Input!$G369+Input!K369)</f>
        <v>1680.6666666666667</v>
      </c>
      <c r="G369" s="174">
        <f>IF(Input!L369=0,+Input!$G369,+Input!$G369+Input!L369)</f>
        <v>1680.6666666666667</v>
      </c>
      <c r="H369" s="174">
        <f>IF(Input!M369=0,+Input!$G369,+Input!$G369+Input!M369)</f>
        <v>1680.6666666666667</v>
      </c>
      <c r="I369" s="174">
        <f>IF(Input!N369=0,+Input!$G369,+Input!$G369+Input!N369)</f>
        <v>1680.6666666666667</v>
      </c>
      <c r="J369" s="174">
        <f>IF(Input!O369=0,+Input!$G369,+Input!$G369+Input!O369)</f>
        <v>1680.6666666666667</v>
      </c>
      <c r="K369" s="174">
        <f>IF(Input!P369=0,+Input!$G369,+Input!$G369+Input!P369)</f>
        <v>1680.6666666666667</v>
      </c>
      <c r="L369" s="174">
        <f>IF(Input!Q369=0,+Input!$G369,+Input!$G369+Input!Q369)</f>
        <v>1680.6666666666667</v>
      </c>
      <c r="M369" s="174">
        <f>IF(Input!R369=0,+Input!$G369,+Input!$G369+Input!R369)</f>
        <v>1680.6666666666667</v>
      </c>
      <c r="N369" s="174">
        <f>IF(Input!S369=0,+Input!$G369,+Input!$G369+Input!S369)</f>
        <v>1680.6666666666667</v>
      </c>
      <c r="O369" s="175">
        <f t="shared" si="67"/>
        <v>20168</v>
      </c>
      <c r="P369" s="175">
        <f>IF(AND(O369=""),"",+O369/Setup!$B$12)</f>
        <v>91.672727272727272</v>
      </c>
      <c r="Q369" s="175">
        <f>IF(ISNA(IF(O369="","",(+VLOOKUP(A369,'2016'!$A:$P,15,FALSE)))),0,IF(O369="",0,(+VLOOKUP(A369,'2016'!$A:$P,15,FALSE))))</f>
        <v>20168</v>
      </c>
      <c r="R369" s="169"/>
      <c r="S369" s="3"/>
      <c r="T369" s="11"/>
    </row>
    <row r="370" spans="1:20" s="4" customFormat="1" ht="10.5" customHeight="1">
      <c r="A370" s="410" t="s">
        <v>1167</v>
      </c>
      <c r="B370" s="161" t="s">
        <v>447</v>
      </c>
      <c r="C370" s="174">
        <f>IF(Input!H370=0,+Input!$G370,+Input!$G370+Input!H370)</f>
        <v>0</v>
      </c>
      <c r="D370" s="174">
        <f>IF(Input!I370=0,+Input!$G370,+Input!$G370+Input!I370)</f>
        <v>0</v>
      </c>
      <c r="E370" s="174">
        <f>IF(Input!J370=0,+Input!$G370,+Input!$G370+Input!J370)</f>
        <v>0</v>
      </c>
      <c r="F370" s="174">
        <f>IF(Input!K370=0,+Input!$G370,+Input!$G370+Input!K370)</f>
        <v>0</v>
      </c>
      <c r="G370" s="174">
        <f>IF(Input!L370=0,+Input!$G370,+Input!$G370+Input!L370)</f>
        <v>0</v>
      </c>
      <c r="H370" s="174">
        <f>IF(Input!M370=0,+Input!$G370,+Input!$G370+Input!M370)</f>
        <v>0</v>
      </c>
      <c r="I370" s="174">
        <f>IF(Input!N370=0,+Input!$G370,+Input!$G370+Input!N370)</f>
        <v>0</v>
      </c>
      <c r="J370" s="174">
        <f>IF(Input!O370=0,+Input!$G370,+Input!$G370+Input!O370)</f>
        <v>0</v>
      </c>
      <c r="K370" s="174">
        <f>IF(Input!P370=0,+Input!$G370,+Input!$G370+Input!P370)</f>
        <v>0</v>
      </c>
      <c r="L370" s="174">
        <f>IF(Input!Q370=0,+Input!$G370,+Input!$G370+Input!Q370)</f>
        <v>0</v>
      </c>
      <c r="M370" s="174">
        <f>IF(Input!R370=0,+Input!$G370,+Input!$G370+Input!R370)</f>
        <v>0</v>
      </c>
      <c r="N370" s="174">
        <f>IF(Input!S370=0,+Input!$G370,+Input!$G370+Input!S370)</f>
        <v>0</v>
      </c>
      <c r="O370" s="175">
        <f t="shared" si="67"/>
        <v>0</v>
      </c>
      <c r="P370" s="175">
        <f>IF(AND(O370=""),"",+O370/Setup!$B$12)</f>
        <v>0</v>
      </c>
      <c r="Q370" s="175">
        <f>IF(ISNA(IF(O370="","",(+VLOOKUP(A370,'2016'!$A:$P,15,FALSE)))),0,IF(O370="",0,(+VLOOKUP(A370,'2016'!$A:$P,15,FALSE))))</f>
        <v>0</v>
      </c>
      <c r="R370" s="169"/>
      <c r="S370" s="3"/>
      <c r="T370" s="11"/>
    </row>
    <row r="371" spans="1:20" s="4" customFormat="1" ht="10.5" customHeight="1">
      <c r="A371" s="410" t="s">
        <v>1168</v>
      </c>
      <c r="B371" s="161" t="s">
        <v>448</v>
      </c>
      <c r="C371" s="174">
        <f>IF(Input!H371=0,+Input!$G371,+Input!$G371+Input!H371)</f>
        <v>979.41666666666663</v>
      </c>
      <c r="D371" s="174">
        <f>IF(Input!I371=0,+Input!$G371,+Input!$G371+Input!I371)</f>
        <v>979.41666666666663</v>
      </c>
      <c r="E371" s="174">
        <f>IF(Input!J371=0,+Input!$G371,+Input!$G371+Input!J371)</f>
        <v>979.41666666666663</v>
      </c>
      <c r="F371" s="174">
        <f>IF(Input!K371=0,+Input!$G371,+Input!$G371+Input!K371)</f>
        <v>979.41666666666663</v>
      </c>
      <c r="G371" s="174">
        <f>IF(Input!L371=0,+Input!$G371,+Input!$G371+Input!L371)</f>
        <v>979.41666666666663</v>
      </c>
      <c r="H371" s="174">
        <f>IF(Input!M371=0,+Input!$G371,+Input!$G371+Input!M371)</f>
        <v>979.41666666666663</v>
      </c>
      <c r="I371" s="174">
        <f>IF(Input!N371=0,+Input!$G371,+Input!$G371+Input!N371)</f>
        <v>979.41666666666663</v>
      </c>
      <c r="J371" s="174">
        <f>IF(Input!O371=0,+Input!$G371,+Input!$G371+Input!O371)</f>
        <v>979.41666666666663</v>
      </c>
      <c r="K371" s="174">
        <f>IF(Input!P371=0,+Input!$G371,+Input!$G371+Input!P371)</f>
        <v>979.41666666666663</v>
      </c>
      <c r="L371" s="174">
        <f>IF(Input!Q371=0,+Input!$G371,+Input!$G371+Input!Q371)</f>
        <v>979.41666666666663</v>
      </c>
      <c r="M371" s="174">
        <f>IF(Input!R371=0,+Input!$G371,+Input!$G371+Input!R371)</f>
        <v>979.41666666666663</v>
      </c>
      <c r="N371" s="174">
        <f>IF(Input!S371=0,+Input!$G371,+Input!$G371+Input!S371)</f>
        <v>979.41666666666663</v>
      </c>
      <c r="O371" s="175">
        <f t="shared" si="67"/>
        <v>11752.999999999998</v>
      </c>
      <c r="P371" s="175">
        <f>IF(AND(O371=""),"",+O371/Setup!$B$12)</f>
        <v>53.422727272727265</v>
      </c>
      <c r="Q371" s="175">
        <f>IF(ISNA(IF(O371="","",(+VLOOKUP(A371,'2016'!$A:$P,15,FALSE)))),0,IF(O371="",0,(+VLOOKUP(A371,'2016'!$A:$P,15,FALSE))))</f>
        <v>11753</v>
      </c>
      <c r="R371" s="169"/>
      <c r="S371" s="3"/>
      <c r="T371" s="11"/>
    </row>
    <row r="372" spans="1:20" s="4" customFormat="1" ht="10.5" customHeight="1">
      <c r="A372" s="410" t="s">
        <v>1170</v>
      </c>
      <c r="B372" s="161" t="s">
        <v>449</v>
      </c>
      <c r="C372" s="174">
        <f>IF(Input!H372=0,+Input!$G372,+Input!$G372+Input!H372)</f>
        <v>189.5</v>
      </c>
      <c r="D372" s="174">
        <f>IF(Input!I372=0,+Input!$G372,+Input!$G372+Input!I372)</f>
        <v>189.5</v>
      </c>
      <c r="E372" s="174">
        <f>IF(Input!J372=0,+Input!$G372,+Input!$G372+Input!J372)</f>
        <v>189.5</v>
      </c>
      <c r="F372" s="174">
        <f>IF(Input!K372=0,+Input!$G372,+Input!$G372+Input!K372)</f>
        <v>189.5</v>
      </c>
      <c r="G372" s="174">
        <f>IF(Input!L372=0,+Input!$G372,+Input!$G372+Input!L372)</f>
        <v>189.5</v>
      </c>
      <c r="H372" s="174">
        <f>IF(Input!M372=0,+Input!$G372,+Input!$G372+Input!M372)</f>
        <v>189.5</v>
      </c>
      <c r="I372" s="174">
        <f>IF(Input!N372=0,+Input!$G372,+Input!$G372+Input!N372)</f>
        <v>189.5</v>
      </c>
      <c r="J372" s="174">
        <f>IF(Input!O372=0,+Input!$G372,+Input!$G372+Input!O372)</f>
        <v>189.5</v>
      </c>
      <c r="K372" s="174">
        <f>IF(Input!P372=0,+Input!$G372,+Input!$G372+Input!P372)</f>
        <v>189.5</v>
      </c>
      <c r="L372" s="174">
        <f>IF(Input!Q372=0,+Input!$G372,+Input!$G372+Input!Q372)</f>
        <v>189.5</v>
      </c>
      <c r="M372" s="174">
        <f>IF(Input!R372=0,+Input!$G372,+Input!$G372+Input!R372)</f>
        <v>189.5</v>
      </c>
      <c r="N372" s="174">
        <f>IF(Input!S372=0,+Input!$G372,+Input!$G372+Input!S372)</f>
        <v>189.5</v>
      </c>
      <c r="O372" s="175">
        <f t="shared" si="67"/>
        <v>2274</v>
      </c>
      <c r="P372" s="175">
        <f>IF(AND(O372=""),"",+O372/Setup!$B$12)</f>
        <v>10.336363636363636</v>
      </c>
      <c r="Q372" s="175">
        <f>IF(ISNA(IF(O372="","",(+VLOOKUP(A372,'2016'!$A:$P,15,FALSE)))),0,IF(O372="",0,(+VLOOKUP(A372,'2016'!$A:$P,15,FALSE))))</f>
        <v>2274</v>
      </c>
      <c r="R372" s="169"/>
      <c r="S372" s="3"/>
      <c r="T372" s="11"/>
    </row>
    <row r="373" spans="1:20" s="4" customFormat="1" ht="10.5" customHeight="1">
      <c r="A373" s="410" t="s">
        <v>1172</v>
      </c>
      <c r="B373" s="161" t="s">
        <v>450</v>
      </c>
      <c r="C373" s="174">
        <f>IF(Input!H373=0,+Input!$G373,+Input!$G373+Input!H373)</f>
        <v>0</v>
      </c>
      <c r="D373" s="174">
        <f>IF(Input!I373=0,+Input!$G373,+Input!$G373+Input!I373)</f>
        <v>0</v>
      </c>
      <c r="E373" s="174">
        <f>IF(Input!J373=0,+Input!$G373,+Input!$G373+Input!J373)</f>
        <v>0</v>
      </c>
      <c r="F373" s="174">
        <f>IF(Input!K373=0,+Input!$G373,+Input!$G373+Input!K373)</f>
        <v>0</v>
      </c>
      <c r="G373" s="174">
        <f>IF(Input!L373=0,+Input!$G373,+Input!$G373+Input!L373)</f>
        <v>0</v>
      </c>
      <c r="H373" s="174">
        <f>IF(Input!M373=0,+Input!$G373,+Input!$G373+Input!M373)</f>
        <v>0</v>
      </c>
      <c r="I373" s="174">
        <f>IF(Input!N373=0,+Input!$G373,+Input!$G373+Input!N373)</f>
        <v>0</v>
      </c>
      <c r="J373" s="174">
        <f>IF(Input!O373=0,+Input!$G373,+Input!$G373+Input!O373)</f>
        <v>0</v>
      </c>
      <c r="K373" s="174">
        <f>IF(Input!P373=0,+Input!$G373,+Input!$G373+Input!P373)</f>
        <v>0</v>
      </c>
      <c r="L373" s="174">
        <f>IF(Input!Q373=0,+Input!$G373,+Input!$G373+Input!Q373)</f>
        <v>0</v>
      </c>
      <c r="M373" s="174">
        <f>IF(Input!R373=0,+Input!$G373,+Input!$G373+Input!R373)</f>
        <v>0</v>
      </c>
      <c r="N373" s="174">
        <f>IF(Input!S373=0,+Input!$G373,+Input!$G373+Input!S373)</f>
        <v>0</v>
      </c>
      <c r="O373" s="175">
        <f t="shared" si="67"/>
        <v>0</v>
      </c>
      <c r="P373" s="175">
        <f>IF(AND(O373=""),"",+O373/Setup!$B$12)</f>
        <v>0</v>
      </c>
      <c r="Q373" s="175">
        <f>IF(ISNA(IF(O373="","",(+VLOOKUP(A373,'2016'!$A:$P,15,FALSE)))),0,IF(O373="",0,(+VLOOKUP(A373,'2016'!$A:$P,15,FALSE))))</f>
        <v>0</v>
      </c>
      <c r="R373" s="169"/>
      <c r="S373" s="3"/>
      <c r="T373" s="11"/>
    </row>
    <row r="374" spans="1:20" s="4" customFormat="1" ht="10.5" customHeight="1">
      <c r="A374" s="410" t="s">
        <v>1173</v>
      </c>
      <c r="B374" s="161" t="s">
        <v>451</v>
      </c>
      <c r="C374" s="174">
        <f>IF(Input!H374=0,+Input!$G374,+Input!$G374+Input!H374)</f>
        <v>0</v>
      </c>
      <c r="D374" s="174">
        <f>IF(Input!I374=0,+Input!$G374,+Input!$G374+Input!I374)</f>
        <v>0</v>
      </c>
      <c r="E374" s="174">
        <f>IF(Input!J374=0,+Input!$G374,+Input!$G374+Input!J374)</f>
        <v>0</v>
      </c>
      <c r="F374" s="174">
        <f>IF(Input!K374=0,+Input!$G374,+Input!$G374+Input!K374)</f>
        <v>0</v>
      </c>
      <c r="G374" s="174">
        <f>IF(Input!L374=0,+Input!$G374,+Input!$G374+Input!L374)</f>
        <v>0</v>
      </c>
      <c r="H374" s="174">
        <f>IF(Input!M374=0,+Input!$G374,+Input!$G374+Input!M374)</f>
        <v>0</v>
      </c>
      <c r="I374" s="174">
        <f>IF(Input!N374=0,+Input!$G374,+Input!$G374+Input!N374)</f>
        <v>0</v>
      </c>
      <c r="J374" s="174">
        <f>IF(Input!O374=0,+Input!$G374,+Input!$G374+Input!O374)</f>
        <v>0</v>
      </c>
      <c r="K374" s="174">
        <f>IF(Input!P374=0,+Input!$G374,+Input!$G374+Input!P374)</f>
        <v>0</v>
      </c>
      <c r="L374" s="174">
        <f>IF(Input!Q374=0,+Input!$G374,+Input!$G374+Input!Q374)</f>
        <v>0</v>
      </c>
      <c r="M374" s="174">
        <f>IF(Input!R374=0,+Input!$G374,+Input!$G374+Input!R374)</f>
        <v>0</v>
      </c>
      <c r="N374" s="174">
        <f>IF(Input!S374=0,+Input!$G374,+Input!$G374+Input!S374)</f>
        <v>0</v>
      </c>
      <c r="O374" s="175">
        <f t="shared" si="67"/>
        <v>0</v>
      </c>
      <c r="P374" s="175">
        <f>IF(AND(O374=""),"",+O374/Setup!$B$12)</f>
        <v>0</v>
      </c>
      <c r="Q374" s="175">
        <f>IF(ISNA(IF(O374="","",(+VLOOKUP(A374,'2016'!$A:$P,15,FALSE)))),0,IF(O374="",0,(+VLOOKUP(A374,'2016'!$A:$P,15,FALSE))))</f>
        <v>0</v>
      </c>
      <c r="R374" s="169"/>
      <c r="S374" s="3"/>
      <c r="T374" s="11"/>
    </row>
    <row r="375" spans="1:20" s="4" customFormat="1" ht="10.5" customHeight="1">
      <c r="A375" s="410" t="s">
        <v>1174</v>
      </c>
      <c r="B375" s="161" t="s">
        <v>452</v>
      </c>
      <c r="C375" s="174">
        <f>IF(Input!H375=0,+Input!$G375,+Input!$G375+Input!H375)</f>
        <v>0</v>
      </c>
      <c r="D375" s="174">
        <f>IF(Input!I375=0,+Input!$G375,+Input!$G375+Input!I375)</f>
        <v>0</v>
      </c>
      <c r="E375" s="174">
        <f>IF(Input!J375=0,+Input!$G375,+Input!$G375+Input!J375)</f>
        <v>0</v>
      </c>
      <c r="F375" s="174">
        <f>IF(Input!K375=0,+Input!$G375,+Input!$G375+Input!K375)</f>
        <v>0</v>
      </c>
      <c r="G375" s="174">
        <f>IF(Input!L375=0,+Input!$G375,+Input!$G375+Input!L375)</f>
        <v>0</v>
      </c>
      <c r="H375" s="174">
        <f>IF(Input!M375=0,+Input!$G375,+Input!$G375+Input!M375)</f>
        <v>0</v>
      </c>
      <c r="I375" s="174">
        <f>IF(Input!N375=0,+Input!$G375,+Input!$G375+Input!N375)</f>
        <v>0</v>
      </c>
      <c r="J375" s="174">
        <f>IF(Input!O375=0,+Input!$G375,+Input!$G375+Input!O375)</f>
        <v>0</v>
      </c>
      <c r="K375" s="174">
        <f>IF(Input!P375=0,+Input!$G375,+Input!$G375+Input!P375)</f>
        <v>0</v>
      </c>
      <c r="L375" s="174">
        <f>IF(Input!Q375=0,+Input!$G375,+Input!$G375+Input!Q375)</f>
        <v>0</v>
      </c>
      <c r="M375" s="174">
        <f>IF(Input!R375=0,+Input!$G375,+Input!$G375+Input!R375)</f>
        <v>0</v>
      </c>
      <c r="N375" s="174">
        <f>IF(Input!S375=0,+Input!$G375,+Input!$G375+Input!S375)</f>
        <v>0</v>
      </c>
      <c r="O375" s="175">
        <f t="shared" si="67"/>
        <v>0</v>
      </c>
      <c r="P375" s="175">
        <f>IF(AND(O375=""),"",+O375/Setup!$B$12)</f>
        <v>0</v>
      </c>
      <c r="Q375" s="175">
        <f>IF(ISNA(IF(O375="","",(+VLOOKUP(A375,'2016'!$A:$P,15,FALSE)))),0,IF(O375="",0,(+VLOOKUP(A375,'2016'!$A:$P,15,FALSE))))</f>
        <v>0</v>
      </c>
      <c r="R375" s="169"/>
      <c r="S375" s="3"/>
      <c r="T375" s="11"/>
    </row>
    <row r="376" spans="1:20" s="4" customFormat="1" ht="10.5" customHeight="1">
      <c r="A376" s="410" t="s">
        <v>1175</v>
      </c>
      <c r="B376" s="161" t="s">
        <v>453</v>
      </c>
      <c r="C376" s="174">
        <f>IF(Input!H376=0,+Input!$G376,+Input!$G376+Input!H376)</f>
        <v>2279.3333333333335</v>
      </c>
      <c r="D376" s="174">
        <f>IF(Input!I376=0,+Input!$G376,+Input!$G376+Input!I376)</f>
        <v>2279.3333333333335</v>
      </c>
      <c r="E376" s="174">
        <f>IF(Input!J376=0,+Input!$G376,+Input!$G376+Input!J376)</f>
        <v>2279.3333333333335</v>
      </c>
      <c r="F376" s="174">
        <f>IF(Input!K376=0,+Input!$G376,+Input!$G376+Input!K376)</f>
        <v>2279.3333333333335</v>
      </c>
      <c r="G376" s="174">
        <f>IF(Input!L376=0,+Input!$G376,+Input!$G376+Input!L376)</f>
        <v>2279.3333333333335</v>
      </c>
      <c r="H376" s="174">
        <f>IF(Input!M376=0,+Input!$G376,+Input!$G376+Input!M376)</f>
        <v>2279.3333333333335</v>
      </c>
      <c r="I376" s="174">
        <f>IF(Input!N376=0,+Input!$G376,+Input!$G376+Input!N376)</f>
        <v>2279.3333333333335</v>
      </c>
      <c r="J376" s="174">
        <f>IF(Input!O376=0,+Input!$G376,+Input!$G376+Input!O376)</f>
        <v>2279.3333333333335</v>
      </c>
      <c r="K376" s="174">
        <f>IF(Input!P376=0,+Input!$G376,+Input!$G376+Input!P376)</f>
        <v>2279.3333333333335</v>
      </c>
      <c r="L376" s="174">
        <f>IF(Input!Q376=0,+Input!$G376,+Input!$G376+Input!Q376)</f>
        <v>2279.3333333333335</v>
      </c>
      <c r="M376" s="174">
        <f>IF(Input!R376=0,+Input!$G376,+Input!$G376+Input!R376)</f>
        <v>2279.3333333333335</v>
      </c>
      <c r="N376" s="174">
        <f>IF(Input!S376=0,+Input!$G376,+Input!$G376+Input!S376)</f>
        <v>2279.3333333333335</v>
      </c>
      <c r="O376" s="175">
        <f t="shared" si="67"/>
        <v>27351.999999999996</v>
      </c>
      <c r="P376" s="175">
        <f>IF(AND(O376=""),"",+O376/Setup!$B$12)</f>
        <v>124.32727272727271</v>
      </c>
      <c r="Q376" s="175">
        <f>IF(ISNA(IF(O376="","",(+VLOOKUP(A376,'2016'!$A:$P,15,FALSE)))),0,IF(O376="",0,(+VLOOKUP(A376,'2016'!$A:$P,15,FALSE))))</f>
        <v>27352</v>
      </c>
      <c r="R376" s="169"/>
      <c r="S376" s="3"/>
      <c r="T376" s="11"/>
    </row>
    <row r="377" spans="1:20" s="4" customFormat="1" ht="10.5" customHeight="1">
      <c r="A377" s="410" t="s">
        <v>1177</v>
      </c>
      <c r="B377" s="161" t="s">
        <v>454</v>
      </c>
      <c r="C377" s="174">
        <f>IF(Input!H377=0,+Input!$G377,+Input!$G377+Input!H377)</f>
        <v>0</v>
      </c>
      <c r="D377" s="174">
        <f>IF(Input!I377=0,+Input!$G377,+Input!$G377+Input!I377)</f>
        <v>0</v>
      </c>
      <c r="E377" s="174">
        <f>IF(Input!J377=0,+Input!$G377,+Input!$G377+Input!J377)</f>
        <v>0</v>
      </c>
      <c r="F377" s="174">
        <f>IF(Input!K377=0,+Input!$G377,+Input!$G377+Input!K377)</f>
        <v>0</v>
      </c>
      <c r="G377" s="174">
        <f>IF(Input!L377=0,+Input!$G377,+Input!$G377+Input!L377)</f>
        <v>0</v>
      </c>
      <c r="H377" s="174">
        <f>IF(Input!M377=0,+Input!$G377,+Input!$G377+Input!M377)</f>
        <v>0</v>
      </c>
      <c r="I377" s="174">
        <f>IF(Input!N377=0,+Input!$G377,+Input!$G377+Input!N377)</f>
        <v>0</v>
      </c>
      <c r="J377" s="174">
        <f>IF(Input!O377=0,+Input!$G377,+Input!$G377+Input!O377)</f>
        <v>0</v>
      </c>
      <c r="K377" s="174">
        <f>IF(Input!P377=0,+Input!$G377,+Input!$G377+Input!P377)</f>
        <v>0</v>
      </c>
      <c r="L377" s="174">
        <f>IF(Input!Q377=0,+Input!$G377,+Input!$G377+Input!Q377)</f>
        <v>0</v>
      </c>
      <c r="M377" s="174">
        <f>IF(Input!R377=0,+Input!$G377,+Input!$G377+Input!R377)</f>
        <v>0</v>
      </c>
      <c r="N377" s="174">
        <f>IF(Input!S377=0,+Input!$G377,+Input!$G377+Input!S377)</f>
        <v>0</v>
      </c>
      <c r="O377" s="175">
        <f t="shared" si="67"/>
        <v>0</v>
      </c>
      <c r="P377" s="175">
        <f>IF(AND(O377=""),"",+O377/Setup!$B$12)</f>
        <v>0</v>
      </c>
      <c r="Q377" s="175">
        <f>IF(ISNA(IF(O377="","",(+VLOOKUP(A377,'2016'!$A:$P,15,FALSE)))),0,IF(O377="",0,(+VLOOKUP(A377,'2016'!$A:$P,15,FALSE))))</f>
        <v>0</v>
      </c>
      <c r="R377" s="169"/>
      <c r="S377" s="3"/>
      <c r="T377" s="11"/>
    </row>
    <row r="378" spans="1:20" s="4" customFormat="1" ht="10.5" customHeight="1">
      <c r="A378" s="410" t="s">
        <v>1178</v>
      </c>
      <c r="B378" s="161" t="s">
        <v>455</v>
      </c>
      <c r="C378" s="174">
        <f>IF(Input!H378=0,+Input!$G378,+Input!$G378+Input!H378)</f>
        <v>0</v>
      </c>
      <c r="D378" s="174">
        <f>IF(Input!I378=0,+Input!$G378,+Input!$G378+Input!I378)</f>
        <v>0</v>
      </c>
      <c r="E378" s="174">
        <f>IF(Input!J378=0,+Input!$G378,+Input!$G378+Input!J378)</f>
        <v>0</v>
      </c>
      <c r="F378" s="174">
        <f>IF(Input!K378=0,+Input!$G378,+Input!$G378+Input!K378)</f>
        <v>0</v>
      </c>
      <c r="G378" s="174">
        <f>IF(Input!L378=0,+Input!$G378,+Input!$G378+Input!L378)</f>
        <v>0</v>
      </c>
      <c r="H378" s="174">
        <f>IF(Input!M378=0,+Input!$G378,+Input!$G378+Input!M378)</f>
        <v>0</v>
      </c>
      <c r="I378" s="174">
        <f>IF(Input!N378=0,+Input!$G378,+Input!$G378+Input!N378)</f>
        <v>0</v>
      </c>
      <c r="J378" s="174">
        <f>IF(Input!O378=0,+Input!$G378,+Input!$G378+Input!O378)</f>
        <v>0</v>
      </c>
      <c r="K378" s="174">
        <f>IF(Input!P378=0,+Input!$G378,+Input!$G378+Input!P378)</f>
        <v>0</v>
      </c>
      <c r="L378" s="174">
        <f>IF(Input!Q378=0,+Input!$G378,+Input!$G378+Input!Q378)</f>
        <v>0</v>
      </c>
      <c r="M378" s="174">
        <f>IF(Input!R378=0,+Input!$G378,+Input!$G378+Input!R378)</f>
        <v>0</v>
      </c>
      <c r="N378" s="174">
        <f>IF(Input!S378=0,+Input!$G378,+Input!$G378+Input!S378)</f>
        <v>0</v>
      </c>
      <c r="O378" s="175">
        <f t="shared" si="67"/>
        <v>0</v>
      </c>
      <c r="P378" s="175">
        <f>IF(AND(O378=""),"",+O378/Setup!$B$12)</f>
        <v>0</v>
      </c>
      <c r="Q378" s="175">
        <f>IF(ISNA(IF(O378="","",(+VLOOKUP(A378,'2016'!$A:$P,15,FALSE)))),0,IF(O378="",0,(+VLOOKUP(A378,'2016'!$A:$P,15,FALSE))))</f>
        <v>0</v>
      </c>
      <c r="R378" s="169"/>
      <c r="S378" s="3"/>
      <c r="T378" s="11"/>
    </row>
    <row r="379" spans="1:20" s="4" customFormat="1" ht="10.5" customHeight="1">
      <c r="A379" s="410" t="s">
        <v>1179</v>
      </c>
      <c r="B379" s="161" t="s">
        <v>456</v>
      </c>
      <c r="C379" s="174">
        <f>IF(Input!H379=0,+Input!$G379,+Input!$G379+Input!H379)</f>
        <v>0</v>
      </c>
      <c r="D379" s="174">
        <f>IF(Input!I379=0,+Input!$G379,+Input!$G379+Input!I379)</f>
        <v>0</v>
      </c>
      <c r="E379" s="174">
        <f>IF(Input!J379=0,+Input!$G379,+Input!$G379+Input!J379)</f>
        <v>0</v>
      </c>
      <c r="F379" s="174">
        <f>IF(Input!K379=0,+Input!$G379,+Input!$G379+Input!K379)</f>
        <v>0</v>
      </c>
      <c r="G379" s="174">
        <f>IF(Input!L379=0,+Input!$G379,+Input!$G379+Input!L379)</f>
        <v>0</v>
      </c>
      <c r="H379" s="174">
        <f>IF(Input!M379=0,+Input!$G379,+Input!$G379+Input!M379)</f>
        <v>0</v>
      </c>
      <c r="I379" s="174">
        <f>IF(Input!N379=0,+Input!$G379,+Input!$G379+Input!N379)</f>
        <v>0</v>
      </c>
      <c r="J379" s="174">
        <f>IF(Input!O379=0,+Input!$G379,+Input!$G379+Input!O379)</f>
        <v>0</v>
      </c>
      <c r="K379" s="174">
        <f>IF(Input!P379=0,+Input!$G379,+Input!$G379+Input!P379)</f>
        <v>0</v>
      </c>
      <c r="L379" s="174">
        <f>IF(Input!Q379=0,+Input!$G379,+Input!$G379+Input!Q379)</f>
        <v>0</v>
      </c>
      <c r="M379" s="174">
        <f>IF(Input!R379=0,+Input!$G379,+Input!$G379+Input!R379)</f>
        <v>0</v>
      </c>
      <c r="N379" s="174">
        <f>IF(Input!S379=0,+Input!$G379,+Input!$G379+Input!S379)</f>
        <v>0</v>
      </c>
      <c r="O379" s="175">
        <f t="shared" si="67"/>
        <v>0</v>
      </c>
      <c r="P379" s="175">
        <f>IF(AND(O379=""),"",+O379/Setup!$B$12)</f>
        <v>0</v>
      </c>
      <c r="Q379" s="175">
        <f>IF(ISNA(IF(O379="","",(+VLOOKUP(A379,'2016'!$A:$P,15,FALSE)))),0,IF(O379="",0,(+VLOOKUP(A379,'2016'!$A:$P,15,FALSE))))</f>
        <v>0</v>
      </c>
      <c r="R379" s="169"/>
      <c r="S379" s="3"/>
      <c r="T379" s="11"/>
    </row>
    <row r="380" spans="1:20" s="4" customFormat="1" ht="10.5" customHeight="1">
      <c r="A380" s="410" t="s">
        <v>1180</v>
      </c>
      <c r="B380" s="161" t="s">
        <v>457</v>
      </c>
      <c r="C380" s="174">
        <f>IF(Input!H380=0,+Input!$G380,+Input!$G380+Input!H380)</f>
        <v>0</v>
      </c>
      <c r="D380" s="174">
        <f>IF(Input!I380=0,+Input!$G380,+Input!$G380+Input!I380)</f>
        <v>0</v>
      </c>
      <c r="E380" s="174">
        <f>IF(Input!J380=0,+Input!$G380,+Input!$G380+Input!J380)</f>
        <v>0</v>
      </c>
      <c r="F380" s="174">
        <f>IF(Input!K380=0,+Input!$G380,+Input!$G380+Input!K380)</f>
        <v>0</v>
      </c>
      <c r="G380" s="174">
        <f>IF(Input!L380=0,+Input!$G380,+Input!$G380+Input!L380)</f>
        <v>0</v>
      </c>
      <c r="H380" s="174">
        <f>IF(Input!M380=0,+Input!$G380,+Input!$G380+Input!M380)</f>
        <v>0</v>
      </c>
      <c r="I380" s="174">
        <f>IF(Input!N380=0,+Input!$G380,+Input!$G380+Input!N380)</f>
        <v>0</v>
      </c>
      <c r="J380" s="174">
        <f>IF(Input!O380=0,+Input!$G380,+Input!$G380+Input!O380)</f>
        <v>0</v>
      </c>
      <c r="K380" s="174">
        <f>IF(Input!P380=0,+Input!$G380,+Input!$G380+Input!P380)</f>
        <v>0</v>
      </c>
      <c r="L380" s="174">
        <f>IF(Input!Q380=0,+Input!$G380,+Input!$G380+Input!Q380)</f>
        <v>0</v>
      </c>
      <c r="M380" s="174">
        <f>IF(Input!R380=0,+Input!$G380,+Input!$G380+Input!R380)</f>
        <v>0</v>
      </c>
      <c r="N380" s="174">
        <f>IF(Input!S380=0,+Input!$G380,+Input!$G380+Input!S380)</f>
        <v>0</v>
      </c>
      <c r="O380" s="175">
        <f t="shared" si="67"/>
        <v>0</v>
      </c>
      <c r="P380" s="175">
        <f>IF(AND(O380=""),"",+O380/Setup!$B$12)</f>
        <v>0</v>
      </c>
      <c r="Q380" s="175">
        <f>IF(ISNA(IF(O380="","",(+VLOOKUP(A380,'2016'!$A:$P,15,FALSE)))),0,IF(O380="",0,(+VLOOKUP(A380,'2016'!$A:$P,15,FALSE))))</f>
        <v>0</v>
      </c>
      <c r="R380" s="169"/>
      <c r="S380" s="3"/>
      <c r="T380" s="11"/>
    </row>
    <row r="381" spans="1:20" s="4" customFormat="1" ht="10.5" customHeight="1">
      <c r="A381" s="410" t="s">
        <v>1181</v>
      </c>
      <c r="B381" s="161" t="s">
        <v>458</v>
      </c>
      <c r="C381" s="174">
        <f>IF(Input!H381=0,+Input!$G381,+Input!$G381+Input!H381)</f>
        <v>7974.333333333333</v>
      </c>
      <c r="D381" s="174">
        <f>IF(Input!I381=0,+Input!$G381,+Input!$G381+Input!I381)</f>
        <v>7974.333333333333</v>
      </c>
      <c r="E381" s="174">
        <f>IF(Input!J381=0,+Input!$G381,+Input!$G381+Input!J381)</f>
        <v>7974.333333333333</v>
      </c>
      <c r="F381" s="174">
        <f>IF(Input!K381=0,+Input!$G381,+Input!$G381+Input!K381)</f>
        <v>7974.333333333333</v>
      </c>
      <c r="G381" s="174">
        <f>IF(Input!L381=0,+Input!$G381,+Input!$G381+Input!L381)</f>
        <v>7974.333333333333</v>
      </c>
      <c r="H381" s="174">
        <f>IF(Input!M381=0,+Input!$G381,+Input!$G381+Input!M381)</f>
        <v>7974.333333333333</v>
      </c>
      <c r="I381" s="174">
        <f>IF(Input!N381=0,+Input!$G381,+Input!$G381+Input!N381)</f>
        <v>7974.333333333333</v>
      </c>
      <c r="J381" s="174">
        <f>IF(Input!O381=0,+Input!$G381,+Input!$G381+Input!O381)</f>
        <v>7974.333333333333</v>
      </c>
      <c r="K381" s="174">
        <f>IF(Input!P381=0,+Input!$G381,+Input!$G381+Input!P381)</f>
        <v>7974.333333333333</v>
      </c>
      <c r="L381" s="174">
        <f>IF(Input!Q381=0,+Input!$G381,+Input!$G381+Input!Q381)</f>
        <v>7974.333333333333</v>
      </c>
      <c r="M381" s="174">
        <f>IF(Input!R381=0,+Input!$G381,+Input!$G381+Input!R381)</f>
        <v>7974.333333333333</v>
      </c>
      <c r="N381" s="174">
        <f>IF(Input!S381=0,+Input!$G381,+Input!$G381+Input!S381)</f>
        <v>7974.333333333333</v>
      </c>
      <c r="O381" s="175">
        <f t="shared" si="67"/>
        <v>95691.999999999985</v>
      </c>
      <c r="P381" s="175">
        <f>IF(AND(O381=""),"",+O381/Setup!$B$12)</f>
        <v>434.96363636363628</v>
      </c>
      <c r="Q381" s="175">
        <f>IF(ISNA(IF(O381="","",(+VLOOKUP(A381,'2016'!$A:$P,15,FALSE)))),0,IF(O381="",0,(+VLOOKUP(A381,'2016'!$A:$P,15,FALSE))))</f>
        <v>95692</v>
      </c>
      <c r="R381" s="169"/>
      <c r="S381" s="3"/>
      <c r="T381" s="11"/>
    </row>
    <row r="382" spans="1:20" s="4" customFormat="1" ht="10.5" customHeight="1">
      <c r="A382" s="410" t="s">
        <v>1183</v>
      </c>
      <c r="B382" s="161" t="s">
        <v>459</v>
      </c>
      <c r="C382" s="174">
        <f>IF(Input!H382=0,+Input!$G382,+Input!$G382+Input!H382)</f>
        <v>0</v>
      </c>
      <c r="D382" s="174">
        <f>IF(Input!I382=0,+Input!$G382,+Input!$G382+Input!I382)</f>
        <v>0</v>
      </c>
      <c r="E382" s="174">
        <f>IF(Input!J382=0,+Input!$G382,+Input!$G382+Input!J382)</f>
        <v>0</v>
      </c>
      <c r="F382" s="174">
        <f>IF(Input!K382=0,+Input!$G382,+Input!$G382+Input!K382)</f>
        <v>0</v>
      </c>
      <c r="G382" s="174">
        <f>IF(Input!L382=0,+Input!$G382,+Input!$G382+Input!L382)</f>
        <v>0</v>
      </c>
      <c r="H382" s="174">
        <f>IF(Input!M382=0,+Input!$G382,+Input!$G382+Input!M382)</f>
        <v>0</v>
      </c>
      <c r="I382" s="174">
        <f>IF(Input!N382=0,+Input!$G382,+Input!$G382+Input!N382)</f>
        <v>0</v>
      </c>
      <c r="J382" s="174">
        <f>IF(Input!O382=0,+Input!$G382,+Input!$G382+Input!O382)</f>
        <v>0</v>
      </c>
      <c r="K382" s="174">
        <f>IF(Input!P382=0,+Input!$G382,+Input!$G382+Input!P382)</f>
        <v>0</v>
      </c>
      <c r="L382" s="174">
        <f>IF(Input!Q382=0,+Input!$G382,+Input!$G382+Input!Q382)</f>
        <v>0</v>
      </c>
      <c r="M382" s="174">
        <f>IF(Input!R382=0,+Input!$G382,+Input!$G382+Input!R382)</f>
        <v>0</v>
      </c>
      <c r="N382" s="174">
        <f>IF(Input!S382=0,+Input!$G382,+Input!$G382+Input!S382)</f>
        <v>0</v>
      </c>
      <c r="O382" s="175">
        <f t="shared" si="67"/>
        <v>0</v>
      </c>
      <c r="P382" s="175">
        <f>IF(AND(O382=""),"",+O382/Setup!$B$12)</f>
        <v>0</v>
      </c>
      <c r="Q382" s="175">
        <f>IF(ISNA(IF(O382="","",(+VLOOKUP(A382,'2016'!$A:$P,15,FALSE)))),0,IF(O382="",0,(+VLOOKUP(A382,'2016'!$A:$P,15,FALSE))))</f>
        <v>0</v>
      </c>
      <c r="R382" s="169"/>
      <c r="S382" s="3"/>
      <c r="T382" s="11"/>
    </row>
    <row r="383" spans="1:20" s="4" customFormat="1" ht="10.5" customHeight="1">
      <c r="A383" s="410" t="s">
        <v>1184</v>
      </c>
      <c r="B383" s="161" t="s">
        <v>460</v>
      </c>
      <c r="C383" s="174">
        <f>IF(Input!H383=0,+Input!$G383,+Input!$G383+Input!H383)</f>
        <v>7226.75</v>
      </c>
      <c r="D383" s="174">
        <f>IF(Input!I383=0,+Input!$G383,+Input!$G383+Input!I383)</f>
        <v>7226.75</v>
      </c>
      <c r="E383" s="174">
        <f>IF(Input!J383=0,+Input!$G383,+Input!$G383+Input!J383)</f>
        <v>7226.75</v>
      </c>
      <c r="F383" s="174">
        <f>IF(Input!K383=0,+Input!$G383,+Input!$G383+Input!K383)</f>
        <v>7226.75</v>
      </c>
      <c r="G383" s="174">
        <f>IF(Input!L383=0,+Input!$G383,+Input!$G383+Input!L383)</f>
        <v>7226.75</v>
      </c>
      <c r="H383" s="174">
        <f>IF(Input!M383=0,+Input!$G383,+Input!$G383+Input!M383)</f>
        <v>7226.75</v>
      </c>
      <c r="I383" s="174">
        <f>IF(Input!N383=0,+Input!$G383,+Input!$G383+Input!N383)</f>
        <v>7226.75</v>
      </c>
      <c r="J383" s="174">
        <f>IF(Input!O383=0,+Input!$G383,+Input!$G383+Input!O383)</f>
        <v>7226.75</v>
      </c>
      <c r="K383" s="174">
        <f>IF(Input!P383=0,+Input!$G383,+Input!$G383+Input!P383)</f>
        <v>7226.75</v>
      </c>
      <c r="L383" s="174">
        <f>IF(Input!Q383=0,+Input!$G383,+Input!$G383+Input!Q383)</f>
        <v>7226.75</v>
      </c>
      <c r="M383" s="174">
        <f>IF(Input!R383=0,+Input!$G383,+Input!$G383+Input!R383)</f>
        <v>7226.75</v>
      </c>
      <c r="N383" s="174">
        <f>IF(Input!S383=0,+Input!$G383,+Input!$G383+Input!S383)</f>
        <v>7226.75</v>
      </c>
      <c r="O383" s="175">
        <f t="shared" si="67"/>
        <v>86721</v>
      </c>
      <c r="P383" s="175">
        <f>IF(AND(O383=""),"",+O383/Setup!$B$12)</f>
        <v>394.18636363636364</v>
      </c>
      <c r="Q383" s="175">
        <f>IF(ISNA(IF(O383="","",(+VLOOKUP(A383,'2016'!$A:$P,15,FALSE)))),0,IF(O383="",0,(+VLOOKUP(A383,'2016'!$A:$P,15,FALSE))))</f>
        <v>86721</v>
      </c>
      <c r="R383" s="169"/>
      <c r="S383" s="3"/>
      <c r="T383" s="11"/>
    </row>
    <row r="384" spans="1:20" s="4" customFormat="1" ht="10.5" customHeight="1">
      <c r="A384" s="410" t="s">
        <v>1186</v>
      </c>
      <c r="B384" s="161" t="s">
        <v>461</v>
      </c>
      <c r="C384" s="174">
        <f>IF(Input!H384=0,+Input!$G384,+Input!$G384+Input!H384)</f>
        <v>0</v>
      </c>
      <c r="D384" s="174">
        <f>IF(Input!I384=0,+Input!$G384,+Input!$G384+Input!I384)</f>
        <v>0</v>
      </c>
      <c r="E384" s="174">
        <f>IF(Input!J384=0,+Input!$G384,+Input!$G384+Input!J384)</f>
        <v>0</v>
      </c>
      <c r="F384" s="174">
        <f>IF(Input!K384=0,+Input!$G384,+Input!$G384+Input!K384)</f>
        <v>0</v>
      </c>
      <c r="G384" s="174">
        <f>IF(Input!L384=0,+Input!$G384,+Input!$G384+Input!L384)</f>
        <v>0</v>
      </c>
      <c r="H384" s="174">
        <f>IF(Input!M384=0,+Input!$G384,+Input!$G384+Input!M384)</f>
        <v>0</v>
      </c>
      <c r="I384" s="174">
        <f>IF(Input!N384=0,+Input!$G384,+Input!$G384+Input!N384)</f>
        <v>0</v>
      </c>
      <c r="J384" s="174">
        <f>IF(Input!O384=0,+Input!$G384,+Input!$G384+Input!O384)</f>
        <v>0</v>
      </c>
      <c r="K384" s="174">
        <f>IF(Input!P384=0,+Input!$G384,+Input!$G384+Input!P384)</f>
        <v>0</v>
      </c>
      <c r="L384" s="174">
        <f>IF(Input!Q384=0,+Input!$G384,+Input!$G384+Input!Q384)</f>
        <v>0</v>
      </c>
      <c r="M384" s="174">
        <f>IF(Input!R384=0,+Input!$G384,+Input!$G384+Input!R384)</f>
        <v>0</v>
      </c>
      <c r="N384" s="174">
        <f>IF(Input!S384=0,+Input!$G384,+Input!$G384+Input!S384)</f>
        <v>0</v>
      </c>
      <c r="O384" s="175">
        <f t="shared" si="67"/>
        <v>0</v>
      </c>
      <c r="P384" s="175">
        <f>IF(AND(O384=""),"",+O384/Setup!$B$12)</f>
        <v>0</v>
      </c>
      <c r="Q384" s="175">
        <f>IF(ISNA(IF(O384="","",(+VLOOKUP(A384,'2016'!$A:$P,15,FALSE)))),0,IF(O384="",0,(+VLOOKUP(A384,'2016'!$A:$P,15,FALSE))))</f>
        <v>0</v>
      </c>
      <c r="R384" s="169"/>
      <c r="S384" s="3"/>
      <c r="T384" s="11"/>
    </row>
    <row r="385" spans="1:20" s="4" customFormat="1" ht="10.5" customHeight="1">
      <c r="A385" s="410" t="s">
        <v>1187</v>
      </c>
      <c r="B385" s="161" t="s">
        <v>462</v>
      </c>
      <c r="C385" s="174">
        <f>IF(Input!H385=0,+Input!$G385,+Input!$G385+Input!H385)</f>
        <v>0</v>
      </c>
      <c r="D385" s="174">
        <f>IF(Input!I385=0,+Input!$G385,+Input!$G385+Input!I385)</f>
        <v>0</v>
      </c>
      <c r="E385" s="174">
        <f>IF(Input!J385=0,+Input!$G385,+Input!$G385+Input!J385)</f>
        <v>0</v>
      </c>
      <c r="F385" s="174">
        <f>IF(Input!K385=0,+Input!$G385,+Input!$G385+Input!K385)</f>
        <v>0</v>
      </c>
      <c r="G385" s="174">
        <f>IF(Input!L385=0,+Input!$G385,+Input!$G385+Input!L385)</f>
        <v>0</v>
      </c>
      <c r="H385" s="174">
        <f>IF(Input!M385=0,+Input!$G385,+Input!$G385+Input!M385)</f>
        <v>0</v>
      </c>
      <c r="I385" s="174">
        <f>IF(Input!N385=0,+Input!$G385,+Input!$G385+Input!N385)</f>
        <v>0</v>
      </c>
      <c r="J385" s="174">
        <f>IF(Input!O385=0,+Input!$G385,+Input!$G385+Input!O385)</f>
        <v>0</v>
      </c>
      <c r="K385" s="174">
        <f>IF(Input!P385=0,+Input!$G385,+Input!$G385+Input!P385)</f>
        <v>0</v>
      </c>
      <c r="L385" s="174">
        <f>IF(Input!Q385=0,+Input!$G385,+Input!$G385+Input!Q385)</f>
        <v>0</v>
      </c>
      <c r="M385" s="174">
        <f>IF(Input!R385=0,+Input!$G385,+Input!$G385+Input!R385)</f>
        <v>0</v>
      </c>
      <c r="N385" s="174">
        <f>IF(Input!S385=0,+Input!$G385,+Input!$G385+Input!S385)</f>
        <v>0</v>
      </c>
      <c r="O385" s="175">
        <f t="shared" si="67"/>
        <v>0</v>
      </c>
      <c r="P385" s="175">
        <f>IF(AND(O385=""),"",+O385/Setup!$B$12)</f>
        <v>0</v>
      </c>
      <c r="Q385" s="175">
        <f>IF(ISNA(IF(O385="","",(+VLOOKUP(A385,'2016'!$A:$P,15,FALSE)))),0,IF(O385="",0,(+VLOOKUP(A385,'2016'!$A:$P,15,FALSE))))</f>
        <v>0</v>
      </c>
      <c r="R385" s="169"/>
      <c r="S385" s="3"/>
      <c r="T385" s="11"/>
    </row>
    <row r="386" spans="1:20" s="4" customFormat="1" ht="10.5" customHeight="1">
      <c r="A386" s="410" t="s">
        <v>1188</v>
      </c>
      <c r="B386" s="161" t="s">
        <v>463</v>
      </c>
      <c r="C386" s="174">
        <f>IF(Input!H386=0,+Input!$G386,+Input!$G386+Input!H386)</f>
        <v>0</v>
      </c>
      <c r="D386" s="174">
        <f>IF(Input!I386=0,+Input!$G386,+Input!$G386+Input!I386)</f>
        <v>0</v>
      </c>
      <c r="E386" s="174">
        <f>IF(Input!J386=0,+Input!$G386,+Input!$G386+Input!J386)</f>
        <v>0</v>
      </c>
      <c r="F386" s="174">
        <f>IF(Input!K386=0,+Input!$G386,+Input!$G386+Input!K386)</f>
        <v>0</v>
      </c>
      <c r="G386" s="174">
        <f>IF(Input!L386=0,+Input!$G386,+Input!$G386+Input!L386)</f>
        <v>0</v>
      </c>
      <c r="H386" s="174">
        <f>IF(Input!M386=0,+Input!$G386,+Input!$G386+Input!M386)</f>
        <v>0</v>
      </c>
      <c r="I386" s="174">
        <f>IF(Input!N386=0,+Input!$G386,+Input!$G386+Input!N386)</f>
        <v>0</v>
      </c>
      <c r="J386" s="174">
        <f>IF(Input!O386=0,+Input!$G386,+Input!$G386+Input!O386)</f>
        <v>0</v>
      </c>
      <c r="K386" s="174">
        <f>IF(Input!P386=0,+Input!$G386,+Input!$G386+Input!P386)</f>
        <v>0</v>
      </c>
      <c r="L386" s="174">
        <f>IF(Input!Q386=0,+Input!$G386,+Input!$G386+Input!Q386)</f>
        <v>0</v>
      </c>
      <c r="M386" s="174">
        <f>IF(Input!R386=0,+Input!$G386,+Input!$G386+Input!R386)</f>
        <v>0</v>
      </c>
      <c r="N386" s="174">
        <f>IF(Input!S386=0,+Input!$G386,+Input!$G386+Input!S386)</f>
        <v>0</v>
      </c>
      <c r="O386" s="175">
        <f t="shared" si="67"/>
        <v>0</v>
      </c>
      <c r="P386" s="175">
        <f>IF(AND(O386=""),"",+O386/Setup!$B$12)</f>
        <v>0</v>
      </c>
      <c r="Q386" s="175">
        <f>IF(ISNA(IF(O386="","",(+VLOOKUP(A386,'2016'!$A:$P,15,FALSE)))),0,IF(O386="",0,(+VLOOKUP(A386,'2016'!$A:$P,15,FALSE))))</f>
        <v>0</v>
      </c>
      <c r="R386" s="169"/>
      <c r="S386" s="3"/>
      <c r="T386" s="11"/>
    </row>
    <row r="387" spans="1:20" s="4" customFormat="1" ht="10.5" customHeight="1">
      <c r="A387" s="410" t="s">
        <v>1189</v>
      </c>
      <c r="B387" s="161" t="s">
        <v>464</v>
      </c>
      <c r="C387" s="174">
        <f>IF(Input!H387=0,+Input!$G387,+Input!$G387+Input!H387)</f>
        <v>0</v>
      </c>
      <c r="D387" s="174">
        <f>IF(Input!I387=0,+Input!$G387,+Input!$G387+Input!I387)</f>
        <v>0</v>
      </c>
      <c r="E387" s="174">
        <f>IF(Input!J387=0,+Input!$G387,+Input!$G387+Input!J387)</f>
        <v>0</v>
      </c>
      <c r="F387" s="174">
        <f>IF(Input!K387=0,+Input!$G387,+Input!$G387+Input!K387)</f>
        <v>0</v>
      </c>
      <c r="G387" s="174">
        <f>IF(Input!L387=0,+Input!$G387,+Input!$G387+Input!L387)</f>
        <v>0</v>
      </c>
      <c r="H387" s="174">
        <f>IF(Input!M387=0,+Input!$G387,+Input!$G387+Input!M387)</f>
        <v>0</v>
      </c>
      <c r="I387" s="174">
        <f>IF(Input!N387=0,+Input!$G387,+Input!$G387+Input!N387)</f>
        <v>0</v>
      </c>
      <c r="J387" s="174">
        <f>IF(Input!O387=0,+Input!$G387,+Input!$G387+Input!O387)</f>
        <v>0</v>
      </c>
      <c r="K387" s="174">
        <f>IF(Input!P387=0,+Input!$G387,+Input!$G387+Input!P387)</f>
        <v>0</v>
      </c>
      <c r="L387" s="174">
        <f>IF(Input!Q387=0,+Input!$G387,+Input!$G387+Input!Q387)</f>
        <v>0</v>
      </c>
      <c r="M387" s="174">
        <f>IF(Input!R387=0,+Input!$G387,+Input!$G387+Input!R387)</f>
        <v>0</v>
      </c>
      <c r="N387" s="174">
        <f>IF(Input!S387=0,+Input!$G387,+Input!$G387+Input!S387)</f>
        <v>0</v>
      </c>
      <c r="O387" s="175">
        <f t="shared" si="67"/>
        <v>0</v>
      </c>
      <c r="P387" s="175">
        <f>IF(AND(O387=""),"",+O387/Setup!$B$12)</f>
        <v>0</v>
      </c>
      <c r="Q387" s="175">
        <f>IF(ISNA(IF(O387="","",(+VLOOKUP(A387,'2016'!$A:$P,15,FALSE)))),0,IF(O387="",0,(+VLOOKUP(A387,'2016'!$A:$P,15,FALSE))))</f>
        <v>0</v>
      </c>
      <c r="R387" s="169"/>
      <c r="S387" s="3"/>
      <c r="T387" s="11"/>
    </row>
    <row r="388" spans="1:20" s="4" customFormat="1" ht="10.5" customHeight="1">
      <c r="A388" s="410" t="s">
        <v>1190</v>
      </c>
      <c r="B388" s="161" t="s">
        <v>465</v>
      </c>
      <c r="C388" s="174">
        <f>IF(Input!H388=0,+Input!$G388,+Input!$G388+Input!H388)</f>
        <v>0</v>
      </c>
      <c r="D388" s="174">
        <f>IF(Input!I388=0,+Input!$G388,+Input!$G388+Input!I388)</f>
        <v>0</v>
      </c>
      <c r="E388" s="174">
        <f>IF(Input!J388=0,+Input!$G388,+Input!$G388+Input!J388)</f>
        <v>0</v>
      </c>
      <c r="F388" s="174">
        <f>IF(Input!K388=0,+Input!$G388,+Input!$G388+Input!K388)</f>
        <v>0</v>
      </c>
      <c r="G388" s="174">
        <f>IF(Input!L388=0,+Input!$G388,+Input!$G388+Input!L388)</f>
        <v>0</v>
      </c>
      <c r="H388" s="174">
        <f>IF(Input!M388=0,+Input!$G388,+Input!$G388+Input!M388)</f>
        <v>0</v>
      </c>
      <c r="I388" s="174">
        <f>IF(Input!N388=0,+Input!$G388,+Input!$G388+Input!N388)</f>
        <v>0</v>
      </c>
      <c r="J388" s="174">
        <f>IF(Input!O388=0,+Input!$G388,+Input!$G388+Input!O388)</f>
        <v>0</v>
      </c>
      <c r="K388" s="174">
        <f>IF(Input!P388=0,+Input!$G388,+Input!$G388+Input!P388)</f>
        <v>0</v>
      </c>
      <c r="L388" s="174">
        <f>IF(Input!Q388=0,+Input!$G388,+Input!$G388+Input!Q388)</f>
        <v>0</v>
      </c>
      <c r="M388" s="174">
        <f>IF(Input!R388=0,+Input!$G388,+Input!$G388+Input!R388)</f>
        <v>0</v>
      </c>
      <c r="N388" s="174">
        <f>IF(Input!S388=0,+Input!$G388,+Input!$G388+Input!S388)</f>
        <v>0</v>
      </c>
      <c r="O388" s="175">
        <f t="shared" si="67"/>
        <v>0</v>
      </c>
      <c r="P388" s="175">
        <f>IF(AND(O388=""),"",+O388/Setup!$B$12)</f>
        <v>0</v>
      </c>
      <c r="Q388" s="175">
        <f>IF(ISNA(IF(O388="","",(+VLOOKUP(A388,'2016'!$A:$P,15,FALSE)))),0,IF(O388="",0,(+VLOOKUP(A388,'2016'!$A:$P,15,FALSE))))</f>
        <v>0</v>
      </c>
      <c r="R388" s="169"/>
      <c r="S388" s="3"/>
      <c r="T388" s="11"/>
    </row>
    <row r="389" spans="1:20" s="4" customFormat="1" ht="10.5" customHeight="1">
      <c r="A389" s="410" t="s">
        <v>1191</v>
      </c>
      <c r="B389" s="161" t="s">
        <v>466</v>
      </c>
      <c r="C389" s="174">
        <f>IF(Input!H389=0,+Input!$G389,+Input!$G389+Input!H389)</f>
        <v>0</v>
      </c>
      <c r="D389" s="174">
        <f>IF(Input!I389=0,+Input!$G389,+Input!$G389+Input!I389)</f>
        <v>0</v>
      </c>
      <c r="E389" s="174">
        <f>IF(Input!J389=0,+Input!$G389,+Input!$G389+Input!J389)</f>
        <v>0</v>
      </c>
      <c r="F389" s="174">
        <f>IF(Input!K389=0,+Input!$G389,+Input!$G389+Input!K389)</f>
        <v>0</v>
      </c>
      <c r="G389" s="174">
        <f>IF(Input!L389=0,+Input!$G389,+Input!$G389+Input!L389)</f>
        <v>0</v>
      </c>
      <c r="H389" s="174">
        <f>IF(Input!M389=0,+Input!$G389,+Input!$G389+Input!M389)</f>
        <v>0</v>
      </c>
      <c r="I389" s="174">
        <f>IF(Input!N389=0,+Input!$G389,+Input!$G389+Input!N389)</f>
        <v>0</v>
      </c>
      <c r="J389" s="174">
        <f>IF(Input!O389=0,+Input!$G389,+Input!$G389+Input!O389)</f>
        <v>0</v>
      </c>
      <c r="K389" s="174">
        <f>IF(Input!P389=0,+Input!$G389,+Input!$G389+Input!P389)</f>
        <v>0</v>
      </c>
      <c r="L389" s="174">
        <f>IF(Input!Q389=0,+Input!$G389,+Input!$G389+Input!Q389)</f>
        <v>0</v>
      </c>
      <c r="M389" s="174">
        <f>IF(Input!R389=0,+Input!$G389,+Input!$G389+Input!R389)</f>
        <v>0</v>
      </c>
      <c r="N389" s="174">
        <f>IF(Input!S389=0,+Input!$G389,+Input!$G389+Input!S389)</f>
        <v>0</v>
      </c>
      <c r="O389" s="175">
        <f t="shared" si="67"/>
        <v>0</v>
      </c>
      <c r="P389" s="175">
        <f>IF(AND(O389=""),"",+O389/Setup!$B$12)</f>
        <v>0</v>
      </c>
      <c r="Q389" s="175">
        <f>IF(ISNA(IF(O389="","",(+VLOOKUP(A389,'2016'!$A:$P,15,FALSE)))),0,IF(O389="",0,(+VLOOKUP(A389,'2016'!$A:$P,15,FALSE))))</f>
        <v>0</v>
      </c>
      <c r="R389" s="169"/>
      <c r="S389" s="3"/>
      <c r="T389" s="11"/>
    </row>
    <row r="390" spans="1:20" s="4" customFormat="1" ht="10.5" customHeight="1">
      <c r="A390" s="410" t="s">
        <v>1192</v>
      </c>
      <c r="B390" s="161" t="s">
        <v>467</v>
      </c>
      <c r="C390" s="174">
        <f>IF(Input!H390=0,+Input!$G390,+Input!$G390+Input!H390)</f>
        <v>0</v>
      </c>
      <c r="D390" s="174">
        <f>IF(Input!I390=0,+Input!$G390,+Input!$G390+Input!I390)</f>
        <v>0</v>
      </c>
      <c r="E390" s="174">
        <f>IF(Input!J390=0,+Input!$G390,+Input!$G390+Input!J390)</f>
        <v>0</v>
      </c>
      <c r="F390" s="174">
        <f>IF(Input!K390=0,+Input!$G390,+Input!$G390+Input!K390)</f>
        <v>0</v>
      </c>
      <c r="G390" s="174">
        <f>IF(Input!L390=0,+Input!$G390,+Input!$G390+Input!L390)</f>
        <v>0</v>
      </c>
      <c r="H390" s="174">
        <f>IF(Input!M390=0,+Input!$G390,+Input!$G390+Input!M390)</f>
        <v>0</v>
      </c>
      <c r="I390" s="174">
        <f>IF(Input!N390=0,+Input!$G390,+Input!$G390+Input!N390)</f>
        <v>0</v>
      </c>
      <c r="J390" s="174">
        <f>IF(Input!O390=0,+Input!$G390,+Input!$G390+Input!O390)</f>
        <v>0</v>
      </c>
      <c r="K390" s="174">
        <f>IF(Input!P390=0,+Input!$G390,+Input!$G390+Input!P390)</f>
        <v>0</v>
      </c>
      <c r="L390" s="174">
        <f>IF(Input!Q390=0,+Input!$G390,+Input!$G390+Input!Q390)</f>
        <v>0</v>
      </c>
      <c r="M390" s="174">
        <f>IF(Input!R390=0,+Input!$G390,+Input!$G390+Input!R390)</f>
        <v>0</v>
      </c>
      <c r="N390" s="174">
        <f>IF(Input!S390=0,+Input!$G390,+Input!$G390+Input!S390)</f>
        <v>0</v>
      </c>
      <c r="O390" s="175">
        <f t="shared" si="67"/>
        <v>0</v>
      </c>
      <c r="P390" s="175">
        <f>IF(AND(O390=""),"",+O390/Setup!$B$12)</f>
        <v>0</v>
      </c>
      <c r="Q390" s="175">
        <f>IF(ISNA(IF(O390="","",(+VLOOKUP(A390,'2016'!$A:$P,15,FALSE)))),0,IF(O390="",0,(+VLOOKUP(A390,'2016'!$A:$P,15,FALSE))))</f>
        <v>0</v>
      </c>
      <c r="R390" s="169"/>
      <c r="S390" s="3"/>
      <c r="T390" s="11"/>
    </row>
    <row r="391" spans="1:20" s="4" customFormat="1" ht="10.5" customHeight="1">
      <c r="A391" s="410" t="s">
        <v>1193</v>
      </c>
      <c r="B391" s="161" t="s">
        <v>468</v>
      </c>
      <c r="C391" s="174">
        <f>IF(Input!H391=0,+Input!$G391,+Input!$G391+Input!H391)</f>
        <v>0</v>
      </c>
      <c r="D391" s="174">
        <f>IF(Input!I391=0,+Input!$G391,+Input!$G391+Input!I391)</f>
        <v>0</v>
      </c>
      <c r="E391" s="174">
        <f>IF(Input!J391=0,+Input!$G391,+Input!$G391+Input!J391)</f>
        <v>0</v>
      </c>
      <c r="F391" s="174">
        <f>IF(Input!K391=0,+Input!$G391,+Input!$G391+Input!K391)</f>
        <v>0</v>
      </c>
      <c r="G391" s="174">
        <f>IF(Input!L391=0,+Input!$G391,+Input!$G391+Input!L391)</f>
        <v>0</v>
      </c>
      <c r="H391" s="174">
        <f>IF(Input!M391=0,+Input!$G391,+Input!$G391+Input!M391)</f>
        <v>0</v>
      </c>
      <c r="I391" s="174">
        <f>IF(Input!N391=0,+Input!$G391,+Input!$G391+Input!N391)</f>
        <v>0</v>
      </c>
      <c r="J391" s="174">
        <f>IF(Input!O391=0,+Input!$G391,+Input!$G391+Input!O391)</f>
        <v>0</v>
      </c>
      <c r="K391" s="174">
        <f>IF(Input!P391=0,+Input!$G391,+Input!$G391+Input!P391)</f>
        <v>0</v>
      </c>
      <c r="L391" s="174">
        <f>IF(Input!Q391=0,+Input!$G391,+Input!$G391+Input!Q391)</f>
        <v>0</v>
      </c>
      <c r="M391" s="174">
        <f>IF(Input!R391=0,+Input!$G391,+Input!$G391+Input!R391)</f>
        <v>0</v>
      </c>
      <c r="N391" s="174">
        <f>IF(Input!S391=0,+Input!$G391,+Input!$G391+Input!S391)</f>
        <v>0</v>
      </c>
      <c r="O391" s="175">
        <f t="shared" si="67"/>
        <v>0</v>
      </c>
      <c r="P391" s="175">
        <f>IF(AND(O391=""),"",+O391/Setup!$B$12)</f>
        <v>0</v>
      </c>
      <c r="Q391" s="175">
        <f>IF(ISNA(IF(O391="","",(+VLOOKUP(A391,'2016'!$A:$P,15,FALSE)))),0,IF(O391="",0,(+VLOOKUP(A391,'2016'!$A:$P,15,FALSE))))</f>
        <v>0</v>
      </c>
      <c r="R391" s="169"/>
      <c r="S391" s="3"/>
      <c r="T391" s="11"/>
    </row>
    <row r="392" spans="1:20" s="4" customFormat="1" ht="10.5" customHeight="1">
      <c r="A392" s="410" t="s">
        <v>1194</v>
      </c>
      <c r="B392" s="161" t="s">
        <v>469</v>
      </c>
      <c r="C392" s="174">
        <f>IF(Input!H392=0,+Input!$G392,+Input!$G392+Input!H392)</f>
        <v>0</v>
      </c>
      <c r="D392" s="174">
        <f>IF(Input!I392=0,+Input!$G392,+Input!$G392+Input!I392)</f>
        <v>0</v>
      </c>
      <c r="E392" s="174">
        <f>IF(Input!J392=0,+Input!$G392,+Input!$G392+Input!J392)</f>
        <v>0</v>
      </c>
      <c r="F392" s="174">
        <f>IF(Input!K392=0,+Input!$G392,+Input!$G392+Input!K392)</f>
        <v>0</v>
      </c>
      <c r="G392" s="174">
        <f>IF(Input!L392=0,+Input!$G392,+Input!$G392+Input!L392)</f>
        <v>0</v>
      </c>
      <c r="H392" s="174">
        <f>IF(Input!M392=0,+Input!$G392,+Input!$G392+Input!M392)</f>
        <v>0</v>
      </c>
      <c r="I392" s="174">
        <f>IF(Input!N392=0,+Input!$G392,+Input!$G392+Input!N392)</f>
        <v>0</v>
      </c>
      <c r="J392" s="174">
        <f>IF(Input!O392=0,+Input!$G392,+Input!$G392+Input!O392)</f>
        <v>0</v>
      </c>
      <c r="K392" s="174">
        <f>IF(Input!P392=0,+Input!$G392,+Input!$G392+Input!P392)</f>
        <v>0</v>
      </c>
      <c r="L392" s="174">
        <f>IF(Input!Q392=0,+Input!$G392,+Input!$G392+Input!Q392)</f>
        <v>0</v>
      </c>
      <c r="M392" s="174">
        <f>IF(Input!R392=0,+Input!$G392,+Input!$G392+Input!R392)</f>
        <v>0</v>
      </c>
      <c r="N392" s="174">
        <f>IF(Input!S392=0,+Input!$G392,+Input!$G392+Input!S392)</f>
        <v>0</v>
      </c>
      <c r="O392" s="175">
        <f t="shared" si="67"/>
        <v>0</v>
      </c>
      <c r="P392" s="175">
        <f>IF(AND(O392=""),"",+O392/Setup!$B$12)</f>
        <v>0</v>
      </c>
      <c r="Q392" s="175">
        <f>IF(ISNA(IF(O392="","",(+VLOOKUP(A392,'2016'!$A:$P,15,FALSE)))),0,IF(O392="",0,(+VLOOKUP(A392,'2016'!$A:$P,15,FALSE))))</f>
        <v>0</v>
      </c>
      <c r="R392" s="169"/>
      <c r="S392" s="3"/>
      <c r="T392" s="11"/>
    </row>
    <row r="393" spans="1:20" s="4" customFormat="1" ht="10.5" customHeight="1">
      <c r="A393" s="410" t="s">
        <v>1195</v>
      </c>
      <c r="B393" s="161" t="s">
        <v>470</v>
      </c>
      <c r="C393" s="174">
        <f>IF(Input!H393=0,+Input!$G393,+Input!$G393+Input!H393)</f>
        <v>0</v>
      </c>
      <c r="D393" s="174">
        <f>IF(Input!I393=0,+Input!$G393,+Input!$G393+Input!I393)</f>
        <v>0</v>
      </c>
      <c r="E393" s="174">
        <f>IF(Input!J393=0,+Input!$G393,+Input!$G393+Input!J393)</f>
        <v>0</v>
      </c>
      <c r="F393" s="174">
        <f>IF(Input!K393=0,+Input!$G393,+Input!$G393+Input!K393)</f>
        <v>0</v>
      </c>
      <c r="G393" s="174">
        <f>IF(Input!L393=0,+Input!$G393,+Input!$G393+Input!L393)</f>
        <v>0</v>
      </c>
      <c r="H393" s="174">
        <f>IF(Input!M393=0,+Input!$G393,+Input!$G393+Input!M393)</f>
        <v>0</v>
      </c>
      <c r="I393" s="174">
        <f>IF(Input!N393=0,+Input!$G393,+Input!$G393+Input!N393)</f>
        <v>0</v>
      </c>
      <c r="J393" s="174">
        <f>IF(Input!O393=0,+Input!$G393,+Input!$G393+Input!O393)</f>
        <v>0</v>
      </c>
      <c r="K393" s="174">
        <f>IF(Input!P393=0,+Input!$G393,+Input!$G393+Input!P393)</f>
        <v>0</v>
      </c>
      <c r="L393" s="174">
        <f>IF(Input!Q393=0,+Input!$G393,+Input!$G393+Input!Q393)</f>
        <v>0</v>
      </c>
      <c r="M393" s="174">
        <f>IF(Input!R393=0,+Input!$G393,+Input!$G393+Input!R393)</f>
        <v>0</v>
      </c>
      <c r="N393" s="174">
        <f>IF(Input!S393=0,+Input!$G393,+Input!$G393+Input!S393)</f>
        <v>0</v>
      </c>
      <c r="O393" s="175">
        <f t="shared" si="67"/>
        <v>0</v>
      </c>
      <c r="P393" s="175">
        <f>IF(AND(O393=""),"",+O393/Setup!$B$12)</f>
        <v>0</v>
      </c>
      <c r="Q393" s="175">
        <f>IF(ISNA(IF(O393="","",(+VLOOKUP(A393,'2016'!$A:$P,15,FALSE)))),0,IF(O393="",0,(+VLOOKUP(A393,'2016'!$A:$P,15,FALSE))))</f>
        <v>0</v>
      </c>
      <c r="R393" s="169"/>
      <c r="S393" s="3"/>
      <c r="T393" s="11"/>
    </row>
    <row r="394" spans="1:20" s="4" customFormat="1" ht="10.5" customHeight="1">
      <c r="A394" s="410" t="s">
        <v>1196</v>
      </c>
      <c r="B394" s="161" t="s">
        <v>471</v>
      </c>
      <c r="C394" s="174">
        <f>IF(Input!H394=0,+Input!$G394,+Input!$G394+Input!H394)</f>
        <v>0</v>
      </c>
      <c r="D394" s="174">
        <f>IF(Input!I394=0,+Input!$G394,+Input!$G394+Input!I394)</f>
        <v>0</v>
      </c>
      <c r="E394" s="174">
        <f>IF(Input!J394=0,+Input!$G394,+Input!$G394+Input!J394)</f>
        <v>0</v>
      </c>
      <c r="F394" s="174">
        <f>IF(Input!K394=0,+Input!$G394,+Input!$G394+Input!K394)</f>
        <v>0</v>
      </c>
      <c r="G394" s="174">
        <f>IF(Input!L394=0,+Input!$G394,+Input!$G394+Input!L394)</f>
        <v>0</v>
      </c>
      <c r="H394" s="174">
        <f>IF(Input!M394=0,+Input!$G394,+Input!$G394+Input!M394)</f>
        <v>0</v>
      </c>
      <c r="I394" s="174">
        <f>IF(Input!N394=0,+Input!$G394,+Input!$G394+Input!N394)</f>
        <v>0</v>
      </c>
      <c r="J394" s="174">
        <f>IF(Input!O394=0,+Input!$G394,+Input!$G394+Input!O394)</f>
        <v>0</v>
      </c>
      <c r="K394" s="174">
        <f>IF(Input!P394=0,+Input!$G394,+Input!$G394+Input!P394)</f>
        <v>0</v>
      </c>
      <c r="L394" s="174">
        <f>IF(Input!Q394=0,+Input!$G394,+Input!$G394+Input!Q394)</f>
        <v>0</v>
      </c>
      <c r="M394" s="174">
        <f>IF(Input!R394=0,+Input!$G394,+Input!$G394+Input!R394)</f>
        <v>0</v>
      </c>
      <c r="N394" s="174">
        <f>IF(Input!S394=0,+Input!$G394,+Input!$G394+Input!S394)</f>
        <v>0</v>
      </c>
      <c r="O394" s="175">
        <f t="shared" si="67"/>
        <v>0</v>
      </c>
      <c r="P394" s="175">
        <f>IF(AND(O394=""),"",+O394/Setup!$B$12)</f>
        <v>0</v>
      </c>
      <c r="Q394" s="175">
        <f>IF(ISNA(IF(O394="","",(+VLOOKUP(A394,'2016'!$A:$P,15,FALSE)))),0,IF(O394="",0,(+VLOOKUP(A394,'2016'!$A:$P,15,FALSE))))</f>
        <v>0</v>
      </c>
      <c r="R394" s="169"/>
      <c r="S394" s="3"/>
      <c r="T394" s="11"/>
    </row>
    <row r="395" spans="1:20" s="4" customFormat="1" ht="10.5" customHeight="1">
      <c r="A395" s="410" t="s">
        <v>1197</v>
      </c>
      <c r="B395" s="161" t="s">
        <v>472</v>
      </c>
      <c r="C395" s="174">
        <f>IF(Input!H395=0,+Input!$G395,+Input!$G395+Input!H395)</f>
        <v>0</v>
      </c>
      <c r="D395" s="174">
        <f>IF(Input!I395=0,+Input!$G395,+Input!$G395+Input!I395)</f>
        <v>0</v>
      </c>
      <c r="E395" s="174">
        <f>IF(Input!J395=0,+Input!$G395,+Input!$G395+Input!J395)</f>
        <v>0</v>
      </c>
      <c r="F395" s="174">
        <f>IF(Input!K395=0,+Input!$G395,+Input!$G395+Input!K395)</f>
        <v>0</v>
      </c>
      <c r="G395" s="174">
        <f>IF(Input!L395=0,+Input!$G395,+Input!$G395+Input!L395)</f>
        <v>0</v>
      </c>
      <c r="H395" s="174">
        <f>IF(Input!M395=0,+Input!$G395,+Input!$G395+Input!M395)</f>
        <v>0</v>
      </c>
      <c r="I395" s="174">
        <f>IF(Input!N395=0,+Input!$G395,+Input!$G395+Input!N395)</f>
        <v>0</v>
      </c>
      <c r="J395" s="174">
        <f>IF(Input!O395=0,+Input!$G395,+Input!$G395+Input!O395)</f>
        <v>0</v>
      </c>
      <c r="K395" s="174">
        <f>IF(Input!P395=0,+Input!$G395,+Input!$G395+Input!P395)</f>
        <v>0</v>
      </c>
      <c r="L395" s="174">
        <f>IF(Input!Q395=0,+Input!$G395,+Input!$G395+Input!Q395)</f>
        <v>0</v>
      </c>
      <c r="M395" s="174">
        <f>IF(Input!R395=0,+Input!$G395,+Input!$G395+Input!R395)</f>
        <v>0</v>
      </c>
      <c r="N395" s="174">
        <f>IF(Input!S395=0,+Input!$G395,+Input!$G395+Input!S395)</f>
        <v>0</v>
      </c>
      <c r="O395" s="175">
        <f t="shared" ref="O395:O406" si="72">IF(N395="","",SUM(C395:N395))</f>
        <v>0</v>
      </c>
      <c r="P395" s="175">
        <f>IF(AND(O395=""),"",+O395/Setup!$B$12)</f>
        <v>0</v>
      </c>
      <c r="Q395" s="175">
        <f>IF(ISNA(IF(O395="","",(+VLOOKUP(A395,'2016'!$A:$P,15,FALSE)))),0,IF(O395="",0,(+VLOOKUP(A395,'2016'!$A:$P,15,FALSE))))</f>
        <v>0</v>
      </c>
      <c r="R395" s="169"/>
      <c r="S395" s="3"/>
      <c r="T395" s="11"/>
    </row>
    <row r="396" spans="1:20" s="4" customFormat="1" ht="10.5" customHeight="1">
      <c r="A396" s="410" t="s">
        <v>1198</v>
      </c>
      <c r="B396" s="161" t="s">
        <v>473</v>
      </c>
      <c r="C396" s="174">
        <f>IF(Input!H396=0,+Input!$G396,+Input!$G396+Input!H396)</f>
        <v>0</v>
      </c>
      <c r="D396" s="174">
        <f>IF(Input!I396=0,+Input!$G396,+Input!$G396+Input!I396)</f>
        <v>0</v>
      </c>
      <c r="E396" s="174">
        <f>IF(Input!J396=0,+Input!$G396,+Input!$G396+Input!J396)</f>
        <v>0</v>
      </c>
      <c r="F396" s="174">
        <f>IF(Input!K396=0,+Input!$G396,+Input!$G396+Input!K396)</f>
        <v>0</v>
      </c>
      <c r="G396" s="174">
        <f>IF(Input!L396=0,+Input!$G396,+Input!$G396+Input!L396)</f>
        <v>0</v>
      </c>
      <c r="H396" s="174">
        <f>IF(Input!M396=0,+Input!$G396,+Input!$G396+Input!M396)</f>
        <v>0</v>
      </c>
      <c r="I396" s="174">
        <f>IF(Input!N396=0,+Input!$G396,+Input!$G396+Input!N396)</f>
        <v>0</v>
      </c>
      <c r="J396" s="174">
        <f>IF(Input!O396=0,+Input!$G396,+Input!$G396+Input!O396)</f>
        <v>0</v>
      </c>
      <c r="K396" s="174">
        <f>IF(Input!P396=0,+Input!$G396,+Input!$G396+Input!P396)</f>
        <v>0</v>
      </c>
      <c r="L396" s="174">
        <f>IF(Input!Q396=0,+Input!$G396,+Input!$G396+Input!Q396)</f>
        <v>0</v>
      </c>
      <c r="M396" s="174">
        <f>IF(Input!R396=0,+Input!$G396,+Input!$G396+Input!R396)</f>
        <v>0</v>
      </c>
      <c r="N396" s="174">
        <f>IF(Input!S396=0,+Input!$G396,+Input!$G396+Input!S396)</f>
        <v>0</v>
      </c>
      <c r="O396" s="175">
        <f t="shared" si="72"/>
        <v>0</v>
      </c>
      <c r="P396" s="175">
        <f>IF(AND(O396=""),"",+O396/Setup!$B$12)</f>
        <v>0</v>
      </c>
      <c r="Q396" s="175">
        <f>IF(ISNA(IF(O396="","",(+VLOOKUP(A396,'2016'!$A:$P,15,FALSE)))),0,IF(O396="",0,(+VLOOKUP(A396,'2016'!$A:$P,15,FALSE))))</f>
        <v>0</v>
      </c>
      <c r="R396" s="169"/>
      <c r="S396" s="3"/>
      <c r="T396" s="11"/>
    </row>
    <row r="397" spans="1:20" s="10" customFormat="1" ht="10.5" customHeight="1">
      <c r="A397" s="410" t="s">
        <v>1199</v>
      </c>
      <c r="B397" s="161" t="s">
        <v>474</v>
      </c>
      <c r="C397" s="174">
        <f>IF(Input!H397=0,+Input!$G397,+Input!$G397+Input!H397)</f>
        <v>0</v>
      </c>
      <c r="D397" s="174">
        <f>IF(Input!I397=0,+Input!$G397,+Input!$G397+Input!I397)</f>
        <v>0</v>
      </c>
      <c r="E397" s="174">
        <f>IF(Input!J397=0,+Input!$G397,+Input!$G397+Input!J397)</f>
        <v>0</v>
      </c>
      <c r="F397" s="174">
        <f>IF(Input!K397=0,+Input!$G397,+Input!$G397+Input!K397)</f>
        <v>0</v>
      </c>
      <c r="G397" s="174">
        <f>IF(Input!L397=0,+Input!$G397,+Input!$G397+Input!L397)</f>
        <v>0</v>
      </c>
      <c r="H397" s="174">
        <f>IF(Input!M397=0,+Input!$G397,+Input!$G397+Input!M397)</f>
        <v>0</v>
      </c>
      <c r="I397" s="174">
        <f>IF(Input!N397=0,+Input!$G397,+Input!$G397+Input!N397)</f>
        <v>0</v>
      </c>
      <c r="J397" s="174">
        <f>IF(Input!O397=0,+Input!$G397,+Input!$G397+Input!O397)</f>
        <v>0</v>
      </c>
      <c r="K397" s="174">
        <f>IF(Input!P397=0,+Input!$G397,+Input!$G397+Input!P397)</f>
        <v>0</v>
      </c>
      <c r="L397" s="174">
        <f>IF(Input!Q397=0,+Input!$G397,+Input!$G397+Input!Q397)</f>
        <v>0</v>
      </c>
      <c r="M397" s="174">
        <f>IF(Input!R397=0,+Input!$G397,+Input!$G397+Input!R397)</f>
        <v>0</v>
      </c>
      <c r="N397" s="174">
        <f>IF(Input!S397=0,+Input!$G397,+Input!$G397+Input!S397)</f>
        <v>0</v>
      </c>
      <c r="O397" s="175">
        <f t="shared" si="72"/>
        <v>0</v>
      </c>
      <c r="P397" s="175">
        <f>IF(AND(O397=""),"",+O397/Setup!$B$12)</f>
        <v>0</v>
      </c>
      <c r="Q397" s="175">
        <f>IF(ISNA(IF(O397="","",(+VLOOKUP(A397,'2016'!$A:$P,15,FALSE)))),0,IF(O397="",0,(+VLOOKUP(A397,'2016'!$A:$P,15,FALSE))))</f>
        <v>0</v>
      </c>
      <c r="R397" s="169"/>
      <c r="S397" s="3"/>
      <c r="T397" s="11"/>
    </row>
    <row r="398" spans="1:20" s="17" customFormat="1" ht="10.5" customHeight="1">
      <c r="A398" s="410" t="s">
        <v>1200</v>
      </c>
      <c r="B398" s="161" t="s">
        <v>475</v>
      </c>
      <c r="C398" s="174">
        <f>IF(Input!H398=0,+Input!$G398,+Input!$G398+Input!H398)</f>
        <v>4712.25</v>
      </c>
      <c r="D398" s="174">
        <f>IF(Input!I398=0,+Input!$G398,+Input!$G398+Input!I398)</f>
        <v>4712.25</v>
      </c>
      <c r="E398" s="174">
        <f>IF(Input!J398=0,+Input!$G398,+Input!$G398+Input!J398)</f>
        <v>4712.25</v>
      </c>
      <c r="F398" s="174">
        <f>IF(Input!K398=0,+Input!$G398,+Input!$G398+Input!K398)</f>
        <v>4712.25</v>
      </c>
      <c r="G398" s="174">
        <f>IF(Input!L398=0,+Input!$G398,+Input!$G398+Input!L398)</f>
        <v>4712.25</v>
      </c>
      <c r="H398" s="174">
        <f>IF(Input!M398=0,+Input!$G398,+Input!$G398+Input!M398)</f>
        <v>4712.25</v>
      </c>
      <c r="I398" s="174">
        <f>IF(Input!N398=0,+Input!$G398,+Input!$G398+Input!N398)</f>
        <v>4712.25</v>
      </c>
      <c r="J398" s="174">
        <f>IF(Input!O398=0,+Input!$G398,+Input!$G398+Input!O398)</f>
        <v>4712.25</v>
      </c>
      <c r="K398" s="174">
        <f>IF(Input!P398=0,+Input!$G398,+Input!$G398+Input!P398)</f>
        <v>4712.25</v>
      </c>
      <c r="L398" s="174">
        <f>IF(Input!Q398=0,+Input!$G398,+Input!$G398+Input!Q398)</f>
        <v>4712.25</v>
      </c>
      <c r="M398" s="174">
        <f>IF(Input!R398=0,+Input!$G398,+Input!$G398+Input!R398)</f>
        <v>4712.25</v>
      </c>
      <c r="N398" s="174">
        <f>IF(Input!S398=0,+Input!$G398,+Input!$G398+Input!S398)</f>
        <v>4712.25</v>
      </c>
      <c r="O398" s="175">
        <f t="shared" si="72"/>
        <v>56547</v>
      </c>
      <c r="P398" s="175">
        <f>IF(AND(O398=""),"",+O398/Setup!$B$12)</f>
        <v>257.03181818181821</v>
      </c>
      <c r="Q398" s="175">
        <f>IF(ISNA(IF(O398="","",(+VLOOKUP(A398,'2016'!$A:$P,15,FALSE)))),0,IF(O398="",0,(+VLOOKUP(A398,'2016'!$A:$P,15,FALSE))))</f>
        <v>56547</v>
      </c>
      <c r="R398" s="169"/>
      <c r="S398" s="3"/>
      <c r="T398" s="11"/>
    </row>
    <row r="399" spans="1:20" s="18" customFormat="1" ht="10.5" customHeight="1">
      <c r="A399" s="410" t="s">
        <v>1202</v>
      </c>
      <c r="B399" s="161" t="s">
        <v>476</v>
      </c>
      <c r="C399" s="174">
        <f>IF(Input!H399=0,+Input!$G399,+Input!$G399+Input!H399)</f>
        <v>0</v>
      </c>
      <c r="D399" s="174">
        <f>IF(Input!I399=0,+Input!$G399,+Input!$G399+Input!I399)</f>
        <v>0</v>
      </c>
      <c r="E399" s="174">
        <f>IF(Input!J399=0,+Input!$G399,+Input!$G399+Input!J399)</f>
        <v>0</v>
      </c>
      <c r="F399" s="174">
        <f>IF(Input!K399=0,+Input!$G399,+Input!$G399+Input!K399)</f>
        <v>0</v>
      </c>
      <c r="G399" s="174">
        <f>IF(Input!L399=0,+Input!$G399,+Input!$G399+Input!L399)</f>
        <v>0</v>
      </c>
      <c r="H399" s="174">
        <f>IF(Input!M399=0,+Input!$G399,+Input!$G399+Input!M399)</f>
        <v>0</v>
      </c>
      <c r="I399" s="174">
        <f>IF(Input!N399=0,+Input!$G399,+Input!$G399+Input!N399)</f>
        <v>0</v>
      </c>
      <c r="J399" s="174">
        <f>IF(Input!O399=0,+Input!$G399,+Input!$G399+Input!O399)</f>
        <v>0</v>
      </c>
      <c r="K399" s="174">
        <f>IF(Input!P399=0,+Input!$G399,+Input!$G399+Input!P399)</f>
        <v>0</v>
      </c>
      <c r="L399" s="174">
        <f>IF(Input!Q399=0,+Input!$G399,+Input!$G399+Input!Q399)</f>
        <v>0</v>
      </c>
      <c r="M399" s="174">
        <f>IF(Input!R399=0,+Input!$G399,+Input!$G399+Input!R399)</f>
        <v>0</v>
      </c>
      <c r="N399" s="174">
        <f>IF(Input!S399=0,+Input!$G399,+Input!$G399+Input!S399)</f>
        <v>0</v>
      </c>
      <c r="O399" s="175">
        <f t="shared" si="72"/>
        <v>0</v>
      </c>
      <c r="P399" s="175">
        <f>IF(AND(O399=""),"",+O399/Setup!$B$12)</f>
        <v>0</v>
      </c>
      <c r="Q399" s="175">
        <f>IF(ISNA(IF(O399="","",(+VLOOKUP(A399,'2016'!$A:$P,15,FALSE)))),0,IF(O399="",0,(+VLOOKUP(A399,'2016'!$A:$P,15,FALSE))))</f>
        <v>0</v>
      </c>
      <c r="R399" s="169"/>
      <c r="S399" s="3"/>
      <c r="T399" s="11"/>
    </row>
    <row r="400" spans="1:20" s="17" customFormat="1" ht="10.5" customHeight="1">
      <c r="A400" s="410" t="s">
        <v>1203</v>
      </c>
      <c r="B400" s="161" t="s">
        <v>477</v>
      </c>
      <c r="C400" s="174">
        <f>IF(Input!H400=0,+Input!$G400,+Input!$G400+Input!H400)</f>
        <v>0</v>
      </c>
      <c r="D400" s="174">
        <f>IF(Input!I400=0,+Input!$G400,+Input!$G400+Input!I400)</f>
        <v>0</v>
      </c>
      <c r="E400" s="174">
        <f>IF(Input!J400=0,+Input!$G400,+Input!$G400+Input!J400)</f>
        <v>0</v>
      </c>
      <c r="F400" s="174">
        <f>IF(Input!K400=0,+Input!$G400,+Input!$G400+Input!K400)</f>
        <v>0</v>
      </c>
      <c r="G400" s="174">
        <f>IF(Input!L400=0,+Input!$G400,+Input!$G400+Input!L400)</f>
        <v>0</v>
      </c>
      <c r="H400" s="174">
        <f>IF(Input!M400=0,+Input!$G400,+Input!$G400+Input!M400)</f>
        <v>0</v>
      </c>
      <c r="I400" s="174">
        <f>IF(Input!N400=0,+Input!$G400,+Input!$G400+Input!N400)</f>
        <v>0</v>
      </c>
      <c r="J400" s="174">
        <f>IF(Input!O400=0,+Input!$G400,+Input!$G400+Input!O400)</f>
        <v>0</v>
      </c>
      <c r="K400" s="174">
        <f>IF(Input!P400=0,+Input!$G400,+Input!$G400+Input!P400)</f>
        <v>0</v>
      </c>
      <c r="L400" s="174">
        <f>IF(Input!Q400=0,+Input!$G400,+Input!$G400+Input!Q400)</f>
        <v>0</v>
      </c>
      <c r="M400" s="174">
        <f>IF(Input!R400=0,+Input!$G400,+Input!$G400+Input!R400)</f>
        <v>0</v>
      </c>
      <c r="N400" s="174">
        <f>IF(Input!S400=0,+Input!$G400,+Input!$G400+Input!S400)</f>
        <v>0</v>
      </c>
      <c r="O400" s="175">
        <f t="shared" si="72"/>
        <v>0</v>
      </c>
      <c r="P400" s="175">
        <f>IF(AND(O400=""),"",+O400/Setup!$B$12)</f>
        <v>0</v>
      </c>
      <c r="Q400" s="175">
        <f>IF(ISNA(IF(O400="","",(+VLOOKUP(A400,'2016'!$A:$P,15,FALSE)))),0,IF(O400="",0,(+VLOOKUP(A400,'2016'!$A:$P,15,FALSE))))</f>
        <v>0</v>
      </c>
      <c r="R400" s="169"/>
      <c r="S400" s="3"/>
      <c r="T400" s="11"/>
    </row>
    <row r="401" spans="1:20" s="17" customFormat="1" ht="10.5" customHeight="1">
      <c r="A401" s="410" t="s">
        <v>1204</v>
      </c>
      <c r="B401" s="161" t="s">
        <v>478</v>
      </c>
      <c r="C401" s="174">
        <f>IF(Input!H401=0,+Input!$G401,+Input!$G401+Input!H401)</f>
        <v>0</v>
      </c>
      <c r="D401" s="174">
        <f>IF(Input!I401=0,+Input!$G401,+Input!$G401+Input!I401)</f>
        <v>0</v>
      </c>
      <c r="E401" s="174">
        <f>IF(Input!J401=0,+Input!$G401,+Input!$G401+Input!J401)</f>
        <v>0</v>
      </c>
      <c r="F401" s="174">
        <f>IF(Input!K401=0,+Input!$G401,+Input!$G401+Input!K401)</f>
        <v>0</v>
      </c>
      <c r="G401" s="174">
        <f>IF(Input!L401=0,+Input!$G401,+Input!$G401+Input!L401)</f>
        <v>0</v>
      </c>
      <c r="H401" s="174">
        <f>IF(Input!M401=0,+Input!$G401,+Input!$G401+Input!M401)</f>
        <v>0</v>
      </c>
      <c r="I401" s="174">
        <f>IF(Input!N401=0,+Input!$G401,+Input!$G401+Input!N401)</f>
        <v>0</v>
      </c>
      <c r="J401" s="174">
        <f>IF(Input!O401=0,+Input!$G401,+Input!$G401+Input!O401)</f>
        <v>0</v>
      </c>
      <c r="K401" s="174">
        <f>IF(Input!P401=0,+Input!$G401,+Input!$G401+Input!P401)</f>
        <v>0</v>
      </c>
      <c r="L401" s="174">
        <f>IF(Input!Q401=0,+Input!$G401,+Input!$G401+Input!Q401)</f>
        <v>0</v>
      </c>
      <c r="M401" s="174">
        <f>IF(Input!R401=0,+Input!$G401,+Input!$G401+Input!R401)</f>
        <v>0</v>
      </c>
      <c r="N401" s="174">
        <f>IF(Input!S401=0,+Input!$G401,+Input!$G401+Input!S401)</f>
        <v>0</v>
      </c>
      <c r="O401" s="175">
        <f t="shared" si="72"/>
        <v>0</v>
      </c>
      <c r="P401" s="175">
        <f>IF(AND(O401=""),"",+O401/Setup!$B$12)</f>
        <v>0</v>
      </c>
      <c r="Q401" s="175">
        <f>IF(ISNA(IF(O401="","",(+VLOOKUP(A401,'2016'!$A:$P,15,FALSE)))),0,IF(O401="",0,(+VLOOKUP(A401,'2016'!$A:$P,15,FALSE))))</f>
        <v>0</v>
      </c>
      <c r="R401" s="169"/>
      <c r="S401" s="3"/>
      <c r="T401" s="11"/>
    </row>
    <row r="402" spans="1:20" s="17" customFormat="1" ht="10.5" customHeight="1">
      <c r="A402" s="410" t="s">
        <v>1205</v>
      </c>
      <c r="B402" s="161" t="s">
        <v>479</v>
      </c>
      <c r="C402" s="174">
        <f>IF(Input!H402=0,+Input!$G402,+Input!$G402+Input!H402)</f>
        <v>0</v>
      </c>
      <c r="D402" s="174">
        <f>IF(Input!I402=0,+Input!$G402,+Input!$G402+Input!I402)</f>
        <v>0</v>
      </c>
      <c r="E402" s="174">
        <f>IF(Input!J402=0,+Input!$G402,+Input!$G402+Input!J402)</f>
        <v>0</v>
      </c>
      <c r="F402" s="174">
        <f>IF(Input!K402=0,+Input!$G402,+Input!$G402+Input!K402)</f>
        <v>0</v>
      </c>
      <c r="G402" s="174">
        <f>IF(Input!L402=0,+Input!$G402,+Input!$G402+Input!L402)</f>
        <v>0</v>
      </c>
      <c r="H402" s="174">
        <f>IF(Input!M402=0,+Input!$G402,+Input!$G402+Input!M402)</f>
        <v>0</v>
      </c>
      <c r="I402" s="174">
        <f>IF(Input!N402=0,+Input!$G402,+Input!$G402+Input!N402)</f>
        <v>0</v>
      </c>
      <c r="J402" s="174">
        <f>IF(Input!O402=0,+Input!$G402,+Input!$G402+Input!O402)</f>
        <v>0</v>
      </c>
      <c r="K402" s="174">
        <f>IF(Input!P402=0,+Input!$G402,+Input!$G402+Input!P402)</f>
        <v>0</v>
      </c>
      <c r="L402" s="174">
        <f>IF(Input!Q402=0,+Input!$G402,+Input!$G402+Input!Q402)</f>
        <v>0</v>
      </c>
      <c r="M402" s="174">
        <f>IF(Input!R402=0,+Input!$G402,+Input!$G402+Input!R402)</f>
        <v>0</v>
      </c>
      <c r="N402" s="174">
        <f>IF(Input!S402=0,+Input!$G402,+Input!$G402+Input!S402)</f>
        <v>0</v>
      </c>
      <c r="O402" s="175">
        <f t="shared" si="72"/>
        <v>0</v>
      </c>
      <c r="P402" s="175">
        <f>IF(AND(O402=""),"",+O402/Setup!$B$12)</f>
        <v>0</v>
      </c>
      <c r="Q402" s="175">
        <f>IF(ISNA(IF(O402="","",(+VLOOKUP(A402,'2016'!$A:$P,15,FALSE)))),0,IF(O402="",0,(+VLOOKUP(A402,'2016'!$A:$P,15,FALSE))))</f>
        <v>0</v>
      </c>
      <c r="R402" s="169"/>
      <c r="S402" s="3"/>
      <c r="T402" s="11"/>
    </row>
    <row r="403" spans="1:20" s="17" customFormat="1" ht="10.5" customHeight="1">
      <c r="A403" s="410" t="s">
        <v>1206</v>
      </c>
      <c r="B403" s="4" t="s">
        <v>645</v>
      </c>
      <c r="C403" s="174">
        <f>IF(Input!H403=0,+Input!$G403,+Input!$G403+Input!H403)</f>
        <v>0</v>
      </c>
      <c r="D403" s="174">
        <f>IF(Input!I403=0,+Input!$G403,+Input!$G403+Input!I403)</f>
        <v>0</v>
      </c>
      <c r="E403" s="174">
        <f>IF(Input!J403=0,+Input!$G403,+Input!$G403+Input!J403)</f>
        <v>0</v>
      </c>
      <c r="F403" s="174">
        <f>IF(Input!K403=0,+Input!$G403,+Input!$G403+Input!K403)</f>
        <v>0</v>
      </c>
      <c r="G403" s="174">
        <f>IF(Input!L403=0,+Input!$G403,+Input!$G403+Input!L403)</f>
        <v>0</v>
      </c>
      <c r="H403" s="174">
        <f>IF(Input!M403=0,+Input!$G403,+Input!$G403+Input!M403)</f>
        <v>0</v>
      </c>
      <c r="I403" s="174">
        <f>IF(Input!N403=0,+Input!$G403,+Input!$G403+Input!N403)</f>
        <v>0</v>
      </c>
      <c r="J403" s="174">
        <f>IF(Input!O403=0,+Input!$G403,+Input!$G403+Input!O403)</f>
        <v>0</v>
      </c>
      <c r="K403" s="174">
        <f>IF(Input!P403=0,+Input!$G403,+Input!$G403+Input!P403)</f>
        <v>0</v>
      </c>
      <c r="L403" s="174">
        <f>IF(Input!Q403=0,+Input!$G403,+Input!$G403+Input!Q403)</f>
        <v>0</v>
      </c>
      <c r="M403" s="174">
        <f>IF(Input!R403=0,+Input!$G403,+Input!$G403+Input!R403)</f>
        <v>0</v>
      </c>
      <c r="N403" s="174">
        <f>IF(Input!S403=0,+Input!$G403,+Input!$G403+Input!S403)</f>
        <v>0</v>
      </c>
      <c r="O403" s="175">
        <f t="shared" si="72"/>
        <v>0</v>
      </c>
      <c r="P403" s="175">
        <f>IF(AND(O403=""),"",+O403/Setup!$B$12)</f>
        <v>0</v>
      </c>
      <c r="Q403" s="175">
        <f>IF(ISNA(IF(O403="","",(+VLOOKUP(A403,'2016'!$A:$P,15,FALSE)))),0,IF(O403="",0,(+VLOOKUP(A403,'2016'!$A:$P,15,FALSE))))</f>
        <v>0</v>
      </c>
      <c r="R403" s="169"/>
      <c r="S403" s="3"/>
      <c r="T403" s="11"/>
    </row>
    <row r="404" spans="1:20" s="17" customFormat="1" ht="10.5" customHeight="1">
      <c r="A404" s="410" t="s">
        <v>1207</v>
      </c>
      <c r="B404" s="161" t="s">
        <v>480</v>
      </c>
      <c r="C404" s="174">
        <f>IF(Input!H404=0,+Input!$G404,+Input!$G404+Input!H404)</f>
        <v>0</v>
      </c>
      <c r="D404" s="174">
        <f>IF(Input!I404=0,+Input!$G404,+Input!$G404+Input!I404)</f>
        <v>0</v>
      </c>
      <c r="E404" s="174">
        <f>IF(Input!J404=0,+Input!$G404,+Input!$G404+Input!J404)</f>
        <v>0</v>
      </c>
      <c r="F404" s="174">
        <f>IF(Input!K404=0,+Input!$G404,+Input!$G404+Input!K404)</f>
        <v>0</v>
      </c>
      <c r="G404" s="174">
        <f>IF(Input!L404=0,+Input!$G404,+Input!$G404+Input!L404)</f>
        <v>0</v>
      </c>
      <c r="H404" s="174">
        <f>IF(Input!M404=0,+Input!$G404,+Input!$G404+Input!M404)</f>
        <v>0</v>
      </c>
      <c r="I404" s="174">
        <f>IF(Input!N404=0,+Input!$G404,+Input!$G404+Input!N404)</f>
        <v>0</v>
      </c>
      <c r="J404" s="174">
        <f>IF(Input!O404=0,+Input!$G404,+Input!$G404+Input!O404)</f>
        <v>0</v>
      </c>
      <c r="K404" s="174">
        <f>IF(Input!P404=0,+Input!$G404,+Input!$G404+Input!P404)</f>
        <v>0</v>
      </c>
      <c r="L404" s="174">
        <f>IF(Input!Q404=0,+Input!$G404,+Input!$G404+Input!Q404)</f>
        <v>0</v>
      </c>
      <c r="M404" s="174">
        <f>IF(Input!R404=0,+Input!$G404,+Input!$G404+Input!R404)</f>
        <v>0</v>
      </c>
      <c r="N404" s="174">
        <f>IF(Input!S404=0,+Input!$G404,+Input!$G404+Input!S404)</f>
        <v>0</v>
      </c>
      <c r="O404" s="175">
        <f t="shared" si="72"/>
        <v>0</v>
      </c>
      <c r="P404" s="175">
        <f>IF(AND(O404=""),"",+O404/Setup!$B$12)</f>
        <v>0</v>
      </c>
      <c r="Q404" s="175">
        <f>IF(ISNA(IF(O404="","",(+VLOOKUP(A404,'2016'!$A:$P,15,FALSE)))),0,IF(O404="",0,(+VLOOKUP(A404,'2016'!$A:$P,15,FALSE))))</f>
        <v>0</v>
      </c>
      <c r="R404" s="169"/>
      <c r="S404" s="3"/>
      <c r="T404" s="11"/>
    </row>
    <row r="405" spans="1:20" s="17" customFormat="1" ht="10.5" customHeight="1">
      <c r="A405" s="410" t="s">
        <v>1208</v>
      </c>
      <c r="B405" s="161" t="s">
        <v>481</v>
      </c>
      <c r="C405" s="174">
        <f>IF(Input!H405=0,+Input!$G405,+Input!$G405+Input!H405)</f>
        <v>33680.666666666664</v>
      </c>
      <c r="D405" s="174">
        <f>IF(Input!I405=0,+Input!$G405,+Input!$G405+Input!I405)</f>
        <v>33680.666666666664</v>
      </c>
      <c r="E405" s="174">
        <f>IF(Input!J405=0,+Input!$G405,+Input!$G405+Input!J405)</f>
        <v>33680.666666666664</v>
      </c>
      <c r="F405" s="174">
        <f>IF(Input!K405=0,+Input!$G405,+Input!$G405+Input!K405)</f>
        <v>33680.666666666664</v>
      </c>
      <c r="G405" s="174">
        <f>IF(Input!L405=0,+Input!$G405,+Input!$G405+Input!L405)</f>
        <v>33680.666666666664</v>
      </c>
      <c r="H405" s="174">
        <f>IF(Input!M405=0,+Input!$G405,+Input!$G405+Input!M405)</f>
        <v>33680.666666666664</v>
      </c>
      <c r="I405" s="174">
        <f>IF(Input!N405=0,+Input!$G405,+Input!$G405+Input!N405)</f>
        <v>33680.666666666664</v>
      </c>
      <c r="J405" s="174">
        <f>IF(Input!O405=0,+Input!$G405,+Input!$G405+Input!O405)</f>
        <v>33680.666666666664</v>
      </c>
      <c r="K405" s="174">
        <f>IF(Input!P405=0,+Input!$G405,+Input!$G405+Input!P405)</f>
        <v>33680.666666666664</v>
      </c>
      <c r="L405" s="174">
        <f>IF(Input!Q405=0,+Input!$G405,+Input!$G405+Input!Q405)</f>
        <v>33680.666666666664</v>
      </c>
      <c r="M405" s="174">
        <f>IF(Input!R405=0,+Input!$G405,+Input!$G405+Input!R405)</f>
        <v>33680.666666666664</v>
      </c>
      <c r="N405" s="174">
        <f>IF(Input!S405=0,+Input!$G405,+Input!$G405+Input!S405)</f>
        <v>33680.666666666664</v>
      </c>
      <c r="O405" s="175">
        <f t="shared" si="72"/>
        <v>404168.00000000006</v>
      </c>
      <c r="P405" s="175">
        <f>IF(AND(O405=""),"",+O405/Setup!$B$12)</f>
        <v>1837.1272727272731</v>
      </c>
      <c r="Q405" s="175">
        <f>IF(ISNA(IF(O405="","",(+VLOOKUP(A405,'2016'!$A:$P,15,FALSE)))),0,IF(O405="",0,(+VLOOKUP(A405,'2016'!$A:$P,15,FALSE))))</f>
        <v>404168</v>
      </c>
      <c r="R405" s="169"/>
      <c r="S405" s="3"/>
      <c r="T405" s="11"/>
    </row>
    <row r="406" spans="1:20" s="17" customFormat="1" ht="10.5" customHeight="1">
      <c r="A406" s="410" t="s">
        <v>1210</v>
      </c>
      <c r="B406" s="161" t="s">
        <v>482</v>
      </c>
      <c r="C406" s="174">
        <f>IF(Input!H406=0,+Input!$G406,+Input!$G406+Input!H406)</f>
        <v>0</v>
      </c>
      <c r="D406" s="174">
        <f>IF(Input!I406=0,+Input!$G406,+Input!$G406+Input!I406)</f>
        <v>0</v>
      </c>
      <c r="E406" s="174">
        <f>IF(Input!J406=0,+Input!$G406,+Input!$G406+Input!J406)</f>
        <v>0</v>
      </c>
      <c r="F406" s="174">
        <f>IF(Input!K406=0,+Input!$G406,+Input!$G406+Input!K406)</f>
        <v>0</v>
      </c>
      <c r="G406" s="174">
        <f>IF(Input!L406=0,+Input!$G406,+Input!$G406+Input!L406)</f>
        <v>0</v>
      </c>
      <c r="H406" s="174">
        <f>IF(Input!M406=0,+Input!$G406,+Input!$G406+Input!M406)</f>
        <v>0</v>
      </c>
      <c r="I406" s="174">
        <f>IF(Input!N406=0,+Input!$G406,+Input!$G406+Input!N406)</f>
        <v>0</v>
      </c>
      <c r="J406" s="174">
        <f>IF(Input!O406=0,+Input!$G406,+Input!$G406+Input!O406)</f>
        <v>0</v>
      </c>
      <c r="K406" s="174">
        <f>IF(Input!P406=0,+Input!$G406,+Input!$G406+Input!P406)</f>
        <v>0</v>
      </c>
      <c r="L406" s="174">
        <f>IF(Input!Q406=0,+Input!$G406,+Input!$G406+Input!Q406)</f>
        <v>0</v>
      </c>
      <c r="M406" s="174">
        <f>IF(Input!R406=0,+Input!$G406,+Input!$G406+Input!R406)</f>
        <v>0</v>
      </c>
      <c r="N406" s="174">
        <f>IF(Input!S406=0,+Input!$G406,+Input!$G406+Input!S406)</f>
        <v>0</v>
      </c>
      <c r="O406" s="175">
        <f t="shared" si="72"/>
        <v>0</v>
      </c>
      <c r="P406" s="175">
        <f>IF(AND(O406=""),"",+O406/Setup!$B$12)</f>
        <v>0</v>
      </c>
      <c r="Q406" s="175">
        <f>IF(ISNA(IF(O406="","",(+VLOOKUP(A406,'2016'!$A:$P,15,FALSE)))),0,IF(O406="",0,(+VLOOKUP(A406,'2016'!$A:$P,15,FALSE))))</f>
        <v>0</v>
      </c>
      <c r="R406" s="169"/>
      <c r="S406" s="3"/>
      <c r="T406" s="11"/>
    </row>
    <row r="407" spans="1:20" s="17" customFormat="1" ht="10.5" customHeight="1">
      <c r="A407" s="163"/>
      <c r="B407" s="163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40" t="str">
        <f t="shared" ref="O407:O438" si="73">IF(N407="","",SUM(C407:N407))</f>
        <v/>
      </c>
      <c r="P407" s="140" t="str">
        <f>IF(AND(O407=""),"",+O407/Setup!$B$12)</f>
        <v/>
      </c>
      <c r="Q407" s="175"/>
      <c r="R407" s="169"/>
      <c r="S407" s="3"/>
      <c r="T407" s="11"/>
    </row>
    <row r="408" spans="1:20" s="17" customFormat="1" ht="10.5" customHeight="1">
      <c r="A408" s="159"/>
      <c r="B408" s="170" t="s">
        <v>73</v>
      </c>
      <c r="C408" s="135">
        <f t="shared" ref="C408:N408" si="74">SUM(C340:C406)</f>
        <v>75525.083333333343</v>
      </c>
      <c r="D408" s="135">
        <f t="shared" si="74"/>
        <v>75525.083333333343</v>
      </c>
      <c r="E408" s="135">
        <f t="shared" si="74"/>
        <v>75525.083333333343</v>
      </c>
      <c r="F408" s="135">
        <f t="shared" si="74"/>
        <v>75525.083333333343</v>
      </c>
      <c r="G408" s="135">
        <f t="shared" si="74"/>
        <v>75525.083333333343</v>
      </c>
      <c r="H408" s="135">
        <f t="shared" si="74"/>
        <v>75525.083333333343</v>
      </c>
      <c r="I408" s="135">
        <f t="shared" si="74"/>
        <v>75525.083333333343</v>
      </c>
      <c r="J408" s="135">
        <f t="shared" si="74"/>
        <v>75525.083333333343</v>
      </c>
      <c r="K408" s="135">
        <f t="shared" si="74"/>
        <v>75525.083333333343</v>
      </c>
      <c r="L408" s="135">
        <f t="shared" si="74"/>
        <v>75525.083333333343</v>
      </c>
      <c r="M408" s="135">
        <f t="shared" si="74"/>
        <v>75525.083333333343</v>
      </c>
      <c r="N408" s="135">
        <f t="shared" si="74"/>
        <v>75525.083333333343</v>
      </c>
      <c r="O408" s="140">
        <f t="shared" si="73"/>
        <v>906301.00000000035</v>
      </c>
      <c r="P408" s="140">
        <f>IF(AND(O408=""),"",+O408/Setup!$B$12)</f>
        <v>4119.550000000002</v>
      </c>
      <c r="Q408" s="140">
        <f>IF(AND(P408=""),"",+P408/Setup!$B$12)</f>
        <v>18.725227272727281</v>
      </c>
      <c r="R408" s="169"/>
      <c r="S408" s="3"/>
      <c r="T408" s="11"/>
    </row>
    <row r="409" spans="1:20" s="17" customFormat="1" ht="10.5" customHeight="1">
      <c r="A409" s="165"/>
      <c r="B409" s="165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40" t="str">
        <f t="shared" si="73"/>
        <v/>
      </c>
      <c r="P409" s="140" t="str">
        <f>IF(AND(O409=""),"",+O409/Setup!$B$12)</f>
        <v/>
      </c>
      <c r="Q409" s="175"/>
      <c r="R409" s="169"/>
      <c r="S409" s="3"/>
      <c r="T409" s="11"/>
    </row>
    <row r="410" spans="1:20" s="17" customFormat="1" ht="10.5" customHeight="1">
      <c r="A410" s="160"/>
      <c r="B410" s="160" t="s">
        <v>144</v>
      </c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40" t="str">
        <f t="shared" si="73"/>
        <v/>
      </c>
      <c r="P410" s="140" t="str">
        <f>IF(AND(O410=""),"",+O410/Setup!$B$12)</f>
        <v/>
      </c>
      <c r="Q410" s="175"/>
      <c r="R410" s="169"/>
      <c r="S410" s="3"/>
      <c r="T410" s="11"/>
    </row>
    <row r="411" spans="1:20" s="17" customFormat="1" ht="10.5" customHeight="1">
      <c r="A411" s="410" t="s">
        <v>1212</v>
      </c>
      <c r="B411" s="161" t="s">
        <v>483</v>
      </c>
      <c r="C411" s="174">
        <f>IF(Input!H411=0,+Input!$G411,+Input!$G411+Input!H411)</f>
        <v>3037.4166666666665</v>
      </c>
      <c r="D411" s="174">
        <f>IF(Input!I411=0,+Input!$G411,+Input!$G411+Input!I411)</f>
        <v>3037.4166666666665</v>
      </c>
      <c r="E411" s="174">
        <f>IF(Input!J411=0,+Input!$G411,+Input!$G411+Input!J411)</f>
        <v>3037.4166666666665</v>
      </c>
      <c r="F411" s="174">
        <f>IF(Input!K411=0,+Input!$G411,+Input!$G411+Input!K411)</f>
        <v>3037.4166666666665</v>
      </c>
      <c r="G411" s="174">
        <f>IF(Input!L411=0,+Input!$G411,+Input!$G411+Input!L411)</f>
        <v>3037.4166666666665</v>
      </c>
      <c r="H411" s="174">
        <f>IF(Input!M411=0,+Input!$G411,+Input!$G411+Input!M411)</f>
        <v>3037.4166666666665</v>
      </c>
      <c r="I411" s="174">
        <f>IF(Input!N411=0,+Input!$G411,+Input!$G411+Input!N411)</f>
        <v>3037.4166666666665</v>
      </c>
      <c r="J411" s="174">
        <f>IF(Input!O411=0,+Input!$G411,+Input!$G411+Input!O411)</f>
        <v>3037.4166666666665</v>
      </c>
      <c r="K411" s="174">
        <f>IF(Input!P411=0,+Input!$G411,+Input!$G411+Input!P411)</f>
        <v>3037.4166666666665</v>
      </c>
      <c r="L411" s="174">
        <f>IF(Input!Q411=0,+Input!$G411,+Input!$G411+Input!Q411)</f>
        <v>3037.4166666666665</v>
      </c>
      <c r="M411" s="174">
        <f>IF(Input!R411=0,+Input!$G411,+Input!$G411+Input!R411)</f>
        <v>3037.4166666666665</v>
      </c>
      <c r="N411" s="174">
        <f>IF(Input!S411=0,+Input!$G411,+Input!$G411+Input!S411)</f>
        <v>3037.4166666666665</v>
      </c>
      <c r="O411" s="175">
        <f t="shared" si="73"/>
        <v>36449</v>
      </c>
      <c r="P411" s="175">
        <f>IF(AND(O411=""),"",+O411/Setup!$B$12)</f>
        <v>165.67727272727274</v>
      </c>
      <c r="Q411" s="175">
        <f>IF(ISNA(IF(O411="","",(+VLOOKUP(A411,'2016'!$A:$P,15,FALSE)))),0,IF(O411="",0,(+VLOOKUP(A411,'2016'!$A:$P,15,FALSE))))</f>
        <v>36449</v>
      </c>
      <c r="R411" s="169"/>
      <c r="S411" s="3"/>
      <c r="T411" s="11"/>
    </row>
    <row r="412" spans="1:20" s="17" customFormat="1" ht="10.5" customHeight="1">
      <c r="A412" s="410" t="s">
        <v>1214</v>
      </c>
      <c r="B412" s="161" t="s">
        <v>484</v>
      </c>
      <c r="C412" s="174">
        <f>IF(Input!H412=0,+Input!$G412,+Input!$G412+Input!H412)</f>
        <v>0</v>
      </c>
      <c r="D412" s="174">
        <f>IF(Input!I412=0,+Input!$G412,+Input!$G412+Input!I412)</f>
        <v>0</v>
      </c>
      <c r="E412" s="174">
        <f>IF(Input!J412=0,+Input!$G412,+Input!$G412+Input!J412)</f>
        <v>0</v>
      </c>
      <c r="F412" s="174">
        <f>IF(Input!K412=0,+Input!$G412,+Input!$G412+Input!K412)</f>
        <v>0</v>
      </c>
      <c r="G412" s="174">
        <f>IF(Input!L412=0,+Input!$G412,+Input!$G412+Input!L412)</f>
        <v>0</v>
      </c>
      <c r="H412" s="174">
        <f>IF(Input!M412=0,+Input!$G412,+Input!$G412+Input!M412)</f>
        <v>0</v>
      </c>
      <c r="I412" s="174">
        <f>IF(Input!N412=0,+Input!$G412,+Input!$G412+Input!N412)</f>
        <v>0</v>
      </c>
      <c r="J412" s="174">
        <f>IF(Input!O412=0,+Input!$G412,+Input!$G412+Input!O412)</f>
        <v>0</v>
      </c>
      <c r="K412" s="174">
        <f>IF(Input!P412=0,+Input!$G412,+Input!$G412+Input!P412)</f>
        <v>0</v>
      </c>
      <c r="L412" s="174">
        <f>IF(Input!Q412=0,+Input!$G412,+Input!$G412+Input!Q412)</f>
        <v>0</v>
      </c>
      <c r="M412" s="174">
        <f>IF(Input!R412=0,+Input!$G412,+Input!$G412+Input!R412)</f>
        <v>0</v>
      </c>
      <c r="N412" s="174">
        <f>IF(Input!S412=0,+Input!$G412,+Input!$G412+Input!S412)</f>
        <v>0</v>
      </c>
      <c r="O412" s="175">
        <f t="shared" si="73"/>
        <v>0</v>
      </c>
      <c r="P412" s="175">
        <f>IF(AND(O412=""),"",+O412/Setup!$B$12)</f>
        <v>0</v>
      </c>
      <c r="Q412" s="175">
        <f>IF(ISNA(IF(O412="","",(+VLOOKUP(A412,'2016'!$A:$P,15,FALSE)))),0,IF(O412="",0,(+VLOOKUP(A412,'2016'!$A:$P,15,FALSE))))</f>
        <v>0</v>
      </c>
      <c r="R412" s="169"/>
      <c r="S412" s="3"/>
      <c r="T412" s="11"/>
    </row>
    <row r="413" spans="1:20" s="17" customFormat="1" ht="10.5" customHeight="1">
      <c r="A413" s="410" t="s">
        <v>1215</v>
      </c>
      <c r="B413" s="161" t="s">
        <v>485</v>
      </c>
      <c r="C413" s="174">
        <f>IF(Input!H413=0,+Input!$G413,+Input!$G413+Input!H413)</f>
        <v>17171.333333333332</v>
      </c>
      <c r="D413" s="174">
        <f>IF(Input!I413=0,+Input!$G413,+Input!$G413+Input!I413)</f>
        <v>17171.333333333332</v>
      </c>
      <c r="E413" s="174">
        <f>IF(Input!J413=0,+Input!$G413,+Input!$G413+Input!J413)</f>
        <v>17171.333333333332</v>
      </c>
      <c r="F413" s="174">
        <f>IF(Input!K413=0,+Input!$G413,+Input!$G413+Input!K413)</f>
        <v>17171.333333333332</v>
      </c>
      <c r="G413" s="174">
        <f>IF(Input!L413=0,+Input!$G413,+Input!$G413+Input!L413)</f>
        <v>17171.333333333332</v>
      </c>
      <c r="H413" s="174">
        <f>IF(Input!M413=0,+Input!$G413,+Input!$G413+Input!M413)</f>
        <v>17171.333333333332</v>
      </c>
      <c r="I413" s="174">
        <f>IF(Input!N413=0,+Input!$G413,+Input!$G413+Input!N413)</f>
        <v>17171.333333333332</v>
      </c>
      <c r="J413" s="174">
        <f>IF(Input!O413=0,+Input!$G413,+Input!$G413+Input!O413)</f>
        <v>17171.333333333332</v>
      </c>
      <c r="K413" s="174">
        <f>IF(Input!P413=0,+Input!$G413,+Input!$G413+Input!P413)</f>
        <v>17171.333333333332</v>
      </c>
      <c r="L413" s="174">
        <f>IF(Input!Q413=0,+Input!$G413,+Input!$G413+Input!Q413)</f>
        <v>17171.333333333332</v>
      </c>
      <c r="M413" s="174">
        <f>IF(Input!R413=0,+Input!$G413,+Input!$G413+Input!R413)</f>
        <v>17171.333333333332</v>
      </c>
      <c r="N413" s="174">
        <f>IF(Input!S413=0,+Input!$G413,+Input!$G413+Input!S413)</f>
        <v>17171.333333333332</v>
      </c>
      <c r="O413" s="175">
        <f t="shared" si="73"/>
        <v>206056.00000000003</v>
      </c>
      <c r="P413" s="175">
        <f>IF(AND(O413=""),"",+O413/Setup!$B$12)</f>
        <v>936.61818181818194</v>
      </c>
      <c r="Q413" s="175">
        <f>IF(ISNA(IF(O413="","",(+VLOOKUP(A413,'2016'!$A:$P,15,FALSE)))),0,IF(O413="",0,(+VLOOKUP(A413,'2016'!$A:$P,15,FALSE))))</f>
        <v>206056</v>
      </c>
      <c r="R413" s="169"/>
      <c r="S413" s="3"/>
      <c r="T413" s="11"/>
    </row>
    <row r="414" spans="1:20" s="17" customFormat="1" ht="10.5" customHeight="1">
      <c r="A414" s="410" t="s">
        <v>1217</v>
      </c>
      <c r="B414" s="161" t="s">
        <v>486</v>
      </c>
      <c r="C414" s="174">
        <f>IF(Input!H414=0,+Input!$G414,+Input!$G414+Input!H414)</f>
        <v>12719.916666666666</v>
      </c>
      <c r="D414" s="174">
        <f>IF(Input!I414=0,+Input!$G414,+Input!$G414+Input!I414)</f>
        <v>12719.916666666666</v>
      </c>
      <c r="E414" s="174">
        <f>IF(Input!J414=0,+Input!$G414,+Input!$G414+Input!J414)</f>
        <v>12719.916666666666</v>
      </c>
      <c r="F414" s="174">
        <f>IF(Input!K414=0,+Input!$G414,+Input!$G414+Input!K414)</f>
        <v>12719.916666666666</v>
      </c>
      <c r="G414" s="174">
        <f>IF(Input!L414=0,+Input!$G414,+Input!$G414+Input!L414)</f>
        <v>12719.916666666666</v>
      </c>
      <c r="H414" s="174">
        <f>IF(Input!M414=0,+Input!$G414,+Input!$G414+Input!M414)</f>
        <v>12719.916666666666</v>
      </c>
      <c r="I414" s="174">
        <f>IF(Input!N414=0,+Input!$G414,+Input!$G414+Input!N414)</f>
        <v>12719.916666666666</v>
      </c>
      <c r="J414" s="174">
        <f>IF(Input!O414=0,+Input!$G414,+Input!$G414+Input!O414)</f>
        <v>12719.916666666666</v>
      </c>
      <c r="K414" s="174">
        <f>IF(Input!P414=0,+Input!$G414,+Input!$G414+Input!P414)</f>
        <v>12719.916666666666</v>
      </c>
      <c r="L414" s="174">
        <f>IF(Input!Q414=0,+Input!$G414,+Input!$G414+Input!Q414)</f>
        <v>12719.916666666666</v>
      </c>
      <c r="M414" s="174">
        <f>IF(Input!R414=0,+Input!$G414,+Input!$G414+Input!R414)</f>
        <v>12719.916666666666</v>
      </c>
      <c r="N414" s="174">
        <f>IF(Input!S414=0,+Input!$G414,+Input!$G414+Input!S414)</f>
        <v>12719.916666666666</v>
      </c>
      <c r="O414" s="175">
        <f t="shared" si="73"/>
        <v>152639</v>
      </c>
      <c r="P414" s="175">
        <f>IF(AND(O414=""),"",+O414/Setup!$B$12)</f>
        <v>693.81363636363642</v>
      </c>
      <c r="Q414" s="175">
        <f>IF(ISNA(IF(O414="","",(+VLOOKUP(A414,'2016'!$A:$P,15,FALSE)))),0,IF(O414="",0,(+VLOOKUP(A414,'2016'!$A:$P,15,FALSE))))</f>
        <v>152639</v>
      </c>
      <c r="R414" s="169"/>
      <c r="S414" s="3"/>
      <c r="T414" s="11"/>
    </row>
    <row r="415" spans="1:20" s="17" customFormat="1" ht="10.5" customHeight="1">
      <c r="A415" s="410" t="s">
        <v>1219</v>
      </c>
      <c r="B415" s="161" t="s">
        <v>487</v>
      </c>
      <c r="C415" s="174">
        <f>IF(Input!H415=0,+Input!$G415,+Input!$G415+Input!H415)</f>
        <v>0</v>
      </c>
      <c r="D415" s="174">
        <f>IF(Input!I415=0,+Input!$G415,+Input!$G415+Input!I415)</f>
        <v>0</v>
      </c>
      <c r="E415" s="174">
        <f>IF(Input!J415=0,+Input!$G415,+Input!$G415+Input!J415)</f>
        <v>0</v>
      </c>
      <c r="F415" s="174">
        <f>IF(Input!K415=0,+Input!$G415,+Input!$G415+Input!K415)</f>
        <v>0</v>
      </c>
      <c r="G415" s="174">
        <f>IF(Input!L415=0,+Input!$G415,+Input!$G415+Input!L415)</f>
        <v>0</v>
      </c>
      <c r="H415" s="174">
        <f>IF(Input!M415=0,+Input!$G415,+Input!$G415+Input!M415)</f>
        <v>0</v>
      </c>
      <c r="I415" s="174">
        <f>IF(Input!N415=0,+Input!$G415,+Input!$G415+Input!N415)</f>
        <v>0</v>
      </c>
      <c r="J415" s="174">
        <f>IF(Input!O415=0,+Input!$G415,+Input!$G415+Input!O415)</f>
        <v>0</v>
      </c>
      <c r="K415" s="174">
        <f>IF(Input!P415=0,+Input!$G415,+Input!$G415+Input!P415)</f>
        <v>0</v>
      </c>
      <c r="L415" s="174">
        <f>IF(Input!Q415=0,+Input!$G415,+Input!$G415+Input!Q415)</f>
        <v>0</v>
      </c>
      <c r="M415" s="174">
        <f>IF(Input!R415=0,+Input!$G415,+Input!$G415+Input!R415)</f>
        <v>0</v>
      </c>
      <c r="N415" s="174">
        <f>IF(Input!S415=0,+Input!$G415,+Input!$G415+Input!S415)</f>
        <v>0</v>
      </c>
      <c r="O415" s="175">
        <f t="shared" si="73"/>
        <v>0</v>
      </c>
      <c r="P415" s="175">
        <f>IF(AND(O415=""),"",+O415/Setup!$B$12)</f>
        <v>0</v>
      </c>
      <c r="Q415" s="175">
        <f>IF(ISNA(IF(O415="","",(+VLOOKUP(A415,'2016'!$A:$P,15,FALSE)))),0,IF(O415="",0,(+VLOOKUP(A415,'2016'!$A:$P,15,FALSE))))</f>
        <v>0</v>
      </c>
      <c r="R415" s="169"/>
      <c r="S415" s="3"/>
      <c r="T415" s="11"/>
    </row>
    <row r="416" spans="1:20" s="17" customFormat="1" ht="10.5" customHeight="1">
      <c r="A416" s="410" t="s">
        <v>1220</v>
      </c>
      <c r="B416" s="161" t="s">
        <v>488</v>
      </c>
      <c r="C416" s="174">
        <f>IF(Input!H416=0,+Input!$G416,+Input!$G416+Input!H416)</f>
        <v>0</v>
      </c>
      <c r="D416" s="174">
        <f>IF(Input!I416=0,+Input!$G416,+Input!$G416+Input!I416)</f>
        <v>0</v>
      </c>
      <c r="E416" s="174">
        <f>IF(Input!J416=0,+Input!$G416,+Input!$G416+Input!J416)</f>
        <v>0</v>
      </c>
      <c r="F416" s="174">
        <f>IF(Input!K416=0,+Input!$G416,+Input!$G416+Input!K416)</f>
        <v>0</v>
      </c>
      <c r="G416" s="174">
        <f>IF(Input!L416=0,+Input!$G416,+Input!$G416+Input!L416)</f>
        <v>0</v>
      </c>
      <c r="H416" s="174">
        <f>IF(Input!M416=0,+Input!$G416,+Input!$G416+Input!M416)</f>
        <v>0</v>
      </c>
      <c r="I416" s="174">
        <f>IF(Input!N416=0,+Input!$G416,+Input!$G416+Input!N416)</f>
        <v>0</v>
      </c>
      <c r="J416" s="174">
        <f>IF(Input!O416=0,+Input!$G416,+Input!$G416+Input!O416)</f>
        <v>0</v>
      </c>
      <c r="K416" s="174">
        <f>IF(Input!P416=0,+Input!$G416,+Input!$G416+Input!P416)</f>
        <v>0</v>
      </c>
      <c r="L416" s="174">
        <f>IF(Input!Q416=0,+Input!$G416,+Input!$G416+Input!Q416)</f>
        <v>0</v>
      </c>
      <c r="M416" s="174">
        <f>IF(Input!R416=0,+Input!$G416,+Input!$G416+Input!R416)</f>
        <v>0</v>
      </c>
      <c r="N416" s="174">
        <f>IF(Input!S416=0,+Input!$G416,+Input!$G416+Input!S416)</f>
        <v>0</v>
      </c>
      <c r="O416" s="175">
        <f t="shared" si="73"/>
        <v>0</v>
      </c>
      <c r="P416" s="175">
        <f>IF(AND(O416=""),"",+O416/Setup!$B$12)</f>
        <v>0</v>
      </c>
      <c r="Q416" s="175">
        <f>IF(ISNA(IF(O416="","",(+VLOOKUP(A416,'2016'!$A:$P,15,FALSE)))),0,IF(O416="",0,(+VLOOKUP(A416,'2016'!$A:$P,15,FALSE))))</f>
        <v>0</v>
      </c>
      <c r="R416" s="169"/>
      <c r="S416" s="3"/>
      <c r="T416" s="11"/>
    </row>
    <row r="417" spans="1:21" s="17" customFormat="1" ht="10.5" customHeight="1">
      <c r="A417" s="410" t="s">
        <v>1221</v>
      </c>
      <c r="B417" s="161" t="s">
        <v>489</v>
      </c>
      <c r="C417" s="174">
        <f>IF(Input!H417=0,+Input!$G417,+Input!$G417+Input!H417)</f>
        <v>0</v>
      </c>
      <c r="D417" s="174">
        <f>IF(Input!I417=0,+Input!$G417,+Input!$G417+Input!I417)</f>
        <v>0</v>
      </c>
      <c r="E417" s="174">
        <f>IF(Input!J417=0,+Input!$G417,+Input!$G417+Input!J417)</f>
        <v>0</v>
      </c>
      <c r="F417" s="174">
        <f>IF(Input!K417=0,+Input!$G417,+Input!$G417+Input!K417)</f>
        <v>0</v>
      </c>
      <c r="G417" s="174">
        <f>IF(Input!L417=0,+Input!$G417,+Input!$G417+Input!L417)</f>
        <v>0</v>
      </c>
      <c r="H417" s="174">
        <f>IF(Input!M417=0,+Input!$G417,+Input!$G417+Input!M417)</f>
        <v>0</v>
      </c>
      <c r="I417" s="174">
        <f>IF(Input!N417=0,+Input!$G417,+Input!$G417+Input!N417)</f>
        <v>0</v>
      </c>
      <c r="J417" s="174">
        <f>IF(Input!O417=0,+Input!$G417,+Input!$G417+Input!O417)</f>
        <v>0</v>
      </c>
      <c r="K417" s="174">
        <f>IF(Input!P417=0,+Input!$G417,+Input!$G417+Input!P417)</f>
        <v>0</v>
      </c>
      <c r="L417" s="174">
        <f>IF(Input!Q417=0,+Input!$G417,+Input!$G417+Input!Q417)</f>
        <v>0</v>
      </c>
      <c r="M417" s="174">
        <f>IF(Input!R417=0,+Input!$G417,+Input!$G417+Input!R417)</f>
        <v>0</v>
      </c>
      <c r="N417" s="174">
        <f>IF(Input!S417=0,+Input!$G417,+Input!$G417+Input!S417)</f>
        <v>0</v>
      </c>
      <c r="O417" s="175">
        <f t="shared" si="73"/>
        <v>0</v>
      </c>
      <c r="P417" s="175">
        <f>IF(AND(O417=""),"",+O417/Setup!$B$12)</f>
        <v>0</v>
      </c>
      <c r="Q417" s="175">
        <f>IF(ISNA(IF(O417="","",(+VLOOKUP(A417,'2016'!$A:$P,15,FALSE)))),0,IF(O417="",0,(+VLOOKUP(A417,'2016'!$A:$P,15,FALSE))))</f>
        <v>0</v>
      </c>
      <c r="R417" s="169"/>
      <c r="S417" s="3"/>
      <c r="T417" s="11"/>
    </row>
    <row r="418" spans="1:21" s="17" customFormat="1" ht="10.5" customHeight="1">
      <c r="A418" s="410" t="s">
        <v>1222</v>
      </c>
      <c r="B418" s="161" t="s">
        <v>490</v>
      </c>
      <c r="C418" s="174">
        <f>IF(Input!H418=0,+Input!$G418,+Input!$G418+Input!H418)</f>
        <v>0</v>
      </c>
      <c r="D418" s="174">
        <f>IF(Input!I418=0,+Input!$G418,+Input!$G418+Input!I418)</f>
        <v>0</v>
      </c>
      <c r="E418" s="174">
        <f>IF(Input!J418=0,+Input!$G418,+Input!$G418+Input!J418)</f>
        <v>0</v>
      </c>
      <c r="F418" s="174">
        <f>IF(Input!K418=0,+Input!$G418,+Input!$G418+Input!K418)</f>
        <v>0</v>
      </c>
      <c r="G418" s="174">
        <f>IF(Input!L418=0,+Input!$G418,+Input!$G418+Input!L418)</f>
        <v>0</v>
      </c>
      <c r="H418" s="174">
        <f>IF(Input!M418=0,+Input!$G418,+Input!$G418+Input!M418)</f>
        <v>0</v>
      </c>
      <c r="I418" s="174">
        <f>IF(Input!N418=0,+Input!$G418,+Input!$G418+Input!N418)</f>
        <v>0</v>
      </c>
      <c r="J418" s="174">
        <f>IF(Input!O418=0,+Input!$G418,+Input!$G418+Input!O418)</f>
        <v>0</v>
      </c>
      <c r="K418" s="174">
        <f>IF(Input!P418=0,+Input!$G418,+Input!$G418+Input!P418)</f>
        <v>0</v>
      </c>
      <c r="L418" s="174">
        <f>IF(Input!Q418=0,+Input!$G418,+Input!$G418+Input!Q418)</f>
        <v>0</v>
      </c>
      <c r="M418" s="174">
        <f>IF(Input!R418=0,+Input!$G418,+Input!$G418+Input!R418)</f>
        <v>0</v>
      </c>
      <c r="N418" s="174">
        <f>IF(Input!S418=0,+Input!$G418,+Input!$G418+Input!S418)</f>
        <v>0</v>
      </c>
      <c r="O418" s="175">
        <f t="shared" si="73"/>
        <v>0</v>
      </c>
      <c r="P418" s="175">
        <f>IF(AND(O418=""),"",+O418/Setup!$B$12)</f>
        <v>0</v>
      </c>
      <c r="Q418" s="175">
        <f>IF(ISNA(IF(O418="","",(+VLOOKUP(A418,'2016'!$A:$P,15,FALSE)))),0,IF(O418="",0,(+VLOOKUP(A418,'2016'!$A:$P,15,FALSE))))</f>
        <v>0</v>
      </c>
      <c r="R418" s="169"/>
      <c r="S418" s="3"/>
      <c r="T418" s="11"/>
    </row>
    <row r="419" spans="1:21" s="17" customFormat="1" ht="10.5" customHeight="1">
      <c r="A419" s="163"/>
      <c r="B419" s="163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40" t="str">
        <f t="shared" si="73"/>
        <v/>
      </c>
      <c r="P419" s="140" t="str">
        <f>IF(AND(O419=""),"",+O419/Setup!$B$12)</f>
        <v/>
      </c>
      <c r="Q419" s="175"/>
      <c r="R419" s="169"/>
      <c r="S419" s="3"/>
      <c r="T419" s="11"/>
    </row>
    <row r="420" spans="1:21" s="17" customFormat="1" ht="10.5" customHeight="1">
      <c r="A420" s="159"/>
      <c r="B420" s="170" t="s">
        <v>144</v>
      </c>
      <c r="C420" s="152">
        <f>SUM(C411:C418)</f>
        <v>32928.666666666664</v>
      </c>
      <c r="D420" s="152">
        <f t="shared" ref="D420:M420" si="75">SUM(D411:D418)</f>
        <v>32928.666666666664</v>
      </c>
      <c r="E420" s="152">
        <f t="shared" si="75"/>
        <v>32928.666666666664</v>
      </c>
      <c r="F420" s="152">
        <f t="shared" si="75"/>
        <v>32928.666666666664</v>
      </c>
      <c r="G420" s="152">
        <f t="shared" si="75"/>
        <v>32928.666666666664</v>
      </c>
      <c r="H420" s="152">
        <f t="shared" si="75"/>
        <v>32928.666666666664</v>
      </c>
      <c r="I420" s="152">
        <f t="shared" si="75"/>
        <v>32928.666666666664</v>
      </c>
      <c r="J420" s="152">
        <f t="shared" si="75"/>
        <v>32928.666666666664</v>
      </c>
      <c r="K420" s="152">
        <f t="shared" si="75"/>
        <v>32928.666666666664</v>
      </c>
      <c r="L420" s="152">
        <f t="shared" si="75"/>
        <v>32928.666666666664</v>
      </c>
      <c r="M420" s="152">
        <f t="shared" si="75"/>
        <v>32928.666666666664</v>
      </c>
      <c r="N420" s="152">
        <f>SUM(N411:N418)</f>
        <v>32928.666666666664</v>
      </c>
      <c r="O420" s="152">
        <f>SUM(O411:O418)</f>
        <v>395144</v>
      </c>
      <c r="P420" s="152">
        <f>SUM(P411:P418)</f>
        <v>1796.1090909090913</v>
      </c>
      <c r="Q420" s="152">
        <f>SUM(Q411:Q418)</f>
        <v>395144</v>
      </c>
      <c r="R420" s="169"/>
      <c r="S420" s="3"/>
      <c r="T420" s="11"/>
    </row>
    <row r="421" spans="1:21" s="17" customFormat="1" ht="10.5" customHeight="1">
      <c r="A421" s="165"/>
      <c r="B421" s="165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40" t="str">
        <f t="shared" si="73"/>
        <v/>
      </c>
      <c r="P421" s="140" t="str">
        <f>IF(AND(O421=""),"",+O421/Setup!$B$12)</f>
        <v/>
      </c>
      <c r="Q421" s="175"/>
      <c r="R421" s="169"/>
      <c r="S421" s="3"/>
      <c r="T421" s="11"/>
    </row>
    <row r="422" spans="1:21" s="4" customFormat="1" ht="10.5" customHeight="1">
      <c r="A422" s="160"/>
      <c r="B422" s="160" t="s">
        <v>145</v>
      </c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40" t="str">
        <f t="shared" si="73"/>
        <v/>
      </c>
      <c r="P422" s="140" t="str">
        <f>IF(AND(O422=""),"",+O422/Setup!$B$12)</f>
        <v/>
      </c>
      <c r="Q422" s="175"/>
      <c r="R422" s="169"/>
      <c r="S422" s="3"/>
      <c r="T422" s="11"/>
    </row>
    <row r="423" spans="1:21" s="4" customFormat="1" ht="10.5" customHeight="1">
      <c r="A423" s="410" t="s">
        <v>1224</v>
      </c>
      <c r="B423" s="161" t="s">
        <v>491</v>
      </c>
      <c r="C423" s="174">
        <f>IF(Input!H423=0,+Input!$G423,+Input!$G423+Input!H423)</f>
        <v>0</v>
      </c>
      <c r="D423" s="174">
        <f>IF(Input!I423=0,+Input!$G423,+Input!$G423+Input!I423)</f>
        <v>0</v>
      </c>
      <c r="E423" s="174">
        <f>IF(Input!J423=0,+Input!$G423,+Input!$G423+Input!J423)</f>
        <v>0</v>
      </c>
      <c r="F423" s="174">
        <f>IF(Input!K423=0,+Input!$G423,+Input!$G423+Input!K423)</f>
        <v>0</v>
      </c>
      <c r="G423" s="174">
        <f>IF(Input!L423=0,+Input!$G423,+Input!$G423+Input!L423)</f>
        <v>0</v>
      </c>
      <c r="H423" s="174">
        <f>IF(Input!M423=0,+Input!$G423,+Input!$G423+Input!M423)</f>
        <v>0</v>
      </c>
      <c r="I423" s="174">
        <f>IF(Input!N423=0,+Input!$G423,+Input!$G423+Input!N423)</f>
        <v>0</v>
      </c>
      <c r="J423" s="174">
        <f>IF(Input!O423=0,+Input!$G423,+Input!$G423+Input!O423)</f>
        <v>0</v>
      </c>
      <c r="K423" s="174">
        <f>IF(Input!P423=0,+Input!$G423,+Input!$G423+Input!P423)</f>
        <v>0</v>
      </c>
      <c r="L423" s="174">
        <f>IF(Input!Q423=0,+Input!$G423,+Input!$G423+Input!Q423)</f>
        <v>0</v>
      </c>
      <c r="M423" s="174">
        <f>IF(Input!R423=0,+Input!$G423,+Input!$G423+Input!R423)</f>
        <v>0</v>
      </c>
      <c r="N423" s="174">
        <f>IF(Input!S423=0,+Input!$G423,+Input!$G423+Input!S423)</f>
        <v>0</v>
      </c>
      <c r="O423" s="175">
        <f t="shared" si="73"/>
        <v>0</v>
      </c>
      <c r="P423" s="175">
        <f>IF(AND(O423=""),"",+O423/Setup!$B$12)</f>
        <v>0</v>
      </c>
      <c r="Q423" s="175">
        <f>IF(ISNA(IF(O423="","",(+VLOOKUP(A423,'2016'!$A:$P,15,FALSE)))),0,IF(O423="",0,(+VLOOKUP(A423,'2016'!$A:$P,15,FALSE))))</f>
        <v>81900000</v>
      </c>
      <c r="R423" s="169"/>
      <c r="S423" s="3"/>
      <c r="T423" s="11"/>
    </row>
    <row r="424" spans="1:21" s="4" customFormat="1" ht="10.5" customHeight="1">
      <c r="A424" s="410" t="s">
        <v>1226</v>
      </c>
      <c r="B424" s="161" t="s">
        <v>492</v>
      </c>
      <c r="C424" s="174">
        <f>IF(Input!H424=0,+Input!$G424,+Input!$G424+Input!H424)</f>
        <v>0</v>
      </c>
      <c r="D424" s="174">
        <f>IF(Input!I424=0,+Input!$G424,+Input!$G424+Input!I424)</f>
        <v>0</v>
      </c>
      <c r="E424" s="174">
        <f>IF(Input!J424=0,+Input!$G424,+Input!$G424+Input!J424)</f>
        <v>0</v>
      </c>
      <c r="F424" s="174">
        <f>IF(Input!K424=0,+Input!$G424,+Input!$G424+Input!K424)</f>
        <v>0</v>
      </c>
      <c r="G424" s="174">
        <f>IF(Input!L424=0,+Input!$G424,+Input!$G424+Input!L424)</f>
        <v>0</v>
      </c>
      <c r="H424" s="174">
        <f>IF(Input!M424=0,+Input!$G424,+Input!$G424+Input!M424)</f>
        <v>0</v>
      </c>
      <c r="I424" s="174">
        <f>IF(Input!N424=0,+Input!$G424,+Input!$G424+Input!N424)</f>
        <v>0</v>
      </c>
      <c r="J424" s="174">
        <f>IF(Input!O424=0,+Input!$G424,+Input!$G424+Input!O424)</f>
        <v>0</v>
      </c>
      <c r="K424" s="174">
        <f>IF(Input!P424=0,+Input!$G424,+Input!$G424+Input!P424)</f>
        <v>0</v>
      </c>
      <c r="L424" s="174">
        <f>IF(Input!Q424=0,+Input!$G424,+Input!$G424+Input!Q424)</f>
        <v>0</v>
      </c>
      <c r="M424" s="174">
        <f>IF(Input!R424=0,+Input!$G424,+Input!$G424+Input!R424)</f>
        <v>0</v>
      </c>
      <c r="N424" s="174">
        <f>IF(Input!S424=0,+Input!$G424,+Input!$G424+Input!S424)</f>
        <v>0</v>
      </c>
      <c r="O424" s="175">
        <f t="shared" si="73"/>
        <v>0</v>
      </c>
      <c r="P424" s="175">
        <f>IF(AND(O424=""),"",+O424/Setup!$B$12)</f>
        <v>0</v>
      </c>
      <c r="Q424" s="175">
        <f>IF(ISNA(IF(O424="","",(+VLOOKUP(A424,'2016'!$A:$P,15,FALSE)))),0,IF(O424="",0,(+VLOOKUP(A424,'2016'!$A:$P,15,FALSE))))</f>
        <v>-4906283</v>
      </c>
      <c r="R424" s="169"/>
      <c r="S424" s="3"/>
      <c r="T424" s="11"/>
    </row>
    <row r="425" spans="1:21" s="4" customFormat="1" ht="10.5" customHeight="1">
      <c r="A425" s="410" t="s">
        <v>1228</v>
      </c>
      <c r="B425" s="161" t="s">
        <v>493</v>
      </c>
      <c r="C425" s="174">
        <f>IF(Input!H425=0,+Input!$G425,+Input!$G425+Input!H425)</f>
        <v>0</v>
      </c>
      <c r="D425" s="174">
        <f>IF(Input!I425=0,+Input!$G425,+Input!$G425+Input!I425)</f>
        <v>0</v>
      </c>
      <c r="E425" s="174">
        <f>IF(Input!J425=0,+Input!$G425,+Input!$G425+Input!J425)</f>
        <v>0</v>
      </c>
      <c r="F425" s="174">
        <f>IF(Input!K425=0,+Input!$G425,+Input!$G425+Input!K425)</f>
        <v>0</v>
      </c>
      <c r="G425" s="174">
        <f>IF(Input!L425=0,+Input!$G425,+Input!$G425+Input!L425)</f>
        <v>0</v>
      </c>
      <c r="H425" s="174">
        <f>IF(Input!M425=0,+Input!$G425,+Input!$G425+Input!M425)</f>
        <v>0</v>
      </c>
      <c r="I425" s="174">
        <f>IF(Input!N425=0,+Input!$G425,+Input!$G425+Input!N425)</f>
        <v>0</v>
      </c>
      <c r="J425" s="174">
        <f>IF(Input!O425=0,+Input!$G425,+Input!$G425+Input!O425)</f>
        <v>0</v>
      </c>
      <c r="K425" s="174">
        <f>IF(Input!P425=0,+Input!$G425,+Input!$G425+Input!P425)</f>
        <v>0</v>
      </c>
      <c r="L425" s="174">
        <f>IF(Input!Q425=0,+Input!$G425,+Input!$G425+Input!Q425)</f>
        <v>0</v>
      </c>
      <c r="M425" s="174">
        <f>IF(Input!R425=0,+Input!$G425,+Input!$G425+Input!R425)</f>
        <v>0</v>
      </c>
      <c r="N425" s="174">
        <f>IF(Input!S425=0,+Input!$G425,+Input!$G425+Input!S425)</f>
        <v>0</v>
      </c>
      <c r="O425" s="175">
        <f t="shared" si="73"/>
        <v>0</v>
      </c>
      <c r="P425" s="175">
        <f>IF(AND(O425=""),"",+O425/Setup!$B$12)</f>
        <v>0</v>
      </c>
      <c r="Q425" s="175">
        <f>IF(ISNA(IF(O425="","",(+VLOOKUP(A425,'2016'!$A:$P,15,FALSE)))),0,IF(O425="",0,(+VLOOKUP(A425,'2016'!$A:$P,15,FALSE))))</f>
        <v>0</v>
      </c>
      <c r="R425" s="169"/>
      <c r="S425" s="3"/>
      <c r="T425" s="11"/>
    </row>
    <row r="426" spans="1:21" ht="10.5" customHeight="1">
      <c r="A426" s="410" t="s">
        <v>1229</v>
      </c>
      <c r="B426" s="161" t="s">
        <v>494</v>
      </c>
      <c r="C426" s="174">
        <f>IF(Input!H426=0,+Input!$G426,+Input!$G426+Input!H426)</f>
        <v>0</v>
      </c>
      <c r="D426" s="174">
        <f>IF(Input!I426=0,+Input!$G426,+Input!$G426+Input!I426)</f>
        <v>0</v>
      </c>
      <c r="E426" s="174">
        <f>IF(Input!J426=0,+Input!$G426,+Input!$G426+Input!J426)</f>
        <v>0</v>
      </c>
      <c r="F426" s="174">
        <f>IF(Input!K426=0,+Input!$G426,+Input!$G426+Input!K426)</f>
        <v>0</v>
      </c>
      <c r="G426" s="174">
        <f>IF(Input!L426=0,+Input!$G426,+Input!$G426+Input!L426)</f>
        <v>0</v>
      </c>
      <c r="H426" s="174">
        <f>IF(Input!M426=0,+Input!$G426,+Input!$G426+Input!M426)</f>
        <v>0</v>
      </c>
      <c r="I426" s="174">
        <f>IF(Input!N426=0,+Input!$G426,+Input!$G426+Input!N426)</f>
        <v>0</v>
      </c>
      <c r="J426" s="174">
        <f>IF(Input!O426=0,+Input!$G426,+Input!$G426+Input!O426)</f>
        <v>0</v>
      </c>
      <c r="K426" s="174">
        <f>IF(Input!P426=0,+Input!$G426,+Input!$G426+Input!P426)</f>
        <v>0</v>
      </c>
      <c r="L426" s="174">
        <f>IF(Input!Q426=0,+Input!$G426,+Input!$G426+Input!Q426)</f>
        <v>0</v>
      </c>
      <c r="M426" s="174">
        <f>IF(Input!R426=0,+Input!$G426,+Input!$G426+Input!R426)</f>
        <v>0</v>
      </c>
      <c r="N426" s="174">
        <f>IF(Input!S426=0,+Input!$G426,+Input!$G426+Input!S426)</f>
        <v>0</v>
      </c>
      <c r="O426" s="175">
        <f t="shared" si="73"/>
        <v>0</v>
      </c>
      <c r="P426" s="175">
        <f>IF(AND(O426=""),"",+O426/Setup!$B$12)</f>
        <v>0</v>
      </c>
      <c r="Q426" s="175">
        <f>IF(ISNA(IF(O426="","",(+VLOOKUP(A426,'2016'!$A:$P,15,FALSE)))),0,IF(O426="",0,(+VLOOKUP(A426,'2016'!$A:$P,15,FALSE))))</f>
        <v>0</v>
      </c>
      <c r="R426" s="169"/>
      <c r="T426" s="11"/>
      <c r="U426" s="11"/>
    </row>
    <row r="427" spans="1:21" ht="10.5" customHeight="1">
      <c r="A427" s="410" t="s">
        <v>1231</v>
      </c>
      <c r="B427" s="161" t="s">
        <v>495</v>
      </c>
      <c r="C427" s="174">
        <f>IF(Input!H427=0,+Input!$G427,+Input!$G427+Input!H427)</f>
        <v>0</v>
      </c>
      <c r="D427" s="174">
        <f>IF(Input!I427=0,+Input!$G427,+Input!$G427+Input!I427)</f>
        <v>0</v>
      </c>
      <c r="E427" s="174">
        <f>IF(Input!J427=0,+Input!$G427,+Input!$G427+Input!J427)</f>
        <v>0</v>
      </c>
      <c r="F427" s="174">
        <f>IF(Input!K427=0,+Input!$G427,+Input!$G427+Input!K427)</f>
        <v>0</v>
      </c>
      <c r="G427" s="174">
        <f>IF(Input!L427=0,+Input!$G427,+Input!$G427+Input!L427)</f>
        <v>0</v>
      </c>
      <c r="H427" s="174">
        <f>IF(Input!M427=0,+Input!$G427,+Input!$G427+Input!M427)</f>
        <v>0</v>
      </c>
      <c r="I427" s="174">
        <f>IF(Input!N427=0,+Input!$G427,+Input!$G427+Input!N427)</f>
        <v>0</v>
      </c>
      <c r="J427" s="174">
        <f>IF(Input!O427=0,+Input!$G427,+Input!$G427+Input!O427)</f>
        <v>0</v>
      </c>
      <c r="K427" s="174">
        <f>IF(Input!P427=0,+Input!$G427,+Input!$G427+Input!P427)</f>
        <v>0</v>
      </c>
      <c r="L427" s="174">
        <f>IF(Input!Q427=0,+Input!$G427,+Input!$G427+Input!Q427)</f>
        <v>0</v>
      </c>
      <c r="M427" s="174">
        <f>IF(Input!R427=0,+Input!$G427,+Input!$G427+Input!R427)</f>
        <v>0</v>
      </c>
      <c r="N427" s="174">
        <f>IF(Input!S427=0,+Input!$G427,+Input!$G427+Input!S427)</f>
        <v>0</v>
      </c>
      <c r="O427" s="175">
        <f t="shared" si="73"/>
        <v>0</v>
      </c>
      <c r="P427" s="175">
        <f>IF(AND(O427=""),"",+O427/Setup!$B$12)</f>
        <v>0</v>
      </c>
      <c r="Q427" s="175">
        <f>IF(ISNA(IF(O427="","",(+VLOOKUP(A427,'2016'!$A:$P,15,FALSE)))),0,IF(O427="",0,(+VLOOKUP(A427,'2016'!$A:$P,15,FALSE))))</f>
        <v>0</v>
      </c>
      <c r="R427" s="169"/>
      <c r="T427" s="11"/>
      <c r="U427" s="11"/>
    </row>
    <row r="428" spans="1:21" ht="10.5" customHeight="1">
      <c r="A428" s="410" t="s">
        <v>1232</v>
      </c>
      <c r="B428" s="161" t="s">
        <v>496</v>
      </c>
      <c r="C428" s="174">
        <f>IF(Input!H428=0,+Input!$G428,+Input!$G428+Input!H428)</f>
        <v>0</v>
      </c>
      <c r="D428" s="174">
        <f>IF(Input!I428=0,+Input!$G428,+Input!$G428+Input!I428)</f>
        <v>0</v>
      </c>
      <c r="E428" s="174">
        <f>IF(Input!J428=0,+Input!$G428,+Input!$G428+Input!J428)</f>
        <v>0</v>
      </c>
      <c r="F428" s="174">
        <f>IF(Input!K428=0,+Input!$G428,+Input!$G428+Input!K428)</f>
        <v>0</v>
      </c>
      <c r="G428" s="174">
        <f>IF(Input!L428=0,+Input!$G428,+Input!$G428+Input!L428)</f>
        <v>0</v>
      </c>
      <c r="H428" s="174">
        <f>IF(Input!M428=0,+Input!$G428,+Input!$G428+Input!M428)</f>
        <v>0</v>
      </c>
      <c r="I428" s="174">
        <f>IF(Input!N428=0,+Input!$G428,+Input!$G428+Input!N428)</f>
        <v>0</v>
      </c>
      <c r="J428" s="174">
        <f>IF(Input!O428=0,+Input!$G428,+Input!$G428+Input!O428)</f>
        <v>0</v>
      </c>
      <c r="K428" s="174">
        <f>IF(Input!P428=0,+Input!$G428,+Input!$G428+Input!P428)</f>
        <v>0</v>
      </c>
      <c r="L428" s="174">
        <f>IF(Input!Q428=0,+Input!$G428,+Input!$G428+Input!Q428)</f>
        <v>0</v>
      </c>
      <c r="M428" s="174">
        <f>IF(Input!R428=0,+Input!$G428,+Input!$G428+Input!R428)</f>
        <v>0</v>
      </c>
      <c r="N428" s="174">
        <f>IF(Input!S428=0,+Input!$G428,+Input!$G428+Input!S428)</f>
        <v>0</v>
      </c>
      <c r="O428" s="175">
        <f t="shared" si="73"/>
        <v>0</v>
      </c>
      <c r="P428" s="175">
        <f>IF(AND(O428=""),"",+O428/Setup!$B$12)</f>
        <v>0</v>
      </c>
      <c r="Q428" s="175">
        <f>IF(ISNA(IF(O428="","",(+VLOOKUP(A428,'2016'!$A:$P,15,FALSE)))),0,IF(O428="",0,(+VLOOKUP(A428,'2016'!$A:$P,15,FALSE))))</f>
        <v>0</v>
      </c>
      <c r="R428" s="169"/>
      <c r="T428" s="11"/>
      <c r="U428" s="11"/>
    </row>
    <row r="429" spans="1:21" ht="10.5" customHeight="1">
      <c r="A429" s="410" t="s">
        <v>1233</v>
      </c>
      <c r="B429" s="161" t="s">
        <v>497</v>
      </c>
      <c r="C429" s="174">
        <f>IF(Input!H429=0,+Input!$G429,+Input!$G429+Input!H429)</f>
        <v>0</v>
      </c>
      <c r="D429" s="174">
        <f>IF(Input!I429=0,+Input!$G429,+Input!$G429+Input!I429)</f>
        <v>0</v>
      </c>
      <c r="E429" s="174">
        <f>IF(Input!J429=0,+Input!$G429,+Input!$G429+Input!J429)</f>
        <v>0</v>
      </c>
      <c r="F429" s="174">
        <f>IF(Input!K429=0,+Input!$G429,+Input!$G429+Input!K429)</f>
        <v>0</v>
      </c>
      <c r="G429" s="174">
        <f>IF(Input!L429=0,+Input!$G429,+Input!$G429+Input!L429)</f>
        <v>0</v>
      </c>
      <c r="H429" s="174">
        <f>IF(Input!M429=0,+Input!$G429,+Input!$G429+Input!M429)</f>
        <v>0</v>
      </c>
      <c r="I429" s="174">
        <f>IF(Input!N429=0,+Input!$G429,+Input!$G429+Input!N429)</f>
        <v>0</v>
      </c>
      <c r="J429" s="174">
        <f>IF(Input!O429=0,+Input!$G429,+Input!$G429+Input!O429)</f>
        <v>0</v>
      </c>
      <c r="K429" s="174">
        <f>IF(Input!P429=0,+Input!$G429,+Input!$G429+Input!P429)</f>
        <v>0</v>
      </c>
      <c r="L429" s="174">
        <f>IF(Input!Q429=0,+Input!$G429,+Input!$G429+Input!Q429)</f>
        <v>0</v>
      </c>
      <c r="M429" s="174">
        <f>IF(Input!R429=0,+Input!$G429,+Input!$G429+Input!R429)</f>
        <v>0</v>
      </c>
      <c r="N429" s="174">
        <f>IF(Input!S429=0,+Input!$G429,+Input!$G429+Input!S429)</f>
        <v>0</v>
      </c>
      <c r="O429" s="175">
        <f t="shared" si="73"/>
        <v>0</v>
      </c>
      <c r="P429" s="175">
        <f>IF(AND(O429=""),"",+O429/Setup!$B$12)</f>
        <v>0</v>
      </c>
      <c r="Q429" s="175">
        <f>IF(ISNA(IF(O429="","",(+VLOOKUP(A429,'2016'!$A:$P,15,FALSE)))),0,IF(O429="",0,(+VLOOKUP(A429,'2016'!$A:$P,15,FALSE))))</f>
        <v>0</v>
      </c>
      <c r="R429" s="169"/>
      <c r="T429" s="11"/>
      <c r="U429" s="11"/>
    </row>
    <row r="430" spans="1:21" ht="10.5" customHeight="1">
      <c r="A430" s="410" t="s">
        <v>1234</v>
      </c>
      <c r="B430" s="161" t="s">
        <v>498</v>
      </c>
      <c r="C430" s="174">
        <f>IF(Input!H430=0,+Input!$G430,+Input!$G430+Input!H430)</f>
        <v>0</v>
      </c>
      <c r="D430" s="174">
        <f>IF(Input!I430=0,+Input!$G430,+Input!$G430+Input!I430)</f>
        <v>0</v>
      </c>
      <c r="E430" s="174">
        <f>IF(Input!J430=0,+Input!$G430,+Input!$G430+Input!J430)</f>
        <v>0</v>
      </c>
      <c r="F430" s="174">
        <f>IF(Input!K430=0,+Input!$G430,+Input!$G430+Input!K430)</f>
        <v>0</v>
      </c>
      <c r="G430" s="174">
        <f>IF(Input!L430=0,+Input!$G430,+Input!$G430+Input!L430)</f>
        <v>0</v>
      </c>
      <c r="H430" s="174">
        <f>IF(Input!M430=0,+Input!$G430,+Input!$G430+Input!M430)</f>
        <v>0</v>
      </c>
      <c r="I430" s="174">
        <f>IF(Input!N430=0,+Input!$G430,+Input!$G430+Input!N430)</f>
        <v>0</v>
      </c>
      <c r="J430" s="174">
        <f>IF(Input!O430=0,+Input!$G430,+Input!$G430+Input!O430)</f>
        <v>0</v>
      </c>
      <c r="K430" s="174">
        <f>IF(Input!P430=0,+Input!$G430,+Input!$G430+Input!P430)</f>
        <v>0</v>
      </c>
      <c r="L430" s="174">
        <f>IF(Input!Q430=0,+Input!$G430,+Input!$G430+Input!Q430)</f>
        <v>0</v>
      </c>
      <c r="M430" s="174">
        <f>IF(Input!R430=0,+Input!$G430,+Input!$G430+Input!R430)</f>
        <v>0</v>
      </c>
      <c r="N430" s="174">
        <f>IF(Input!S430=0,+Input!$G430,+Input!$G430+Input!S430)</f>
        <v>0</v>
      </c>
      <c r="O430" s="175">
        <f t="shared" si="73"/>
        <v>0</v>
      </c>
      <c r="P430" s="175">
        <f>IF(AND(O430=""),"",+O430/Setup!$B$12)</f>
        <v>0</v>
      </c>
      <c r="Q430" s="175">
        <f>IF(ISNA(IF(O430="","",(+VLOOKUP(A430,'2016'!$A:$P,15,FALSE)))),0,IF(O430="",0,(+VLOOKUP(A430,'2016'!$A:$P,15,FALSE))))</f>
        <v>0</v>
      </c>
      <c r="R430" s="169"/>
      <c r="T430" s="11"/>
      <c r="U430" s="11"/>
    </row>
    <row r="431" spans="1:21" ht="10.5" customHeight="1">
      <c r="A431" s="410" t="s">
        <v>1235</v>
      </c>
      <c r="B431" s="161" t="s">
        <v>499</v>
      </c>
      <c r="C431" s="174">
        <f>IF(Input!H431=0,+Input!$G431,+Input!$G431+Input!H431)</f>
        <v>0</v>
      </c>
      <c r="D431" s="174">
        <f>IF(Input!I431=0,+Input!$G431,+Input!$G431+Input!I431)</f>
        <v>0</v>
      </c>
      <c r="E431" s="174">
        <f>IF(Input!J431=0,+Input!$G431,+Input!$G431+Input!J431)</f>
        <v>0</v>
      </c>
      <c r="F431" s="174">
        <f>IF(Input!K431=0,+Input!$G431,+Input!$G431+Input!K431)</f>
        <v>0</v>
      </c>
      <c r="G431" s="174">
        <f>IF(Input!L431=0,+Input!$G431,+Input!$G431+Input!L431)</f>
        <v>0</v>
      </c>
      <c r="H431" s="174">
        <f>IF(Input!M431=0,+Input!$G431,+Input!$G431+Input!M431)</f>
        <v>0</v>
      </c>
      <c r="I431" s="174">
        <f>IF(Input!N431=0,+Input!$G431,+Input!$G431+Input!N431)</f>
        <v>0</v>
      </c>
      <c r="J431" s="174">
        <f>IF(Input!O431=0,+Input!$G431,+Input!$G431+Input!O431)</f>
        <v>0</v>
      </c>
      <c r="K431" s="174">
        <f>IF(Input!P431=0,+Input!$G431,+Input!$G431+Input!P431)</f>
        <v>0</v>
      </c>
      <c r="L431" s="174">
        <f>IF(Input!Q431=0,+Input!$G431,+Input!$G431+Input!Q431)</f>
        <v>0</v>
      </c>
      <c r="M431" s="174">
        <f>IF(Input!R431=0,+Input!$G431,+Input!$G431+Input!R431)</f>
        <v>0</v>
      </c>
      <c r="N431" s="174">
        <f>IF(Input!S431=0,+Input!$G431,+Input!$G431+Input!S431)</f>
        <v>0</v>
      </c>
      <c r="O431" s="175">
        <f t="shared" si="73"/>
        <v>0</v>
      </c>
      <c r="P431" s="175">
        <f>IF(AND(O431=""),"",+O431/Setup!$B$12)</f>
        <v>0</v>
      </c>
      <c r="Q431" s="175">
        <f>IF(ISNA(IF(O431="","",(+VLOOKUP(A431,'2016'!$A:$P,15,FALSE)))),0,IF(O431="",0,(+VLOOKUP(A431,'2016'!$A:$P,15,FALSE))))</f>
        <v>0</v>
      </c>
      <c r="R431" s="169"/>
      <c r="T431" s="11"/>
      <c r="U431" s="11"/>
    </row>
    <row r="432" spans="1:21" ht="10.5" customHeight="1">
      <c r="A432" s="410" t="s">
        <v>1236</v>
      </c>
      <c r="B432" s="161" t="s">
        <v>500</v>
      </c>
      <c r="C432" s="174">
        <f>IF(Input!H432=0,+Input!$G432,+Input!$G432+Input!H432)</f>
        <v>0</v>
      </c>
      <c r="D432" s="174">
        <f>IF(Input!I432=0,+Input!$G432,+Input!$G432+Input!I432)</f>
        <v>0</v>
      </c>
      <c r="E432" s="174">
        <f>IF(Input!J432=0,+Input!$G432,+Input!$G432+Input!J432)</f>
        <v>0</v>
      </c>
      <c r="F432" s="174">
        <f>IF(Input!K432=0,+Input!$G432,+Input!$G432+Input!K432)</f>
        <v>0</v>
      </c>
      <c r="G432" s="174">
        <f>IF(Input!L432=0,+Input!$G432,+Input!$G432+Input!L432)</f>
        <v>0</v>
      </c>
      <c r="H432" s="174">
        <f>IF(Input!M432=0,+Input!$G432,+Input!$G432+Input!M432)</f>
        <v>0</v>
      </c>
      <c r="I432" s="174">
        <f>IF(Input!N432=0,+Input!$G432,+Input!$G432+Input!N432)</f>
        <v>0</v>
      </c>
      <c r="J432" s="174">
        <f>IF(Input!O432=0,+Input!$G432,+Input!$G432+Input!O432)</f>
        <v>0</v>
      </c>
      <c r="K432" s="174">
        <f>IF(Input!P432=0,+Input!$G432,+Input!$G432+Input!P432)</f>
        <v>0</v>
      </c>
      <c r="L432" s="174">
        <f>IF(Input!Q432=0,+Input!$G432,+Input!$G432+Input!Q432)</f>
        <v>0</v>
      </c>
      <c r="M432" s="174">
        <f>IF(Input!R432=0,+Input!$G432,+Input!$G432+Input!R432)</f>
        <v>0</v>
      </c>
      <c r="N432" s="174">
        <f>IF(Input!S432=0,+Input!$G432,+Input!$G432+Input!S432)</f>
        <v>0</v>
      </c>
      <c r="O432" s="175">
        <f t="shared" si="73"/>
        <v>0</v>
      </c>
      <c r="P432" s="175">
        <f>IF(AND(O432=""),"",+O432/Setup!$B$12)</f>
        <v>0</v>
      </c>
      <c r="Q432" s="175">
        <f>IF(ISNA(IF(O432="","",(+VLOOKUP(A432,'2016'!$A:$P,15,FALSE)))),0,IF(O432="",0,(+VLOOKUP(A432,'2016'!$A:$P,15,FALSE))))</f>
        <v>0</v>
      </c>
      <c r="R432" s="169"/>
      <c r="T432" s="11"/>
      <c r="U432" s="11"/>
    </row>
    <row r="433" spans="1:21" ht="10.5" customHeight="1">
      <c r="A433" s="410" t="s">
        <v>1237</v>
      </c>
      <c r="B433" s="161" t="s">
        <v>501</v>
      </c>
      <c r="C433" s="174">
        <f>IF(Input!H433=0,+Input!$G433,+Input!$G433+Input!H433)</f>
        <v>0</v>
      </c>
      <c r="D433" s="174">
        <f>IF(Input!I433=0,+Input!$G433,+Input!$G433+Input!I433)</f>
        <v>0</v>
      </c>
      <c r="E433" s="174">
        <f>IF(Input!J433=0,+Input!$G433,+Input!$G433+Input!J433)</f>
        <v>0</v>
      </c>
      <c r="F433" s="174">
        <f>IF(Input!K433=0,+Input!$G433,+Input!$G433+Input!K433)</f>
        <v>0</v>
      </c>
      <c r="G433" s="174">
        <f>IF(Input!L433=0,+Input!$G433,+Input!$G433+Input!L433)</f>
        <v>0</v>
      </c>
      <c r="H433" s="174">
        <f>IF(Input!M433=0,+Input!$G433,+Input!$G433+Input!M433)</f>
        <v>0</v>
      </c>
      <c r="I433" s="174">
        <f>IF(Input!N433=0,+Input!$G433,+Input!$G433+Input!N433)</f>
        <v>0</v>
      </c>
      <c r="J433" s="174">
        <f>IF(Input!O433=0,+Input!$G433,+Input!$G433+Input!O433)</f>
        <v>0</v>
      </c>
      <c r="K433" s="174">
        <f>IF(Input!P433=0,+Input!$G433,+Input!$G433+Input!P433)</f>
        <v>0</v>
      </c>
      <c r="L433" s="174">
        <f>IF(Input!Q433=0,+Input!$G433,+Input!$G433+Input!Q433)</f>
        <v>0</v>
      </c>
      <c r="M433" s="174">
        <f>IF(Input!R433=0,+Input!$G433,+Input!$G433+Input!R433)</f>
        <v>0</v>
      </c>
      <c r="N433" s="174">
        <f>IF(Input!S433=0,+Input!$G433,+Input!$G433+Input!S433)</f>
        <v>0</v>
      </c>
      <c r="O433" s="175">
        <f t="shared" si="73"/>
        <v>0</v>
      </c>
      <c r="P433" s="175">
        <f>IF(AND(O433=""),"",+O433/Setup!$B$12)</f>
        <v>0</v>
      </c>
      <c r="Q433" s="175">
        <f>IF(ISNA(IF(O433="","",(+VLOOKUP(A433,'2016'!$A:$P,15,FALSE)))),0,IF(O433="",0,(+VLOOKUP(A433,'2016'!$A:$P,15,FALSE))))</f>
        <v>0</v>
      </c>
      <c r="R433" s="169"/>
      <c r="T433" s="11"/>
      <c r="U433" s="11"/>
    </row>
    <row r="434" spans="1:21" ht="10.5" customHeight="1">
      <c r="A434" s="410" t="s">
        <v>1238</v>
      </c>
      <c r="B434" s="161" t="s">
        <v>502</v>
      </c>
      <c r="C434" s="174">
        <f>IF(Input!H434=0,+Input!$G434,+Input!$G434+Input!H434)</f>
        <v>0</v>
      </c>
      <c r="D434" s="174">
        <f>IF(Input!I434=0,+Input!$G434,+Input!$G434+Input!I434)</f>
        <v>0</v>
      </c>
      <c r="E434" s="174">
        <f>IF(Input!J434=0,+Input!$G434,+Input!$G434+Input!J434)</f>
        <v>0</v>
      </c>
      <c r="F434" s="174">
        <f>IF(Input!K434=0,+Input!$G434,+Input!$G434+Input!K434)</f>
        <v>0</v>
      </c>
      <c r="G434" s="174">
        <f>IF(Input!L434=0,+Input!$G434,+Input!$G434+Input!L434)</f>
        <v>0</v>
      </c>
      <c r="H434" s="174">
        <f>IF(Input!M434=0,+Input!$G434,+Input!$G434+Input!M434)</f>
        <v>0</v>
      </c>
      <c r="I434" s="174">
        <f>IF(Input!N434=0,+Input!$G434,+Input!$G434+Input!N434)</f>
        <v>0</v>
      </c>
      <c r="J434" s="174">
        <f>IF(Input!O434=0,+Input!$G434,+Input!$G434+Input!O434)</f>
        <v>0</v>
      </c>
      <c r="K434" s="174">
        <f>IF(Input!P434=0,+Input!$G434,+Input!$G434+Input!P434)</f>
        <v>0</v>
      </c>
      <c r="L434" s="174">
        <f>IF(Input!Q434=0,+Input!$G434,+Input!$G434+Input!Q434)</f>
        <v>0</v>
      </c>
      <c r="M434" s="174">
        <f>IF(Input!R434=0,+Input!$G434,+Input!$G434+Input!R434)</f>
        <v>0</v>
      </c>
      <c r="N434" s="174">
        <f>IF(Input!S434=0,+Input!$G434,+Input!$G434+Input!S434)</f>
        <v>0</v>
      </c>
      <c r="O434" s="175">
        <f t="shared" si="73"/>
        <v>0</v>
      </c>
      <c r="P434" s="175">
        <f>IF(AND(O434=""),"",+O434/Setup!$B$12)</f>
        <v>0</v>
      </c>
      <c r="Q434" s="175">
        <f>IF(ISNA(IF(O434="","",(+VLOOKUP(A434,'2016'!$A:$P,15,FALSE)))),0,IF(O434="",0,(+VLOOKUP(A434,'2016'!$A:$P,15,FALSE))))</f>
        <v>0</v>
      </c>
      <c r="R434" s="169"/>
      <c r="T434" s="11"/>
      <c r="U434" s="11"/>
    </row>
    <row r="435" spans="1:21" ht="10.5" customHeight="1">
      <c r="A435" s="410" t="s">
        <v>1239</v>
      </c>
      <c r="B435" s="161" t="s">
        <v>503</v>
      </c>
      <c r="C435" s="174">
        <f>IF(Input!H435=0,+Input!$G435,+Input!$G435+Input!H435)</f>
        <v>0</v>
      </c>
      <c r="D435" s="174">
        <f>IF(Input!I435=0,+Input!$G435,+Input!$G435+Input!I435)</f>
        <v>0</v>
      </c>
      <c r="E435" s="174">
        <f>IF(Input!J435=0,+Input!$G435,+Input!$G435+Input!J435)</f>
        <v>0</v>
      </c>
      <c r="F435" s="174">
        <f>IF(Input!K435=0,+Input!$G435,+Input!$G435+Input!K435)</f>
        <v>0</v>
      </c>
      <c r="G435" s="174">
        <f>IF(Input!L435=0,+Input!$G435,+Input!$G435+Input!L435)</f>
        <v>0</v>
      </c>
      <c r="H435" s="174">
        <f>IF(Input!M435=0,+Input!$G435,+Input!$G435+Input!M435)</f>
        <v>0</v>
      </c>
      <c r="I435" s="174">
        <f>IF(Input!N435=0,+Input!$G435,+Input!$G435+Input!N435)</f>
        <v>0</v>
      </c>
      <c r="J435" s="174">
        <f>IF(Input!O435=0,+Input!$G435,+Input!$G435+Input!O435)</f>
        <v>0</v>
      </c>
      <c r="K435" s="174">
        <f>IF(Input!P435=0,+Input!$G435,+Input!$G435+Input!P435)</f>
        <v>0</v>
      </c>
      <c r="L435" s="174">
        <f>IF(Input!Q435=0,+Input!$G435,+Input!$G435+Input!Q435)</f>
        <v>0</v>
      </c>
      <c r="M435" s="174">
        <f>IF(Input!R435=0,+Input!$G435,+Input!$G435+Input!R435)</f>
        <v>0</v>
      </c>
      <c r="N435" s="174">
        <f>IF(Input!S435=0,+Input!$G435,+Input!$G435+Input!S435)</f>
        <v>0</v>
      </c>
      <c r="O435" s="175">
        <f t="shared" si="73"/>
        <v>0</v>
      </c>
      <c r="P435" s="175">
        <f>IF(AND(O435=""),"",+O435/Setup!$B$12)</f>
        <v>0</v>
      </c>
      <c r="Q435" s="175">
        <f>IF(ISNA(IF(O435="","",(+VLOOKUP(A435,'2016'!$A:$P,15,FALSE)))),0,IF(O435="",0,(+VLOOKUP(A435,'2016'!$A:$P,15,FALSE))))</f>
        <v>0</v>
      </c>
      <c r="R435" s="169"/>
      <c r="T435" s="11"/>
      <c r="U435" s="11"/>
    </row>
    <row r="436" spans="1:21" ht="10.5" customHeight="1">
      <c r="A436" s="410" t="s">
        <v>1240</v>
      </c>
      <c r="B436" s="161" t="s">
        <v>504</v>
      </c>
      <c r="C436" s="174">
        <f>IF(Input!H436=0,+Input!$G436,+Input!$G436+Input!H436)</f>
        <v>0</v>
      </c>
      <c r="D436" s="174">
        <f>IF(Input!I436=0,+Input!$G436,+Input!$G436+Input!I436)</f>
        <v>0</v>
      </c>
      <c r="E436" s="174">
        <f>IF(Input!J436=0,+Input!$G436,+Input!$G436+Input!J436)</f>
        <v>0</v>
      </c>
      <c r="F436" s="174">
        <f>IF(Input!K436=0,+Input!$G436,+Input!$G436+Input!K436)</f>
        <v>0</v>
      </c>
      <c r="G436" s="174">
        <f>IF(Input!L436=0,+Input!$G436,+Input!$G436+Input!L436)</f>
        <v>0</v>
      </c>
      <c r="H436" s="174">
        <f>IF(Input!M436=0,+Input!$G436,+Input!$G436+Input!M436)</f>
        <v>0</v>
      </c>
      <c r="I436" s="174">
        <f>IF(Input!N436=0,+Input!$G436,+Input!$G436+Input!N436)</f>
        <v>0</v>
      </c>
      <c r="J436" s="174">
        <f>IF(Input!O436=0,+Input!$G436,+Input!$G436+Input!O436)</f>
        <v>0</v>
      </c>
      <c r="K436" s="174">
        <f>IF(Input!P436=0,+Input!$G436,+Input!$G436+Input!P436)</f>
        <v>0</v>
      </c>
      <c r="L436" s="174">
        <f>IF(Input!Q436=0,+Input!$G436,+Input!$G436+Input!Q436)</f>
        <v>0</v>
      </c>
      <c r="M436" s="174">
        <f>IF(Input!R436=0,+Input!$G436,+Input!$G436+Input!R436)</f>
        <v>0</v>
      </c>
      <c r="N436" s="174">
        <f>IF(Input!S436=0,+Input!$G436,+Input!$G436+Input!S436)</f>
        <v>0</v>
      </c>
      <c r="O436" s="175">
        <f t="shared" si="73"/>
        <v>0</v>
      </c>
      <c r="P436" s="175">
        <f>IF(AND(O436=""),"",+O436/Setup!$B$12)</f>
        <v>0</v>
      </c>
      <c r="Q436" s="175">
        <f>IF(ISNA(IF(O436="","",(+VLOOKUP(A436,'2016'!$A:$P,15,FALSE)))),0,IF(O436="",0,(+VLOOKUP(A436,'2016'!$A:$P,15,FALSE))))</f>
        <v>0</v>
      </c>
      <c r="R436" s="169"/>
      <c r="T436" s="11"/>
      <c r="U436" s="11"/>
    </row>
    <row r="437" spans="1:21" ht="10.5" customHeight="1">
      <c r="A437" s="163"/>
      <c r="B437" s="163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40" t="str">
        <f t="shared" si="73"/>
        <v/>
      </c>
      <c r="P437" s="140" t="str">
        <f>IF(AND(O437=""),"",+O437/Setup!$B$12)</f>
        <v/>
      </c>
      <c r="Q437" s="140" t="str">
        <f>IF(AND(P437=""),"",+P437/Setup!$B$12)</f>
        <v/>
      </c>
      <c r="R437" s="169"/>
      <c r="T437" s="11"/>
      <c r="U437" s="11"/>
    </row>
    <row r="438" spans="1:21" ht="10.5" customHeight="1">
      <c r="A438" s="159"/>
      <c r="B438" s="170" t="s">
        <v>518</v>
      </c>
      <c r="C438" s="152">
        <f>SUM(C423:C436)</f>
        <v>0</v>
      </c>
      <c r="D438" s="152">
        <f t="shared" ref="D438:N438" si="76">SUM(D423:D436)</f>
        <v>0</v>
      </c>
      <c r="E438" s="152">
        <f t="shared" si="76"/>
        <v>0</v>
      </c>
      <c r="F438" s="152">
        <f t="shared" si="76"/>
        <v>0</v>
      </c>
      <c r="G438" s="152">
        <f t="shared" si="76"/>
        <v>0</v>
      </c>
      <c r="H438" s="152">
        <f t="shared" si="76"/>
        <v>0</v>
      </c>
      <c r="I438" s="152">
        <f t="shared" si="76"/>
        <v>0</v>
      </c>
      <c r="J438" s="152">
        <f t="shared" si="76"/>
        <v>0</v>
      </c>
      <c r="K438" s="152">
        <f t="shared" si="76"/>
        <v>0</v>
      </c>
      <c r="L438" s="152">
        <f t="shared" si="76"/>
        <v>0</v>
      </c>
      <c r="M438" s="152">
        <f t="shared" si="76"/>
        <v>0</v>
      </c>
      <c r="N438" s="152">
        <f t="shared" si="76"/>
        <v>0</v>
      </c>
      <c r="O438" s="140">
        <f t="shared" si="73"/>
        <v>0</v>
      </c>
      <c r="P438" s="140">
        <f>IF(AND(O438=""),"",+O438/Setup!$B$12)</f>
        <v>0</v>
      </c>
      <c r="Q438" s="140">
        <f>IF(AND(P438=""),"",+P438/Setup!$B$12)</f>
        <v>0</v>
      </c>
      <c r="R438" s="200"/>
      <c r="T438" s="11"/>
      <c r="U438" s="11"/>
    </row>
    <row r="439" spans="1:21" ht="10.5" customHeight="1">
      <c r="A439" s="159"/>
      <c r="B439" s="170"/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  <c r="M439" s="152"/>
      <c r="N439" s="152"/>
      <c r="O439" s="140"/>
      <c r="P439" s="140"/>
      <c r="Q439" s="175"/>
      <c r="R439" s="200"/>
      <c r="T439" s="11"/>
      <c r="U439" s="11"/>
    </row>
    <row r="440" spans="1:21" ht="10.5" customHeight="1">
      <c r="A440" s="159"/>
      <c r="B440" s="170" t="s">
        <v>508</v>
      </c>
      <c r="C440" s="152">
        <f t="shared" ref="C440:O440" si="77">+C336-C408-C420-C438</f>
        <v>13841.055666666645</v>
      </c>
      <c r="D440" s="152">
        <f t="shared" si="77"/>
        <v>15102.055666666645</v>
      </c>
      <c r="E440" s="152">
        <f t="shared" si="77"/>
        <v>16363.055666666645</v>
      </c>
      <c r="F440" s="152">
        <f t="shared" si="77"/>
        <v>17100.696575757545</v>
      </c>
      <c r="G440" s="152">
        <f t="shared" si="77"/>
        <v>17620.087484848475</v>
      </c>
      <c r="H440" s="152">
        <f t="shared" si="77"/>
        <v>20253.196575757545</v>
      </c>
      <c r="I440" s="152">
        <f t="shared" si="77"/>
        <v>23341.98521212121</v>
      </c>
      <c r="J440" s="152">
        <f t="shared" si="77"/>
        <v>25902.344303030281</v>
      </c>
      <c r="K440" s="152">
        <f t="shared" si="77"/>
        <v>24937.414757575774</v>
      </c>
      <c r="L440" s="152">
        <f t="shared" si="77"/>
        <v>24777.805666666645</v>
      </c>
      <c r="M440" s="152">
        <f t="shared" si="77"/>
        <v>24618.196575757545</v>
      </c>
      <c r="N440" s="152">
        <f t="shared" si="77"/>
        <v>24385.837484848475</v>
      </c>
      <c r="O440" s="152">
        <f t="shared" si="77"/>
        <v>248243.7316363632</v>
      </c>
      <c r="P440" s="152">
        <f>P438+P336-P408-P420</f>
        <v>1128.3805983471043</v>
      </c>
      <c r="Q440" s="152">
        <f>Q438+Q336-Q408-Q420</f>
        <v>309104.42628787889</v>
      </c>
      <c r="R440" s="201"/>
      <c r="T440" s="11"/>
      <c r="U440" s="11"/>
    </row>
    <row r="441" spans="1:21" ht="15">
      <c r="B441" s="205"/>
      <c r="T441" s="11"/>
      <c r="U441" s="11"/>
    </row>
    <row r="442" spans="1:21" ht="15">
      <c r="B442" s="205"/>
      <c r="T442" s="11"/>
      <c r="U442" s="11"/>
    </row>
    <row r="443" spans="1:21" ht="15">
      <c r="B443" s="205"/>
      <c r="T443" s="11"/>
      <c r="U443" s="11"/>
    </row>
    <row r="444" spans="1:21" ht="15">
      <c r="B444" s="205"/>
      <c r="T444" s="11"/>
      <c r="U444" s="11"/>
    </row>
    <row r="445" spans="1:21" ht="15">
      <c r="B445" s="205"/>
      <c r="T445" s="11"/>
      <c r="U445" s="11"/>
    </row>
    <row r="446" spans="1:21" ht="15">
      <c r="B446" s="205"/>
      <c r="T446" s="11"/>
      <c r="U446" s="11"/>
    </row>
    <row r="447" spans="1:21" ht="15">
      <c r="B447" s="205"/>
      <c r="T447" s="11"/>
      <c r="U447" s="11"/>
    </row>
    <row r="448" spans="1:21" ht="15">
      <c r="B448" s="205"/>
      <c r="T448" s="11"/>
      <c r="U448" s="11"/>
    </row>
    <row r="449" spans="2:21" ht="15">
      <c r="B449" s="205"/>
      <c r="T449" s="11"/>
      <c r="U449" s="11"/>
    </row>
    <row r="450" spans="2:21" ht="15">
      <c r="B450" s="205"/>
      <c r="T450" s="11"/>
      <c r="U450" s="11"/>
    </row>
    <row r="451" spans="2:21" ht="15">
      <c r="B451" s="205"/>
      <c r="T451" s="11"/>
      <c r="U451" s="11"/>
    </row>
    <row r="452" spans="2:21" ht="15">
      <c r="B452" s="205"/>
      <c r="T452" s="11"/>
      <c r="U452" s="11"/>
    </row>
    <row r="453" spans="2:21" ht="15">
      <c r="B453" s="205"/>
      <c r="T453" s="11"/>
      <c r="U453" s="11"/>
    </row>
    <row r="454" spans="2:21" ht="15">
      <c r="B454" s="205"/>
      <c r="T454" s="11"/>
      <c r="U454" s="11"/>
    </row>
    <row r="455" spans="2:21" ht="15">
      <c r="B455" s="205"/>
      <c r="T455" s="11"/>
      <c r="U455" s="11"/>
    </row>
    <row r="456" spans="2:21" ht="15">
      <c r="B456" s="205"/>
      <c r="T456" s="11"/>
      <c r="U456" s="11"/>
    </row>
    <row r="457" spans="2:21" ht="15">
      <c r="B457" s="205"/>
      <c r="T457" s="11"/>
      <c r="U457" s="11"/>
    </row>
    <row r="458" spans="2:21" ht="15">
      <c r="B458" s="205"/>
      <c r="T458" s="11"/>
      <c r="U458" s="11"/>
    </row>
  </sheetData>
  <phoneticPr fontId="18" type="noConversion"/>
  <conditionalFormatting sqref="A11:A229 A231:A325">
    <cfRule type="expression" dxfId="3" priority="3" stopIfTrue="1">
      <formula>#REF!</formula>
    </cfRule>
  </conditionalFormatting>
  <conditionalFormatting sqref="A230">
    <cfRule type="expression" dxfId="2" priority="1" stopIfTrue="1">
      <formula>#REF!</formula>
    </cfRule>
  </conditionalFormatting>
  <printOptions gridLines="1"/>
  <pageMargins left="0.25" right="0.25" top="0.25" bottom="0.25" header="0" footer="0"/>
  <pageSetup scale="77" fitToHeight="0" orientation="landscape"/>
  <rowBreaks count="1" manualBreakCount="1">
    <brk id="338" max="16" man="1"/>
  </rowBreaks>
  <ignoredErrors>
    <ignoredError sqref="O420:P420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3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9.1640625" defaultRowHeight="14" x14ac:dyDescent="0"/>
  <cols>
    <col min="1" max="1" width="8.6640625" style="3" customWidth="1"/>
    <col min="2" max="2" width="25.6640625" style="3" customWidth="1"/>
    <col min="3" max="14" width="10.6640625" style="3" customWidth="1"/>
    <col min="15" max="15" width="11.33203125" style="3" customWidth="1"/>
    <col min="16" max="16" width="13" style="3" customWidth="1"/>
    <col min="17" max="17" width="10.6640625" style="11" customWidth="1"/>
    <col min="18" max="16384" width="9.1640625" style="11"/>
  </cols>
  <sheetData>
    <row r="1" spans="1:17" s="126" customFormat="1" ht="10.5" customHeight="1" thickBot="1">
      <c r="A1" s="122"/>
      <c r="B1" s="144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7" s="126" customFormat="1" ht="10.5" customHeight="1" thickBot="1">
      <c r="A2" s="144"/>
      <c r="B2" s="145" t="str">
        <f>+Setup!B10</f>
        <v>Budget Master</v>
      </c>
      <c r="C2" s="124"/>
      <c r="D2" s="124"/>
      <c r="E2" s="124"/>
      <c r="F2" s="124"/>
      <c r="G2" s="124"/>
      <c r="H2" s="124"/>
      <c r="I2" s="124"/>
      <c r="J2" s="206">
        <f>1+J11/J7</f>
        <v>1.9314170591907383</v>
      </c>
      <c r="K2" s="394"/>
      <c r="L2" s="533" t="s">
        <v>1287</v>
      </c>
      <c r="M2" s="533"/>
      <c r="N2" s="533"/>
      <c r="O2" s="206">
        <f>1+O8/O7</f>
        <v>0.99038316024440531</v>
      </c>
      <c r="P2" s="122"/>
    </row>
    <row r="3" spans="1:17" s="126" customFormat="1" ht="10.5" customHeight="1" thickBot="1">
      <c r="A3" s="144"/>
      <c r="B3" s="257">
        <f>+Setup!B9-1</f>
        <v>2017</v>
      </c>
      <c r="C3" s="210">
        <v>40198</v>
      </c>
      <c r="D3" s="210">
        <v>40229</v>
      </c>
      <c r="E3" s="210">
        <v>40257</v>
      </c>
      <c r="F3" s="210">
        <v>40288</v>
      </c>
      <c r="G3" s="210">
        <v>40318</v>
      </c>
      <c r="H3" s="210">
        <v>40349</v>
      </c>
      <c r="I3" s="210">
        <v>40379</v>
      </c>
      <c r="J3" s="210">
        <v>40410</v>
      </c>
      <c r="K3" s="210">
        <v>40441</v>
      </c>
      <c r="L3" s="210">
        <v>40471</v>
      </c>
      <c r="M3" s="210">
        <v>40502</v>
      </c>
      <c r="N3" s="210">
        <v>40532</v>
      </c>
      <c r="O3" s="210"/>
      <c r="P3" s="210"/>
    </row>
    <row r="4" spans="1:17" s="126" customFormat="1" ht="10.5" customHeight="1" thickBot="1">
      <c r="A4" s="147"/>
      <c r="B4" s="218"/>
      <c r="C4" s="155">
        <f>+B3</f>
        <v>2017</v>
      </c>
      <c r="D4" s="155">
        <f>+C4</f>
        <v>2017</v>
      </c>
      <c r="E4" s="155">
        <f t="shared" ref="E4:J4" si="0">+D4</f>
        <v>2017</v>
      </c>
      <c r="F4" s="155">
        <f t="shared" si="0"/>
        <v>2017</v>
      </c>
      <c r="G4" s="155">
        <f t="shared" si="0"/>
        <v>2017</v>
      </c>
      <c r="H4" s="155">
        <f t="shared" si="0"/>
        <v>2017</v>
      </c>
      <c r="I4" s="155">
        <f t="shared" si="0"/>
        <v>2017</v>
      </c>
      <c r="J4" s="155">
        <f t="shared" si="0"/>
        <v>2017</v>
      </c>
      <c r="K4" s="155">
        <f>+J4</f>
        <v>2017</v>
      </c>
      <c r="L4" s="155">
        <f>+K4</f>
        <v>2017</v>
      </c>
      <c r="M4" s="155">
        <f>+L4</f>
        <v>2017</v>
      </c>
      <c r="N4" s="155">
        <f>+M4</f>
        <v>2017</v>
      </c>
      <c r="O4" s="155">
        <f>+N4</f>
        <v>2017</v>
      </c>
      <c r="P4" s="155">
        <f>+O4-1</f>
        <v>2016</v>
      </c>
    </row>
    <row r="5" spans="1:17" s="403" customFormat="1" ht="11">
      <c r="A5" s="424" t="s">
        <v>545</v>
      </c>
      <c r="B5" s="424" t="s">
        <v>741</v>
      </c>
      <c r="C5" s="426">
        <v>0.93799999999999994</v>
      </c>
      <c r="D5" s="426">
        <v>0.94900000000000007</v>
      </c>
      <c r="E5" s="426">
        <v>0.97</v>
      </c>
      <c r="F5" s="426">
        <v>0.95499999999999996</v>
      </c>
      <c r="G5" s="426">
        <v>0.95</v>
      </c>
      <c r="H5" s="426">
        <v>0.96200000000000008</v>
      </c>
      <c r="I5" s="426">
        <v>0.96799999999999997</v>
      </c>
      <c r="J5" s="426">
        <v>0.95799999999999996</v>
      </c>
      <c r="K5" s="426">
        <v>0.95799999999999996</v>
      </c>
      <c r="L5" s="426">
        <v>0.95799999999999996</v>
      </c>
      <c r="M5" s="426">
        <v>0.95799999999999996</v>
      </c>
      <c r="N5" s="426">
        <v>0.95799999999999996</v>
      </c>
      <c r="O5" s="469">
        <f>1+O10/O7</f>
        <v>0.9567722225375026</v>
      </c>
      <c r="P5" s="426">
        <v>0.95099999999999996</v>
      </c>
    </row>
    <row r="6" spans="1:17" s="403" customFormat="1" ht="11">
      <c r="A6" s="424" t="s">
        <v>742</v>
      </c>
      <c r="B6" s="424" t="s">
        <v>193</v>
      </c>
      <c r="C6" s="424" t="s">
        <v>742</v>
      </c>
      <c r="D6" s="424" t="s">
        <v>742</v>
      </c>
      <c r="E6" s="424" t="s">
        <v>742</v>
      </c>
      <c r="F6" s="424" t="s">
        <v>742</v>
      </c>
      <c r="G6" s="424" t="s">
        <v>742</v>
      </c>
      <c r="H6" s="424" t="s">
        <v>742</v>
      </c>
      <c r="I6" s="424" t="s">
        <v>742</v>
      </c>
      <c r="J6" s="424" t="s">
        <v>742</v>
      </c>
      <c r="K6" s="424" t="s">
        <v>742</v>
      </c>
      <c r="L6" s="424" t="s">
        <v>742</v>
      </c>
      <c r="M6" s="424" t="s">
        <v>742</v>
      </c>
      <c r="N6" s="424" t="s">
        <v>742</v>
      </c>
      <c r="O6" s="424" t="s">
        <v>742</v>
      </c>
      <c r="P6" s="424" t="s">
        <v>742</v>
      </c>
    </row>
    <row r="7" spans="1:17" s="403" customFormat="1" ht="11">
      <c r="A7" s="424" t="s">
        <v>743</v>
      </c>
      <c r="B7" s="424" t="s">
        <v>744</v>
      </c>
      <c r="C7" s="427">
        <v>176210</v>
      </c>
      <c r="D7" s="427">
        <v>176210</v>
      </c>
      <c r="E7" s="427">
        <v>176210</v>
      </c>
      <c r="F7" s="427">
        <v>176210</v>
      </c>
      <c r="G7" s="427">
        <v>176210</v>
      </c>
      <c r="H7" s="427">
        <v>176210</v>
      </c>
      <c r="I7" s="427">
        <v>176210</v>
      </c>
      <c r="J7" s="427">
        <v>176210</v>
      </c>
      <c r="K7" s="427">
        <v>176210</v>
      </c>
      <c r="L7" s="427">
        <v>176210</v>
      </c>
      <c r="M7" s="427">
        <v>176210</v>
      </c>
      <c r="N7" s="427">
        <v>176210</v>
      </c>
      <c r="O7" s="427">
        <v>2114520</v>
      </c>
      <c r="P7" s="427">
        <v>2105988</v>
      </c>
      <c r="Q7" s="404"/>
    </row>
    <row r="8" spans="1:17" s="4" customFormat="1" ht="11">
      <c r="A8" s="424" t="s">
        <v>745</v>
      </c>
      <c r="B8" s="424" t="s">
        <v>746</v>
      </c>
      <c r="C8" s="427">
        <v>-1872</v>
      </c>
      <c r="D8" s="427">
        <v>-553</v>
      </c>
      <c r="E8" s="427">
        <v>-321</v>
      </c>
      <c r="F8" s="427">
        <v>584</v>
      </c>
      <c r="G8" s="427">
        <v>1201</v>
      </c>
      <c r="H8" s="427">
        <v>1652</v>
      </c>
      <c r="I8" s="427">
        <v>2345</v>
      </c>
      <c r="J8" s="427">
        <v>-4674</v>
      </c>
      <c r="K8" s="427">
        <v>-4674</v>
      </c>
      <c r="L8" s="427">
        <v>-4674</v>
      </c>
      <c r="M8" s="427">
        <v>-4674</v>
      </c>
      <c r="N8" s="427">
        <v>-4674</v>
      </c>
      <c r="O8" s="427">
        <v>-20335</v>
      </c>
      <c r="P8" s="427">
        <v>-75001</v>
      </c>
      <c r="Q8" s="404"/>
    </row>
    <row r="9" spans="1:17" s="4" customFormat="1" ht="11">
      <c r="A9" s="428" t="s">
        <v>545</v>
      </c>
      <c r="B9" s="424" t="s">
        <v>747</v>
      </c>
      <c r="C9" s="429">
        <v>174338</v>
      </c>
      <c r="D9" s="429">
        <v>175657</v>
      </c>
      <c r="E9" s="429">
        <v>175889</v>
      </c>
      <c r="F9" s="429">
        <v>176794</v>
      </c>
      <c r="G9" s="429">
        <v>177411</v>
      </c>
      <c r="H9" s="429">
        <v>177862</v>
      </c>
      <c r="I9" s="429">
        <v>178555</v>
      </c>
      <c r="J9" s="429">
        <v>171536</v>
      </c>
      <c r="K9" s="429">
        <v>171536</v>
      </c>
      <c r="L9" s="429">
        <v>171536</v>
      </c>
      <c r="M9" s="429">
        <v>171536</v>
      </c>
      <c r="N9" s="429">
        <v>171536</v>
      </c>
      <c r="O9" s="429">
        <v>2094186</v>
      </c>
      <c r="P9" s="429">
        <v>2030987</v>
      </c>
      <c r="Q9" s="404"/>
    </row>
    <row r="10" spans="1:17" s="10" customFormat="1" ht="11">
      <c r="A10" s="424" t="s">
        <v>748</v>
      </c>
      <c r="B10" s="424" t="s">
        <v>749</v>
      </c>
      <c r="C10" s="427">
        <v>-10901</v>
      </c>
      <c r="D10" s="427">
        <v>-9036</v>
      </c>
      <c r="E10" s="427">
        <v>-5357</v>
      </c>
      <c r="F10" s="427">
        <v>-7992</v>
      </c>
      <c r="G10" s="427">
        <v>-8766</v>
      </c>
      <c r="H10" s="427">
        <v>-6653</v>
      </c>
      <c r="I10" s="427">
        <v>-5646</v>
      </c>
      <c r="J10" s="427">
        <v>-7411</v>
      </c>
      <c r="K10" s="427">
        <v>-7411</v>
      </c>
      <c r="L10" s="427">
        <v>-7411</v>
      </c>
      <c r="M10" s="427">
        <v>-7411</v>
      </c>
      <c r="N10" s="427">
        <v>-7411</v>
      </c>
      <c r="O10" s="427">
        <v>-91406</v>
      </c>
      <c r="P10" s="427">
        <v>-103739</v>
      </c>
      <c r="Q10" s="404"/>
    </row>
    <row r="11" spans="1:17" s="403" customFormat="1" ht="11">
      <c r="A11" s="428" t="s">
        <v>545</v>
      </c>
      <c r="B11" s="424" t="s">
        <v>750</v>
      </c>
      <c r="C11" s="429">
        <v>163437</v>
      </c>
      <c r="D11" s="429">
        <v>166621</v>
      </c>
      <c r="E11" s="429">
        <v>170532</v>
      </c>
      <c r="F11" s="429">
        <v>168802</v>
      </c>
      <c r="G11" s="429">
        <v>168645</v>
      </c>
      <c r="H11" s="429">
        <v>171210</v>
      </c>
      <c r="I11" s="429">
        <v>172909</v>
      </c>
      <c r="J11" s="429">
        <v>164125</v>
      </c>
      <c r="K11" s="429">
        <v>164125</v>
      </c>
      <c r="L11" s="429">
        <v>164125</v>
      </c>
      <c r="M11" s="429">
        <v>164125</v>
      </c>
      <c r="N11" s="429">
        <v>164125</v>
      </c>
      <c r="O11" s="429">
        <v>2002781</v>
      </c>
      <c r="P11" s="429">
        <v>1927248</v>
      </c>
      <c r="Q11" s="404"/>
    </row>
    <row r="12" spans="1:17" s="4" customFormat="1" ht="11">
      <c r="A12" s="424" t="s">
        <v>751</v>
      </c>
      <c r="B12" s="424" t="s">
        <v>752</v>
      </c>
      <c r="C12" s="427">
        <v>-39</v>
      </c>
      <c r="D12" s="427">
        <v>-953</v>
      </c>
      <c r="E12" s="427">
        <v>0</v>
      </c>
      <c r="F12" s="427">
        <v>0</v>
      </c>
      <c r="G12" s="427">
        <v>-380</v>
      </c>
      <c r="H12" s="427">
        <v>0</v>
      </c>
      <c r="I12" s="427">
        <v>0</v>
      </c>
      <c r="J12" s="427">
        <v>-250</v>
      </c>
      <c r="K12" s="427">
        <v>-250</v>
      </c>
      <c r="L12" s="427">
        <v>-250</v>
      </c>
      <c r="M12" s="427">
        <v>-250</v>
      </c>
      <c r="N12" s="427">
        <v>-250</v>
      </c>
      <c r="O12" s="427">
        <v>-2623</v>
      </c>
      <c r="P12" s="427">
        <v>-5149</v>
      </c>
      <c r="Q12" s="404"/>
    </row>
    <row r="13" spans="1:17" s="4" customFormat="1" ht="11">
      <c r="A13" s="424" t="s">
        <v>753</v>
      </c>
      <c r="B13" s="424" t="s">
        <v>754</v>
      </c>
      <c r="C13" s="427">
        <v>563</v>
      </c>
      <c r="D13" s="427">
        <v>100</v>
      </c>
      <c r="E13" s="427">
        <v>969</v>
      </c>
      <c r="F13" s="427">
        <v>208</v>
      </c>
      <c r="G13" s="427">
        <v>316</v>
      </c>
      <c r="H13" s="427">
        <v>492</v>
      </c>
      <c r="I13" s="427">
        <v>803</v>
      </c>
      <c r="J13" s="427">
        <v>500</v>
      </c>
      <c r="K13" s="427">
        <v>500</v>
      </c>
      <c r="L13" s="427">
        <v>500</v>
      </c>
      <c r="M13" s="427">
        <v>500</v>
      </c>
      <c r="N13" s="427">
        <v>500</v>
      </c>
      <c r="O13" s="427">
        <v>5951</v>
      </c>
      <c r="P13" s="427">
        <v>5454</v>
      </c>
      <c r="Q13" s="404"/>
    </row>
    <row r="14" spans="1:17" s="4" customFormat="1" ht="11">
      <c r="A14" s="424" t="s">
        <v>755</v>
      </c>
      <c r="B14" s="424" t="s">
        <v>756</v>
      </c>
      <c r="C14" s="427">
        <v>477</v>
      </c>
      <c r="D14" s="427">
        <v>300</v>
      </c>
      <c r="E14" s="427">
        <v>500</v>
      </c>
      <c r="F14" s="427">
        <v>680</v>
      </c>
      <c r="G14" s="427">
        <v>471</v>
      </c>
      <c r="H14" s="427">
        <v>332</v>
      </c>
      <c r="I14" s="427">
        <v>300</v>
      </c>
      <c r="J14" s="427">
        <v>600</v>
      </c>
      <c r="K14" s="427">
        <v>600</v>
      </c>
      <c r="L14" s="427">
        <v>600</v>
      </c>
      <c r="M14" s="427">
        <v>600</v>
      </c>
      <c r="N14" s="427">
        <v>600</v>
      </c>
      <c r="O14" s="427">
        <v>6060</v>
      </c>
      <c r="P14" s="427">
        <v>7304</v>
      </c>
      <c r="Q14" s="404"/>
    </row>
    <row r="15" spans="1:17" s="4" customFormat="1" ht="11">
      <c r="A15" s="424" t="s">
        <v>757</v>
      </c>
      <c r="B15" s="424" t="s">
        <v>758</v>
      </c>
      <c r="C15" s="427">
        <v>-1586</v>
      </c>
      <c r="D15" s="427">
        <v>-1585</v>
      </c>
      <c r="E15" s="427">
        <v>-1585</v>
      </c>
      <c r="F15" s="427">
        <v>-1585</v>
      </c>
      <c r="G15" s="427">
        <v>-1585</v>
      </c>
      <c r="H15" s="427">
        <v>-1585</v>
      </c>
      <c r="I15" s="427">
        <v>-1585</v>
      </c>
      <c r="J15" s="427">
        <v>-1610</v>
      </c>
      <c r="K15" s="427">
        <v>-1610</v>
      </c>
      <c r="L15" s="427">
        <v>-1610</v>
      </c>
      <c r="M15" s="427">
        <v>-1610</v>
      </c>
      <c r="N15" s="427">
        <v>-1610</v>
      </c>
      <c r="O15" s="427">
        <v>-19145</v>
      </c>
      <c r="P15" s="427">
        <v>-19020</v>
      </c>
      <c r="Q15" s="404"/>
    </row>
    <row r="16" spans="1:17" s="4" customFormat="1" ht="11">
      <c r="A16" s="424" t="s">
        <v>759</v>
      </c>
      <c r="B16" s="424" t="s">
        <v>760</v>
      </c>
      <c r="C16" s="427">
        <v>0</v>
      </c>
      <c r="D16" s="427">
        <v>0</v>
      </c>
      <c r="E16" s="427">
        <v>0</v>
      </c>
      <c r="F16" s="427">
        <v>0</v>
      </c>
      <c r="G16" s="427">
        <v>0</v>
      </c>
      <c r="H16" s="427">
        <v>0</v>
      </c>
      <c r="I16" s="427">
        <v>0</v>
      </c>
      <c r="J16" s="427">
        <v>0</v>
      </c>
      <c r="K16" s="427">
        <v>0</v>
      </c>
      <c r="L16" s="427">
        <v>0</v>
      </c>
      <c r="M16" s="427">
        <v>0</v>
      </c>
      <c r="N16" s="427">
        <v>0</v>
      </c>
      <c r="O16" s="427">
        <v>0</v>
      </c>
      <c r="P16" s="427">
        <v>-449</v>
      </c>
      <c r="Q16" s="404"/>
    </row>
    <row r="17" spans="1:17" s="4" customFormat="1" ht="11">
      <c r="A17" s="424" t="s">
        <v>762</v>
      </c>
      <c r="B17" s="424" t="s">
        <v>763</v>
      </c>
      <c r="C17" s="427">
        <v>-5231</v>
      </c>
      <c r="D17" s="427">
        <v>4465</v>
      </c>
      <c r="E17" s="427">
        <v>3635</v>
      </c>
      <c r="F17" s="427">
        <v>270</v>
      </c>
      <c r="G17" s="427">
        <v>-3363</v>
      </c>
      <c r="H17" s="427">
        <v>615</v>
      </c>
      <c r="I17" s="427">
        <v>1511</v>
      </c>
      <c r="J17" s="427">
        <v>0</v>
      </c>
      <c r="K17" s="427">
        <v>0</v>
      </c>
      <c r="L17" s="427">
        <v>0</v>
      </c>
      <c r="M17" s="427">
        <v>0</v>
      </c>
      <c r="N17" s="427">
        <v>0</v>
      </c>
      <c r="O17" s="427">
        <v>1904</v>
      </c>
      <c r="P17" s="427">
        <v>5064</v>
      </c>
      <c r="Q17" s="404"/>
    </row>
    <row r="18" spans="1:17" s="4" customFormat="1" ht="11">
      <c r="A18" s="428" t="s">
        <v>545</v>
      </c>
      <c r="B18" s="424" t="s">
        <v>764</v>
      </c>
      <c r="C18" s="429">
        <v>157622</v>
      </c>
      <c r="D18" s="429">
        <v>168948</v>
      </c>
      <c r="E18" s="429">
        <v>174051</v>
      </c>
      <c r="F18" s="429">
        <v>168375</v>
      </c>
      <c r="G18" s="429">
        <v>164104</v>
      </c>
      <c r="H18" s="429">
        <v>171064</v>
      </c>
      <c r="I18" s="429">
        <v>173938</v>
      </c>
      <c r="J18" s="429">
        <v>163365</v>
      </c>
      <c r="K18" s="429">
        <v>163365</v>
      </c>
      <c r="L18" s="429">
        <v>163365</v>
      </c>
      <c r="M18" s="429">
        <v>163365</v>
      </c>
      <c r="N18" s="429">
        <v>163365</v>
      </c>
      <c r="O18" s="429">
        <v>1994928</v>
      </c>
      <c r="P18" s="429">
        <v>1920452</v>
      </c>
      <c r="Q18" s="404"/>
    </row>
    <row r="19" spans="1:17" s="4" customFormat="1" ht="11">
      <c r="A19" s="424" t="s">
        <v>742</v>
      </c>
      <c r="B19" s="424" t="s">
        <v>765</v>
      </c>
      <c r="C19" s="424" t="s">
        <v>742</v>
      </c>
      <c r="D19" s="424" t="s">
        <v>742</v>
      </c>
      <c r="E19" s="424" t="s">
        <v>742</v>
      </c>
      <c r="F19" s="424" t="s">
        <v>742</v>
      </c>
      <c r="G19" s="424" t="s">
        <v>742</v>
      </c>
      <c r="H19" s="424" t="s">
        <v>742</v>
      </c>
      <c r="I19" s="424" t="s">
        <v>742</v>
      </c>
      <c r="J19" s="424" t="s">
        <v>742</v>
      </c>
      <c r="K19" s="424" t="s">
        <v>742</v>
      </c>
      <c r="L19" s="424" t="s">
        <v>742</v>
      </c>
      <c r="M19" s="424" t="s">
        <v>742</v>
      </c>
      <c r="N19" s="424" t="s">
        <v>742</v>
      </c>
      <c r="O19" s="424" t="s">
        <v>742</v>
      </c>
      <c r="P19" s="424" t="s">
        <v>742</v>
      </c>
      <c r="Q19" s="404"/>
    </row>
    <row r="20" spans="1:17" s="10" customFormat="1" ht="11">
      <c r="A20" s="424" t="s">
        <v>766</v>
      </c>
      <c r="B20" s="424" t="s">
        <v>767</v>
      </c>
      <c r="C20" s="424" t="s">
        <v>766</v>
      </c>
      <c r="D20" s="424" t="s">
        <v>766</v>
      </c>
      <c r="E20" s="424" t="s">
        <v>766</v>
      </c>
      <c r="F20" s="424" t="s">
        <v>766</v>
      </c>
      <c r="G20" s="424" t="s">
        <v>766</v>
      </c>
      <c r="H20" s="424" t="s">
        <v>766</v>
      </c>
      <c r="I20" s="424" t="s">
        <v>766</v>
      </c>
      <c r="J20" s="424" t="s">
        <v>766</v>
      </c>
      <c r="K20" s="424" t="s">
        <v>766</v>
      </c>
      <c r="L20" s="424" t="s">
        <v>766</v>
      </c>
      <c r="M20" s="424" t="s">
        <v>766</v>
      </c>
      <c r="N20" s="424" t="s">
        <v>766</v>
      </c>
      <c r="O20" s="424" t="s">
        <v>766</v>
      </c>
      <c r="P20" s="424" t="s">
        <v>766</v>
      </c>
      <c r="Q20" s="404"/>
    </row>
    <row r="21" spans="1:17" s="403" customFormat="1" ht="11">
      <c r="A21" s="424" t="s">
        <v>768</v>
      </c>
      <c r="B21" s="424" t="s">
        <v>769</v>
      </c>
      <c r="C21" s="427">
        <v>250</v>
      </c>
      <c r="D21" s="427">
        <v>800</v>
      </c>
      <c r="E21" s="427">
        <v>600</v>
      </c>
      <c r="F21" s="427">
        <v>400</v>
      </c>
      <c r="G21" s="427">
        <v>1350</v>
      </c>
      <c r="H21" s="427">
        <v>550</v>
      </c>
      <c r="I21" s="427">
        <v>250</v>
      </c>
      <c r="J21" s="427">
        <v>500</v>
      </c>
      <c r="K21" s="427">
        <v>500</v>
      </c>
      <c r="L21" s="427">
        <v>500</v>
      </c>
      <c r="M21" s="427">
        <v>500</v>
      </c>
      <c r="N21" s="427">
        <v>500</v>
      </c>
      <c r="O21" s="427">
        <v>6700</v>
      </c>
      <c r="P21" s="427">
        <v>5800</v>
      </c>
      <c r="Q21" s="404"/>
    </row>
    <row r="22" spans="1:17" s="4" customFormat="1" ht="11">
      <c r="A22" s="424" t="s">
        <v>770</v>
      </c>
      <c r="B22" s="424" t="s">
        <v>771</v>
      </c>
      <c r="C22" s="427">
        <v>600</v>
      </c>
      <c r="D22" s="427">
        <v>1625</v>
      </c>
      <c r="E22" s="427">
        <v>1915</v>
      </c>
      <c r="F22" s="427">
        <v>1266</v>
      </c>
      <c r="G22" s="427">
        <v>2000</v>
      </c>
      <c r="H22" s="427">
        <v>1725</v>
      </c>
      <c r="I22" s="427">
        <v>900</v>
      </c>
      <c r="J22" s="427">
        <v>1500</v>
      </c>
      <c r="K22" s="427">
        <v>1500</v>
      </c>
      <c r="L22" s="427">
        <v>1500</v>
      </c>
      <c r="M22" s="427">
        <v>1500</v>
      </c>
      <c r="N22" s="427">
        <v>1500</v>
      </c>
      <c r="O22" s="427">
        <v>17531</v>
      </c>
      <c r="P22" s="427">
        <v>14449</v>
      </c>
      <c r="Q22" s="404"/>
    </row>
    <row r="23" spans="1:17" s="403" customFormat="1" ht="11">
      <c r="A23" s="424" t="s">
        <v>773</v>
      </c>
      <c r="B23" s="424" t="s">
        <v>774</v>
      </c>
      <c r="C23" s="427">
        <v>25</v>
      </c>
      <c r="D23" s="427">
        <v>195</v>
      </c>
      <c r="E23" s="427">
        <v>239</v>
      </c>
      <c r="F23" s="427">
        <v>725</v>
      </c>
      <c r="G23" s="427">
        <v>524</v>
      </c>
      <c r="H23" s="427">
        <v>175</v>
      </c>
      <c r="I23" s="427">
        <v>165</v>
      </c>
      <c r="J23" s="427">
        <v>150</v>
      </c>
      <c r="K23" s="427">
        <v>150</v>
      </c>
      <c r="L23" s="427">
        <v>150</v>
      </c>
      <c r="M23" s="427">
        <v>150</v>
      </c>
      <c r="N23" s="427">
        <v>150</v>
      </c>
      <c r="O23" s="427">
        <v>2797</v>
      </c>
      <c r="P23" s="427">
        <v>1112</v>
      </c>
      <c r="Q23" s="404"/>
    </row>
    <row r="24" spans="1:17" s="403" customFormat="1" ht="11">
      <c r="A24" s="424" t="s">
        <v>776</v>
      </c>
      <c r="B24" s="424" t="s">
        <v>777</v>
      </c>
      <c r="C24" s="427">
        <v>30</v>
      </c>
      <c r="D24" s="427">
        <v>55</v>
      </c>
      <c r="E24" s="427">
        <v>15</v>
      </c>
      <c r="F24" s="427">
        <v>20</v>
      </c>
      <c r="G24" s="427">
        <v>35</v>
      </c>
      <c r="H24" s="427">
        <v>40</v>
      </c>
      <c r="I24" s="427">
        <v>15</v>
      </c>
      <c r="J24" s="427">
        <v>25</v>
      </c>
      <c r="K24" s="427">
        <v>25</v>
      </c>
      <c r="L24" s="427">
        <v>25</v>
      </c>
      <c r="M24" s="427">
        <v>25</v>
      </c>
      <c r="N24" s="427">
        <v>25</v>
      </c>
      <c r="O24" s="427">
        <v>335</v>
      </c>
      <c r="P24" s="427">
        <v>892</v>
      </c>
      <c r="Q24" s="404"/>
    </row>
    <row r="25" spans="1:17" s="4" customFormat="1" ht="11">
      <c r="A25" s="424" t="s">
        <v>778</v>
      </c>
      <c r="B25" s="424" t="s">
        <v>779</v>
      </c>
      <c r="C25" s="427">
        <v>2040</v>
      </c>
      <c r="D25" s="427">
        <v>790</v>
      </c>
      <c r="E25" s="427">
        <v>900</v>
      </c>
      <c r="F25" s="427">
        <v>990</v>
      </c>
      <c r="G25" s="427">
        <v>1490</v>
      </c>
      <c r="H25" s="427">
        <v>700</v>
      </c>
      <c r="I25" s="427">
        <v>700</v>
      </c>
      <c r="J25" s="427">
        <v>1400</v>
      </c>
      <c r="K25" s="427">
        <v>1400</v>
      </c>
      <c r="L25" s="427">
        <v>1400</v>
      </c>
      <c r="M25" s="427">
        <v>1400</v>
      </c>
      <c r="N25" s="427">
        <v>1400</v>
      </c>
      <c r="O25" s="427">
        <v>14610</v>
      </c>
      <c r="P25" s="427">
        <v>14060</v>
      </c>
      <c r="Q25" s="404"/>
    </row>
    <row r="26" spans="1:17" s="4" customFormat="1" ht="11">
      <c r="A26" s="424" t="s">
        <v>780</v>
      </c>
      <c r="B26" s="424" t="s">
        <v>781</v>
      </c>
      <c r="C26" s="427">
        <v>0</v>
      </c>
      <c r="D26" s="427">
        <v>0</v>
      </c>
      <c r="E26" s="427">
        <v>25</v>
      </c>
      <c r="F26" s="427">
        <v>0</v>
      </c>
      <c r="G26" s="427">
        <v>0</v>
      </c>
      <c r="H26" s="427">
        <v>0</v>
      </c>
      <c r="I26" s="427">
        <v>25</v>
      </c>
      <c r="J26" s="427">
        <v>25</v>
      </c>
      <c r="K26" s="427">
        <v>25</v>
      </c>
      <c r="L26" s="427">
        <v>25</v>
      </c>
      <c r="M26" s="427">
        <v>25</v>
      </c>
      <c r="N26" s="427">
        <v>25</v>
      </c>
      <c r="O26" s="427">
        <v>175</v>
      </c>
      <c r="P26" s="427">
        <v>325</v>
      </c>
      <c r="Q26" s="404"/>
    </row>
    <row r="27" spans="1:17" s="4" customFormat="1" ht="11">
      <c r="A27" s="424" t="s">
        <v>782</v>
      </c>
      <c r="B27" s="424" t="s">
        <v>783</v>
      </c>
      <c r="C27" s="427">
        <v>2062</v>
      </c>
      <c r="D27" s="427">
        <v>2028</v>
      </c>
      <c r="E27" s="427">
        <v>2181</v>
      </c>
      <c r="F27" s="427">
        <v>1986</v>
      </c>
      <c r="G27" s="427">
        <v>2122</v>
      </c>
      <c r="H27" s="427">
        <v>2086</v>
      </c>
      <c r="I27" s="427">
        <v>2115</v>
      </c>
      <c r="J27" s="427">
        <v>2100</v>
      </c>
      <c r="K27" s="427">
        <v>2100</v>
      </c>
      <c r="L27" s="427">
        <v>2100</v>
      </c>
      <c r="M27" s="427">
        <v>2100</v>
      </c>
      <c r="N27" s="427">
        <v>2100</v>
      </c>
      <c r="O27" s="427">
        <v>25080</v>
      </c>
      <c r="P27" s="427">
        <v>24445</v>
      </c>
      <c r="Q27" s="404"/>
    </row>
    <row r="28" spans="1:17" s="4" customFormat="1" ht="11">
      <c r="A28" s="424" t="s">
        <v>784</v>
      </c>
      <c r="B28" s="424" t="s">
        <v>785</v>
      </c>
      <c r="C28" s="427">
        <v>200</v>
      </c>
      <c r="D28" s="427">
        <v>200</v>
      </c>
      <c r="E28" s="427">
        <v>600</v>
      </c>
      <c r="F28" s="427">
        <v>65</v>
      </c>
      <c r="G28" s="427">
        <v>685</v>
      </c>
      <c r="H28" s="427">
        <v>1669</v>
      </c>
      <c r="I28" s="427">
        <v>300</v>
      </c>
      <c r="J28" s="427">
        <v>200</v>
      </c>
      <c r="K28" s="427">
        <v>200</v>
      </c>
      <c r="L28" s="427">
        <v>200</v>
      </c>
      <c r="M28" s="427">
        <v>200</v>
      </c>
      <c r="N28" s="427">
        <v>200</v>
      </c>
      <c r="O28" s="427">
        <v>4719</v>
      </c>
      <c r="P28" s="427">
        <v>2786</v>
      </c>
      <c r="Q28" s="404"/>
    </row>
    <row r="29" spans="1:17" s="4" customFormat="1" ht="11">
      <c r="A29" s="424" t="s">
        <v>786</v>
      </c>
      <c r="B29" s="424" t="s">
        <v>787</v>
      </c>
      <c r="C29" s="427">
        <v>871</v>
      </c>
      <c r="D29" s="427">
        <v>-56</v>
      </c>
      <c r="E29" s="427">
        <v>1354</v>
      </c>
      <c r="F29" s="427">
        <v>2203</v>
      </c>
      <c r="G29" s="427">
        <v>821</v>
      </c>
      <c r="H29" s="427">
        <v>1124</v>
      </c>
      <c r="I29" s="427">
        <v>671</v>
      </c>
      <c r="J29" s="427">
        <v>1000</v>
      </c>
      <c r="K29" s="427">
        <v>1000</v>
      </c>
      <c r="L29" s="427">
        <v>1000</v>
      </c>
      <c r="M29" s="427">
        <v>1000</v>
      </c>
      <c r="N29" s="427">
        <v>1000</v>
      </c>
      <c r="O29" s="427">
        <v>11988</v>
      </c>
      <c r="P29" s="427">
        <v>13664</v>
      </c>
      <c r="Q29" s="404"/>
    </row>
    <row r="30" spans="1:17" s="4" customFormat="1" ht="11">
      <c r="A30" s="428" t="s">
        <v>545</v>
      </c>
      <c r="B30" s="424" t="s">
        <v>767</v>
      </c>
      <c r="C30" s="429">
        <v>6078</v>
      </c>
      <c r="D30" s="429">
        <v>5637</v>
      </c>
      <c r="E30" s="429">
        <v>7829</v>
      </c>
      <c r="F30" s="429">
        <v>7655</v>
      </c>
      <c r="G30" s="429">
        <v>9027</v>
      </c>
      <c r="H30" s="429">
        <v>8069</v>
      </c>
      <c r="I30" s="429">
        <v>5141</v>
      </c>
      <c r="J30" s="429">
        <v>6900</v>
      </c>
      <c r="K30" s="429">
        <v>6900</v>
      </c>
      <c r="L30" s="429">
        <v>6900</v>
      </c>
      <c r="M30" s="429">
        <v>6900</v>
      </c>
      <c r="N30" s="429">
        <v>6900</v>
      </c>
      <c r="O30" s="429">
        <v>83935</v>
      </c>
      <c r="P30" s="429">
        <v>77533</v>
      </c>
      <c r="Q30" s="404"/>
    </row>
    <row r="31" spans="1:17" s="4" customFormat="1" ht="11">
      <c r="A31" s="424" t="s">
        <v>766</v>
      </c>
      <c r="B31" s="424" t="s">
        <v>789</v>
      </c>
      <c r="C31" s="424" t="s">
        <v>766</v>
      </c>
      <c r="D31" s="424" t="s">
        <v>766</v>
      </c>
      <c r="E31" s="424" t="s">
        <v>766</v>
      </c>
      <c r="F31" s="424" t="s">
        <v>766</v>
      </c>
      <c r="G31" s="424" t="s">
        <v>766</v>
      </c>
      <c r="H31" s="424" t="s">
        <v>766</v>
      </c>
      <c r="I31" s="424" t="s">
        <v>766</v>
      </c>
      <c r="J31" s="424" t="s">
        <v>766</v>
      </c>
      <c r="K31" s="424" t="s">
        <v>766</v>
      </c>
      <c r="L31" s="424" t="s">
        <v>766</v>
      </c>
      <c r="M31" s="424" t="s">
        <v>766</v>
      </c>
      <c r="N31" s="424" t="s">
        <v>766</v>
      </c>
      <c r="O31" s="424" t="s">
        <v>766</v>
      </c>
      <c r="P31" s="424" t="s">
        <v>766</v>
      </c>
      <c r="Q31" s="404"/>
    </row>
    <row r="32" spans="1:17" s="4" customFormat="1" ht="11">
      <c r="A32" s="424" t="s">
        <v>796</v>
      </c>
      <c r="B32" s="424" t="s">
        <v>797</v>
      </c>
      <c r="C32" s="427">
        <v>1020</v>
      </c>
      <c r="D32" s="427">
        <v>1030</v>
      </c>
      <c r="E32" s="427">
        <v>1050</v>
      </c>
      <c r="F32" s="427">
        <v>1000</v>
      </c>
      <c r="G32" s="427">
        <v>1000</v>
      </c>
      <c r="H32" s="427">
        <v>1000</v>
      </c>
      <c r="I32" s="427">
        <v>1010</v>
      </c>
      <c r="J32" s="427">
        <v>1050</v>
      </c>
      <c r="K32" s="427">
        <v>1050</v>
      </c>
      <c r="L32" s="427">
        <v>1050</v>
      </c>
      <c r="M32" s="427">
        <v>1050</v>
      </c>
      <c r="N32" s="427">
        <v>1050</v>
      </c>
      <c r="O32" s="427">
        <v>12360</v>
      </c>
      <c r="P32" s="427">
        <v>12860</v>
      </c>
      <c r="Q32" s="404"/>
    </row>
    <row r="33" spans="1:17" s="4" customFormat="1" ht="11">
      <c r="A33" s="424" t="s">
        <v>801</v>
      </c>
      <c r="B33" s="424" t="s">
        <v>802</v>
      </c>
      <c r="C33" s="427">
        <v>0</v>
      </c>
      <c r="D33" s="427">
        <v>0</v>
      </c>
      <c r="E33" s="427">
        <v>0</v>
      </c>
      <c r="F33" s="427">
        <v>0</v>
      </c>
      <c r="G33" s="427">
        <v>0</v>
      </c>
      <c r="H33" s="427">
        <v>0</v>
      </c>
      <c r="I33" s="427">
        <v>0</v>
      </c>
      <c r="J33" s="427">
        <v>0</v>
      </c>
      <c r="K33" s="427">
        <v>0</v>
      </c>
      <c r="L33" s="427">
        <v>0</v>
      </c>
      <c r="M33" s="427">
        <v>0</v>
      </c>
      <c r="N33" s="427">
        <v>0</v>
      </c>
      <c r="O33" s="427">
        <v>0</v>
      </c>
      <c r="P33" s="427">
        <v>99</v>
      </c>
      <c r="Q33" s="404"/>
    </row>
    <row r="34" spans="1:17" s="4" customFormat="1" ht="11">
      <c r="A34" s="428" t="s">
        <v>545</v>
      </c>
      <c r="B34" s="424" t="s">
        <v>803</v>
      </c>
      <c r="C34" s="429">
        <v>1020</v>
      </c>
      <c r="D34" s="429">
        <v>1030</v>
      </c>
      <c r="E34" s="429">
        <v>1050</v>
      </c>
      <c r="F34" s="429">
        <v>1000</v>
      </c>
      <c r="G34" s="429">
        <v>1000</v>
      </c>
      <c r="H34" s="429">
        <v>1000</v>
      </c>
      <c r="I34" s="429">
        <v>1010</v>
      </c>
      <c r="J34" s="429">
        <v>1050</v>
      </c>
      <c r="K34" s="429">
        <v>1050</v>
      </c>
      <c r="L34" s="429">
        <v>1050</v>
      </c>
      <c r="M34" s="429">
        <v>1050</v>
      </c>
      <c r="N34" s="429">
        <v>1050</v>
      </c>
      <c r="O34" s="429">
        <v>12360</v>
      </c>
      <c r="P34" s="429">
        <v>12959</v>
      </c>
      <c r="Q34" s="404"/>
    </row>
    <row r="35" spans="1:17" s="4" customFormat="1" ht="11">
      <c r="A35" s="424" t="s">
        <v>766</v>
      </c>
      <c r="B35" s="424" t="s">
        <v>804</v>
      </c>
      <c r="C35" s="424" t="s">
        <v>766</v>
      </c>
      <c r="D35" s="424" t="s">
        <v>766</v>
      </c>
      <c r="E35" s="424" t="s">
        <v>766</v>
      </c>
      <c r="F35" s="424" t="s">
        <v>766</v>
      </c>
      <c r="G35" s="424" t="s">
        <v>766</v>
      </c>
      <c r="H35" s="424" t="s">
        <v>766</v>
      </c>
      <c r="I35" s="424" t="s">
        <v>766</v>
      </c>
      <c r="J35" s="424" t="s">
        <v>766</v>
      </c>
      <c r="K35" s="424" t="s">
        <v>766</v>
      </c>
      <c r="L35" s="424" t="s">
        <v>766</v>
      </c>
      <c r="M35" s="424" t="s">
        <v>766</v>
      </c>
      <c r="N35" s="424" t="s">
        <v>766</v>
      </c>
      <c r="O35" s="424" t="s">
        <v>766</v>
      </c>
      <c r="P35" s="424" t="s">
        <v>766</v>
      </c>
      <c r="Q35" s="404"/>
    </row>
    <row r="36" spans="1:17" s="4" customFormat="1" ht="11">
      <c r="A36" s="424" t="s">
        <v>805</v>
      </c>
      <c r="B36" s="424" t="s">
        <v>806</v>
      </c>
      <c r="C36" s="427">
        <v>0</v>
      </c>
      <c r="D36" s="427">
        <v>0</v>
      </c>
      <c r="E36" s="427">
        <v>0</v>
      </c>
      <c r="F36" s="427">
        <v>0</v>
      </c>
      <c r="G36" s="427">
        <v>0</v>
      </c>
      <c r="H36" s="427">
        <v>0</v>
      </c>
      <c r="I36" s="427">
        <v>0</v>
      </c>
      <c r="J36" s="427">
        <v>0</v>
      </c>
      <c r="K36" s="427">
        <v>0</v>
      </c>
      <c r="L36" s="427">
        <v>0</v>
      </c>
      <c r="M36" s="427">
        <v>0</v>
      </c>
      <c r="N36" s="427">
        <v>0</v>
      </c>
      <c r="O36" s="427">
        <v>0</v>
      </c>
      <c r="P36" s="427">
        <v>180</v>
      </c>
      <c r="Q36" s="404"/>
    </row>
    <row r="37" spans="1:17" s="10" customFormat="1" ht="11">
      <c r="A37" s="424" t="s">
        <v>809</v>
      </c>
      <c r="B37" s="424" t="s">
        <v>810</v>
      </c>
      <c r="C37" s="427">
        <v>6193</v>
      </c>
      <c r="D37" s="427">
        <v>6254</v>
      </c>
      <c r="E37" s="427">
        <v>6402</v>
      </c>
      <c r="F37" s="427">
        <v>6304</v>
      </c>
      <c r="G37" s="427">
        <v>6282</v>
      </c>
      <c r="H37" s="427">
        <v>6355</v>
      </c>
      <c r="I37" s="427">
        <v>6390</v>
      </c>
      <c r="J37" s="427">
        <v>6300</v>
      </c>
      <c r="K37" s="427">
        <v>6300</v>
      </c>
      <c r="L37" s="427">
        <v>6300</v>
      </c>
      <c r="M37" s="427">
        <v>6300</v>
      </c>
      <c r="N37" s="427">
        <v>6300</v>
      </c>
      <c r="O37" s="427">
        <v>75680</v>
      </c>
      <c r="P37" s="427">
        <v>75493</v>
      </c>
      <c r="Q37" s="404"/>
    </row>
    <row r="38" spans="1:17" s="403" customFormat="1" ht="11">
      <c r="A38" s="428" t="s">
        <v>545</v>
      </c>
      <c r="B38" s="424" t="s">
        <v>804</v>
      </c>
      <c r="C38" s="429">
        <v>6193</v>
      </c>
      <c r="D38" s="429">
        <v>6254</v>
      </c>
      <c r="E38" s="429">
        <v>6402</v>
      </c>
      <c r="F38" s="429">
        <v>6304</v>
      </c>
      <c r="G38" s="429">
        <v>6282</v>
      </c>
      <c r="H38" s="429">
        <v>6355</v>
      </c>
      <c r="I38" s="429">
        <v>6390</v>
      </c>
      <c r="J38" s="429">
        <v>6300</v>
      </c>
      <c r="K38" s="429">
        <v>6300</v>
      </c>
      <c r="L38" s="429">
        <v>6300</v>
      </c>
      <c r="M38" s="429">
        <v>6300</v>
      </c>
      <c r="N38" s="429">
        <v>6300</v>
      </c>
      <c r="O38" s="429">
        <v>75680</v>
      </c>
      <c r="P38" s="429">
        <v>75673</v>
      </c>
      <c r="Q38" s="404"/>
    </row>
    <row r="39" spans="1:17" s="403" customFormat="1" ht="12">
      <c r="A39" s="425" t="s">
        <v>545</v>
      </c>
      <c r="B39" s="424" t="s">
        <v>765</v>
      </c>
      <c r="C39" s="429">
        <v>13291</v>
      </c>
      <c r="D39" s="429">
        <v>12921</v>
      </c>
      <c r="E39" s="429">
        <v>15281</v>
      </c>
      <c r="F39" s="429">
        <v>14959</v>
      </c>
      <c r="G39" s="429">
        <v>16309</v>
      </c>
      <c r="H39" s="429">
        <v>15424</v>
      </c>
      <c r="I39" s="429">
        <v>12541</v>
      </c>
      <c r="J39" s="429">
        <v>14250</v>
      </c>
      <c r="K39" s="429">
        <v>14250</v>
      </c>
      <c r="L39" s="429">
        <v>14250</v>
      </c>
      <c r="M39" s="429">
        <v>14250</v>
      </c>
      <c r="N39" s="429">
        <v>14250</v>
      </c>
      <c r="O39" s="429">
        <v>171975</v>
      </c>
      <c r="P39" s="429">
        <v>166165</v>
      </c>
      <c r="Q39" s="404"/>
    </row>
    <row r="40" spans="1:17" s="4" customFormat="1" ht="12">
      <c r="A40" s="425" t="s">
        <v>545</v>
      </c>
      <c r="B40" s="424" t="s">
        <v>811</v>
      </c>
      <c r="C40" s="429">
        <v>170913</v>
      </c>
      <c r="D40" s="429">
        <v>181869</v>
      </c>
      <c r="E40" s="429">
        <v>189332</v>
      </c>
      <c r="F40" s="429">
        <v>183334</v>
      </c>
      <c r="G40" s="429">
        <v>180413</v>
      </c>
      <c r="H40" s="429">
        <v>186488</v>
      </c>
      <c r="I40" s="429">
        <v>186479</v>
      </c>
      <c r="J40" s="429">
        <v>177615</v>
      </c>
      <c r="K40" s="429">
        <v>177615</v>
      </c>
      <c r="L40" s="429">
        <v>177615</v>
      </c>
      <c r="M40" s="429">
        <v>177615</v>
      </c>
      <c r="N40" s="429">
        <v>177615</v>
      </c>
      <c r="O40" s="429">
        <v>2166903</v>
      </c>
      <c r="P40" s="429">
        <v>2086617</v>
      </c>
      <c r="Q40" s="404"/>
    </row>
    <row r="41" spans="1:17" s="4" customFormat="1" ht="11">
      <c r="A41" s="424" t="s">
        <v>742</v>
      </c>
      <c r="B41" s="424" t="s">
        <v>812</v>
      </c>
      <c r="C41" s="424" t="s">
        <v>742</v>
      </c>
      <c r="D41" s="424" t="s">
        <v>742</v>
      </c>
      <c r="E41" s="424" t="s">
        <v>742</v>
      </c>
      <c r="F41" s="424" t="s">
        <v>742</v>
      </c>
      <c r="G41" s="424" t="s">
        <v>742</v>
      </c>
      <c r="H41" s="424" t="s">
        <v>742</v>
      </c>
      <c r="I41" s="424" t="s">
        <v>742</v>
      </c>
      <c r="J41" s="424" t="s">
        <v>742</v>
      </c>
      <c r="K41" s="424" t="s">
        <v>742</v>
      </c>
      <c r="L41" s="424" t="s">
        <v>742</v>
      </c>
      <c r="M41" s="424" t="s">
        <v>742</v>
      </c>
      <c r="N41" s="424" t="s">
        <v>742</v>
      </c>
      <c r="O41" s="424" t="s">
        <v>742</v>
      </c>
      <c r="P41" s="424" t="s">
        <v>742</v>
      </c>
      <c r="Q41" s="404"/>
    </row>
    <row r="42" spans="1:17" s="4" customFormat="1" ht="11">
      <c r="A42" s="424" t="s">
        <v>766</v>
      </c>
      <c r="B42" s="424" t="s">
        <v>813</v>
      </c>
      <c r="C42" s="424" t="s">
        <v>766</v>
      </c>
      <c r="D42" s="424" t="s">
        <v>766</v>
      </c>
      <c r="E42" s="424" t="s">
        <v>766</v>
      </c>
      <c r="F42" s="424" t="s">
        <v>766</v>
      </c>
      <c r="G42" s="424" t="s">
        <v>766</v>
      </c>
      <c r="H42" s="424" t="s">
        <v>766</v>
      </c>
      <c r="I42" s="424" t="s">
        <v>766</v>
      </c>
      <c r="J42" s="424" t="s">
        <v>766</v>
      </c>
      <c r="K42" s="424" t="s">
        <v>766</v>
      </c>
      <c r="L42" s="424" t="s">
        <v>766</v>
      </c>
      <c r="M42" s="424" t="s">
        <v>766</v>
      </c>
      <c r="N42" s="424" t="s">
        <v>766</v>
      </c>
      <c r="O42" s="424" t="s">
        <v>766</v>
      </c>
      <c r="P42" s="424" t="s">
        <v>766</v>
      </c>
      <c r="Q42" s="404"/>
    </row>
    <row r="43" spans="1:17" s="4" customFormat="1" ht="11">
      <c r="A43" s="424" t="s">
        <v>814</v>
      </c>
      <c r="B43" s="424" t="s">
        <v>815</v>
      </c>
      <c r="C43" s="424" t="s">
        <v>814</v>
      </c>
      <c r="D43" s="424" t="s">
        <v>814</v>
      </c>
      <c r="E43" s="424" t="s">
        <v>814</v>
      </c>
      <c r="F43" s="424" t="s">
        <v>814</v>
      </c>
      <c r="G43" s="424" t="s">
        <v>814</v>
      </c>
      <c r="H43" s="424" t="s">
        <v>814</v>
      </c>
      <c r="I43" s="424" t="s">
        <v>814</v>
      </c>
      <c r="J43" s="424" t="s">
        <v>814</v>
      </c>
      <c r="K43" s="424" t="s">
        <v>814</v>
      </c>
      <c r="L43" s="424" t="s">
        <v>814</v>
      </c>
      <c r="M43" s="424" t="s">
        <v>814</v>
      </c>
      <c r="N43" s="424" t="s">
        <v>814</v>
      </c>
      <c r="O43" s="424" t="s">
        <v>814</v>
      </c>
      <c r="P43" s="424" t="s">
        <v>814</v>
      </c>
      <c r="Q43" s="404"/>
    </row>
    <row r="44" spans="1:17" s="4" customFormat="1" ht="11">
      <c r="A44" s="424" t="s">
        <v>816</v>
      </c>
      <c r="B44" s="424" t="s">
        <v>817</v>
      </c>
      <c r="C44" s="427">
        <v>5128</v>
      </c>
      <c r="D44" s="427">
        <v>5456</v>
      </c>
      <c r="E44" s="427">
        <v>5680</v>
      </c>
      <c r="F44" s="427">
        <v>5500</v>
      </c>
      <c r="G44" s="427">
        <v>5413</v>
      </c>
      <c r="H44" s="427">
        <v>5595</v>
      </c>
      <c r="I44" s="427">
        <v>5594</v>
      </c>
      <c r="J44" s="427">
        <v>5328</v>
      </c>
      <c r="K44" s="427">
        <v>5328</v>
      </c>
      <c r="L44" s="427">
        <v>5328</v>
      </c>
      <c r="M44" s="427">
        <v>5328</v>
      </c>
      <c r="N44" s="427">
        <v>5328</v>
      </c>
      <c r="O44" s="427">
        <v>65004</v>
      </c>
      <c r="P44" s="427">
        <v>62596</v>
      </c>
      <c r="Q44" s="404"/>
    </row>
    <row r="45" spans="1:17" s="4" customFormat="1" ht="11">
      <c r="A45" s="428" t="s">
        <v>545</v>
      </c>
      <c r="B45" s="424" t="s">
        <v>815</v>
      </c>
      <c r="C45" s="429">
        <v>5128</v>
      </c>
      <c r="D45" s="429">
        <v>5456</v>
      </c>
      <c r="E45" s="429">
        <v>5680</v>
      </c>
      <c r="F45" s="429">
        <v>5500</v>
      </c>
      <c r="G45" s="429">
        <v>5413</v>
      </c>
      <c r="H45" s="429">
        <v>5595</v>
      </c>
      <c r="I45" s="429">
        <v>5594</v>
      </c>
      <c r="J45" s="429">
        <v>5328</v>
      </c>
      <c r="K45" s="429">
        <v>5328</v>
      </c>
      <c r="L45" s="429">
        <v>5328</v>
      </c>
      <c r="M45" s="429">
        <v>5328</v>
      </c>
      <c r="N45" s="429">
        <v>5328</v>
      </c>
      <c r="O45" s="429">
        <v>65004</v>
      </c>
      <c r="P45" s="429">
        <v>62596</v>
      </c>
      <c r="Q45" s="404"/>
    </row>
    <row r="46" spans="1:17" s="4" customFormat="1" ht="11">
      <c r="A46" s="424" t="s">
        <v>814</v>
      </c>
      <c r="B46" s="424" t="s">
        <v>818</v>
      </c>
      <c r="C46" s="424" t="s">
        <v>814</v>
      </c>
      <c r="D46" s="424" t="s">
        <v>814</v>
      </c>
      <c r="E46" s="424" t="s">
        <v>814</v>
      </c>
      <c r="F46" s="424" t="s">
        <v>814</v>
      </c>
      <c r="G46" s="424" t="s">
        <v>814</v>
      </c>
      <c r="H46" s="424" t="s">
        <v>814</v>
      </c>
      <c r="I46" s="424" t="s">
        <v>814</v>
      </c>
      <c r="J46" s="424" t="s">
        <v>814</v>
      </c>
      <c r="K46" s="424" t="s">
        <v>814</v>
      </c>
      <c r="L46" s="424" t="s">
        <v>814</v>
      </c>
      <c r="M46" s="424" t="s">
        <v>814</v>
      </c>
      <c r="N46" s="424" t="s">
        <v>814</v>
      </c>
      <c r="O46" s="424" t="s">
        <v>814</v>
      </c>
      <c r="P46" s="424" t="s">
        <v>814</v>
      </c>
      <c r="Q46" s="404"/>
    </row>
    <row r="47" spans="1:17" s="4" customFormat="1" ht="11">
      <c r="A47" s="424" t="s">
        <v>819</v>
      </c>
      <c r="B47" s="424" t="s">
        <v>820</v>
      </c>
      <c r="C47" s="424" t="s">
        <v>819</v>
      </c>
      <c r="D47" s="424" t="s">
        <v>819</v>
      </c>
      <c r="E47" s="424" t="s">
        <v>819</v>
      </c>
      <c r="F47" s="424" t="s">
        <v>819</v>
      </c>
      <c r="G47" s="424" t="s">
        <v>819</v>
      </c>
      <c r="H47" s="424" t="s">
        <v>819</v>
      </c>
      <c r="I47" s="424" t="s">
        <v>819</v>
      </c>
      <c r="J47" s="424" t="s">
        <v>819</v>
      </c>
      <c r="K47" s="424" t="s">
        <v>819</v>
      </c>
      <c r="L47" s="424" t="s">
        <v>819</v>
      </c>
      <c r="M47" s="424" t="s">
        <v>819</v>
      </c>
      <c r="N47" s="424" t="s">
        <v>819</v>
      </c>
      <c r="O47" s="424" t="s">
        <v>819</v>
      </c>
      <c r="P47" s="424" t="s">
        <v>819</v>
      </c>
      <c r="Q47" s="404"/>
    </row>
    <row r="48" spans="1:17" s="4" customFormat="1" ht="11">
      <c r="A48" s="424" t="s">
        <v>821</v>
      </c>
      <c r="B48" s="424" t="s">
        <v>822</v>
      </c>
      <c r="C48" s="427">
        <v>134</v>
      </c>
      <c r="D48" s="427">
        <v>2678</v>
      </c>
      <c r="E48" s="427">
        <v>1902</v>
      </c>
      <c r="F48" s="427">
        <v>1936</v>
      </c>
      <c r="G48" s="427">
        <v>1865</v>
      </c>
      <c r="H48" s="427">
        <v>1865</v>
      </c>
      <c r="I48" s="427">
        <v>1866</v>
      </c>
      <c r="J48" s="427">
        <v>1786</v>
      </c>
      <c r="K48" s="427">
        <v>2713</v>
      </c>
      <c r="L48" s="427">
        <v>1786</v>
      </c>
      <c r="M48" s="427">
        <v>1786</v>
      </c>
      <c r="N48" s="427">
        <v>1786</v>
      </c>
      <c r="O48" s="427">
        <v>22103</v>
      </c>
      <c r="P48" s="427">
        <v>3106</v>
      </c>
      <c r="Q48" s="404"/>
    </row>
    <row r="49" spans="1:17" s="4" customFormat="1" ht="11">
      <c r="A49" s="424" t="s">
        <v>823</v>
      </c>
      <c r="B49" s="424" t="s">
        <v>824</v>
      </c>
      <c r="C49" s="427">
        <v>1732</v>
      </c>
      <c r="D49" s="427">
        <v>0</v>
      </c>
      <c r="E49" s="427">
        <v>0</v>
      </c>
      <c r="F49" s="427">
        <v>0</v>
      </c>
      <c r="G49" s="427">
        <v>0</v>
      </c>
      <c r="H49" s="427">
        <v>0</v>
      </c>
      <c r="I49" s="427">
        <v>0</v>
      </c>
      <c r="J49" s="427">
        <v>0</v>
      </c>
      <c r="K49" s="427">
        <v>0</v>
      </c>
      <c r="L49" s="427">
        <v>0</v>
      </c>
      <c r="M49" s="427">
        <v>0</v>
      </c>
      <c r="N49" s="427">
        <v>0</v>
      </c>
      <c r="O49" s="427">
        <v>1733</v>
      </c>
      <c r="P49" s="427">
        <v>21712</v>
      </c>
      <c r="Q49" s="404"/>
    </row>
    <row r="50" spans="1:17" s="10" customFormat="1" ht="11">
      <c r="A50" s="424" t="s">
        <v>825</v>
      </c>
      <c r="B50" s="424" t="s">
        <v>826</v>
      </c>
      <c r="C50" s="427">
        <v>0</v>
      </c>
      <c r="D50" s="427">
        <v>0</v>
      </c>
      <c r="E50" s="427">
        <v>0</v>
      </c>
      <c r="F50" s="427">
        <v>0</v>
      </c>
      <c r="G50" s="427">
        <v>0</v>
      </c>
      <c r="H50" s="427">
        <v>0</v>
      </c>
      <c r="I50" s="427">
        <v>0</v>
      </c>
      <c r="J50" s="427">
        <v>0</v>
      </c>
      <c r="K50" s="427">
        <v>0</v>
      </c>
      <c r="L50" s="427">
        <v>0</v>
      </c>
      <c r="M50" s="427">
        <v>0</v>
      </c>
      <c r="N50" s="427">
        <v>0</v>
      </c>
      <c r="O50" s="427">
        <v>0</v>
      </c>
      <c r="P50" s="427">
        <v>958</v>
      </c>
      <c r="Q50" s="404"/>
    </row>
    <row r="51" spans="1:17" s="403" customFormat="1" ht="11">
      <c r="A51" s="424" t="s">
        <v>827</v>
      </c>
      <c r="B51" s="424" t="s">
        <v>828</v>
      </c>
      <c r="C51" s="427">
        <v>0</v>
      </c>
      <c r="D51" s="427">
        <v>0</v>
      </c>
      <c r="E51" s="427">
        <v>0</v>
      </c>
      <c r="F51" s="427">
        <v>0</v>
      </c>
      <c r="G51" s="427">
        <v>0</v>
      </c>
      <c r="H51" s="427">
        <v>0</v>
      </c>
      <c r="I51" s="427">
        <v>0</v>
      </c>
      <c r="J51" s="427">
        <v>0</v>
      </c>
      <c r="K51" s="427">
        <v>0</v>
      </c>
      <c r="L51" s="427">
        <v>0</v>
      </c>
      <c r="M51" s="427">
        <v>0</v>
      </c>
      <c r="N51" s="427">
        <v>0</v>
      </c>
      <c r="O51" s="427">
        <v>0</v>
      </c>
      <c r="P51" s="427">
        <v>640</v>
      </c>
      <c r="Q51" s="404"/>
    </row>
    <row r="52" spans="1:17" s="403" customFormat="1" ht="11">
      <c r="A52" s="424" t="s">
        <v>829</v>
      </c>
      <c r="B52" s="424" t="s">
        <v>830</v>
      </c>
      <c r="C52" s="427">
        <v>200</v>
      </c>
      <c r="D52" s="427">
        <v>-100</v>
      </c>
      <c r="E52" s="427">
        <v>0</v>
      </c>
      <c r="F52" s="427">
        <v>0</v>
      </c>
      <c r="G52" s="427">
        <v>0</v>
      </c>
      <c r="H52" s="427">
        <v>0</v>
      </c>
      <c r="I52" s="427">
        <v>0</v>
      </c>
      <c r="J52" s="427">
        <v>0</v>
      </c>
      <c r="K52" s="427">
        <v>0</v>
      </c>
      <c r="L52" s="427">
        <v>0</v>
      </c>
      <c r="M52" s="427">
        <v>0</v>
      </c>
      <c r="N52" s="427">
        <v>0</v>
      </c>
      <c r="O52" s="427">
        <v>100</v>
      </c>
      <c r="P52" s="427">
        <v>100</v>
      </c>
      <c r="Q52" s="404"/>
    </row>
    <row r="53" spans="1:17" s="4" customFormat="1" ht="11">
      <c r="A53" s="424" t="s">
        <v>831</v>
      </c>
      <c r="B53" s="424" t="s">
        <v>832</v>
      </c>
      <c r="C53" s="427">
        <v>0</v>
      </c>
      <c r="D53" s="427">
        <v>125</v>
      </c>
      <c r="E53" s="427">
        <v>125</v>
      </c>
      <c r="F53" s="427">
        <v>0</v>
      </c>
      <c r="G53" s="427">
        <v>0</v>
      </c>
      <c r="H53" s="427">
        <v>0</v>
      </c>
      <c r="I53" s="427">
        <v>0</v>
      </c>
      <c r="J53" s="427">
        <v>0</v>
      </c>
      <c r="K53" s="427">
        <v>0</v>
      </c>
      <c r="L53" s="427">
        <v>0</v>
      </c>
      <c r="M53" s="427">
        <v>0</v>
      </c>
      <c r="N53" s="427">
        <v>0</v>
      </c>
      <c r="O53" s="427">
        <v>250</v>
      </c>
      <c r="P53" s="427">
        <v>115</v>
      </c>
      <c r="Q53" s="404"/>
    </row>
    <row r="54" spans="1:17" s="4" customFormat="1" ht="11">
      <c r="A54" s="428" t="s">
        <v>545</v>
      </c>
      <c r="B54" s="424" t="s">
        <v>820</v>
      </c>
      <c r="C54" s="429">
        <v>2066</v>
      </c>
      <c r="D54" s="429">
        <v>2703</v>
      </c>
      <c r="E54" s="429">
        <v>2027</v>
      </c>
      <c r="F54" s="429">
        <v>1936</v>
      </c>
      <c r="G54" s="429">
        <v>1865</v>
      </c>
      <c r="H54" s="429">
        <v>1865</v>
      </c>
      <c r="I54" s="429">
        <v>1866</v>
      </c>
      <c r="J54" s="429">
        <v>1786</v>
      </c>
      <c r="K54" s="429">
        <v>2713</v>
      </c>
      <c r="L54" s="429">
        <v>1786</v>
      </c>
      <c r="M54" s="429">
        <v>1786</v>
      </c>
      <c r="N54" s="429">
        <v>1786</v>
      </c>
      <c r="O54" s="429">
        <v>24186</v>
      </c>
      <c r="P54" s="429">
        <v>26631</v>
      </c>
      <c r="Q54" s="404"/>
    </row>
    <row r="55" spans="1:17" s="4" customFormat="1" ht="11">
      <c r="A55" s="424" t="s">
        <v>819</v>
      </c>
      <c r="B55" s="424" t="s">
        <v>833</v>
      </c>
      <c r="C55" s="424" t="s">
        <v>819</v>
      </c>
      <c r="D55" s="424" t="s">
        <v>819</v>
      </c>
      <c r="E55" s="424" t="s">
        <v>819</v>
      </c>
      <c r="F55" s="424" t="s">
        <v>819</v>
      </c>
      <c r="G55" s="424" t="s">
        <v>819</v>
      </c>
      <c r="H55" s="424" t="s">
        <v>819</v>
      </c>
      <c r="I55" s="424" t="s">
        <v>819</v>
      </c>
      <c r="J55" s="424" t="s">
        <v>819</v>
      </c>
      <c r="K55" s="424" t="s">
        <v>819</v>
      </c>
      <c r="L55" s="424" t="s">
        <v>819</v>
      </c>
      <c r="M55" s="424" t="s">
        <v>819</v>
      </c>
      <c r="N55" s="424" t="s">
        <v>819</v>
      </c>
      <c r="O55" s="424" t="s">
        <v>819</v>
      </c>
      <c r="P55" s="424" t="s">
        <v>819</v>
      </c>
      <c r="Q55" s="404"/>
    </row>
    <row r="56" spans="1:17" s="4" customFormat="1" ht="11">
      <c r="A56" s="424" t="s">
        <v>835</v>
      </c>
      <c r="B56" s="424" t="s">
        <v>836</v>
      </c>
      <c r="C56" s="427">
        <v>119</v>
      </c>
      <c r="D56" s="427">
        <v>-109</v>
      </c>
      <c r="E56" s="427">
        <v>143</v>
      </c>
      <c r="F56" s="427">
        <v>208</v>
      </c>
      <c r="G56" s="427">
        <v>169</v>
      </c>
      <c r="H56" s="427">
        <v>182</v>
      </c>
      <c r="I56" s="427">
        <v>403</v>
      </c>
      <c r="J56" s="427">
        <v>126</v>
      </c>
      <c r="K56" s="427">
        <v>126</v>
      </c>
      <c r="L56" s="427">
        <v>126</v>
      </c>
      <c r="M56" s="427">
        <v>126</v>
      </c>
      <c r="N56" s="427">
        <v>126</v>
      </c>
      <c r="O56" s="427">
        <v>1745</v>
      </c>
      <c r="P56" s="427">
        <v>1760</v>
      </c>
      <c r="Q56" s="404"/>
    </row>
    <row r="57" spans="1:17" s="10" customFormat="1" ht="11">
      <c r="A57" s="424" t="s">
        <v>837</v>
      </c>
      <c r="B57" s="424" t="s">
        <v>838</v>
      </c>
      <c r="C57" s="427">
        <v>438</v>
      </c>
      <c r="D57" s="427">
        <v>438</v>
      </c>
      <c r="E57" s="427">
        <v>438</v>
      </c>
      <c r="F57" s="427">
        <v>438</v>
      </c>
      <c r="G57" s="427">
        <v>438</v>
      </c>
      <c r="H57" s="427">
        <v>438</v>
      </c>
      <c r="I57" s="427">
        <v>0</v>
      </c>
      <c r="J57" s="427">
        <v>438</v>
      </c>
      <c r="K57" s="427">
        <v>438</v>
      </c>
      <c r="L57" s="427">
        <v>438</v>
      </c>
      <c r="M57" s="427">
        <v>438</v>
      </c>
      <c r="N57" s="427">
        <v>438</v>
      </c>
      <c r="O57" s="427">
        <v>4817</v>
      </c>
      <c r="P57" s="427">
        <v>5068</v>
      </c>
      <c r="Q57" s="404"/>
    </row>
    <row r="58" spans="1:17" s="403" customFormat="1" ht="11">
      <c r="A58" s="424" t="s">
        <v>839</v>
      </c>
      <c r="B58" s="424" t="s">
        <v>840</v>
      </c>
      <c r="C58" s="427">
        <v>60</v>
      </c>
      <c r="D58" s="427">
        <v>393</v>
      </c>
      <c r="E58" s="427">
        <v>60</v>
      </c>
      <c r="F58" s="427">
        <v>434</v>
      </c>
      <c r="G58" s="427">
        <v>90</v>
      </c>
      <c r="H58" s="427">
        <v>648</v>
      </c>
      <c r="I58" s="427">
        <v>90</v>
      </c>
      <c r="J58" s="427">
        <v>300</v>
      </c>
      <c r="K58" s="427">
        <v>300</v>
      </c>
      <c r="L58" s="427">
        <v>300</v>
      </c>
      <c r="M58" s="427">
        <v>300</v>
      </c>
      <c r="N58" s="427">
        <v>300</v>
      </c>
      <c r="O58" s="427">
        <v>3275</v>
      </c>
      <c r="P58" s="427">
        <v>3505</v>
      </c>
      <c r="Q58" s="404"/>
    </row>
    <row r="59" spans="1:17" s="405" customFormat="1" ht="11">
      <c r="A59" s="428" t="s">
        <v>545</v>
      </c>
      <c r="B59" s="424" t="s">
        <v>833</v>
      </c>
      <c r="C59" s="429">
        <v>617</v>
      </c>
      <c r="D59" s="429">
        <v>722</v>
      </c>
      <c r="E59" s="429">
        <v>641</v>
      </c>
      <c r="F59" s="429">
        <v>1080</v>
      </c>
      <c r="G59" s="429">
        <v>697</v>
      </c>
      <c r="H59" s="429">
        <v>1268</v>
      </c>
      <c r="I59" s="429">
        <v>493</v>
      </c>
      <c r="J59" s="429">
        <v>864</v>
      </c>
      <c r="K59" s="429">
        <v>864</v>
      </c>
      <c r="L59" s="429">
        <v>864</v>
      </c>
      <c r="M59" s="429">
        <v>864</v>
      </c>
      <c r="N59" s="429">
        <v>864</v>
      </c>
      <c r="O59" s="429">
        <v>9837</v>
      </c>
      <c r="P59" s="429">
        <v>10333</v>
      </c>
      <c r="Q59" s="404"/>
    </row>
    <row r="60" spans="1:17" s="403" customFormat="1" ht="11">
      <c r="A60" s="424" t="s">
        <v>819</v>
      </c>
      <c r="B60" s="424" t="s">
        <v>843</v>
      </c>
      <c r="C60" s="424" t="s">
        <v>819</v>
      </c>
      <c r="D60" s="424" t="s">
        <v>819</v>
      </c>
      <c r="E60" s="424" t="s">
        <v>819</v>
      </c>
      <c r="F60" s="424" t="s">
        <v>819</v>
      </c>
      <c r="G60" s="424" t="s">
        <v>819</v>
      </c>
      <c r="H60" s="424" t="s">
        <v>819</v>
      </c>
      <c r="I60" s="424" t="s">
        <v>819</v>
      </c>
      <c r="J60" s="424" t="s">
        <v>819</v>
      </c>
      <c r="K60" s="424" t="s">
        <v>819</v>
      </c>
      <c r="L60" s="424" t="s">
        <v>819</v>
      </c>
      <c r="M60" s="424" t="s">
        <v>819</v>
      </c>
      <c r="N60" s="424" t="s">
        <v>819</v>
      </c>
      <c r="O60" s="424" t="s">
        <v>819</v>
      </c>
      <c r="P60" s="424" t="s">
        <v>819</v>
      </c>
      <c r="Q60" s="404"/>
    </row>
    <row r="61" spans="1:17" s="405" customFormat="1" ht="11">
      <c r="A61" s="424" t="s">
        <v>844</v>
      </c>
      <c r="B61" s="424" t="s">
        <v>845</v>
      </c>
      <c r="C61" s="427">
        <v>79</v>
      </c>
      <c r="D61" s="427">
        <v>79</v>
      </c>
      <c r="E61" s="427">
        <v>79</v>
      </c>
      <c r="F61" s="427">
        <v>79</v>
      </c>
      <c r="G61" s="427">
        <v>79</v>
      </c>
      <c r="H61" s="427">
        <v>79</v>
      </c>
      <c r="I61" s="427">
        <v>79</v>
      </c>
      <c r="J61" s="427">
        <v>79</v>
      </c>
      <c r="K61" s="427">
        <v>79</v>
      </c>
      <c r="L61" s="427">
        <v>79</v>
      </c>
      <c r="M61" s="427">
        <v>79</v>
      </c>
      <c r="N61" s="427">
        <v>79</v>
      </c>
      <c r="O61" s="427">
        <v>950</v>
      </c>
      <c r="P61" s="427">
        <v>871</v>
      </c>
      <c r="Q61" s="404"/>
    </row>
    <row r="62" spans="1:17" s="403" customFormat="1" ht="11">
      <c r="A62" s="424" t="s">
        <v>847</v>
      </c>
      <c r="B62" s="424" t="s">
        <v>848</v>
      </c>
      <c r="C62" s="427">
        <v>0</v>
      </c>
      <c r="D62" s="427">
        <v>0</v>
      </c>
      <c r="E62" s="427">
        <v>424</v>
      </c>
      <c r="F62" s="427">
        <v>0</v>
      </c>
      <c r="G62" s="427">
        <v>0</v>
      </c>
      <c r="H62" s="427">
        <v>495</v>
      </c>
      <c r="I62" s="427">
        <v>0</v>
      </c>
      <c r="J62" s="427">
        <v>0</v>
      </c>
      <c r="K62" s="427">
        <v>475</v>
      </c>
      <c r="L62" s="427">
        <v>0</v>
      </c>
      <c r="M62" s="427">
        <v>0</v>
      </c>
      <c r="N62" s="427">
        <v>475</v>
      </c>
      <c r="O62" s="427">
        <v>1868</v>
      </c>
      <c r="P62" s="427">
        <v>1808</v>
      </c>
      <c r="Q62" s="404"/>
    </row>
    <row r="63" spans="1:17" s="4" customFormat="1" ht="11">
      <c r="A63" s="424" t="s">
        <v>849</v>
      </c>
      <c r="B63" s="424" t="s">
        <v>850</v>
      </c>
      <c r="C63" s="427">
        <v>321</v>
      </c>
      <c r="D63" s="427">
        <v>322</v>
      </c>
      <c r="E63" s="427">
        <v>321</v>
      </c>
      <c r="F63" s="427">
        <v>321</v>
      </c>
      <c r="G63" s="427">
        <v>321</v>
      </c>
      <c r="H63" s="427">
        <v>321</v>
      </c>
      <c r="I63" s="427">
        <v>338</v>
      </c>
      <c r="J63" s="427">
        <v>321</v>
      </c>
      <c r="K63" s="427">
        <v>321</v>
      </c>
      <c r="L63" s="427">
        <v>321</v>
      </c>
      <c r="M63" s="427">
        <v>321</v>
      </c>
      <c r="N63" s="427">
        <v>321</v>
      </c>
      <c r="O63" s="427">
        <v>3870</v>
      </c>
      <c r="P63" s="427">
        <v>3761</v>
      </c>
      <c r="Q63" s="404"/>
    </row>
    <row r="64" spans="1:17" s="403" customFormat="1" ht="11">
      <c r="A64" s="424" t="s">
        <v>851</v>
      </c>
      <c r="B64" s="424" t="s">
        <v>852</v>
      </c>
      <c r="C64" s="427">
        <v>364</v>
      </c>
      <c r="D64" s="427">
        <v>363</v>
      </c>
      <c r="E64" s="427">
        <v>364</v>
      </c>
      <c r="F64" s="427">
        <v>441</v>
      </c>
      <c r="G64" s="427">
        <v>441</v>
      </c>
      <c r="H64" s="427">
        <v>441</v>
      </c>
      <c r="I64" s="427">
        <v>441</v>
      </c>
      <c r="J64" s="427">
        <v>364</v>
      </c>
      <c r="K64" s="427">
        <v>364</v>
      </c>
      <c r="L64" s="427">
        <v>364</v>
      </c>
      <c r="M64" s="427">
        <v>364</v>
      </c>
      <c r="N64" s="427">
        <v>364</v>
      </c>
      <c r="O64" s="427">
        <v>4675</v>
      </c>
      <c r="P64" s="427">
        <v>4001</v>
      </c>
      <c r="Q64" s="404"/>
    </row>
    <row r="65" spans="1:17" s="403" customFormat="1" ht="11">
      <c r="A65" s="424" t="s">
        <v>854</v>
      </c>
      <c r="B65" s="424" t="s">
        <v>855</v>
      </c>
      <c r="C65" s="427">
        <v>0</v>
      </c>
      <c r="D65" s="427">
        <v>0</v>
      </c>
      <c r="E65" s="427">
        <v>0</v>
      </c>
      <c r="F65" s="427">
        <v>0</v>
      </c>
      <c r="G65" s="427">
        <v>0</v>
      </c>
      <c r="H65" s="427">
        <v>0</v>
      </c>
      <c r="I65" s="427">
        <v>0</v>
      </c>
      <c r="J65" s="427">
        <v>0</v>
      </c>
      <c r="K65" s="427">
        <v>0</v>
      </c>
      <c r="L65" s="427">
        <v>0</v>
      </c>
      <c r="M65" s="427">
        <v>0</v>
      </c>
      <c r="N65" s="427">
        <v>0</v>
      </c>
      <c r="O65" s="427">
        <v>0</v>
      </c>
      <c r="P65" s="427">
        <v>1205</v>
      </c>
      <c r="Q65" s="404"/>
    </row>
    <row r="66" spans="1:17" s="4" customFormat="1" ht="11">
      <c r="A66" s="424" t="s">
        <v>857</v>
      </c>
      <c r="B66" s="424" t="s">
        <v>858</v>
      </c>
      <c r="C66" s="427">
        <v>214</v>
      </c>
      <c r="D66" s="427">
        <v>413</v>
      </c>
      <c r="E66" s="427">
        <v>214</v>
      </c>
      <c r="F66" s="427">
        <v>214</v>
      </c>
      <c r="G66" s="427">
        <v>214</v>
      </c>
      <c r="H66" s="427">
        <v>214</v>
      </c>
      <c r="I66" s="427">
        <v>219</v>
      </c>
      <c r="J66" s="427">
        <v>214</v>
      </c>
      <c r="K66" s="427">
        <v>214</v>
      </c>
      <c r="L66" s="427">
        <v>214</v>
      </c>
      <c r="M66" s="427">
        <v>214</v>
      </c>
      <c r="N66" s="427">
        <v>214</v>
      </c>
      <c r="O66" s="427">
        <v>2771</v>
      </c>
      <c r="P66" s="427">
        <v>1282</v>
      </c>
      <c r="Q66" s="404"/>
    </row>
    <row r="67" spans="1:17" s="10" customFormat="1" ht="11">
      <c r="A67" s="424" t="s">
        <v>859</v>
      </c>
      <c r="B67" s="424" t="s">
        <v>860</v>
      </c>
      <c r="C67" s="427">
        <v>53</v>
      </c>
      <c r="D67" s="427">
        <v>54</v>
      </c>
      <c r="E67" s="427">
        <v>54</v>
      </c>
      <c r="F67" s="427">
        <v>152</v>
      </c>
      <c r="G67" s="427">
        <v>53</v>
      </c>
      <c r="H67" s="427">
        <v>53</v>
      </c>
      <c r="I67" s="427">
        <v>53</v>
      </c>
      <c r="J67" s="427">
        <v>54</v>
      </c>
      <c r="K67" s="427">
        <v>54</v>
      </c>
      <c r="L67" s="427">
        <v>54</v>
      </c>
      <c r="M67" s="427">
        <v>54</v>
      </c>
      <c r="N67" s="427">
        <v>54</v>
      </c>
      <c r="O67" s="427">
        <v>743</v>
      </c>
      <c r="P67" s="427">
        <v>642</v>
      </c>
      <c r="Q67" s="404"/>
    </row>
    <row r="68" spans="1:17" s="403" customFormat="1" ht="11">
      <c r="A68" s="424" t="s">
        <v>861</v>
      </c>
      <c r="B68" s="424" t="s">
        <v>862</v>
      </c>
      <c r="C68" s="427">
        <v>115</v>
      </c>
      <c r="D68" s="427">
        <v>0</v>
      </c>
      <c r="E68" s="427">
        <v>0</v>
      </c>
      <c r="F68" s="427">
        <v>0</v>
      </c>
      <c r="G68" s="427">
        <v>212</v>
      </c>
      <c r="H68" s="427">
        <v>0</v>
      </c>
      <c r="I68" s="427">
        <v>0</v>
      </c>
      <c r="J68" s="427">
        <v>0</v>
      </c>
      <c r="K68" s="427">
        <v>0</v>
      </c>
      <c r="L68" s="427">
        <v>0</v>
      </c>
      <c r="M68" s="427">
        <v>0</v>
      </c>
      <c r="N68" s="427">
        <v>0</v>
      </c>
      <c r="O68" s="427">
        <v>327</v>
      </c>
      <c r="P68" s="427">
        <v>279</v>
      </c>
      <c r="Q68" s="404"/>
    </row>
    <row r="69" spans="1:17" s="4" customFormat="1" ht="11">
      <c r="A69" s="424" t="s">
        <v>863</v>
      </c>
      <c r="B69" s="424" t="s">
        <v>864</v>
      </c>
      <c r="C69" s="427">
        <v>0</v>
      </c>
      <c r="D69" s="427">
        <v>58</v>
      </c>
      <c r="E69" s="427">
        <v>0</v>
      </c>
      <c r="F69" s="427">
        <v>0</v>
      </c>
      <c r="G69" s="427">
        <v>88</v>
      </c>
      <c r="H69" s="427">
        <v>0</v>
      </c>
      <c r="I69" s="427">
        <v>0</v>
      </c>
      <c r="J69" s="427">
        <v>0</v>
      </c>
      <c r="K69" s="427">
        <v>0</v>
      </c>
      <c r="L69" s="427">
        <v>0</v>
      </c>
      <c r="M69" s="427">
        <v>0</v>
      </c>
      <c r="N69" s="427">
        <v>0</v>
      </c>
      <c r="O69" s="427">
        <v>146</v>
      </c>
      <c r="P69" s="427">
        <v>307</v>
      </c>
      <c r="Q69" s="404"/>
    </row>
    <row r="70" spans="1:17" s="403" customFormat="1" ht="11">
      <c r="A70" s="424" t="s">
        <v>866</v>
      </c>
      <c r="B70" s="424" t="s">
        <v>867</v>
      </c>
      <c r="C70" s="427">
        <v>46</v>
      </c>
      <c r="D70" s="427">
        <v>102</v>
      </c>
      <c r="E70" s="427">
        <v>60</v>
      </c>
      <c r="F70" s="427">
        <v>51</v>
      </c>
      <c r="G70" s="427">
        <v>546</v>
      </c>
      <c r="H70" s="427">
        <v>68</v>
      </c>
      <c r="I70" s="427">
        <v>83</v>
      </c>
      <c r="J70" s="427">
        <v>95</v>
      </c>
      <c r="K70" s="427">
        <v>95</v>
      </c>
      <c r="L70" s="427">
        <v>95</v>
      </c>
      <c r="M70" s="427">
        <v>95</v>
      </c>
      <c r="N70" s="427">
        <v>95</v>
      </c>
      <c r="O70" s="427">
        <v>1431</v>
      </c>
      <c r="P70" s="427">
        <v>992</v>
      </c>
      <c r="Q70" s="404"/>
    </row>
    <row r="71" spans="1:17" s="403" customFormat="1" ht="11">
      <c r="A71" s="424" t="s">
        <v>872</v>
      </c>
      <c r="B71" s="424" t="s">
        <v>873</v>
      </c>
      <c r="C71" s="427">
        <v>143</v>
      </c>
      <c r="D71" s="427">
        <v>293</v>
      </c>
      <c r="E71" s="427">
        <v>242</v>
      </c>
      <c r="F71" s="427">
        <v>0</v>
      </c>
      <c r="G71" s="427">
        <v>10</v>
      </c>
      <c r="H71" s="427">
        <v>198</v>
      </c>
      <c r="I71" s="427">
        <v>106</v>
      </c>
      <c r="J71" s="427">
        <v>125</v>
      </c>
      <c r="K71" s="427">
        <v>125</v>
      </c>
      <c r="L71" s="427">
        <v>125</v>
      </c>
      <c r="M71" s="427">
        <v>125</v>
      </c>
      <c r="N71" s="427">
        <v>125</v>
      </c>
      <c r="O71" s="427">
        <v>1618</v>
      </c>
      <c r="P71" s="427">
        <v>1291</v>
      </c>
      <c r="Q71" s="404"/>
    </row>
    <row r="72" spans="1:17" s="4" customFormat="1" ht="11">
      <c r="A72" s="424" t="s">
        <v>875</v>
      </c>
      <c r="B72" s="424" t="s">
        <v>876</v>
      </c>
      <c r="C72" s="427">
        <v>700</v>
      </c>
      <c r="D72" s="427">
        <v>691</v>
      </c>
      <c r="E72" s="427">
        <v>703</v>
      </c>
      <c r="F72" s="427">
        <v>668</v>
      </c>
      <c r="G72" s="427">
        <v>669</v>
      </c>
      <c r="H72" s="427">
        <v>692</v>
      </c>
      <c r="I72" s="427">
        <v>681</v>
      </c>
      <c r="J72" s="427">
        <v>725</v>
      </c>
      <c r="K72" s="427">
        <v>725</v>
      </c>
      <c r="L72" s="427">
        <v>725</v>
      </c>
      <c r="M72" s="427">
        <v>725</v>
      </c>
      <c r="N72" s="427">
        <v>725</v>
      </c>
      <c r="O72" s="427">
        <v>8428</v>
      </c>
      <c r="P72" s="427">
        <v>8672</v>
      </c>
      <c r="Q72" s="404"/>
    </row>
    <row r="73" spans="1:17" s="4" customFormat="1" ht="11">
      <c r="A73" s="424" t="s">
        <v>877</v>
      </c>
      <c r="B73" s="424" t="s">
        <v>878</v>
      </c>
      <c r="C73" s="427">
        <v>34</v>
      </c>
      <c r="D73" s="427">
        <v>30</v>
      </c>
      <c r="E73" s="427">
        <v>42</v>
      </c>
      <c r="F73" s="427">
        <v>46</v>
      </c>
      <c r="G73" s="427">
        <v>50</v>
      </c>
      <c r="H73" s="427">
        <v>34</v>
      </c>
      <c r="I73" s="427">
        <v>36</v>
      </c>
      <c r="J73" s="427">
        <v>50</v>
      </c>
      <c r="K73" s="427">
        <v>50</v>
      </c>
      <c r="L73" s="427">
        <v>50</v>
      </c>
      <c r="M73" s="427">
        <v>50</v>
      </c>
      <c r="N73" s="427">
        <v>50</v>
      </c>
      <c r="O73" s="427">
        <v>522</v>
      </c>
      <c r="P73" s="427">
        <v>552</v>
      </c>
      <c r="Q73" s="404"/>
    </row>
    <row r="74" spans="1:17" s="4" customFormat="1" ht="11">
      <c r="A74" s="424" t="s">
        <v>879</v>
      </c>
      <c r="B74" s="424" t="s">
        <v>880</v>
      </c>
      <c r="C74" s="427">
        <v>26</v>
      </c>
      <c r="D74" s="427">
        <v>161</v>
      </c>
      <c r="E74" s="427">
        <v>177</v>
      </c>
      <c r="F74" s="427">
        <v>26</v>
      </c>
      <c r="G74" s="427">
        <v>312</v>
      </c>
      <c r="H74" s="427">
        <v>27</v>
      </c>
      <c r="I74" s="427">
        <v>101</v>
      </c>
      <c r="J74" s="427">
        <v>161</v>
      </c>
      <c r="K74" s="427">
        <v>178</v>
      </c>
      <c r="L74" s="427">
        <v>26</v>
      </c>
      <c r="M74" s="427">
        <v>161</v>
      </c>
      <c r="N74" s="427">
        <v>178</v>
      </c>
      <c r="O74" s="427">
        <v>1535</v>
      </c>
      <c r="P74" s="427">
        <v>1499</v>
      </c>
      <c r="Q74" s="404"/>
    </row>
    <row r="75" spans="1:17" s="4" customFormat="1" ht="11">
      <c r="A75" s="424" t="s">
        <v>881</v>
      </c>
      <c r="B75" s="424" t="s">
        <v>882</v>
      </c>
      <c r="C75" s="427">
        <v>0</v>
      </c>
      <c r="D75" s="427">
        <v>0</v>
      </c>
      <c r="E75" s="427">
        <v>0</v>
      </c>
      <c r="F75" s="427">
        <v>75</v>
      </c>
      <c r="G75" s="427">
        <v>0</v>
      </c>
      <c r="H75" s="427">
        <v>0</v>
      </c>
      <c r="I75" s="427">
        <v>0</v>
      </c>
      <c r="J75" s="427">
        <v>0</v>
      </c>
      <c r="K75" s="427">
        <v>0</v>
      </c>
      <c r="L75" s="427">
        <v>0</v>
      </c>
      <c r="M75" s="427">
        <v>0</v>
      </c>
      <c r="N75" s="427">
        <v>0</v>
      </c>
      <c r="O75" s="427">
        <v>75</v>
      </c>
      <c r="P75" s="427">
        <v>75</v>
      </c>
      <c r="Q75" s="404"/>
    </row>
    <row r="76" spans="1:17" s="4" customFormat="1" ht="11">
      <c r="A76" s="424" t="s">
        <v>883</v>
      </c>
      <c r="B76" s="424" t="s">
        <v>884</v>
      </c>
      <c r="C76" s="427">
        <v>417</v>
      </c>
      <c r="D76" s="427">
        <v>418</v>
      </c>
      <c r="E76" s="427">
        <v>420</v>
      </c>
      <c r="F76" s="427">
        <v>421</v>
      </c>
      <c r="G76" s="427">
        <v>421</v>
      </c>
      <c r="H76" s="427">
        <v>426</v>
      </c>
      <c r="I76" s="427">
        <v>425</v>
      </c>
      <c r="J76" s="427">
        <v>410</v>
      </c>
      <c r="K76" s="427">
        <v>410</v>
      </c>
      <c r="L76" s="427">
        <v>410</v>
      </c>
      <c r="M76" s="427">
        <v>410</v>
      </c>
      <c r="N76" s="427">
        <v>410</v>
      </c>
      <c r="O76" s="427">
        <v>4997</v>
      </c>
      <c r="P76" s="427">
        <v>5030</v>
      </c>
      <c r="Q76" s="404"/>
    </row>
    <row r="77" spans="1:17" s="4" customFormat="1" ht="11">
      <c r="A77" s="424" t="s">
        <v>885</v>
      </c>
      <c r="B77" s="424" t="s">
        <v>886</v>
      </c>
      <c r="C77" s="427">
        <v>415</v>
      </c>
      <c r="D77" s="427">
        <v>347</v>
      </c>
      <c r="E77" s="427">
        <v>347</v>
      </c>
      <c r="F77" s="427">
        <v>347</v>
      </c>
      <c r="G77" s="427">
        <v>625</v>
      </c>
      <c r="H77" s="427">
        <v>393</v>
      </c>
      <c r="I77" s="427">
        <v>750</v>
      </c>
      <c r="J77" s="427">
        <v>340</v>
      </c>
      <c r="K77" s="427">
        <v>340</v>
      </c>
      <c r="L77" s="427">
        <v>340</v>
      </c>
      <c r="M77" s="427">
        <v>340</v>
      </c>
      <c r="N77" s="427">
        <v>340</v>
      </c>
      <c r="O77" s="427">
        <v>4924</v>
      </c>
      <c r="P77" s="427">
        <v>3972</v>
      </c>
      <c r="Q77" s="404"/>
    </row>
    <row r="78" spans="1:17" s="10" customFormat="1" ht="11">
      <c r="A78" s="428" t="s">
        <v>545</v>
      </c>
      <c r="B78" s="424" t="s">
        <v>843</v>
      </c>
      <c r="C78" s="429">
        <v>2927</v>
      </c>
      <c r="D78" s="429">
        <v>3331</v>
      </c>
      <c r="E78" s="429">
        <v>3447</v>
      </c>
      <c r="F78" s="429">
        <v>2841</v>
      </c>
      <c r="G78" s="429">
        <v>4041</v>
      </c>
      <c r="H78" s="429">
        <v>3441</v>
      </c>
      <c r="I78" s="429">
        <v>3312</v>
      </c>
      <c r="J78" s="429">
        <v>2938</v>
      </c>
      <c r="K78" s="429">
        <v>3430</v>
      </c>
      <c r="L78" s="429">
        <v>2803</v>
      </c>
      <c r="M78" s="429">
        <v>2938</v>
      </c>
      <c r="N78" s="429">
        <v>3430</v>
      </c>
      <c r="O78" s="429">
        <v>38880</v>
      </c>
      <c r="P78" s="429">
        <v>36239</v>
      </c>
      <c r="Q78" s="404"/>
    </row>
    <row r="79" spans="1:17" s="403" customFormat="1" ht="11">
      <c r="A79" s="424" t="s">
        <v>819</v>
      </c>
      <c r="B79" s="424" t="s">
        <v>887</v>
      </c>
      <c r="C79" s="424" t="s">
        <v>819</v>
      </c>
      <c r="D79" s="424" t="s">
        <v>819</v>
      </c>
      <c r="E79" s="424" t="s">
        <v>819</v>
      </c>
      <c r="F79" s="424" t="s">
        <v>819</v>
      </c>
      <c r="G79" s="424" t="s">
        <v>819</v>
      </c>
      <c r="H79" s="424" t="s">
        <v>819</v>
      </c>
      <c r="I79" s="424" t="s">
        <v>819</v>
      </c>
      <c r="J79" s="424" t="s">
        <v>819</v>
      </c>
      <c r="K79" s="424" t="s">
        <v>819</v>
      </c>
      <c r="L79" s="424" t="s">
        <v>819</v>
      </c>
      <c r="M79" s="424" t="s">
        <v>819</v>
      </c>
      <c r="N79" s="424" t="s">
        <v>819</v>
      </c>
      <c r="O79" s="424" t="s">
        <v>819</v>
      </c>
      <c r="P79" s="424" t="s">
        <v>819</v>
      </c>
      <c r="Q79" s="404"/>
    </row>
    <row r="80" spans="1:17" s="403" customFormat="1" ht="11">
      <c r="A80" s="424" t="s">
        <v>893</v>
      </c>
      <c r="B80" s="424" t="s">
        <v>894</v>
      </c>
      <c r="C80" s="427">
        <v>101</v>
      </c>
      <c r="D80" s="427">
        <v>119</v>
      </c>
      <c r="E80" s="427">
        <v>104</v>
      </c>
      <c r="F80" s="427">
        <v>111</v>
      </c>
      <c r="G80" s="427">
        <v>143</v>
      </c>
      <c r="H80" s="427">
        <v>112</v>
      </c>
      <c r="I80" s="427">
        <v>98</v>
      </c>
      <c r="J80" s="427">
        <v>110</v>
      </c>
      <c r="K80" s="427">
        <v>110</v>
      </c>
      <c r="L80" s="427">
        <v>110</v>
      </c>
      <c r="M80" s="427">
        <v>110</v>
      </c>
      <c r="N80" s="427">
        <v>110</v>
      </c>
      <c r="O80" s="427">
        <v>1339</v>
      </c>
      <c r="P80" s="427">
        <v>1302</v>
      </c>
      <c r="Q80" s="404"/>
    </row>
    <row r="81" spans="1:17" s="4" customFormat="1" ht="11">
      <c r="A81" s="428" t="s">
        <v>545</v>
      </c>
      <c r="B81" s="424" t="s">
        <v>887</v>
      </c>
      <c r="C81" s="429">
        <v>101</v>
      </c>
      <c r="D81" s="429">
        <v>119</v>
      </c>
      <c r="E81" s="429">
        <v>104</v>
      </c>
      <c r="F81" s="429">
        <v>111</v>
      </c>
      <c r="G81" s="429">
        <v>143</v>
      </c>
      <c r="H81" s="429">
        <v>112</v>
      </c>
      <c r="I81" s="429">
        <v>98</v>
      </c>
      <c r="J81" s="429">
        <v>110</v>
      </c>
      <c r="K81" s="429">
        <v>110</v>
      </c>
      <c r="L81" s="429">
        <v>110</v>
      </c>
      <c r="M81" s="429">
        <v>110</v>
      </c>
      <c r="N81" s="429">
        <v>110</v>
      </c>
      <c r="O81" s="429">
        <v>1339</v>
      </c>
      <c r="P81" s="429">
        <v>1302</v>
      </c>
      <c r="Q81" s="404"/>
    </row>
    <row r="82" spans="1:17" s="4" customFormat="1" ht="11">
      <c r="A82" s="424" t="s">
        <v>819</v>
      </c>
      <c r="B82" s="424" t="s">
        <v>896</v>
      </c>
      <c r="C82" s="424" t="s">
        <v>819</v>
      </c>
      <c r="D82" s="424" t="s">
        <v>819</v>
      </c>
      <c r="E82" s="424" t="s">
        <v>819</v>
      </c>
      <c r="F82" s="424" t="s">
        <v>819</v>
      </c>
      <c r="G82" s="424" t="s">
        <v>819</v>
      </c>
      <c r="H82" s="424" t="s">
        <v>819</v>
      </c>
      <c r="I82" s="424" t="s">
        <v>819</v>
      </c>
      <c r="J82" s="424" t="s">
        <v>819</v>
      </c>
      <c r="K82" s="424" t="s">
        <v>819</v>
      </c>
      <c r="L82" s="424" t="s">
        <v>819</v>
      </c>
      <c r="M82" s="424" t="s">
        <v>819</v>
      </c>
      <c r="N82" s="424" t="s">
        <v>819</v>
      </c>
      <c r="O82" s="424" t="s">
        <v>819</v>
      </c>
      <c r="P82" s="424" t="s">
        <v>819</v>
      </c>
      <c r="Q82" s="404"/>
    </row>
    <row r="83" spans="1:17" s="4" customFormat="1" ht="11">
      <c r="A83" s="424" t="s">
        <v>897</v>
      </c>
      <c r="B83" s="424" t="s">
        <v>898</v>
      </c>
      <c r="C83" s="427">
        <v>0</v>
      </c>
      <c r="D83" s="427">
        <v>0</v>
      </c>
      <c r="E83" s="427">
        <v>0</v>
      </c>
      <c r="F83" s="427">
        <v>0</v>
      </c>
      <c r="G83" s="427">
        <v>0</v>
      </c>
      <c r="H83" s="427">
        <v>0</v>
      </c>
      <c r="I83" s="427">
        <v>0</v>
      </c>
      <c r="J83" s="427">
        <v>0</v>
      </c>
      <c r="K83" s="427">
        <v>0</v>
      </c>
      <c r="L83" s="427">
        <v>0</v>
      </c>
      <c r="M83" s="427">
        <v>0</v>
      </c>
      <c r="N83" s="427">
        <v>0</v>
      </c>
      <c r="O83" s="427">
        <v>0</v>
      </c>
      <c r="P83" s="427">
        <v>55</v>
      </c>
      <c r="Q83" s="404"/>
    </row>
    <row r="84" spans="1:17" s="4" customFormat="1" ht="11">
      <c r="A84" s="424" t="s">
        <v>899</v>
      </c>
      <c r="B84" s="424" t="s">
        <v>900</v>
      </c>
      <c r="C84" s="427">
        <v>0</v>
      </c>
      <c r="D84" s="427">
        <v>0</v>
      </c>
      <c r="E84" s="427">
        <v>0</v>
      </c>
      <c r="F84" s="427">
        <v>0</v>
      </c>
      <c r="G84" s="427">
        <v>800</v>
      </c>
      <c r="H84" s="427">
        <v>350</v>
      </c>
      <c r="I84" s="427">
        <v>2246</v>
      </c>
      <c r="J84" s="427">
        <v>0</v>
      </c>
      <c r="K84" s="427">
        <v>0</v>
      </c>
      <c r="L84" s="427">
        <v>0</v>
      </c>
      <c r="M84" s="427">
        <v>800</v>
      </c>
      <c r="N84" s="427">
        <v>0</v>
      </c>
      <c r="O84" s="427">
        <v>4196</v>
      </c>
      <c r="P84" s="427">
        <v>4271</v>
      </c>
      <c r="Q84" s="404"/>
    </row>
    <row r="85" spans="1:17" s="4" customFormat="1" ht="11">
      <c r="A85" s="428" t="s">
        <v>545</v>
      </c>
      <c r="B85" s="424" t="s">
        <v>896</v>
      </c>
      <c r="C85" s="429">
        <v>0</v>
      </c>
      <c r="D85" s="429">
        <v>0</v>
      </c>
      <c r="E85" s="429">
        <v>0</v>
      </c>
      <c r="F85" s="429">
        <v>0</v>
      </c>
      <c r="G85" s="429">
        <v>800</v>
      </c>
      <c r="H85" s="429">
        <v>350</v>
      </c>
      <c r="I85" s="429">
        <v>2246</v>
      </c>
      <c r="J85" s="429">
        <v>0</v>
      </c>
      <c r="K85" s="429">
        <v>0</v>
      </c>
      <c r="L85" s="429">
        <v>0</v>
      </c>
      <c r="M85" s="429">
        <v>800</v>
      </c>
      <c r="N85" s="429">
        <v>0</v>
      </c>
      <c r="O85" s="429">
        <v>4196</v>
      </c>
      <c r="P85" s="429">
        <v>4326</v>
      </c>
      <c r="Q85" s="404"/>
    </row>
    <row r="86" spans="1:17" s="4" customFormat="1" ht="12">
      <c r="A86" s="425" t="s">
        <v>545</v>
      </c>
      <c r="B86" s="424" t="s">
        <v>818</v>
      </c>
      <c r="C86" s="429">
        <v>5711</v>
      </c>
      <c r="D86" s="429">
        <v>6875</v>
      </c>
      <c r="E86" s="429">
        <v>6219</v>
      </c>
      <c r="F86" s="429">
        <v>5968</v>
      </c>
      <c r="G86" s="429">
        <v>7546</v>
      </c>
      <c r="H86" s="429">
        <v>7036</v>
      </c>
      <c r="I86" s="429">
        <v>8015</v>
      </c>
      <c r="J86" s="429">
        <v>5698</v>
      </c>
      <c r="K86" s="429">
        <v>7117</v>
      </c>
      <c r="L86" s="429">
        <v>5563</v>
      </c>
      <c r="M86" s="429">
        <v>6498</v>
      </c>
      <c r="N86" s="429">
        <v>6190</v>
      </c>
      <c r="O86" s="429">
        <v>78438</v>
      </c>
      <c r="P86" s="429">
        <v>78831</v>
      </c>
      <c r="Q86" s="404"/>
    </row>
    <row r="87" spans="1:17" s="10" customFormat="1" ht="11">
      <c r="A87" s="424" t="s">
        <v>814</v>
      </c>
      <c r="B87" s="424" t="s">
        <v>901</v>
      </c>
      <c r="C87" s="424" t="s">
        <v>814</v>
      </c>
      <c r="D87" s="424" t="s">
        <v>814</v>
      </c>
      <c r="E87" s="424" t="s">
        <v>814</v>
      </c>
      <c r="F87" s="424" t="s">
        <v>814</v>
      </c>
      <c r="G87" s="424" t="s">
        <v>814</v>
      </c>
      <c r="H87" s="424" t="s">
        <v>814</v>
      </c>
      <c r="I87" s="424" t="s">
        <v>814</v>
      </c>
      <c r="J87" s="424" t="s">
        <v>814</v>
      </c>
      <c r="K87" s="424" t="s">
        <v>814</v>
      </c>
      <c r="L87" s="424" t="s">
        <v>814</v>
      </c>
      <c r="M87" s="424" t="s">
        <v>814</v>
      </c>
      <c r="N87" s="424" t="s">
        <v>814</v>
      </c>
      <c r="O87" s="424" t="s">
        <v>814</v>
      </c>
      <c r="P87" s="424" t="s">
        <v>814</v>
      </c>
      <c r="Q87" s="404"/>
    </row>
    <row r="88" spans="1:17" s="403" customFormat="1" ht="11">
      <c r="A88" s="424" t="s">
        <v>819</v>
      </c>
      <c r="B88" s="424" t="s">
        <v>902</v>
      </c>
      <c r="C88" s="424" t="s">
        <v>819</v>
      </c>
      <c r="D88" s="424" t="s">
        <v>819</v>
      </c>
      <c r="E88" s="424" t="s">
        <v>819</v>
      </c>
      <c r="F88" s="424" t="s">
        <v>819</v>
      </c>
      <c r="G88" s="424" t="s">
        <v>819</v>
      </c>
      <c r="H88" s="424" t="s">
        <v>819</v>
      </c>
      <c r="I88" s="424" t="s">
        <v>819</v>
      </c>
      <c r="J88" s="424" t="s">
        <v>819</v>
      </c>
      <c r="K88" s="424" t="s">
        <v>819</v>
      </c>
      <c r="L88" s="424" t="s">
        <v>819</v>
      </c>
      <c r="M88" s="424" t="s">
        <v>819</v>
      </c>
      <c r="N88" s="424" t="s">
        <v>819</v>
      </c>
      <c r="O88" s="424" t="s">
        <v>819</v>
      </c>
      <c r="P88" s="424" t="s">
        <v>819</v>
      </c>
      <c r="Q88" s="404"/>
    </row>
    <row r="89" spans="1:17" s="403" customFormat="1" ht="11">
      <c r="A89" s="424" t="s">
        <v>903</v>
      </c>
      <c r="B89" s="424" t="s">
        <v>904</v>
      </c>
      <c r="C89" s="427">
        <v>5014</v>
      </c>
      <c r="D89" s="427">
        <v>5015</v>
      </c>
      <c r="E89" s="427">
        <v>5015</v>
      </c>
      <c r="F89" s="427">
        <v>5110</v>
      </c>
      <c r="G89" s="427">
        <v>5110</v>
      </c>
      <c r="H89" s="427">
        <v>5110</v>
      </c>
      <c r="I89" s="427">
        <v>5110</v>
      </c>
      <c r="J89" s="427">
        <v>5110</v>
      </c>
      <c r="K89" s="427">
        <v>5110</v>
      </c>
      <c r="L89" s="427">
        <v>5110</v>
      </c>
      <c r="M89" s="427">
        <v>5110</v>
      </c>
      <c r="N89" s="427">
        <v>5110</v>
      </c>
      <c r="O89" s="427">
        <v>61034</v>
      </c>
      <c r="P89" s="427">
        <v>59927</v>
      </c>
      <c r="Q89" s="404"/>
    </row>
    <row r="90" spans="1:17" s="4" customFormat="1" ht="11">
      <c r="A90" s="424" t="s">
        <v>906</v>
      </c>
      <c r="B90" s="424" t="s">
        <v>907</v>
      </c>
      <c r="C90" s="427">
        <v>2253</v>
      </c>
      <c r="D90" s="427">
        <v>2154</v>
      </c>
      <c r="E90" s="427">
        <v>1958</v>
      </c>
      <c r="F90" s="427">
        <v>2389</v>
      </c>
      <c r="G90" s="427">
        <v>2097</v>
      </c>
      <c r="H90" s="427">
        <v>2196</v>
      </c>
      <c r="I90" s="427">
        <v>2196</v>
      </c>
      <c r="J90" s="427">
        <v>2160</v>
      </c>
      <c r="K90" s="427">
        <v>2160</v>
      </c>
      <c r="L90" s="427">
        <v>2160</v>
      </c>
      <c r="M90" s="427">
        <v>2160</v>
      </c>
      <c r="N90" s="427">
        <v>2160</v>
      </c>
      <c r="O90" s="427">
        <v>26042</v>
      </c>
      <c r="P90" s="427">
        <v>26174</v>
      </c>
      <c r="Q90" s="404"/>
    </row>
    <row r="91" spans="1:17" s="4" customFormat="1" ht="11">
      <c r="A91" s="424" t="s">
        <v>908</v>
      </c>
      <c r="B91" s="424" t="s">
        <v>909</v>
      </c>
      <c r="C91" s="427">
        <v>0</v>
      </c>
      <c r="D91" s="427">
        <v>0</v>
      </c>
      <c r="E91" s="427">
        <v>6</v>
      </c>
      <c r="F91" s="427">
        <v>0</v>
      </c>
      <c r="G91" s="427">
        <v>0</v>
      </c>
      <c r="H91" s="427">
        <v>0</v>
      </c>
      <c r="I91" s="427">
        <v>0</v>
      </c>
      <c r="J91" s="427">
        <v>0</v>
      </c>
      <c r="K91" s="427">
        <v>0</v>
      </c>
      <c r="L91" s="427">
        <v>0</v>
      </c>
      <c r="M91" s="427">
        <v>0</v>
      </c>
      <c r="N91" s="427">
        <v>0</v>
      </c>
      <c r="O91" s="427">
        <v>6</v>
      </c>
      <c r="P91" s="427">
        <v>787</v>
      </c>
      <c r="Q91" s="404"/>
    </row>
    <row r="92" spans="1:17" s="4" customFormat="1" ht="11">
      <c r="A92" s="424" t="s">
        <v>910</v>
      </c>
      <c r="B92" s="424" t="s">
        <v>911</v>
      </c>
      <c r="C92" s="427">
        <v>954</v>
      </c>
      <c r="D92" s="427">
        <v>888</v>
      </c>
      <c r="E92" s="427">
        <v>967</v>
      </c>
      <c r="F92" s="427">
        <v>1237</v>
      </c>
      <c r="G92" s="427">
        <v>1279</v>
      </c>
      <c r="H92" s="427">
        <v>1301</v>
      </c>
      <c r="I92" s="427">
        <v>1316</v>
      </c>
      <c r="J92" s="427">
        <v>1000</v>
      </c>
      <c r="K92" s="427">
        <v>1000</v>
      </c>
      <c r="L92" s="427">
        <v>1000</v>
      </c>
      <c r="M92" s="427">
        <v>1000</v>
      </c>
      <c r="N92" s="427">
        <v>1000</v>
      </c>
      <c r="O92" s="427">
        <v>12943</v>
      </c>
      <c r="P92" s="427">
        <v>19792</v>
      </c>
      <c r="Q92" s="404"/>
    </row>
    <row r="93" spans="1:17" s="4" customFormat="1" ht="11">
      <c r="A93" s="424" t="s">
        <v>914</v>
      </c>
      <c r="B93" s="424" t="s">
        <v>915</v>
      </c>
      <c r="C93" s="427">
        <v>2885</v>
      </c>
      <c r="D93" s="427">
        <v>3360</v>
      </c>
      <c r="E93" s="427">
        <v>3067</v>
      </c>
      <c r="F93" s="427">
        <v>3147</v>
      </c>
      <c r="G93" s="427">
        <v>3291</v>
      </c>
      <c r="H93" s="427">
        <v>3338</v>
      </c>
      <c r="I93" s="427">
        <v>2980</v>
      </c>
      <c r="J93" s="427">
        <v>3230</v>
      </c>
      <c r="K93" s="427">
        <v>3230</v>
      </c>
      <c r="L93" s="427">
        <v>3230</v>
      </c>
      <c r="M93" s="427">
        <v>3230</v>
      </c>
      <c r="N93" s="427">
        <v>3230</v>
      </c>
      <c r="O93" s="427">
        <v>38217</v>
      </c>
      <c r="P93" s="427">
        <v>36848</v>
      </c>
      <c r="Q93" s="404"/>
    </row>
    <row r="94" spans="1:17" s="4" customFormat="1" ht="11.25" customHeight="1">
      <c r="A94" s="424" t="s">
        <v>917</v>
      </c>
      <c r="B94" s="424" t="s">
        <v>918</v>
      </c>
      <c r="C94" s="427">
        <v>4411</v>
      </c>
      <c r="D94" s="427">
        <v>4304</v>
      </c>
      <c r="E94" s="427">
        <v>4017</v>
      </c>
      <c r="F94" s="427">
        <v>4497</v>
      </c>
      <c r="G94" s="427">
        <v>4267</v>
      </c>
      <c r="H94" s="427">
        <v>5321</v>
      </c>
      <c r="I94" s="427">
        <v>2600</v>
      </c>
      <c r="J94" s="427">
        <v>4330</v>
      </c>
      <c r="K94" s="427">
        <v>4330</v>
      </c>
      <c r="L94" s="427">
        <v>4330</v>
      </c>
      <c r="M94" s="427">
        <v>4330</v>
      </c>
      <c r="N94" s="427">
        <v>4330</v>
      </c>
      <c r="O94" s="427">
        <v>51068</v>
      </c>
      <c r="P94" s="427">
        <v>49969</v>
      </c>
      <c r="Q94" s="404"/>
    </row>
    <row r="95" spans="1:17" s="4" customFormat="1" ht="11">
      <c r="A95" s="424" t="s">
        <v>919</v>
      </c>
      <c r="B95" s="424" t="s">
        <v>920</v>
      </c>
      <c r="C95" s="427">
        <v>2426</v>
      </c>
      <c r="D95" s="427">
        <v>2657</v>
      </c>
      <c r="E95" s="427">
        <v>2426</v>
      </c>
      <c r="F95" s="427">
        <v>2474</v>
      </c>
      <c r="G95" s="427">
        <v>2593</v>
      </c>
      <c r="H95" s="427">
        <v>2711</v>
      </c>
      <c r="I95" s="427">
        <v>2357</v>
      </c>
      <c r="J95" s="427">
        <v>2550</v>
      </c>
      <c r="K95" s="427">
        <v>2550</v>
      </c>
      <c r="L95" s="427">
        <v>2550</v>
      </c>
      <c r="M95" s="427">
        <v>2550</v>
      </c>
      <c r="N95" s="427">
        <v>2550</v>
      </c>
      <c r="O95" s="427">
        <v>30393</v>
      </c>
      <c r="P95" s="427">
        <v>30027</v>
      </c>
      <c r="Q95" s="404"/>
    </row>
    <row r="96" spans="1:17" s="4" customFormat="1" ht="11.25" customHeight="1">
      <c r="A96" s="424" t="s">
        <v>921</v>
      </c>
      <c r="B96" s="424" t="s">
        <v>922</v>
      </c>
      <c r="C96" s="427">
        <v>0</v>
      </c>
      <c r="D96" s="427">
        <v>56</v>
      </c>
      <c r="E96" s="427">
        <v>25</v>
      </c>
      <c r="F96" s="427">
        <v>38</v>
      </c>
      <c r="G96" s="427">
        <v>130</v>
      </c>
      <c r="H96" s="427">
        <v>230</v>
      </c>
      <c r="I96" s="427">
        <v>200</v>
      </c>
      <c r="J96" s="427">
        <v>0</v>
      </c>
      <c r="K96" s="427">
        <v>0</v>
      </c>
      <c r="L96" s="427">
        <v>0</v>
      </c>
      <c r="M96" s="427">
        <v>0</v>
      </c>
      <c r="N96" s="427">
        <v>0</v>
      </c>
      <c r="O96" s="427">
        <v>679</v>
      </c>
      <c r="P96" s="427">
        <v>1649</v>
      </c>
      <c r="Q96" s="404"/>
    </row>
    <row r="97" spans="1:17" s="4" customFormat="1" ht="11.25" customHeight="1">
      <c r="A97" s="424" t="s">
        <v>923</v>
      </c>
      <c r="B97" s="424" t="s">
        <v>924</v>
      </c>
      <c r="C97" s="427">
        <v>767</v>
      </c>
      <c r="D97" s="427">
        <v>633</v>
      </c>
      <c r="E97" s="427">
        <v>729</v>
      </c>
      <c r="F97" s="427">
        <v>584</v>
      </c>
      <c r="G97" s="427">
        <v>817</v>
      </c>
      <c r="H97" s="427">
        <v>620</v>
      </c>
      <c r="I97" s="427">
        <v>530</v>
      </c>
      <c r="J97" s="427">
        <v>400</v>
      </c>
      <c r="K97" s="427">
        <v>400</v>
      </c>
      <c r="L97" s="427">
        <v>400</v>
      </c>
      <c r="M97" s="427">
        <v>400</v>
      </c>
      <c r="N97" s="427">
        <v>400</v>
      </c>
      <c r="O97" s="427">
        <v>6679</v>
      </c>
      <c r="P97" s="427">
        <v>16962</v>
      </c>
      <c r="Q97" s="404"/>
    </row>
    <row r="98" spans="1:17" s="4" customFormat="1" ht="11.25" customHeight="1">
      <c r="A98" s="428" t="s">
        <v>545</v>
      </c>
      <c r="B98" s="424" t="s">
        <v>902</v>
      </c>
      <c r="C98" s="429">
        <v>18710</v>
      </c>
      <c r="D98" s="429">
        <v>19067</v>
      </c>
      <c r="E98" s="429">
        <v>18210</v>
      </c>
      <c r="F98" s="429">
        <v>19476</v>
      </c>
      <c r="G98" s="429">
        <v>19584</v>
      </c>
      <c r="H98" s="429">
        <v>20827</v>
      </c>
      <c r="I98" s="429">
        <v>17289</v>
      </c>
      <c r="J98" s="429">
        <v>18780</v>
      </c>
      <c r="K98" s="429">
        <v>18780</v>
      </c>
      <c r="L98" s="429">
        <v>18780</v>
      </c>
      <c r="M98" s="429">
        <v>18780</v>
      </c>
      <c r="N98" s="429">
        <v>18780</v>
      </c>
      <c r="O98" s="429">
        <v>227061</v>
      </c>
      <c r="P98" s="429">
        <v>242135</v>
      </c>
      <c r="Q98" s="404"/>
    </row>
    <row r="99" spans="1:17" s="4" customFormat="1" ht="11">
      <c r="A99" s="424" t="s">
        <v>819</v>
      </c>
      <c r="B99" s="424" t="s">
        <v>926</v>
      </c>
      <c r="C99" s="424" t="s">
        <v>819</v>
      </c>
      <c r="D99" s="424" t="s">
        <v>819</v>
      </c>
      <c r="E99" s="424" t="s">
        <v>819</v>
      </c>
      <c r="F99" s="424" t="s">
        <v>819</v>
      </c>
      <c r="G99" s="424" t="s">
        <v>819</v>
      </c>
      <c r="H99" s="424" t="s">
        <v>819</v>
      </c>
      <c r="I99" s="424" t="s">
        <v>819</v>
      </c>
      <c r="J99" s="424" t="s">
        <v>819</v>
      </c>
      <c r="K99" s="424" t="s">
        <v>819</v>
      </c>
      <c r="L99" s="424" t="s">
        <v>819</v>
      </c>
      <c r="M99" s="424" t="s">
        <v>819</v>
      </c>
      <c r="N99" s="424" t="s">
        <v>819</v>
      </c>
      <c r="O99" s="424" t="s">
        <v>819</v>
      </c>
      <c r="P99" s="424" t="s">
        <v>819</v>
      </c>
      <c r="Q99" s="404"/>
    </row>
    <row r="100" spans="1:17" s="4" customFormat="1" ht="11.25" customHeight="1">
      <c r="A100" s="424" t="s">
        <v>928</v>
      </c>
      <c r="B100" s="424" t="s">
        <v>929</v>
      </c>
      <c r="C100" s="427">
        <v>0</v>
      </c>
      <c r="D100" s="427">
        <v>0</v>
      </c>
      <c r="E100" s="427">
        <v>0</v>
      </c>
      <c r="F100" s="427">
        <v>0</v>
      </c>
      <c r="G100" s="427">
        <v>35</v>
      </c>
      <c r="H100" s="427">
        <v>70</v>
      </c>
      <c r="I100" s="427">
        <v>0</v>
      </c>
      <c r="J100" s="427">
        <v>0</v>
      </c>
      <c r="K100" s="427">
        <v>0</v>
      </c>
      <c r="L100" s="427">
        <v>0</v>
      </c>
      <c r="M100" s="427">
        <v>0</v>
      </c>
      <c r="N100" s="427">
        <v>0</v>
      </c>
      <c r="O100" s="427">
        <v>105</v>
      </c>
      <c r="P100" s="427">
        <v>0</v>
      </c>
      <c r="Q100" s="404"/>
    </row>
    <row r="101" spans="1:17" s="4" customFormat="1" ht="11.25" customHeight="1">
      <c r="A101" s="424" t="s">
        <v>930</v>
      </c>
      <c r="B101" s="424" t="s">
        <v>931</v>
      </c>
      <c r="C101" s="427">
        <v>781</v>
      </c>
      <c r="D101" s="427">
        <v>834</v>
      </c>
      <c r="E101" s="427">
        <v>834</v>
      </c>
      <c r="F101" s="427">
        <v>842</v>
      </c>
      <c r="G101" s="427">
        <v>834</v>
      </c>
      <c r="H101" s="427">
        <v>727</v>
      </c>
      <c r="I101" s="427">
        <v>714</v>
      </c>
      <c r="J101" s="427">
        <v>968</v>
      </c>
      <c r="K101" s="427">
        <v>968</v>
      </c>
      <c r="L101" s="427">
        <v>968</v>
      </c>
      <c r="M101" s="427">
        <v>968</v>
      </c>
      <c r="N101" s="427">
        <v>968</v>
      </c>
      <c r="O101" s="427">
        <v>10408</v>
      </c>
      <c r="P101" s="427">
        <v>10814</v>
      </c>
      <c r="Q101" s="404"/>
    </row>
    <row r="102" spans="1:17" s="4" customFormat="1" ht="11.25" customHeight="1">
      <c r="A102" s="424" t="s">
        <v>933</v>
      </c>
      <c r="B102" s="424" t="s">
        <v>934</v>
      </c>
      <c r="C102" s="427">
        <v>397</v>
      </c>
      <c r="D102" s="427">
        <v>397</v>
      </c>
      <c r="E102" s="427">
        <v>397</v>
      </c>
      <c r="F102" s="427">
        <v>399</v>
      </c>
      <c r="G102" s="427">
        <v>396</v>
      </c>
      <c r="H102" s="427">
        <v>397</v>
      </c>
      <c r="I102" s="427">
        <v>334</v>
      </c>
      <c r="J102" s="427">
        <v>377</v>
      </c>
      <c r="K102" s="427">
        <v>377</v>
      </c>
      <c r="L102" s="427">
        <v>377</v>
      </c>
      <c r="M102" s="427">
        <v>377</v>
      </c>
      <c r="N102" s="427">
        <v>377</v>
      </c>
      <c r="O102" s="427">
        <v>4601</v>
      </c>
      <c r="P102" s="427">
        <v>4670</v>
      </c>
      <c r="Q102" s="404"/>
    </row>
    <row r="103" spans="1:17" s="4" customFormat="1" ht="11.25" customHeight="1">
      <c r="A103" s="424" t="s">
        <v>935</v>
      </c>
      <c r="B103" s="424" t="s">
        <v>936</v>
      </c>
      <c r="C103" s="427">
        <v>1395</v>
      </c>
      <c r="D103" s="427">
        <v>1422</v>
      </c>
      <c r="E103" s="427">
        <v>1356</v>
      </c>
      <c r="F103" s="427">
        <v>1453</v>
      </c>
      <c r="G103" s="427">
        <v>1462</v>
      </c>
      <c r="H103" s="427">
        <v>1557</v>
      </c>
      <c r="I103" s="427">
        <v>1288</v>
      </c>
      <c r="J103" s="427">
        <v>1437</v>
      </c>
      <c r="K103" s="427">
        <v>1437</v>
      </c>
      <c r="L103" s="427">
        <v>1437</v>
      </c>
      <c r="M103" s="427">
        <v>1437</v>
      </c>
      <c r="N103" s="427">
        <v>1437</v>
      </c>
      <c r="O103" s="427">
        <v>17118</v>
      </c>
      <c r="P103" s="427">
        <v>17767</v>
      </c>
      <c r="Q103" s="404"/>
    </row>
    <row r="104" spans="1:17" s="4" customFormat="1" ht="11">
      <c r="A104" s="424" t="s">
        <v>937</v>
      </c>
      <c r="B104" s="424" t="s">
        <v>938</v>
      </c>
      <c r="C104" s="427">
        <v>49</v>
      </c>
      <c r="D104" s="427">
        <v>106</v>
      </c>
      <c r="E104" s="427">
        <v>64</v>
      </c>
      <c r="F104" s="427">
        <v>33</v>
      </c>
      <c r="G104" s="427">
        <v>0</v>
      </c>
      <c r="H104" s="427">
        <v>12</v>
      </c>
      <c r="I104" s="427">
        <v>2</v>
      </c>
      <c r="J104" s="427">
        <v>25</v>
      </c>
      <c r="K104" s="427">
        <v>25</v>
      </c>
      <c r="L104" s="427">
        <v>25</v>
      </c>
      <c r="M104" s="427">
        <v>25</v>
      </c>
      <c r="N104" s="427">
        <v>25</v>
      </c>
      <c r="O104" s="427">
        <v>391</v>
      </c>
      <c r="P104" s="427">
        <v>252</v>
      </c>
      <c r="Q104" s="404"/>
    </row>
    <row r="105" spans="1:17" s="4" customFormat="1" ht="11.25" customHeight="1">
      <c r="A105" s="424" t="s">
        <v>939</v>
      </c>
      <c r="B105" s="424" t="s">
        <v>940</v>
      </c>
      <c r="C105" s="427">
        <v>271</v>
      </c>
      <c r="D105" s="427">
        <v>515</v>
      </c>
      <c r="E105" s="427">
        <v>491</v>
      </c>
      <c r="F105" s="427">
        <v>526</v>
      </c>
      <c r="G105" s="427">
        <v>544</v>
      </c>
      <c r="H105" s="427">
        <v>486</v>
      </c>
      <c r="I105" s="427">
        <v>318</v>
      </c>
      <c r="J105" s="427">
        <v>69</v>
      </c>
      <c r="K105" s="427">
        <v>69</v>
      </c>
      <c r="L105" s="427">
        <v>69</v>
      </c>
      <c r="M105" s="427">
        <v>69</v>
      </c>
      <c r="N105" s="427">
        <v>69</v>
      </c>
      <c r="O105" s="427">
        <v>3497</v>
      </c>
      <c r="P105" s="427">
        <v>4845</v>
      </c>
      <c r="Q105" s="404"/>
    </row>
    <row r="106" spans="1:17" s="4" customFormat="1" ht="11.25" customHeight="1">
      <c r="A106" s="424" t="s">
        <v>941</v>
      </c>
      <c r="B106" s="424" t="s">
        <v>942</v>
      </c>
      <c r="C106" s="427">
        <v>265</v>
      </c>
      <c r="D106" s="427">
        <v>271</v>
      </c>
      <c r="E106" s="427">
        <v>259</v>
      </c>
      <c r="F106" s="427">
        <v>277</v>
      </c>
      <c r="G106" s="427">
        <v>279</v>
      </c>
      <c r="H106" s="427">
        <v>297</v>
      </c>
      <c r="I106" s="427">
        <v>245</v>
      </c>
      <c r="J106" s="427">
        <v>277</v>
      </c>
      <c r="K106" s="427">
        <v>277</v>
      </c>
      <c r="L106" s="427">
        <v>277</v>
      </c>
      <c r="M106" s="427">
        <v>277</v>
      </c>
      <c r="N106" s="427">
        <v>277</v>
      </c>
      <c r="O106" s="427">
        <v>3276</v>
      </c>
      <c r="P106" s="427">
        <v>2898</v>
      </c>
      <c r="Q106" s="404"/>
    </row>
    <row r="107" spans="1:17" s="4" customFormat="1" ht="11.25" customHeight="1">
      <c r="A107" s="424" t="s">
        <v>943</v>
      </c>
      <c r="B107" s="424" t="s">
        <v>944</v>
      </c>
      <c r="C107" s="427">
        <v>512</v>
      </c>
      <c r="D107" s="427">
        <v>554</v>
      </c>
      <c r="E107" s="427">
        <v>523</v>
      </c>
      <c r="F107" s="427">
        <v>555</v>
      </c>
      <c r="G107" s="427">
        <v>564</v>
      </c>
      <c r="H107" s="427">
        <v>588</v>
      </c>
      <c r="I107" s="427">
        <v>377</v>
      </c>
      <c r="J107" s="427">
        <v>499</v>
      </c>
      <c r="K107" s="427">
        <v>499</v>
      </c>
      <c r="L107" s="427">
        <v>499</v>
      </c>
      <c r="M107" s="427">
        <v>499</v>
      </c>
      <c r="N107" s="427">
        <v>499</v>
      </c>
      <c r="O107" s="427">
        <v>6170</v>
      </c>
      <c r="P107" s="427">
        <v>5405</v>
      </c>
      <c r="Q107" s="404"/>
    </row>
    <row r="108" spans="1:17" s="4" customFormat="1" ht="11.25" customHeight="1">
      <c r="A108" s="428" t="s">
        <v>545</v>
      </c>
      <c r="B108" s="424" t="s">
        <v>926</v>
      </c>
      <c r="C108" s="429">
        <v>3670</v>
      </c>
      <c r="D108" s="429">
        <v>4099</v>
      </c>
      <c r="E108" s="429">
        <v>3924</v>
      </c>
      <c r="F108" s="429">
        <v>4085</v>
      </c>
      <c r="G108" s="429">
        <v>4114</v>
      </c>
      <c r="H108" s="429">
        <v>4134</v>
      </c>
      <c r="I108" s="429">
        <v>3278</v>
      </c>
      <c r="J108" s="429">
        <v>3652</v>
      </c>
      <c r="K108" s="429">
        <v>3652</v>
      </c>
      <c r="L108" s="429">
        <v>3652</v>
      </c>
      <c r="M108" s="429">
        <v>3652</v>
      </c>
      <c r="N108" s="429">
        <v>3652</v>
      </c>
      <c r="O108" s="429">
        <v>45566</v>
      </c>
      <c r="P108" s="429">
        <v>46651</v>
      </c>
      <c r="Q108" s="404"/>
    </row>
    <row r="109" spans="1:17" s="4" customFormat="1" ht="11.25" customHeight="1">
      <c r="A109" s="425" t="s">
        <v>545</v>
      </c>
      <c r="B109" s="424" t="s">
        <v>901</v>
      </c>
      <c r="C109" s="429">
        <v>22380</v>
      </c>
      <c r="D109" s="429">
        <v>23166</v>
      </c>
      <c r="E109" s="429">
        <v>22134</v>
      </c>
      <c r="F109" s="429">
        <v>23561</v>
      </c>
      <c r="G109" s="429">
        <v>23698</v>
      </c>
      <c r="H109" s="429">
        <v>24961</v>
      </c>
      <c r="I109" s="429">
        <v>20567</v>
      </c>
      <c r="J109" s="429">
        <v>22432</v>
      </c>
      <c r="K109" s="429">
        <v>22432</v>
      </c>
      <c r="L109" s="429">
        <v>22432</v>
      </c>
      <c r="M109" s="429">
        <v>22432</v>
      </c>
      <c r="N109" s="429">
        <v>22432</v>
      </c>
      <c r="O109" s="429">
        <v>272627</v>
      </c>
      <c r="P109" s="429">
        <v>288786</v>
      </c>
      <c r="Q109" s="404"/>
    </row>
    <row r="110" spans="1:17" s="4" customFormat="1" ht="11.25" customHeight="1">
      <c r="A110" s="424" t="s">
        <v>814</v>
      </c>
      <c r="B110" s="424" t="s">
        <v>945</v>
      </c>
      <c r="C110" s="424" t="s">
        <v>814</v>
      </c>
      <c r="D110" s="424" t="s">
        <v>814</v>
      </c>
      <c r="E110" s="424" t="s">
        <v>814</v>
      </c>
      <c r="F110" s="424" t="s">
        <v>814</v>
      </c>
      <c r="G110" s="424" t="s">
        <v>814</v>
      </c>
      <c r="H110" s="424" t="s">
        <v>814</v>
      </c>
      <c r="I110" s="424" t="s">
        <v>814</v>
      </c>
      <c r="J110" s="424" t="s">
        <v>814</v>
      </c>
      <c r="K110" s="424" t="s">
        <v>814</v>
      </c>
      <c r="L110" s="424" t="s">
        <v>814</v>
      </c>
      <c r="M110" s="424" t="s">
        <v>814</v>
      </c>
      <c r="N110" s="424" t="s">
        <v>814</v>
      </c>
      <c r="O110" s="424" t="s">
        <v>814</v>
      </c>
      <c r="P110" s="424" t="s">
        <v>814</v>
      </c>
      <c r="Q110" s="404"/>
    </row>
    <row r="111" spans="1:17" s="4" customFormat="1" ht="11.25" customHeight="1">
      <c r="A111" s="424" t="s">
        <v>819</v>
      </c>
      <c r="B111" s="424" t="s">
        <v>946</v>
      </c>
      <c r="C111" s="424" t="s">
        <v>819</v>
      </c>
      <c r="D111" s="424" t="s">
        <v>819</v>
      </c>
      <c r="E111" s="424" t="s">
        <v>819</v>
      </c>
      <c r="F111" s="424" t="s">
        <v>819</v>
      </c>
      <c r="G111" s="424" t="s">
        <v>819</v>
      </c>
      <c r="H111" s="424" t="s">
        <v>819</v>
      </c>
      <c r="I111" s="424" t="s">
        <v>819</v>
      </c>
      <c r="J111" s="424" t="s">
        <v>819</v>
      </c>
      <c r="K111" s="424" t="s">
        <v>819</v>
      </c>
      <c r="L111" s="424" t="s">
        <v>819</v>
      </c>
      <c r="M111" s="424" t="s">
        <v>819</v>
      </c>
      <c r="N111" s="424" t="s">
        <v>819</v>
      </c>
      <c r="O111" s="424" t="s">
        <v>819</v>
      </c>
      <c r="P111" s="424" t="s">
        <v>819</v>
      </c>
      <c r="Q111" s="404"/>
    </row>
    <row r="112" spans="1:17" s="4" customFormat="1" ht="11.25" customHeight="1">
      <c r="A112" s="424" t="s">
        <v>947</v>
      </c>
      <c r="B112" s="424" t="s">
        <v>948</v>
      </c>
      <c r="C112" s="427">
        <v>188</v>
      </c>
      <c r="D112" s="427">
        <v>905</v>
      </c>
      <c r="E112" s="427">
        <v>715</v>
      </c>
      <c r="F112" s="427">
        <v>359</v>
      </c>
      <c r="G112" s="427">
        <v>1299</v>
      </c>
      <c r="H112" s="427">
        <v>257</v>
      </c>
      <c r="I112" s="427">
        <v>85</v>
      </c>
      <c r="J112" s="427">
        <v>425</v>
      </c>
      <c r="K112" s="427">
        <v>425</v>
      </c>
      <c r="L112" s="427">
        <v>425</v>
      </c>
      <c r="M112" s="427">
        <v>425</v>
      </c>
      <c r="N112" s="427">
        <v>425</v>
      </c>
      <c r="O112" s="427">
        <v>5932</v>
      </c>
      <c r="P112" s="427">
        <v>7793</v>
      </c>
      <c r="Q112" s="404"/>
    </row>
    <row r="113" spans="1:17" s="4" customFormat="1" ht="11.25" customHeight="1">
      <c r="A113" s="424" t="s">
        <v>949</v>
      </c>
      <c r="B113" s="424" t="s">
        <v>950</v>
      </c>
      <c r="C113" s="427">
        <v>425</v>
      </c>
      <c r="D113" s="427">
        <v>698</v>
      </c>
      <c r="E113" s="427">
        <v>790</v>
      </c>
      <c r="F113" s="427">
        <v>525</v>
      </c>
      <c r="G113" s="427">
        <v>890</v>
      </c>
      <c r="H113" s="427">
        <v>625</v>
      </c>
      <c r="I113" s="427">
        <v>405</v>
      </c>
      <c r="J113" s="427">
        <v>750</v>
      </c>
      <c r="K113" s="427">
        <v>750</v>
      </c>
      <c r="L113" s="427">
        <v>750</v>
      </c>
      <c r="M113" s="427">
        <v>750</v>
      </c>
      <c r="N113" s="427">
        <v>750</v>
      </c>
      <c r="O113" s="427">
        <v>8109</v>
      </c>
      <c r="P113" s="427">
        <v>7457</v>
      </c>
      <c r="Q113" s="404"/>
    </row>
    <row r="114" spans="1:17" s="4" customFormat="1" ht="11.25" customHeight="1">
      <c r="A114" s="424" t="s">
        <v>951</v>
      </c>
      <c r="B114" s="424" t="s">
        <v>952</v>
      </c>
      <c r="C114" s="427">
        <v>286</v>
      </c>
      <c r="D114" s="427">
        <v>127</v>
      </c>
      <c r="E114" s="427">
        <v>144</v>
      </c>
      <c r="F114" s="427">
        <v>220</v>
      </c>
      <c r="G114" s="427">
        <v>204</v>
      </c>
      <c r="H114" s="427">
        <v>64</v>
      </c>
      <c r="I114" s="427">
        <v>0</v>
      </c>
      <c r="J114" s="427">
        <v>300</v>
      </c>
      <c r="K114" s="427">
        <v>300</v>
      </c>
      <c r="L114" s="427">
        <v>300</v>
      </c>
      <c r="M114" s="427">
        <v>300</v>
      </c>
      <c r="N114" s="427">
        <v>300</v>
      </c>
      <c r="O114" s="427">
        <v>2543</v>
      </c>
      <c r="P114" s="427">
        <v>3426</v>
      </c>
      <c r="Q114" s="404"/>
    </row>
    <row r="115" spans="1:17" s="4" customFormat="1" ht="11.25" customHeight="1">
      <c r="A115" s="424" t="s">
        <v>954</v>
      </c>
      <c r="B115" s="424" t="s">
        <v>955</v>
      </c>
      <c r="C115" s="427">
        <v>0</v>
      </c>
      <c r="D115" s="427">
        <v>0</v>
      </c>
      <c r="E115" s="427">
        <v>663</v>
      </c>
      <c r="F115" s="427">
        <v>0</v>
      </c>
      <c r="G115" s="427">
        <v>0</v>
      </c>
      <c r="H115" s="427">
        <v>502</v>
      </c>
      <c r="I115" s="427">
        <v>519</v>
      </c>
      <c r="J115" s="427">
        <v>225</v>
      </c>
      <c r="K115" s="427">
        <v>225</v>
      </c>
      <c r="L115" s="427">
        <v>225</v>
      </c>
      <c r="M115" s="427">
        <v>225</v>
      </c>
      <c r="N115" s="427">
        <v>225</v>
      </c>
      <c r="O115" s="427">
        <v>2809</v>
      </c>
      <c r="P115" s="427">
        <v>2830</v>
      </c>
      <c r="Q115" s="404"/>
    </row>
    <row r="116" spans="1:17" s="4" customFormat="1" ht="11.25" customHeight="1">
      <c r="A116" s="424" t="s">
        <v>957</v>
      </c>
      <c r="B116" s="424" t="s">
        <v>958</v>
      </c>
      <c r="C116" s="427">
        <v>111</v>
      </c>
      <c r="D116" s="427">
        <v>769</v>
      </c>
      <c r="E116" s="427">
        <v>355</v>
      </c>
      <c r="F116" s="427">
        <v>533</v>
      </c>
      <c r="G116" s="427">
        <v>488</v>
      </c>
      <c r="H116" s="427">
        <v>251</v>
      </c>
      <c r="I116" s="427">
        <v>646</v>
      </c>
      <c r="J116" s="427">
        <v>400</v>
      </c>
      <c r="K116" s="427">
        <v>400</v>
      </c>
      <c r="L116" s="427">
        <v>400</v>
      </c>
      <c r="M116" s="427">
        <v>400</v>
      </c>
      <c r="N116" s="427">
        <v>400</v>
      </c>
      <c r="O116" s="427">
        <v>5153</v>
      </c>
      <c r="P116" s="427">
        <v>5178</v>
      </c>
      <c r="Q116" s="404"/>
    </row>
    <row r="117" spans="1:17" s="4" customFormat="1" ht="11.25" customHeight="1">
      <c r="A117" s="424" t="s">
        <v>959</v>
      </c>
      <c r="B117" s="424" t="s">
        <v>960</v>
      </c>
      <c r="C117" s="427">
        <v>100</v>
      </c>
      <c r="D117" s="427">
        <v>200</v>
      </c>
      <c r="E117" s="427">
        <v>0</v>
      </c>
      <c r="F117" s="427">
        <v>0</v>
      </c>
      <c r="G117" s="427">
        <v>0</v>
      </c>
      <c r="H117" s="427">
        <v>100</v>
      </c>
      <c r="I117" s="427">
        <v>0</v>
      </c>
      <c r="J117" s="427">
        <v>105</v>
      </c>
      <c r="K117" s="427">
        <v>105</v>
      </c>
      <c r="L117" s="427">
        <v>105</v>
      </c>
      <c r="M117" s="427">
        <v>105</v>
      </c>
      <c r="N117" s="427">
        <v>105</v>
      </c>
      <c r="O117" s="427">
        <v>925</v>
      </c>
      <c r="P117" s="427">
        <v>820</v>
      </c>
      <c r="Q117" s="404"/>
    </row>
    <row r="118" spans="1:17" s="4" customFormat="1" ht="11.25" customHeight="1">
      <c r="A118" s="424" t="s">
        <v>961</v>
      </c>
      <c r="B118" s="424" t="s">
        <v>962</v>
      </c>
      <c r="C118" s="427">
        <v>498</v>
      </c>
      <c r="D118" s="427">
        <v>1202</v>
      </c>
      <c r="E118" s="427">
        <v>531</v>
      </c>
      <c r="F118" s="427">
        <v>970</v>
      </c>
      <c r="G118" s="427">
        <v>1201</v>
      </c>
      <c r="H118" s="427">
        <v>518</v>
      </c>
      <c r="I118" s="427">
        <v>1227</v>
      </c>
      <c r="J118" s="427">
        <v>1000</v>
      </c>
      <c r="K118" s="427">
        <v>1000</v>
      </c>
      <c r="L118" s="427">
        <v>1000</v>
      </c>
      <c r="M118" s="427">
        <v>1000</v>
      </c>
      <c r="N118" s="427">
        <v>1000</v>
      </c>
      <c r="O118" s="427">
        <v>11148</v>
      </c>
      <c r="P118" s="427">
        <v>11799</v>
      </c>
      <c r="Q118" s="404"/>
    </row>
    <row r="119" spans="1:17" s="4" customFormat="1" ht="11.25" customHeight="1">
      <c r="A119" s="424" t="s">
        <v>963</v>
      </c>
      <c r="B119" s="424" t="s">
        <v>964</v>
      </c>
      <c r="C119" s="427">
        <v>0</v>
      </c>
      <c r="D119" s="427">
        <v>0</v>
      </c>
      <c r="E119" s="427">
        <v>0</v>
      </c>
      <c r="F119" s="427">
        <v>0</v>
      </c>
      <c r="G119" s="427">
        <v>0</v>
      </c>
      <c r="H119" s="427">
        <v>0</v>
      </c>
      <c r="I119" s="427">
        <v>0</v>
      </c>
      <c r="J119" s="427">
        <v>0</v>
      </c>
      <c r="K119" s="427">
        <v>0</v>
      </c>
      <c r="L119" s="427">
        <v>0</v>
      </c>
      <c r="M119" s="427">
        <v>0</v>
      </c>
      <c r="N119" s="427">
        <v>0</v>
      </c>
      <c r="O119" s="427">
        <v>0</v>
      </c>
      <c r="P119" s="427">
        <v>198</v>
      </c>
      <c r="Q119" s="404"/>
    </row>
    <row r="120" spans="1:17" s="10" customFormat="1" ht="11.25" customHeight="1">
      <c r="A120" s="428" t="s">
        <v>545</v>
      </c>
      <c r="B120" s="424" t="s">
        <v>946</v>
      </c>
      <c r="C120" s="429">
        <v>1608</v>
      </c>
      <c r="D120" s="429">
        <v>3901</v>
      </c>
      <c r="E120" s="429">
        <v>3198</v>
      </c>
      <c r="F120" s="429">
        <v>2607</v>
      </c>
      <c r="G120" s="429">
        <v>4082</v>
      </c>
      <c r="H120" s="429">
        <v>2317</v>
      </c>
      <c r="I120" s="429">
        <v>2882</v>
      </c>
      <c r="J120" s="429">
        <v>3205</v>
      </c>
      <c r="K120" s="429">
        <v>3205</v>
      </c>
      <c r="L120" s="429">
        <v>3205</v>
      </c>
      <c r="M120" s="429">
        <v>3205</v>
      </c>
      <c r="N120" s="429">
        <v>3205</v>
      </c>
      <c r="O120" s="429">
        <v>36619</v>
      </c>
      <c r="P120" s="429">
        <v>39501</v>
      </c>
      <c r="Q120" s="404"/>
    </row>
    <row r="121" spans="1:17" s="403" customFormat="1" ht="11">
      <c r="A121" s="424" t="s">
        <v>819</v>
      </c>
      <c r="B121" s="424" t="s">
        <v>965</v>
      </c>
      <c r="C121" s="424" t="s">
        <v>819</v>
      </c>
      <c r="D121" s="424" t="s">
        <v>819</v>
      </c>
      <c r="E121" s="424" t="s">
        <v>819</v>
      </c>
      <c r="F121" s="424" t="s">
        <v>819</v>
      </c>
      <c r="G121" s="424" t="s">
        <v>819</v>
      </c>
      <c r="H121" s="424" t="s">
        <v>819</v>
      </c>
      <c r="I121" s="424" t="s">
        <v>819</v>
      </c>
      <c r="J121" s="424" t="s">
        <v>819</v>
      </c>
      <c r="K121" s="424" t="s">
        <v>819</v>
      </c>
      <c r="L121" s="424" t="s">
        <v>819</v>
      </c>
      <c r="M121" s="424" t="s">
        <v>819</v>
      </c>
      <c r="N121" s="424" t="s">
        <v>819</v>
      </c>
      <c r="O121" s="424" t="s">
        <v>819</v>
      </c>
      <c r="P121" s="424" t="s">
        <v>819</v>
      </c>
      <c r="Q121" s="404"/>
    </row>
    <row r="122" spans="1:17" s="403" customFormat="1" ht="11.25" customHeight="1">
      <c r="A122" s="424" t="s">
        <v>967</v>
      </c>
      <c r="B122" s="424" t="s">
        <v>968</v>
      </c>
      <c r="C122" s="427">
        <v>0</v>
      </c>
      <c r="D122" s="427">
        <v>763</v>
      </c>
      <c r="E122" s="427">
        <v>180</v>
      </c>
      <c r="F122" s="427">
        <v>127</v>
      </c>
      <c r="G122" s="427">
        <v>85</v>
      </c>
      <c r="H122" s="427">
        <v>85</v>
      </c>
      <c r="I122" s="427">
        <v>403</v>
      </c>
      <c r="J122" s="427">
        <v>200</v>
      </c>
      <c r="K122" s="427">
        <v>200</v>
      </c>
      <c r="L122" s="427">
        <v>200</v>
      </c>
      <c r="M122" s="427">
        <v>200</v>
      </c>
      <c r="N122" s="427">
        <v>200</v>
      </c>
      <c r="O122" s="427">
        <v>2644</v>
      </c>
      <c r="P122" s="427">
        <v>2632</v>
      </c>
      <c r="Q122" s="404"/>
    </row>
    <row r="123" spans="1:17" s="4" customFormat="1" ht="11.25" customHeight="1">
      <c r="A123" s="424" t="s">
        <v>970</v>
      </c>
      <c r="B123" s="424" t="s">
        <v>971</v>
      </c>
      <c r="C123" s="427">
        <v>53</v>
      </c>
      <c r="D123" s="427">
        <v>82</v>
      </c>
      <c r="E123" s="427">
        <v>457</v>
      </c>
      <c r="F123" s="427">
        <v>106</v>
      </c>
      <c r="G123" s="427">
        <v>578</v>
      </c>
      <c r="H123" s="427">
        <v>53</v>
      </c>
      <c r="I123" s="427">
        <v>1701</v>
      </c>
      <c r="J123" s="427">
        <v>300</v>
      </c>
      <c r="K123" s="427">
        <v>300</v>
      </c>
      <c r="L123" s="427">
        <v>300</v>
      </c>
      <c r="M123" s="427">
        <v>300</v>
      </c>
      <c r="N123" s="427">
        <v>300</v>
      </c>
      <c r="O123" s="427">
        <v>4529</v>
      </c>
      <c r="P123" s="427">
        <v>5445</v>
      </c>
      <c r="Q123" s="404"/>
    </row>
    <row r="124" spans="1:17" s="4" customFormat="1" ht="11.25" customHeight="1">
      <c r="A124" s="424" t="s">
        <v>973</v>
      </c>
      <c r="B124" s="424" t="s">
        <v>974</v>
      </c>
      <c r="C124" s="427">
        <v>161</v>
      </c>
      <c r="D124" s="427">
        <v>69</v>
      </c>
      <c r="E124" s="427">
        <v>446</v>
      </c>
      <c r="F124" s="427">
        <v>0</v>
      </c>
      <c r="G124" s="427">
        <v>76</v>
      </c>
      <c r="H124" s="427">
        <v>363</v>
      </c>
      <c r="I124" s="427">
        <v>31</v>
      </c>
      <c r="J124" s="427">
        <v>0</v>
      </c>
      <c r="K124" s="427">
        <v>400</v>
      </c>
      <c r="L124" s="427">
        <v>0</v>
      </c>
      <c r="M124" s="427">
        <v>0</v>
      </c>
      <c r="N124" s="427">
        <v>0</v>
      </c>
      <c r="O124" s="427">
        <v>1546</v>
      </c>
      <c r="P124" s="427">
        <v>1283</v>
      </c>
      <c r="Q124" s="404"/>
    </row>
    <row r="125" spans="1:17" s="4" customFormat="1" ht="11.25" customHeight="1">
      <c r="A125" s="424" t="s">
        <v>976</v>
      </c>
      <c r="B125" s="424" t="s">
        <v>977</v>
      </c>
      <c r="C125" s="427">
        <v>0</v>
      </c>
      <c r="D125" s="427">
        <v>0</v>
      </c>
      <c r="E125" s="427">
        <v>13</v>
      </c>
      <c r="F125" s="427">
        <v>260</v>
      </c>
      <c r="G125" s="427">
        <v>173</v>
      </c>
      <c r="H125" s="427">
        <v>848</v>
      </c>
      <c r="I125" s="427">
        <v>907</v>
      </c>
      <c r="J125" s="427">
        <v>300</v>
      </c>
      <c r="K125" s="427">
        <v>150</v>
      </c>
      <c r="L125" s="427">
        <v>150</v>
      </c>
      <c r="M125" s="427">
        <v>150</v>
      </c>
      <c r="N125" s="427">
        <v>150</v>
      </c>
      <c r="O125" s="427">
        <v>3102</v>
      </c>
      <c r="P125" s="427">
        <v>3601</v>
      </c>
      <c r="Q125" s="404"/>
    </row>
    <row r="126" spans="1:17" s="4" customFormat="1" ht="11.25" customHeight="1">
      <c r="A126" s="424" t="s">
        <v>978</v>
      </c>
      <c r="B126" s="424" t="s">
        <v>979</v>
      </c>
      <c r="C126" s="427">
        <v>0</v>
      </c>
      <c r="D126" s="427">
        <v>0</v>
      </c>
      <c r="E126" s="427">
        <v>348</v>
      </c>
      <c r="F126" s="427">
        <v>0</v>
      </c>
      <c r="G126" s="427">
        <v>426</v>
      </c>
      <c r="H126" s="427">
        <v>0</v>
      </c>
      <c r="I126" s="427">
        <v>0</v>
      </c>
      <c r="J126" s="427">
        <v>0</v>
      </c>
      <c r="K126" s="427">
        <v>0</v>
      </c>
      <c r="L126" s="427">
        <v>0</v>
      </c>
      <c r="M126" s="427">
        <v>0</v>
      </c>
      <c r="N126" s="427">
        <v>0</v>
      </c>
      <c r="O126" s="427">
        <v>773</v>
      </c>
      <c r="P126" s="427">
        <v>659</v>
      </c>
      <c r="Q126" s="404"/>
    </row>
    <row r="127" spans="1:17" s="4" customFormat="1" ht="11.25" customHeight="1">
      <c r="A127" s="424" t="s">
        <v>981</v>
      </c>
      <c r="B127" s="424" t="s">
        <v>982</v>
      </c>
      <c r="C127" s="427">
        <v>0</v>
      </c>
      <c r="D127" s="427">
        <v>0</v>
      </c>
      <c r="E127" s="427">
        <v>1451</v>
      </c>
      <c r="F127" s="427">
        <v>0</v>
      </c>
      <c r="G127" s="427">
        <v>0</v>
      </c>
      <c r="H127" s="427">
        <v>0</v>
      </c>
      <c r="I127" s="427">
        <v>1031</v>
      </c>
      <c r="J127" s="427">
        <v>0</v>
      </c>
      <c r="K127" s="427">
        <v>0</v>
      </c>
      <c r="L127" s="427">
        <v>0</v>
      </c>
      <c r="M127" s="427">
        <v>0</v>
      </c>
      <c r="N127" s="427">
        <v>0</v>
      </c>
      <c r="O127" s="427">
        <v>2482</v>
      </c>
      <c r="P127" s="427">
        <v>0</v>
      </c>
      <c r="Q127" s="404"/>
    </row>
    <row r="128" spans="1:17" s="4" customFormat="1" ht="11.25" customHeight="1">
      <c r="A128" s="424" t="s">
        <v>983</v>
      </c>
      <c r="B128" s="424" t="s">
        <v>984</v>
      </c>
      <c r="C128" s="427">
        <v>0</v>
      </c>
      <c r="D128" s="427">
        <v>0</v>
      </c>
      <c r="E128" s="427">
        <v>0</v>
      </c>
      <c r="F128" s="427">
        <v>0</v>
      </c>
      <c r="G128" s="427">
        <v>0</v>
      </c>
      <c r="H128" s="427">
        <v>0</v>
      </c>
      <c r="I128" s="427">
        <v>0</v>
      </c>
      <c r="J128" s="427">
        <v>350</v>
      </c>
      <c r="K128" s="427">
        <v>0</v>
      </c>
      <c r="L128" s="427">
        <v>0</v>
      </c>
      <c r="M128" s="427">
        <v>350</v>
      </c>
      <c r="N128" s="427">
        <v>0</v>
      </c>
      <c r="O128" s="427">
        <v>700</v>
      </c>
      <c r="P128" s="427">
        <v>1652</v>
      </c>
      <c r="Q128" s="404"/>
    </row>
    <row r="129" spans="1:17" s="4" customFormat="1" ht="11.25" customHeight="1">
      <c r="A129" s="428" t="s">
        <v>545</v>
      </c>
      <c r="B129" s="424" t="s">
        <v>965</v>
      </c>
      <c r="C129" s="429">
        <v>214</v>
      </c>
      <c r="D129" s="429">
        <v>914</v>
      </c>
      <c r="E129" s="429">
        <v>2895</v>
      </c>
      <c r="F129" s="429">
        <v>493</v>
      </c>
      <c r="G129" s="429">
        <v>1338</v>
      </c>
      <c r="H129" s="429">
        <v>1349</v>
      </c>
      <c r="I129" s="429">
        <v>4073</v>
      </c>
      <c r="J129" s="429">
        <v>1150</v>
      </c>
      <c r="K129" s="429">
        <v>1050</v>
      </c>
      <c r="L129" s="429">
        <v>650</v>
      </c>
      <c r="M129" s="429">
        <v>1000</v>
      </c>
      <c r="N129" s="429">
        <v>650</v>
      </c>
      <c r="O129" s="429">
        <v>15776</v>
      </c>
      <c r="P129" s="429">
        <v>15272</v>
      </c>
      <c r="Q129" s="404"/>
    </row>
    <row r="130" spans="1:17" s="10" customFormat="1" ht="11.25" customHeight="1">
      <c r="A130" s="424" t="s">
        <v>819</v>
      </c>
      <c r="B130" s="424" t="s">
        <v>987</v>
      </c>
      <c r="C130" s="424" t="s">
        <v>819</v>
      </c>
      <c r="D130" s="424" t="s">
        <v>819</v>
      </c>
      <c r="E130" s="424" t="s">
        <v>819</v>
      </c>
      <c r="F130" s="424" t="s">
        <v>819</v>
      </c>
      <c r="G130" s="424" t="s">
        <v>819</v>
      </c>
      <c r="H130" s="424" t="s">
        <v>819</v>
      </c>
      <c r="I130" s="424" t="s">
        <v>819</v>
      </c>
      <c r="J130" s="424" t="s">
        <v>819</v>
      </c>
      <c r="K130" s="424" t="s">
        <v>819</v>
      </c>
      <c r="L130" s="424" t="s">
        <v>819</v>
      </c>
      <c r="M130" s="424" t="s">
        <v>819</v>
      </c>
      <c r="N130" s="424" t="s">
        <v>819</v>
      </c>
      <c r="O130" s="424" t="s">
        <v>819</v>
      </c>
      <c r="P130" s="424" t="s">
        <v>819</v>
      </c>
      <c r="Q130" s="404"/>
    </row>
    <row r="131" spans="1:17" s="403" customFormat="1" ht="11.25" customHeight="1">
      <c r="A131" s="424" t="s">
        <v>988</v>
      </c>
      <c r="B131" s="424" t="s">
        <v>989</v>
      </c>
      <c r="C131" s="427">
        <v>0</v>
      </c>
      <c r="D131" s="427">
        <v>0</v>
      </c>
      <c r="E131" s="427">
        <v>74</v>
      </c>
      <c r="F131" s="427">
        <v>0</v>
      </c>
      <c r="G131" s="427">
        <v>0</v>
      </c>
      <c r="H131" s="427">
        <v>0</v>
      </c>
      <c r="I131" s="427">
        <v>0</v>
      </c>
      <c r="J131" s="427">
        <v>0</v>
      </c>
      <c r="K131" s="427">
        <v>0</v>
      </c>
      <c r="L131" s="427">
        <v>0</v>
      </c>
      <c r="M131" s="427">
        <v>0</v>
      </c>
      <c r="N131" s="427">
        <v>0</v>
      </c>
      <c r="O131" s="427">
        <v>74</v>
      </c>
      <c r="P131" s="427">
        <v>17</v>
      </c>
      <c r="Q131" s="404"/>
    </row>
    <row r="132" spans="1:17" s="403" customFormat="1" ht="11.25" customHeight="1">
      <c r="A132" s="424" t="s">
        <v>991</v>
      </c>
      <c r="B132" s="424" t="s">
        <v>992</v>
      </c>
      <c r="C132" s="427">
        <v>0</v>
      </c>
      <c r="D132" s="427">
        <v>0</v>
      </c>
      <c r="E132" s="427">
        <v>0</v>
      </c>
      <c r="F132" s="427">
        <v>3179</v>
      </c>
      <c r="G132" s="427">
        <v>0</v>
      </c>
      <c r="H132" s="427">
        <v>1362</v>
      </c>
      <c r="I132" s="427">
        <v>0</v>
      </c>
      <c r="J132" s="427">
        <v>0</v>
      </c>
      <c r="K132" s="427">
        <v>0</v>
      </c>
      <c r="L132" s="427">
        <v>0</v>
      </c>
      <c r="M132" s="427">
        <v>1152</v>
      </c>
      <c r="N132" s="427">
        <v>0</v>
      </c>
      <c r="O132" s="427">
        <v>5693</v>
      </c>
      <c r="P132" s="427">
        <v>3818</v>
      </c>
      <c r="Q132" s="404"/>
    </row>
    <row r="133" spans="1:17" s="4" customFormat="1" ht="11.25" customHeight="1">
      <c r="A133" s="428" t="s">
        <v>545</v>
      </c>
      <c r="B133" s="424" t="s">
        <v>987</v>
      </c>
      <c r="C133" s="429">
        <v>0</v>
      </c>
      <c r="D133" s="429">
        <v>0</v>
      </c>
      <c r="E133" s="429">
        <v>74</v>
      </c>
      <c r="F133" s="429">
        <v>3179</v>
      </c>
      <c r="G133" s="429">
        <v>0</v>
      </c>
      <c r="H133" s="429">
        <v>1362</v>
      </c>
      <c r="I133" s="429">
        <v>0</v>
      </c>
      <c r="J133" s="429">
        <v>0</v>
      </c>
      <c r="K133" s="429">
        <v>0</v>
      </c>
      <c r="L133" s="429">
        <v>0</v>
      </c>
      <c r="M133" s="429">
        <v>1152</v>
      </c>
      <c r="N133" s="429">
        <v>0</v>
      </c>
      <c r="O133" s="429">
        <v>5767</v>
      </c>
      <c r="P133" s="429">
        <v>3835</v>
      </c>
      <c r="Q133" s="404"/>
    </row>
    <row r="134" spans="1:17" s="4" customFormat="1" ht="11.25" customHeight="1">
      <c r="A134" s="424" t="s">
        <v>819</v>
      </c>
      <c r="B134" s="424" t="s">
        <v>994</v>
      </c>
      <c r="C134" s="424" t="s">
        <v>819</v>
      </c>
      <c r="D134" s="424" t="s">
        <v>819</v>
      </c>
      <c r="E134" s="424" t="s">
        <v>819</v>
      </c>
      <c r="F134" s="424" t="s">
        <v>819</v>
      </c>
      <c r="G134" s="424" t="s">
        <v>819</v>
      </c>
      <c r="H134" s="424" t="s">
        <v>819</v>
      </c>
      <c r="I134" s="424" t="s">
        <v>819</v>
      </c>
      <c r="J134" s="424" t="s">
        <v>819</v>
      </c>
      <c r="K134" s="424" t="s">
        <v>819</v>
      </c>
      <c r="L134" s="424" t="s">
        <v>819</v>
      </c>
      <c r="M134" s="424" t="s">
        <v>819</v>
      </c>
      <c r="N134" s="424" t="s">
        <v>819</v>
      </c>
      <c r="O134" s="424" t="s">
        <v>819</v>
      </c>
      <c r="P134" s="424" t="s">
        <v>819</v>
      </c>
      <c r="Q134" s="404"/>
    </row>
    <row r="135" spans="1:17" s="4" customFormat="1" ht="11.25" customHeight="1">
      <c r="A135" s="424" t="s">
        <v>995</v>
      </c>
      <c r="B135" s="424" t="s">
        <v>996</v>
      </c>
      <c r="C135" s="427">
        <v>0</v>
      </c>
      <c r="D135" s="427">
        <v>66</v>
      </c>
      <c r="E135" s="427">
        <v>42</v>
      </c>
      <c r="F135" s="427">
        <v>255</v>
      </c>
      <c r="G135" s="427">
        <v>267</v>
      </c>
      <c r="H135" s="427">
        <v>34</v>
      </c>
      <c r="I135" s="427">
        <v>93</v>
      </c>
      <c r="J135" s="427">
        <v>100</v>
      </c>
      <c r="K135" s="427">
        <v>100</v>
      </c>
      <c r="L135" s="427">
        <v>100</v>
      </c>
      <c r="M135" s="427">
        <v>100</v>
      </c>
      <c r="N135" s="427">
        <v>100</v>
      </c>
      <c r="O135" s="427">
        <v>1257</v>
      </c>
      <c r="P135" s="427">
        <v>1231</v>
      </c>
      <c r="Q135" s="404"/>
    </row>
    <row r="136" spans="1:17" s="10" customFormat="1" ht="11.25" customHeight="1">
      <c r="A136" s="424" t="s">
        <v>997</v>
      </c>
      <c r="B136" s="424" t="s">
        <v>998</v>
      </c>
      <c r="C136" s="427">
        <v>0</v>
      </c>
      <c r="D136" s="427">
        <v>0</v>
      </c>
      <c r="E136" s="427">
        <v>0</v>
      </c>
      <c r="F136" s="427">
        <v>157</v>
      </c>
      <c r="G136" s="427">
        <v>0</v>
      </c>
      <c r="H136" s="427">
        <v>0</v>
      </c>
      <c r="I136" s="427">
        <v>0</v>
      </c>
      <c r="J136" s="427">
        <v>0</v>
      </c>
      <c r="K136" s="427">
        <v>0</v>
      </c>
      <c r="L136" s="427">
        <v>0</v>
      </c>
      <c r="M136" s="427">
        <v>0</v>
      </c>
      <c r="N136" s="427">
        <v>0</v>
      </c>
      <c r="O136" s="427">
        <v>157</v>
      </c>
      <c r="P136" s="427">
        <v>0</v>
      </c>
      <c r="Q136" s="404"/>
    </row>
    <row r="137" spans="1:17" s="403" customFormat="1" ht="11.25" customHeight="1">
      <c r="A137" s="424" t="s">
        <v>1000</v>
      </c>
      <c r="B137" s="424" t="s">
        <v>1001</v>
      </c>
      <c r="C137" s="427">
        <v>0</v>
      </c>
      <c r="D137" s="427">
        <v>0</v>
      </c>
      <c r="E137" s="427">
        <v>0</v>
      </c>
      <c r="F137" s="427">
        <v>0</v>
      </c>
      <c r="G137" s="427">
        <v>38</v>
      </c>
      <c r="H137" s="427">
        <v>138</v>
      </c>
      <c r="I137" s="427">
        <v>0</v>
      </c>
      <c r="J137" s="427">
        <v>0</v>
      </c>
      <c r="K137" s="427">
        <v>0</v>
      </c>
      <c r="L137" s="427">
        <v>0</v>
      </c>
      <c r="M137" s="427">
        <v>0</v>
      </c>
      <c r="N137" s="427">
        <v>0</v>
      </c>
      <c r="O137" s="427">
        <v>176</v>
      </c>
      <c r="P137" s="427">
        <v>535</v>
      </c>
      <c r="Q137" s="404"/>
    </row>
    <row r="138" spans="1:17" s="405" customFormat="1" ht="11.25" customHeight="1">
      <c r="A138" s="424" t="s">
        <v>1002</v>
      </c>
      <c r="B138" s="424" t="s">
        <v>1003</v>
      </c>
      <c r="C138" s="427">
        <v>360</v>
      </c>
      <c r="D138" s="427">
        <v>245</v>
      </c>
      <c r="E138" s="427">
        <v>555</v>
      </c>
      <c r="F138" s="427">
        <v>140</v>
      </c>
      <c r="G138" s="427">
        <v>190</v>
      </c>
      <c r="H138" s="427">
        <v>0</v>
      </c>
      <c r="I138" s="427">
        <v>235</v>
      </c>
      <c r="J138" s="427">
        <v>275</v>
      </c>
      <c r="K138" s="427">
        <v>275</v>
      </c>
      <c r="L138" s="427">
        <v>275</v>
      </c>
      <c r="M138" s="427">
        <v>275</v>
      </c>
      <c r="N138" s="427">
        <v>275</v>
      </c>
      <c r="O138" s="427">
        <v>3100</v>
      </c>
      <c r="P138" s="427">
        <v>3602</v>
      </c>
      <c r="Q138" s="404"/>
    </row>
    <row r="139" spans="1:17" s="403" customFormat="1" ht="11.25" customHeight="1">
      <c r="A139" s="424" t="s">
        <v>1004</v>
      </c>
      <c r="B139" s="424" t="s">
        <v>1005</v>
      </c>
      <c r="C139" s="427">
        <v>102</v>
      </c>
      <c r="D139" s="427">
        <v>313</v>
      </c>
      <c r="E139" s="427">
        <v>665</v>
      </c>
      <c r="F139" s="427">
        <v>75</v>
      </c>
      <c r="G139" s="427">
        <v>310</v>
      </c>
      <c r="H139" s="427">
        <v>227</v>
      </c>
      <c r="I139" s="427">
        <v>444</v>
      </c>
      <c r="J139" s="427">
        <v>100</v>
      </c>
      <c r="K139" s="427">
        <v>100</v>
      </c>
      <c r="L139" s="427">
        <v>100</v>
      </c>
      <c r="M139" s="427">
        <v>100</v>
      </c>
      <c r="N139" s="427">
        <v>100</v>
      </c>
      <c r="O139" s="427">
        <v>2637</v>
      </c>
      <c r="P139" s="427">
        <v>1815</v>
      </c>
      <c r="Q139" s="404"/>
    </row>
    <row r="140" spans="1:17" s="4" customFormat="1" ht="11.25" customHeight="1">
      <c r="A140" s="424" t="s">
        <v>1009</v>
      </c>
      <c r="B140" s="424" t="s">
        <v>1010</v>
      </c>
      <c r="C140" s="427">
        <v>566</v>
      </c>
      <c r="D140" s="427">
        <v>1241</v>
      </c>
      <c r="E140" s="427">
        <v>922</v>
      </c>
      <c r="F140" s="427">
        <v>1003</v>
      </c>
      <c r="G140" s="427">
        <v>1403</v>
      </c>
      <c r="H140" s="427">
        <v>109</v>
      </c>
      <c r="I140" s="427">
        <v>586</v>
      </c>
      <c r="J140" s="427">
        <v>650</v>
      </c>
      <c r="K140" s="427">
        <v>650</v>
      </c>
      <c r="L140" s="427">
        <v>650</v>
      </c>
      <c r="M140" s="427">
        <v>650</v>
      </c>
      <c r="N140" s="427">
        <v>650</v>
      </c>
      <c r="O140" s="427">
        <v>9079</v>
      </c>
      <c r="P140" s="427">
        <v>11871</v>
      </c>
      <c r="Q140" s="404"/>
    </row>
    <row r="141" spans="1:17" s="403" customFormat="1" ht="11.25" customHeight="1">
      <c r="A141" s="424" t="s">
        <v>1011</v>
      </c>
      <c r="B141" s="424" t="s">
        <v>1012</v>
      </c>
      <c r="C141" s="427">
        <v>0</v>
      </c>
      <c r="D141" s="427">
        <v>384</v>
      </c>
      <c r="E141" s="427">
        <v>403</v>
      </c>
      <c r="F141" s="427">
        <v>0</v>
      </c>
      <c r="G141" s="427">
        <v>570</v>
      </c>
      <c r="H141" s="427">
        <v>0</v>
      </c>
      <c r="I141" s="427">
        <v>0</v>
      </c>
      <c r="J141" s="427">
        <v>125</v>
      </c>
      <c r="K141" s="427">
        <v>125</v>
      </c>
      <c r="L141" s="427">
        <v>125</v>
      </c>
      <c r="M141" s="427">
        <v>125</v>
      </c>
      <c r="N141" s="427">
        <v>125</v>
      </c>
      <c r="O141" s="427">
        <v>1982</v>
      </c>
      <c r="P141" s="427">
        <v>790</v>
      </c>
      <c r="Q141" s="404"/>
    </row>
    <row r="142" spans="1:17" s="403" customFormat="1" ht="11.25" customHeight="1">
      <c r="A142" s="424" t="s">
        <v>1013</v>
      </c>
      <c r="B142" s="424" t="s">
        <v>1014</v>
      </c>
      <c r="C142" s="427">
        <v>69</v>
      </c>
      <c r="D142" s="427">
        <v>141</v>
      </c>
      <c r="E142" s="427">
        <v>126</v>
      </c>
      <c r="F142" s="427">
        <v>0</v>
      </c>
      <c r="G142" s="427">
        <v>531</v>
      </c>
      <c r="H142" s="427">
        <v>241</v>
      </c>
      <c r="I142" s="427">
        <v>145</v>
      </c>
      <c r="J142" s="427">
        <v>300</v>
      </c>
      <c r="K142" s="427">
        <v>300</v>
      </c>
      <c r="L142" s="427">
        <v>100</v>
      </c>
      <c r="M142" s="427">
        <v>100</v>
      </c>
      <c r="N142" s="427">
        <v>100</v>
      </c>
      <c r="O142" s="427">
        <v>2153</v>
      </c>
      <c r="P142" s="427">
        <v>1107</v>
      </c>
      <c r="Q142" s="404"/>
    </row>
    <row r="143" spans="1:17" s="4" customFormat="1" ht="11.25" customHeight="1">
      <c r="A143" s="424" t="s">
        <v>1015</v>
      </c>
      <c r="B143" s="424" t="s">
        <v>1016</v>
      </c>
      <c r="C143" s="427">
        <v>207</v>
      </c>
      <c r="D143" s="427">
        <v>216</v>
      </c>
      <c r="E143" s="427">
        <v>187</v>
      </c>
      <c r="F143" s="427">
        <v>169</v>
      </c>
      <c r="G143" s="427">
        <v>458</v>
      </c>
      <c r="H143" s="427">
        <v>148</v>
      </c>
      <c r="I143" s="427">
        <v>173</v>
      </c>
      <c r="J143" s="427">
        <v>200</v>
      </c>
      <c r="K143" s="427">
        <v>200</v>
      </c>
      <c r="L143" s="427">
        <v>200</v>
      </c>
      <c r="M143" s="427">
        <v>200</v>
      </c>
      <c r="N143" s="427">
        <v>200</v>
      </c>
      <c r="O143" s="427">
        <v>2559</v>
      </c>
      <c r="P143" s="427">
        <v>2946</v>
      </c>
      <c r="Q143" s="404"/>
    </row>
    <row r="144" spans="1:17" s="4" customFormat="1" ht="11.25" customHeight="1">
      <c r="A144" s="424" t="s">
        <v>1017</v>
      </c>
      <c r="B144" s="424" t="s">
        <v>1018</v>
      </c>
      <c r="C144" s="427">
        <v>0</v>
      </c>
      <c r="D144" s="427">
        <v>0</v>
      </c>
      <c r="E144" s="427">
        <v>0</v>
      </c>
      <c r="F144" s="427">
        <v>0</v>
      </c>
      <c r="G144" s="427">
        <v>0</v>
      </c>
      <c r="H144" s="427">
        <v>0</v>
      </c>
      <c r="I144" s="427">
        <v>0</v>
      </c>
      <c r="J144" s="427">
        <v>0</v>
      </c>
      <c r="K144" s="427">
        <v>0</v>
      </c>
      <c r="L144" s="427">
        <v>0</v>
      </c>
      <c r="M144" s="427">
        <v>0</v>
      </c>
      <c r="N144" s="427">
        <v>0</v>
      </c>
      <c r="O144" s="427">
        <v>0</v>
      </c>
      <c r="P144" s="427">
        <v>500</v>
      </c>
      <c r="Q144" s="404"/>
    </row>
    <row r="145" spans="1:17" s="4" customFormat="1" ht="11.25" customHeight="1">
      <c r="A145" s="424" t="s">
        <v>1019</v>
      </c>
      <c r="B145" s="424" t="s">
        <v>1020</v>
      </c>
      <c r="C145" s="427">
        <v>3</v>
      </c>
      <c r="D145" s="427">
        <v>197</v>
      </c>
      <c r="E145" s="427">
        <v>0</v>
      </c>
      <c r="F145" s="427">
        <v>20</v>
      </c>
      <c r="G145" s="427">
        <v>0</v>
      </c>
      <c r="H145" s="427">
        <v>0</v>
      </c>
      <c r="I145" s="427">
        <v>0</v>
      </c>
      <c r="J145" s="427">
        <v>0</v>
      </c>
      <c r="K145" s="427">
        <v>0</v>
      </c>
      <c r="L145" s="427">
        <v>0</v>
      </c>
      <c r="M145" s="427">
        <v>0</v>
      </c>
      <c r="N145" s="427">
        <v>0</v>
      </c>
      <c r="O145" s="427">
        <v>220</v>
      </c>
      <c r="P145" s="427">
        <v>409</v>
      </c>
      <c r="Q145" s="404"/>
    </row>
    <row r="146" spans="1:17" s="4" customFormat="1" ht="11.25" customHeight="1">
      <c r="A146" s="424" t="s">
        <v>1021</v>
      </c>
      <c r="B146" s="424" t="s">
        <v>1022</v>
      </c>
      <c r="C146" s="427">
        <v>0</v>
      </c>
      <c r="D146" s="427">
        <v>182</v>
      </c>
      <c r="E146" s="427">
        <v>175</v>
      </c>
      <c r="F146" s="427">
        <v>239</v>
      </c>
      <c r="G146" s="427">
        <v>0</v>
      </c>
      <c r="H146" s="427">
        <v>89</v>
      </c>
      <c r="I146" s="427">
        <v>187</v>
      </c>
      <c r="J146" s="427">
        <v>75</v>
      </c>
      <c r="K146" s="427">
        <v>75</v>
      </c>
      <c r="L146" s="427">
        <v>75</v>
      </c>
      <c r="M146" s="427">
        <v>75</v>
      </c>
      <c r="N146" s="427">
        <v>75</v>
      </c>
      <c r="O146" s="427">
        <v>1246</v>
      </c>
      <c r="P146" s="427">
        <v>1081</v>
      </c>
      <c r="Q146" s="404"/>
    </row>
    <row r="147" spans="1:17" s="4" customFormat="1" ht="11.25" customHeight="1">
      <c r="A147" s="428" t="s">
        <v>545</v>
      </c>
      <c r="B147" s="424" t="s">
        <v>994</v>
      </c>
      <c r="C147" s="429">
        <v>1307</v>
      </c>
      <c r="D147" s="429">
        <v>2985</v>
      </c>
      <c r="E147" s="429">
        <v>3075</v>
      </c>
      <c r="F147" s="429">
        <v>2058</v>
      </c>
      <c r="G147" s="429">
        <v>3767</v>
      </c>
      <c r="H147" s="429">
        <v>986</v>
      </c>
      <c r="I147" s="429">
        <v>1863</v>
      </c>
      <c r="J147" s="429">
        <v>1825</v>
      </c>
      <c r="K147" s="429">
        <v>1825</v>
      </c>
      <c r="L147" s="429">
        <v>1625</v>
      </c>
      <c r="M147" s="429">
        <v>1625</v>
      </c>
      <c r="N147" s="429">
        <v>1625</v>
      </c>
      <c r="O147" s="429">
        <v>24566</v>
      </c>
      <c r="P147" s="429">
        <v>25887</v>
      </c>
      <c r="Q147" s="404"/>
    </row>
    <row r="148" spans="1:17" s="4" customFormat="1" ht="11.25" customHeight="1">
      <c r="A148" s="424" t="s">
        <v>819</v>
      </c>
      <c r="B148" s="424" t="s">
        <v>1023</v>
      </c>
      <c r="C148" s="424" t="s">
        <v>819</v>
      </c>
      <c r="D148" s="424" t="s">
        <v>819</v>
      </c>
      <c r="E148" s="424" t="s">
        <v>819</v>
      </c>
      <c r="F148" s="424" t="s">
        <v>819</v>
      </c>
      <c r="G148" s="424" t="s">
        <v>819</v>
      </c>
      <c r="H148" s="424" t="s">
        <v>819</v>
      </c>
      <c r="I148" s="424" t="s">
        <v>819</v>
      </c>
      <c r="J148" s="424" t="s">
        <v>819</v>
      </c>
      <c r="K148" s="424" t="s">
        <v>819</v>
      </c>
      <c r="L148" s="424" t="s">
        <v>819</v>
      </c>
      <c r="M148" s="424" t="s">
        <v>819</v>
      </c>
      <c r="N148" s="424" t="s">
        <v>819</v>
      </c>
      <c r="O148" s="424" t="s">
        <v>819</v>
      </c>
      <c r="P148" s="424" t="s">
        <v>819</v>
      </c>
      <c r="Q148" s="404"/>
    </row>
    <row r="149" spans="1:17" s="4" customFormat="1" ht="11.25" customHeight="1">
      <c r="A149" s="424" t="s">
        <v>1025</v>
      </c>
      <c r="B149" s="424" t="s">
        <v>1026</v>
      </c>
      <c r="C149" s="427">
        <v>2225</v>
      </c>
      <c r="D149" s="427">
        <v>2225</v>
      </c>
      <c r="E149" s="427">
        <v>2225</v>
      </c>
      <c r="F149" s="427">
        <v>2225</v>
      </c>
      <c r="G149" s="427">
        <v>2225</v>
      </c>
      <c r="H149" s="427">
        <v>2225</v>
      </c>
      <c r="I149" s="427">
        <v>2225</v>
      </c>
      <c r="J149" s="427">
        <v>2225</v>
      </c>
      <c r="K149" s="427">
        <v>2225</v>
      </c>
      <c r="L149" s="427">
        <v>2225</v>
      </c>
      <c r="M149" s="427">
        <v>2225</v>
      </c>
      <c r="N149" s="427">
        <v>2225</v>
      </c>
      <c r="O149" s="427">
        <v>26700</v>
      </c>
      <c r="P149" s="427">
        <v>26700</v>
      </c>
      <c r="Q149" s="404"/>
    </row>
    <row r="150" spans="1:17" s="4" customFormat="1" ht="11.25" customHeight="1">
      <c r="A150" s="424" t="s">
        <v>1027</v>
      </c>
      <c r="B150" s="424" t="s">
        <v>1028</v>
      </c>
      <c r="C150" s="427">
        <v>406</v>
      </c>
      <c r="D150" s="427">
        <v>344</v>
      </c>
      <c r="E150" s="427">
        <v>344</v>
      </c>
      <c r="F150" s="427">
        <v>639</v>
      </c>
      <c r="G150" s="427">
        <v>656</v>
      </c>
      <c r="H150" s="427">
        <v>344</v>
      </c>
      <c r="I150" s="427">
        <v>248</v>
      </c>
      <c r="J150" s="427">
        <v>344</v>
      </c>
      <c r="K150" s="427">
        <v>344</v>
      </c>
      <c r="L150" s="427">
        <v>344</v>
      </c>
      <c r="M150" s="427">
        <v>344</v>
      </c>
      <c r="N150" s="427">
        <v>344</v>
      </c>
      <c r="O150" s="427">
        <v>4701</v>
      </c>
      <c r="P150" s="427">
        <v>4432</v>
      </c>
      <c r="Q150" s="404"/>
    </row>
    <row r="151" spans="1:17" s="4" customFormat="1" ht="11.25" customHeight="1">
      <c r="A151" s="424" t="s">
        <v>1031</v>
      </c>
      <c r="B151" s="424" t="s">
        <v>1032</v>
      </c>
      <c r="C151" s="427">
        <v>5816</v>
      </c>
      <c r="D151" s="427">
        <v>72</v>
      </c>
      <c r="E151" s="427">
        <v>72</v>
      </c>
      <c r="F151" s="427">
        <v>5961</v>
      </c>
      <c r="G151" s="427">
        <v>0</v>
      </c>
      <c r="H151" s="427">
        <v>73</v>
      </c>
      <c r="I151" s="427">
        <v>5933</v>
      </c>
      <c r="J151" s="427">
        <v>0</v>
      </c>
      <c r="K151" s="427">
        <v>0</v>
      </c>
      <c r="L151" s="427">
        <v>5800</v>
      </c>
      <c r="M151" s="427">
        <v>0</v>
      </c>
      <c r="N151" s="427">
        <v>0</v>
      </c>
      <c r="O151" s="427">
        <v>23728</v>
      </c>
      <c r="P151" s="427">
        <v>23650</v>
      </c>
      <c r="Q151" s="404"/>
    </row>
    <row r="152" spans="1:17" s="4" customFormat="1" ht="11.25" customHeight="1">
      <c r="A152" s="428" t="s">
        <v>545</v>
      </c>
      <c r="B152" s="424" t="s">
        <v>1023</v>
      </c>
      <c r="C152" s="429">
        <v>8447</v>
      </c>
      <c r="D152" s="429">
        <v>2641</v>
      </c>
      <c r="E152" s="429">
        <v>2641</v>
      </c>
      <c r="F152" s="429">
        <v>8825</v>
      </c>
      <c r="G152" s="429">
        <v>2881</v>
      </c>
      <c r="H152" s="429">
        <v>2642</v>
      </c>
      <c r="I152" s="429">
        <v>8406</v>
      </c>
      <c r="J152" s="429">
        <v>2569</v>
      </c>
      <c r="K152" s="429">
        <v>2569</v>
      </c>
      <c r="L152" s="429">
        <v>8369</v>
      </c>
      <c r="M152" s="429">
        <v>2569</v>
      </c>
      <c r="N152" s="429">
        <v>2569</v>
      </c>
      <c r="O152" s="429">
        <v>55129</v>
      </c>
      <c r="P152" s="429">
        <v>54782</v>
      </c>
      <c r="Q152" s="404"/>
    </row>
    <row r="153" spans="1:17" s="4" customFormat="1" ht="11.25" customHeight="1">
      <c r="A153" s="425" t="s">
        <v>545</v>
      </c>
      <c r="B153" s="424" t="s">
        <v>945</v>
      </c>
      <c r="C153" s="429">
        <v>11576</v>
      </c>
      <c r="D153" s="429">
        <v>10441</v>
      </c>
      <c r="E153" s="429">
        <v>11883</v>
      </c>
      <c r="F153" s="429">
        <v>17162</v>
      </c>
      <c r="G153" s="429">
        <v>12068</v>
      </c>
      <c r="H153" s="429">
        <v>8656</v>
      </c>
      <c r="I153" s="429">
        <v>17224</v>
      </c>
      <c r="J153" s="429">
        <v>8749</v>
      </c>
      <c r="K153" s="429">
        <v>8649</v>
      </c>
      <c r="L153" s="429">
        <v>13849</v>
      </c>
      <c r="M153" s="429">
        <v>9551</v>
      </c>
      <c r="N153" s="429">
        <v>8049</v>
      </c>
      <c r="O153" s="429">
        <v>137857</v>
      </c>
      <c r="P153" s="429">
        <v>139277</v>
      </c>
      <c r="Q153" s="404"/>
    </row>
    <row r="154" spans="1:17" s="4" customFormat="1" ht="11.25" customHeight="1">
      <c r="A154" s="424" t="s">
        <v>814</v>
      </c>
      <c r="B154" s="424" t="s">
        <v>1034</v>
      </c>
      <c r="C154" s="424" t="s">
        <v>814</v>
      </c>
      <c r="D154" s="424" t="s">
        <v>814</v>
      </c>
      <c r="E154" s="424" t="s">
        <v>814</v>
      </c>
      <c r="F154" s="424" t="s">
        <v>814</v>
      </c>
      <c r="G154" s="424" t="s">
        <v>814</v>
      </c>
      <c r="H154" s="424" t="s">
        <v>814</v>
      </c>
      <c r="I154" s="424" t="s">
        <v>814</v>
      </c>
      <c r="J154" s="424" t="s">
        <v>814</v>
      </c>
      <c r="K154" s="424" t="s">
        <v>814</v>
      </c>
      <c r="L154" s="424" t="s">
        <v>814</v>
      </c>
      <c r="M154" s="424" t="s">
        <v>814</v>
      </c>
      <c r="N154" s="424" t="s">
        <v>814</v>
      </c>
      <c r="O154" s="424" t="s">
        <v>814</v>
      </c>
      <c r="P154" s="424" t="s">
        <v>814</v>
      </c>
      <c r="Q154" s="404"/>
    </row>
    <row r="155" spans="1:17" s="4" customFormat="1" ht="11.25" customHeight="1">
      <c r="A155" s="424" t="s">
        <v>1035</v>
      </c>
      <c r="B155" s="424" t="s">
        <v>1036</v>
      </c>
      <c r="C155" s="427">
        <v>2267</v>
      </c>
      <c r="D155" s="427">
        <v>2206</v>
      </c>
      <c r="E155" s="427">
        <v>2110</v>
      </c>
      <c r="F155" s="427">
        <v>2040</v>
      </c>
      <c r="G155" s="427">
        <v>2069</v>
      </c>
      <c r="H155" s="427">
        <v>2032</v>
      </c>
      <c r="I155" s="427">
        <v>2131</v>
      </c>
      <c r="J155" s="427">
        <v>2400</v>
      </c>
      <c r="K155" s="427">
        <v>2400</v>
      </c>
      <c r="L155" s="427">
        <v>2400</v>
      </c>
      <c r="M155" s="427">
        <v>2400</v>
      </c>
      <c r="N155" s="427">
        <v>2400</v>
      </c>
      <c r="O155" s="427">
        <v>26854</v>
      </c>
      <c r="P155" s="427">
        <v>28546</v>
      </c>
      <c r="Q155" s="404"/>
    </row>
    <row r="156" spans="1:17" s="4" customFormat="1" ht="11.25" customHeight="1">
      <c r="A156" s="424" t="s">
        <v>1037</v>
      </c>
      <c r="B156" s="424" t="s">
        <v>1038</v>
      </c>
      <c r="C156" s="427">
        <v>76</v>
      </c>
      <c r="D156" s="427">
        <v>72</v>
      </c>
      <c r="E156" s="427">
        <v>68</v>
      </c>
      <c r="F156" s="427">
        <v>73</v>
      </c>
      <c r="G156" s="427">
        <v>96</v>
      </c>
      <c r="H156" s="427">
        <v>117</v>
      </c>
      <c r="I156" s="427">
        <v>162</v>
      </c>
      <c r="J156" s="427">
        <v>150</v>
      </c>
      <c r="K156" s="427">
        <v>150</v>
      </c>
      <c r="L156" s="427">
        <v>150</v>
      </c>
      <c r="M156" s="427">
        <v>150</v>
      </c>
      <c r="N156" s="427">
        <v>150</v>
      </c>
      <c r="O156" s="427">
        <v>1414</v>
      </c>
      <c r="P156" s="427">
        <v>1761</v>
      </c>
      <c r="Q156" s="404"/>
    </row>
    <row r="157" spans="1:17" s="4" customFormat="1" ht="11.25" customHeight="1">
      <c r="A157" s="424" t="s">
        <v>1040</v>
      </c>
      <c r="B157" s="424" t="s">
        <v>1041</v>
      </c>
      <c r="C157" s="427">
        <v>18</v>
      </c>
      <c r="D157" s="427">
        <v>97</v>
      </c>
      <c r="E157" s="427">
        <v>102</v>
      </c>
      <c r="F157" s="427">
        <v>56</v>
      </c>
      <c r="G157" s="427">
        <v>262</v>
      </c>
      <c r="H157" s="427">
        <v>128</v>
      </c>
      <c r="I157" s="427">
        <v>191</v>
      </c>
      <c r="J157" s="427">
        <v>200</v>
      </c>
      <c r="K157" s="427">
        <v>200</v>
      </c>
      <c r="L157" s="427">
        <v>200</v>
      </c>
      <c r="M157" s="427">
        <v>200</v>
      </c>
      <c r="N157" s="427">
        <v>200</v>
      </c>
      <c r="O157" s="427">
        <v>1855</v>
      </c>
      <c r="P157" s="427">
        <v>1565</v>
      </c>
      <c r="Q157" s="404"/>
    </row>
    <row r="158" spans="1:17" s="4" customFormat="1" ht="11.25" customHeight="1">
      <c r="A158" s="424" t="s">
        <v>1042</v>
      </c>
      <c r="B158" s="424" t="s">
        <v>1043</v>
      </c>
      <c r="C158" s="427">
        <v>1717</v>
      </c>
      <c r="D158" s="427">
        <v>777</v>
      </c>
      <c r="E158" s="427">
        <v>647</v>
      </c>
      <c r="F158" s="427">
        <v>530</v>
      </c>
      <c r="G158" s="427">
        <v>461</v>
      </c>
      <c r="H158" s="427">
        <v>394</v>
      </c>
      <c r="I158" s="427">
        <v>647</v>
      </c>
      <c r="J158" s="427">
        <v>550</v>
      </c>
      <c r="K158" s="427">
        <v>550</v>
      </c>
      <c r="L158" s="427">
        <v>550</v>
      </c>
      <c r="M158" s="427">
        <v>550</v>
      </c>
      <c r="N158" s="427">
        <v>550</v>
      </c>
      <c r="O158" s="427">
        <v>7923</v>
      </c>
      <c r="P158" s="427">
        <v>5956</v>
      </c>
      <c r="Q158" s="404"/>
    </row>
    <row r="159" spans="1:17" s="4" customFormat="1" ht="11.25" customHeight="1">
      <c r="A159" s="424" t="s">
        <v>1044</v>
      </c>
      <c r="B159" s="424" t="s">
        <v>1045</v>
      </c>
      <c r="C159" s="427">
        <v>157</v>
      </c>
      <c r="D159" s="427">
        <v>201</v>
      </c>
      <c r="E159" s="427">
        <v>198</v>
      </c>
      <c r="F159" s="427">
        <v>279</v>
      </c>
      <c r="G159" s="427">
        <v>200</v>
      </c>
      <c r="H159" s="427">
        <v>223</v>
      </c>
      <c r="I159" s="427">
        <v>184</v>
      </c>
      <c r="J159" s="427">
        <v>175</v>
      </c>
      <c r="K159" s="427">
        <v>175</v>
      </c>
      <c r="L159" s="427">
        <v>175</v>
      </c>
      <c r="M159" s="427">
        <v>175</v>
      </c>
      <c r="N159" s="427">
        <v>175</v>
      </c>
      <c r="O159" s="427">
        <v>2316</v>
      </c>
      <c r="P159" s="427">
        <v>2229</v>
      </c>
      <c r="Q159" s="404"/>
    </row>
    <row r="160" spans="1:17" s="4" customFormat="1" ht="11.25" customHeight="1">
      <c r="A160" s="424" t="s">
        <v>1046</v>
      </c>
      <c r="B160" s="424" t="s">
        <v>1047</v>
      </c>
      <c r="C160" s="427">
        <v>6386</v>
      </c>
      <c r="D160" s="427">
        <v>5609</v>
      </c>
      <c r="E160" s="427">
        <v>7398</v>
      </c>
      <c r="F160" s="427">
        <v>6717</v>
      </c>
      <c r="G160" s="427">
        <v>7156</v>
      </c>
      <c r="H160" s="427">
        <v>9779</v>
      </c>
      <c r="I160" s="427">
        <v>9576</v>
      </c>
      <c r="J160" s="427">
        <v>8000</v>
      </c>
      <c r="K160" s="427">
        <v>8000</v>
      </c>
      <c r="L160" s="427">
        <v>6000</v>
      </c>
      <c r="M160" s="427">
        <v>6000</v>
      </c>
      <c r="N160" s="427">
        <v>0</v>
      </c>
      <c r="O160" s="427">
        <v>80622</v>
      </c>
      <c r="P160" s="427">
        <v>91604</v>
      </c>
      <c r="Q160" s="404"/>
    </row>
    <row r="161" spans="1:17" s="4" customFormat="1" ht="11.25" customHeight="1">
      <c r="A161" s="424" t="s">
        <v>1048</v>
      </c>
      <c r="B161" s="424" t="s">
        <v>1049</v>
      </c>
      <c r="C161" s="427">
        <v>8302</v>
      </c>
      <c r="D161" s="427">
        <v>0</v>
      </c>
      <c r="E161" s="427">
        <v>0</v>
      </c>
      <c r="F161" s="427">
        <v>8302</v>
      </c>
      <c r="G161" s="427">
        <v>0</v>
      </c>
      <c r="H161" s="427">
        <v>0</v>
      </c>
      <c r="I161" s="427">
        <v>8304</v>
      </c>
      <c r="J161" s="427">
        <v>0</v>
      </c>
      <c r="K161" s="427">
        <v>0</v>
      </c>
      <c r="L161" s="427">
        <v>8400</v>
      </c>
      <c r="M161" s="427">
        <v>0</v>
      </c>
      <c r="N161" s="427">
        <v>0</v>
      </c>
      <c r="O161" s="427">
        <v>33308</v>
      </c>
      <c r="P161" s="427">
        <v>33211</v>
      </c>
      <c r="Q161" s="404"/>
    </row>
    <row r="162" spans="1:17" s="10" customFormat="1" ht="11.25" customHeight="1">
      <c r="A162" s="428" t="s">
        <v>545</v>
      </c>
      <c r="B162" s="424" t="s">
        <v>1034</v>
      </c>
      <c r="C162" s="429">
        <v>18923</v>
      </c>
      <c r="D162" s="429">
        <v>8962</v>
      </c>
      <c r="E162" s="429">
        <v>10523</v>
      </c>
      <c r="F162" s="429">
        <v>17997</v>
      </c>
      <c r="G162" s="429">
        <v>10244</v>
      </c>
      <c r="H162" s="429">
        <v>12673</v>
      </c>
      <c r="I162" s="429">
        <v>21195</v>
      </c>
      <c r="J162" s="429">
        <v>11475</v>
      </c>
      <c r="K162" s="429">
        <v>11475</v>
      </c>
      <c r="L162" s="429">
        <v>17875</v>
      </c>
      <c r="M162" s="429">
        <v>9475</v>
      </c>
      <c r="N162" s="429">
        <v>3475</v>
      </c>
      <c r="O162" s="429">
        <v>154292</v>
      </c>
      <c r="P162" s="429">
        <v>164872</v>
      </c>
      <c r="Q162" s="404"/>
    </row>
    <row r="163" spans="1:17" s="403" customFormat="1" ht="12">
      <c r="A163" s="425" t="s">
        <v>545</v>
      </c>
      <c r="B163" s="424" t="s">
        <v>813</v>
      </c>
      <c r="C163" s="429">
        <v>63718</v>
      </c>
      <c r="D163" s="429">
        <v>54900</v>
      </c>
      <c r="E163" s="429">
        <v>56439</v>
      </c>
      <c r="F163" s="429">
        <v>70188</v>
      </c>
      <c r="G163" s="429">
        <v>58969</v>
      </c>
      <c r="H163" s="429">
        <v>58921</v>
      </c>
      <c r="I163" s="429">
        <v>72595</v>
      </c>
      <c r="J163" s="429">
        <v>53682</v>
      </c>
      <c r="K163" s="429">
        <v>55001</v>
      </c>
      <c r="L163" s="429">
        <v>65047</v>
      </c>
      <c r="M163" s="429">
        <v>53284</v>
      </c>
      <c r="N163" s="429">
        <v>45474</v>
      </c>
      <c r="O163" s="429">
        <v>708218</v>
      </c>
      <c r="P163" s="429">
        <v>734362</v>
      </c>
      <c r="Q163" s="404"/>
    </row>
    <row r="164" spans="1:17" s="403" customFormat="1" ht="11.25" customHeight="1">
      <c r="A164" s="424" t="s">
        <v>766</v>
      </c>
      <c r="B164" s="424" t="s">
        <v>1050</v>
      </c>
      <c r="C164" s="424" t="s">
        <v>766</v>
      </c>
      <c r="D164" s="424" t="s">
        <v>766</v>
      </c>
      <c r="E164" s="424" t="s">
        <v>766</v>
      </c>
      <c r="F164" s="424" t="s">
        <v>766</v>
      </c>
      <c r="G164" s="424" t="s">
        <v>766</v>
      </c>
      <c r="H164" s="424" t="s">
        <v>766</v>
      </c>
      <c r="I164" s="424" t="s">
        <v>766</v>
      </c>
      <c r="J164" s="424" t="s">
        <v>766</v>
      </c>
      <c r="K164" s="424" t="s">
        <v>766</v>
      </c>
      <c r="L164" s="424" t="s">
        <v>766</v>
      </c>
      <c r="M164" s="424" t="s">
        <v>766</v>
      </c>
      <c r="N164" s="424" t="s">
        <v>766</v>
      </c>
      <c r="O164" s="424" t="s">
        <v>766</v>
      </c>
      <c r="P164" s="424" t="s">
        <v>766</v>
      </c>
      <c r="Q164" s="404"/>
    </row>
    <row r="165" spans="1:17" s="4" customFormat="1" ht="11.25" customHeight="1">
      <c r="A165" s="424" t="s">
        <v>814</v>
      </c>
      <c r="B165" s="424" t="s">
        <v>1051</v>
      </c>
      <c r="C165" s="424" t="s">
        <v>814</v>
      </c>
      <c r="D165" s="424" t="s">
        <v>814</v>
      </c>
      <c r="E165" s="424" t="s">
        <v>814</v>
      </c>
      <c r="F165" s="424" t="s">
        <v>814</v>
      </c>
      <c r="G165" s="424" t="s">
        <v>814</v>
      </c>
      <c r="H165" s="424" t="s">
        <v>814</v>
      </c>
      <c r="I165" s="424" t="s">
        <v>814</v>
      </c>
      <c r="J165" s="424" t="s">
        <v>814</v>
      </c>
      <c r="K165" s="424" t="s">
        <v>814</v>
      </c>
      <c r="L165" s="424" t="s">
        <v>814</v>
      </c>
      <c r="M165" s="424" t="s">
        <v>814</v>
      </c>
      <c r="N165" s="424" t="s">
        <v>814</v>
      </c>
      <c r="O165" s="424" t="s">
        <v>814</v>
      </c>
      <c r="P165" s="424" t="s">
        <v>814</v>
      </c>
      <c r="Q165" s="404"/>
    </row>
    <row r="166" spans="1:17" s="4" customFormat="1" ht="11">
      <c r="A166" s="424" t="s">
        <v>1054</v>
      </c>
      <c r="B166" s="424" t="s">
        <v>1055</v>
      </c>
      <c r="C166" s="427">
        <v>0</v>
      </c>
      <c r="D166" s="427">
        <v>0</v>
      </c>
      <c r="E166" s="427">
        <v>0</v>
      </c>
      <c r="F166" s="427">
        <v>0</v>
      </c>
      <c r="G166" s="427">
        <v>0</v>
      </c>
      <c r="H166" s="427">
        <v>0</v>
      </c>
      <c r="I166" s="427">
        <v>0</v>
      </c>
      <c r="J166" s="427">
        <v>0</v>
      </c>
      <c r="K166" s="427">
        <v>0</v>
      </c>
      <c r="L166" s="427">
        <v>2800</v>
      </c>
      <c r="M166" s="427">
        <v>0</v>
      </c>
      <c r="N166" s="427">
        <v>0</v>
      </c>
      <c r="O166" s="427">
        <v>2800</v>
      </c>
      <c r="P166" s="427">
        <v>2801</v>
      </c>
      <c r="Q166" s="404"/>
    </row>
    <row r="167" spans="1:17" s="4" customFormat="1" ht="11.25" customHeight="1">
      <c r="A167" s="424" t="s">
        <v>1056</v>
      </c>
      <c r="B167" s="424" t="s">
        <v>1057</v>
      </c>
      <c r="C167" s="427">
        <v>10516</v>
      </c>
      <c r="D167" s="427">
        <v>10516</v>
      </c>
      <c r="E167" s="427">
        <v>10516</v>
      </c>
      <c r="F167" s="427">
        <v>10516</v>
      </c>
      <c r="G167" s="427">
        <v>10516</v>
      </c>
      <c r="H167" s="427">
        <v>10516</v>
      </c>
      <c r="I167" s="427">
        <v>10537</v>
      </c>
      <c r="J167" s="427">
        <v>10541</v>
      </c>
      <c r="K167" s="427">
        <v>10541</v>
      </c>
      <c r="L167" s="427">
        <v>10541</v>
      </c>
      <c r="M167" s="427">
        <v>10541</v>
      </c>
      <c r="N167" s="427">
        <v>10541</v>
      </c>
      <c r="O167" s="427">
        <v>126338</v>
      </c>
      <c r="P167" s="427">
        <v>124311</v>
      </c>
      <c r="Q167" s="404"/>
    </row>
    <row r="168" spans="1:17" s="4" customFormat="1" ht="11.25" customHeight="1">
      <c r="A168" s="428" t="s">
        <v>545</v>
      </c>
      <c r="B168" s="424" t="s">
        <v>1051</v>
      </c>
      <c r="C168" s="429">
        <v>10516</v>
      </c>
      <c r="D168" s="429">
        <v>10516</v>
      </c>
      <c r="E168" s="429">
        <v>10516</v>
      </c>
      <c r="F168" s="429">
        <v>10516</v>
      </c>
      <c r="G168" s="429">
        <v>10516</v>
      </c>
      <c r="H168" s="429">
        <v>10516</v>
      </c>
      <c r="I168" s="429">
        <v>10537</v>
      </c>
      <c r="J168" s="429">
        <v>10541</v>
      </c>
      <c r="K168" s="429">
        <v>10541</v>
      </c>
      <c r="L168" s="429">
        <v>13341</v>
      </c>
      <c r="M168" s="429">
        <v>10541</v>
      </c>
      <c r="N168" s="429">
        <v>10541</v>
      </c>
      <c r="O168" s="429">
        <v>129138</v>
      </c>
      <c r="P168" s="429">
        <v>127112</v>
      </c>
      <c r="Q168" s="404"/>
    </row>
    <row r="169" spans="1:17" s="4" customFormat="1" ht="11.25" customHeight="1">
      <c r="A169" s="424" t="s">
        <v>814</v>
      </c>
      <c r="B169" s="424" t="s">
        <v>1059</v>
      </c>
      <c r="C169" s="424" t="s">
        <v>814</v>
      </c>
      <c r="D169" s="424" t="s">
        <v>814</v>
      </c>
      <c r="E169" s="424" t="s">
        <v>814</v>
      </c>
      <c r="F169" s="424" t="s">
        <v>814</v>
      </c>
      <c r="G169" s="424" t="s">
        <v>814</v>
      </c>
      <c r="H169" s="424" t="s">
        <v>814</v>
      </c>
      <c r="I169" s="424" t="s">
        <v>814</v>
      </c>
      <c r="J169" s="424" t="s">
        <v>814</v>
      </c>
      <c r="K169" s="424" t="s">
        <v>814</v>
      </c>
      <c r="L169" s="424" t="s">
        <v>814</v>
      </c>
      <c r="M169" s="424" t="s">
        <v>814</v>
      </c>
      <c r="N169" s="424" t="s">
        <v>814</v>
      </c>
      <c r="O169" s="424" t="s">
        <v>814</v>
      </c>
      <c r="P169" s="424" t="s">
        <v>814</v>
      </c>
      <c r="Q169" s="404"/>
    </row>
    <row r="170" spans="1:17" s="4" customFormat="1" ht="11.25" customHeight="1">
      <c r="A170" s="424" t="s">
        <v>1060</v>
      </c>
      <c r="B170" s="424" t="s">
        <v>1061</v>
      </c>
      <c r="C170" s="427">
        <v>2391</v>
      </c>
      <c r="D170" s="427">
        <v>2390</v>
      </c>
      <c r="E170" s="427">
        <v>2391</v>
      </c>
      <c r="F170" s="427">
        <v>2390</v>
      </c>
      <c r="G170" s="427">
        <v>2400</v>
      </c>
      <c r="H170" s="427">
        <v>2402</v>
      </c>
      <c r="I170" s="427">
        <v>2402</v>
      </c>
      <c r="J170" s="427">
        <v>2400</v>
      </c>
      <c r="K170" s="427">
        <v>2400</v>
      </c>
      <c r="L170" s="427">
        <v>2400</v>
      </c>
      <c r="M170" s="427">
        <v>2400</v>
      </c>
      <c r="N170" s="427">
        <v>2400</v>
      </c>
      <c r="O170" s="427">
        <v>28766</v>
      </c>
      <c r="P170" s="427">
        <v>28649</v>
      </c>
      <c r="Q170" s="404"/>
    </row>
    <row r="171" spans="1:17" s="4" customFormat="1" ht="11.25" customHeight="1">
      <c r="A171" s="428" t="s">
        <v>545</v>
      </c>
      <c r="B171" s="424" t="s">
        <v>1059</v>
      </c>
      <c r="C171" s="429">
        <v>2391</v>
      </c>
      <c r="D171" s="429">
        <v>2390</v>
      </c>
      <c r="E171" s="429">
        <v>2391</v>
      </c>
      <c r="F171" s="429">
        <v>2390</v>
      </c>
      <c r="G171" s="429">
        <v>2400</v>
      </c>
      <c r="H171" s="429">
        <v>2402</v>
      </c>
      <c r="I171" s="429">
        <v>2402</v>
      </c>
      <c r="J171" s="429">
        <v>2400</v>
      </c>
      <c r="K171" s="429">
        <v>2400</v>
      </c>
      <c r="L171" s="429">
        <v>2400</v>
      </c>
      <c r="M171" s="429">
        <v>2400</v>
      </c>
      <c r="N171" s="429">
        <v>2400</v>
      </c>
      <c r="O171" s="429">
        <v>28766</v>
      </c>
      <c r="P171" s="429">
        <v>28649</v>
      </c>
      <c r="Q171" s="404"/>
    </row>
    <row r="172" spans="1:17" s="4" customFormat="1" ht="11.25" customHeight="1">
      <c r="A172" s="425" t="s">
        <v>545</v>
      </c>
      <c r="B172" s="424" t="s">
        <v>1050</v>
      </c>
      <c r="C172" s="429">
        <v>12907</v>
      </c>
      <c r="D172" s="429">
        <v>12906</v>
      </c>
      <c r="E172" s="429">
        <v>12907</v>
      </c>
      <c r="F172" s="429">
        <v>12906</v>
      </c>
      <c r="G172" s="429">
        <v>12916</v>
      </c>
      <c r="H172" s="429">
        <v>12918</v>
      </c>
      <c r="I172" s="429">
        <v>12939</v>
      </c>
      <c r="J172" s="429">
        <v>12941</v>
      </c>
      <c r="K172" s="429">
        <v>12941</v>
      </c>
      <c r="L172" s="429">
        <v>15741</v>
      </c>
      <c r="M172" s="429">
        <v>12941</v>
      </c>
      <c r="N172" s="429">
        <v>12941</v>
      </c>
      <c r="O172" s="429">
        <v>157904</v>
      </c>
      <c r="P172" s="429">
        <v>155761</v>
      </c>
      <c r="Q172" s="404"/>
    </row>
    <row r="173" spans="1:17" s="4" customFormat="1" ht="11.25" customHeight="1">
      <c r="A173" s="425" t="s">
        <v>545</v>
      </c>
      <c r="B173" s="424" t="s">
        <v>1064</v>
      </c>
      <c r="C173" s="429">
        <v>76625</v>
      </c>
      <c r="D173" s="429">
        <v>67806</v>
      </c>
      <c r="E173" s="429">
        <v>69346</v>
      </c>
      <c r="F173" s="429">
        <v>83094</v>
      </c>
      <c r="G173" s="429">
        <v>71885</v>
      </c>
      <c r="H173" s="429">
        <v>71839</v>
      </c>
      <c r="I173" s="429">
        <v>85534</v>
      </c>
      <c r="J173" s="429">
        <v>66623</v>
      </c>
      <c r="K173" s="429">
        <v>67942</v>
      </c>
      <c r="L173" s="429">
        <v>80788</v>
      </c>
      <c r="M173" s="429">
        <v>66225</v>
      </c>
      <c r="N173" s="429">
        <v>58415</v>
      </c>
      <c r="O173" s="429">
        <v>866122</v>
      </c>
      <c r="P173" s="429">
        <v>890123</v>
      </c>
      <c r="Q173" s="404"/>
    </row>
    <row r="174" spans="1:17" s="4" customFormat="1" ht="11.25" customHeight="1">
      <c r="A174" s="425" t="s">
        <v>545</v>
      </c>
      <c r="B174" s="424" t="s">
        <v>1065</v>
      </c>
      <c r="C174" s="429">
        <v>94288</v>
      </c>
      <c r="D174" s="429">
        <v>114063</v>
      </c>
      <c r="E174" s="429">
        <v>119986</v>
      </c>
      <c r="F174" s="429">
        <v>100240</v>
      </c>
      <c r="G174" s="429">
        <v>108528</v>
      </c>
      <c r="H174" s="429">
        <v>114649</v>
      </c>
      <c r="I174" s="429">
        <v>100945</v>
      </c>
      <c r="J174" s="429">
        <v>110992</v>
      </c>
      <c r="K174" s="429">
        <v>109673</v>
      </c>
      <c r="L174" s="429">
        <v>96827</v>
      </c>
      <c r="M174" s="429">
        <v>111390</v>
      </c>
      <c r="N174" s="429">
        <v>119200</v>
      </c>
      <c r="O174" s="429">
        <v>1300780</v>
      </c>
      <c r="P174" s="429">
        <v>1196494</v>
      </c>
      <c r="Q174" s="404"/>
    </row>
    <row r="175" spans="1:17" s="10" customFormat="1" ht="11.25" customHeight="1">
      <c r="A175" s="534" t="s">
        <v>545</v>
      </c>
      <c r="B175" s="534"/>
      <c r="C175" s="534"/>
      <c r="D175" s="534"/>
      <c r="E175" s="534"/>
      <c r="F175" s="534"/>
      <c r="G175" s="534"/>
      <c r="H175" s="534"/>
      <c r="I175" s="534"/>
      <c r="J175" s="534"/>
      <c r="K175" s="534"/>
      <c r="L175" s="534"/>
      <c r="M175" s="534"/>
      <c r="N175" s="534"/>
      <c r="O175" s="534"/>
      <c r="P175" s="534"/>
      <c r="Q175" s="404"/>
    </row>
    <row r="176" spans="1:17" s="403" customFormat="1" ht="11">
      <c r="A176" s="424" t="s">
        <v>742</v>
      </c>
      <c r="B176" s="424" t="s">
        <v>1066</v>
      </c>
      <c r="C176" s="424" t="s">
        <v>742</v>
      </c>
      <c r="D176" s="424" t="s">
        <v>742</v>
      </c>
      <c r="E176" s="424" t="s">
        <v>742</v>
      </c>
      <c r="F176" s="424" t="s">
        <v>742</v>
      </c>
      <c r="G176" s="424" t="s">
        <v>742</v>
      </c>
      <c r="H176" s="424" t="s">
        <v>742</v>
      </c>
      <c r="I176" s="424" t="s">
        <v>742</v>
      </c>
      <c r="J176" s="424" t="s">
        <v>742</v>
      </c>
      <c r="K176" s="424" t="s">
        <v>742</v>
      </c>
      <c r="L176" s="424" t="s">
        <v>742</v>
      </c>
      <c r="M176" s="424" t="s">
        <v>742</v>
      </c>
      <c r="N176" s="424" t="s">
        <v>742</v>
      </c>
      <c r="O176" s="424" t="s">
        <v>742</v>
      </c>
      <c r="P176" s="424" t="s">
        <v>742</v>
      </c>
      <c r="Q176" s="404"/>
    </row>
    <row r="177" spans="1:17" s="405" customFormat="1" ht="11.25" customHeight="1">
      <c r="A177" s="424" t="s">
        <v>1067</v>
      </c>
      <c r="B177" s="424" t="s">
        <v>1068</v>
      </c>
      <c r="C177" s="427">
        <v>0</v>
      </c>
      <c r="D177" s="427">
        <v>1662</v>
      </c>
      <c r="E177" s="427">
        <v>4517</v>
      </c>
      <c r="F177" s="427">
        <v>3114</v>
      </c>
      <c r="G177" s="427">
        <v>2964</v>
      </c>
      <c r="H177" s="427">
        <v>2015</v>
      </c>
      <c r="I177" s="427">
        <v>1876</v>
      </c>
      <c r="J177" s="427">
        <v>3000</v>
      </c>
      <c r="K177" s="427">
        <v>3000</v>
      </c>
      <c r="L177" s="427">
        <v>3000</v>
      </c>
      <c r="M177" s="427">
        <v>3000</v>
      </c>
      <c r="N177" s="427">
        <v>3000</v>
      </c>
      <c r="O177" s="427">
        <v>31148</v>
      </c>
      <c r="P177" s="427">
        <v>31969</v>
      </c>
      <c r="Q177" s="404"/>
    </row>
    <row r="178" spans="1:17" s="403" customFormat="1" ht="11">
      <c r="A178" s="424" t="s">
        <v>1069</v>
      </c>
      <c r="B178" s="424" t="s">
        <v>1070</v>
      </c>
      <c r="C178" s="427">
        <v>0</v>
      </c>
      <c r="D178" s="427">
        <v>239</v>
      </c>
      <c r="E178" s="427">
        <v>0</v>
      </c>
      <c r="F178" s="427">
        <v>107</v>
      </c>
      <c r="G178" s="427">
        <v>300</v>
      </c>
      <c r="H178" s="427">
        <v>129</v>
      </c>
      <c r="I178" s="427">
        <v>77</v>
      </c>
      <c r="J178" s="427">
        <v>300</v>
      </c>
      <c r="K178" s="427">
        <v>300</v>
      </c>
      <c r="L178" s="427">
        <v>300</v>
      </c>
      <c r="M178" s="427">
        <v>300</v>
      </c>
      <c r="N178" s="427">
        <v>300</v>
      </c>
      <c r="O178" s="427">
        <v>2352</v>
      </c>
      <c r="P178" s="427">
        <v>1462</v>
      </c>
      <c r="Q178" s="404"/>
    </row>
    <row r="179" spans="1:17" s="4" customFormat="1" ht="11.25" customHeight="1">
      <c r="A179" s="424" t="s">
        <v>1071</v>
      </c>
      <c r="B179" s="424" t="s">
        <v>1072</v>
      </c>
      <c r="C179" s="427">
        <v>880</v>
      </c>
      <c r="D179" s="427">
        <v>0</v>
      </c>
      <c r="E179" s="427">
        <v>0</v>
      </c>
      <c r="F179" s="427">
        <v>637</v>
      </c>
      <c r="G179" s="427">
        <v>312</v>
      </c>
      <c r="H179" s="427">
        <v>1165</v>
      </c>
      <c r="I179" s="427">
        <v>0</v>
      </c>
      <c r="J179" s="427">
        <v>250</v>
      </c>
      <c r="K179" s="427">
        <v>250</v>
      </c>
      <c r="L179" s="427">
        <v>250</v>
      </c>
      <c r="M179" s="427">
        <v>250</v>
      </c>
      <c r="N179" s="427">
        <v>250</v>
      </c>
      <c r="O179" s="427">
        <v>4244</v>
      </c>
      <c r="P179" s="427">
        <v>2557</v>
      </c>
      <c r="Q179" s="404"/>
    </row>
    <row r="180" spans="1:17" s="403" customFormat="1" ht="11.25" customHeight="1">
      <c r="A180" s="424" t="s">
        <v>1073</v>
      </c>
      <c r="B180" s="424" t="s">
        <v>1074</v>
      </c>
      <c r="C180" s="427">
        <v>1400</v>
      </c>
      <c r="D180" s="427">
        <v>0</v>
      </c>
      <c r="E180" s="427">
        <v>0</v>
      </c>
      <c r="F180" s="427">
        <v>0</v>
      </c>
      <c r="G180" s="427">
        <v>0</v>
      </c>
      <c r="H180" s="427">
        <v>0</v>
      </c>
      <c r="I180" s="427">
        <v>0</v>
      </c>
      <c r="J180" s="427">
        <v>300</v>
      </c>
      <c r="K180" s="427">
        <v>300</v>
      </c>
      <c r="L180" s="427">
        <v>300</v>
      </c>
      <c r="M180" s="427">
        <v>300</v>
      </c>
      <c r="N180" s="427">
        <v>300</v>
      </c>
      <c r="O180" s="427">
        <v>2900</v>
      </c>
      <c r="P180" s="427">
        <v>5000</v>
      </c>
      <c r="Q180" s="404"/>
    </row>
    <row r="181" spans="1:17" s="403" customFormat="1" ht="11.25" customHeight="1">
      <c r="A181" s="424" t="s">
        <v>1075</v>
      </c>
      <c r="B181" s="424" t="s">
        <v>1076</v>
      </c>
      <c r="C181" s="427">
        <v>0</v>
      </c>
      <c r="D181" s="427">
        <v>0</v>
      </c>
      <c r="E181" s="427">
        <v>300</v>
      </c>
      <c r="F181" s="427">
        <v>0</v>
      </c>
      <c r="G181" s="427">
        <v>0</v>
      </c>
      <c r="H181" s="427">
        <v>0</v>
      </c>
      <c r="I181" s="427">
        <v>0</v>
      </c>
      <c r="J181" s="427">
        <v>0</v>
      </c>
      <c r="K181" s="427">
        <v>0</v>
      </c>
      <c r="L181" s="427">
        <v>0</v>
      </c>
      <c r="M181" s="427">
        <v>0</v>
      </c>
      <c r="N181" s="427">
        <v>0</v>
      </c>
      <c r="O181" s="427">
        <v>300</v>
      </c>
      <c r="P181" s="427">
        <v>4077</v>
      </c>
      <c r="Q181" s="404"/>
    </row>
    <row r="182" spans="1:17" s="4" customFormat="1" ht="11">
      <c r="A182" s="424" t="s">
        <v>1077</v>
      </c>
      <c r="B182" s="424" t="s">
        <v>1078</v>
      </c>
      <c r="C182" s="427">
        <v>3679</v>
      </c>
      <c r="D182" s="427">
        <v>3641</v>
      </c>
      <c r="E182" s="427">
        <v>4478</v>
      </c>
      <c r="F182" s="427">
        <v>2179</v>
      </c>
      <c r="G182" s="427">
        <v>6972</v>
      </c>
      <c r="H182" s="427">
        <v>0</v>
      </c>
      <c r="I182" s="427">
        <v>3133</v>
      </c>
      <c r="J182" s="427">
        <v>3500</v>
      </c>
      <c r="K182" s="427">
        <v>3500</v>
      </c>
      <c r="L182" s="427">
        <v>3500</v>
      </c>
      <c r="M182" s="427">
        <v>3500</v>
      </c>
      <c r="N182" s="427">
        <v>3500</v>
      </c>
      <c r="O182" s="427">
        <v>41582</v>
      </c>
      <c r="P182" s="427">
        <v>54897</v>
      </c>
      <c r="Q182" s="404"/>
    </row>
    <row r="183" spans="1:17" s="4" customFormat="1" ht="11.25" customHeight="1">
      <c r="A183" s="424" t="s">
        <v>1079</v>
      </c>
      <c r="B183" s="424" t="s">
        <v>1080</v>
      </c>
      <c r="C183" s="427">
        <v>0</v>
      </c>
      <c r="D183" s="427">
        <v>0</v>
      </c>
      <c r="E183" s="427">
        <v>865</v>
      </c>
      <c r="F183" s="427">
        <v>0</v>
      </c>
      <c r="G183" s="427">
        <v>0</v>
      </c>
      <c r="H183" s="427">
        <v>0</v>
      </c>
      <c r="I183" s="427">
        <v>0</v>
      </c>
      <c r="J183" s="427">
        <v>0</v>
      </c>
      <c r="K183" s="427">
        <v>0</v>
      </c>
      <c r="L183" s="427">
        <v>0</v>
      </c>
      <c r="M183" s="427">
        <v>0</v>
      </c>
      <c r="N183" s="427">
        <v>0</v>
      </c>
      <c r="O183" s="427">
        <v>864</v>
      </c>
      <c r="P183" s="427">
        <v>8100</v>
      </c>
      <c r="Q183" s="404"/>
    </row>
    <row r="184" spans="1:17" s="4" customFormat="1" ht="11.25" customHeight="1">
      <c r="A184" s="424" t="s">
        <v>1081</v>
      </c>
      <c r="B184" s="424" t="s">
        <v>1082</v>
      </c>
      <c r="C184" s="427">
        <v>0</v>
      </c>
      <c r="D184" s="427">
        <v>0</v>
      </c>
      <c r="E184" s="427">
        <v>0</v>
      </c>
      <c r="F184" s="427">
        <v>0</v>
      </c>
      <c r="G184" s="427">
        <v>0</v>
      </c>
      <c r="H184" s="427">
        <v>0</v>
      </c>
      <c r="I184" s="427">
        <v>0</v>
      </c>
      <c r="J184" s="427">
        <v>0</v>
      </c>
      <c r="K184" s="427">
        <v>0</v>
      </c>
      <c r="L184" s="427">
        <v>0</v>
      </c>
      <c r="M184" s="427">
        <v>0</v>
      </c>
      <c r="N184" s="427">
        <v>0</v>
      </c>
      <c r="O184" s="427">
        <v>0</v>
      </c>
      <c r="P184" s="427">
        <v>13159</v>
      </c>
      <c r="Q184" s="404"/>
    </row>
    <row r="185" spans="1:17" s="4" customFormat="1" ht="11.25" customHeight="1">
      <c r="A185" s="424" t="s">
        <v>1083</v>
      </c>
      <c r="B185" s="424" t="s">
        <v>1084</v>
      </c>
      <c r="C185" s="427">
        <v>959</v>
      </c>
      <c r="D185" s="427">
        <v>180</v>
      </c>
      <c r="E185" s="427">
        <v>111</v>
      </c>
      <c r="F185" s="427">
        <v>0</v>
      </c>
      <c r="G185" s="427">
        <v>0</v>
      </c>
      <c r="H185" s="427">
        <v>0</v>
      </c>
      <c r="I185" s="427">
        <v>0</v>
      </c>
      <c r="J185" s="427">
        <v>0</v>
      </c>
      <c r="K185" s="427">
        <v>0</v>
      </c>
      <c r="L185" s="427">
        <v>0</v>
      </c>
      <c r="M185" s="427">
        <v>0</v>
      </c>
      <c r="N185" s="427">
        <v>0</v>
      </c>
      <c r="O185" s="427">
        <v>1250</v>
      </c>
      <c r="P185" s="427">
        <v>396</v>
      </c>
      <c r="Q185" s="404"/>
    </row>
    <row r="186" spans="1:17" s="4" customFormat="1" ht="11.25" customHeight="1">
      <c r="A186" s="424" t="s">
        <v>1085</v>
      </c>
      <c r="B186" s="424" t="s">
        <v>1086</v>
      </c>
      <c r="C186" s="427">
        <v>0</v>
      </c>
      <c r="D186" s="427">
        <v>240</v>
      </c>
      <c r="E186" s="427">
        <v>4354</v>
      </c>
      <c r="F186" s="427">
        <v>240</v>
      </c>
      <c r="G186" s="427">
        <v>0</v>
      </c>
      <c r="H186" s="427">
        <v>0</v>
      </c>
      <c r="I186" s="427">
        <v>0</v>
      </c>
      <c r="J186" s="427">
        <v>0</v>
      </c>
      <c r="K186" s="427">
        <v>0</v>
      </c>
      <c r="L186" s="427">
        <v>0</v>
      </c>
      <c r="M186" s="427">
        <v>0</v>
      </c>
      <c r="N186" s="427">
        <v>0</v>
      </c>
      <c r="O186" s="427">
        <v>4835</v>
      </c>
      <c r="P186" s="427">
        <v>3951</v>
      </c>
      <c r="Q186" s="404"/>
    </row>
    <row r="187" spans="1:17" s="4" customFormat="1" ht="11.25" customHeight="1">
      <c r="A187" s="424" t="s">
        <v>1087</v>
      </c>
      <c r="B187" s="424" t="s">
        <v>1088</v>
      </c>
      <c r="C187" s="427">
        <v>450</v>
      </c>
      <c r="D187" s="427">
        <v>0</v>
      </c>
      <c r="E187" s="427">
        <v>0</v>
      </c>
      <c r="F187" s="427">
        <v>7540</v>
      </c>
      <c r="G187" s="427">
        <v>655</v>
      </c>
      <c r="H187" s="427">
        <v>0</v>
      </c>
      <c r="I187" s="427">
        <v>0</v>
      </c>
      <c r="J187" s="427">
        <v>0</v>
      </c>
      <c r="K187" s="427">
        <v>0</v>
      </c>
      <c r="L187" s="427">
        <v>0</v>
      </c>
      <c r="M187" s="427">
        <v>0</v>
      </c>
      <c r="N187" s="427">
        <v>0</v>
      </c>
      <c r="O187" s="427">
        <v>8645</v>
      </c>
      <c r="P187" s="427">
        <v>2187</v>
      </c>
      <c r="Q187" s="404"/>
    </row>
    <row r="188" spans="1:17" s="4" customFormat="1" ht="11.25" customHeight="1">
      <c r="A188" s="424" t="s">
        <v>1089</v>
      </c>
      <c r="B188" s="424" t="s">
        <v>1090</v>
      </c>
      <c r="C188" s="427">
        <v>0</v>
      </c>
      <c r="D188" s="427">
        <v>163</v>
      </c>
      <c r="E188" s="427">
        <v>0</v>
      </c>
      <c r="F188" s="427">
        <v>333</v>
      </c>
      <c r="G188" s="427">
        <v>0</v>
      </c>
      <c r="H188" s="427">
        <v>0</v>
      </c>
      <c r="I188" s="427">
        <v>0</v>
      </c>
      <c r="J188" s="427">
        <v>0</v>
      </c>
      <c r="K188" s="427">
        <v>0</v>
      </c>
      <c r="L188" s="427">
        <v>0</v>
      </c>
      <c r="M188" s="427">
        <v>0</v>
      </c>
      <c r="N188" s="427">
        <v>0</v>
      </c>
      <c r="O188" s="427">
        <v>497</v>
      </c>
      <c r="P188" s="427">
        <v>2128</v>
      </c>
      <c r="Q188" s="404"/>
    </row>
    <row r="189" spans="1:17" s="4" customFormat="1" ht="11.25" customHeight="1">
      <c r="A189" s="428" t="s">
        <v>545</v>
      </c>
      <c r="B189" s="424" t="s">
        <v>1096</v>
      </c>
      <c r="C189" s="429">
        <v>7368</v>
      </c>
      <c r="D189" s="429">
        <v>6125</v>
      </c>
      <c r="E189" s="429">
        <v>14625</v>
      </c>
      <c r="F189" s="429">
        <v>14150</v>
      </c>
      <c r="G189" s="429">
        <v>11203</v>
      </c>
      <c r="H189" s="429">
        <v>3309</v>
      </c>
      <c r="I189" s="429">
        <v>5086</v>
      </c>
      <c r="J189" s="429">
        <v>7350</v>
      </c>
      <c r="K189" s="429">
        <v>7350</v>
      </c>
      <c r="L189" s="429">
        <v>7350</v>
      </c>
      <c r="M189" s="429">
        <v>7350</v>
      </c>
      <c r="N189" s="429">
        <v>7350</v>
      </c>
      <c r="O189" s="429">
        <v>98617</v>
      </c>
      <c r="P189" s="429">
        <v>129883</v>
      </c>
      <c r="Q189" s="404"/>
    </row>
    <row r="190" spans="1:17" s="4" customFormat="1" ht="11.25" customHeight="1">
      <c r="A190" s="534" t="s">
        <v>545</v>
      </c>
      <c r="B190" s="534"/>
      <c r="C190" s="534"/>
      <c r="D190" s="534"/>
      <c r="E190" s="534"/>
      <c r="F190" s="534"/>
      <c r="G190" s="534"/>
      <c r="H190" s="534"/>
      <c r="I190" s="534"/>
      <c r="J190" s="534"/>
      <c r="K190" s="534"/>
      <c r="L190" s="534"/>
      <c r="M190" s="534"/>
      <c r="N190" s="534"/>
      <c r="O190" s="534"/>
      <c r="P190" s="534"/>
      <c r="Q190" s="404"/>
    </row>
    <row r="191" spans="1:17" s="4" customFormat="1" ht="11.25" customHeight="1">
      <c r="A191" s="424" t="s">
        <v>742</v>
      </c>
      <c r="B191" s="424" t="s">
        <v>1097</v>
      </c>
      <c r="C191" s="424" t="s">
        <v>742</v>
      </c>
      <c r="D191" s="424" t="s">
        <v>742</v>
      </c>
      <c r="E191" s="424" t="s">
        <v>742</v>
      </c>
      <c r="F191" s="424" t="s">
        <v>742</v>
      </c>
      <c r="G191" s="424" t="s">
        <v>742</v>
      </c>
      <c r="H191" s="424" t="s">
        <v>742</v>
      </c>
      <c r="I191" s="424" t="s">
        <v>742</v>
      </c>
      <c r="J191" s="424" t="s">
        <v>742</v>
      </c>
      <c r="K191" s="424" t="s">
        <v>742</v>
      </c>
      <c r="L191" s="424" t="s">
        <v>742</v>
      </c>
      <c r="M191" s="424" t="s">
        <v>742</v>
      </c>
      <c r="N191" s="424" t="s">
        <v>742</v>
      </c>
      <c r="O191" s="424" t="s">
        <v>742</v>
      </c>
      <c r="P191" s="424" t="s">
        <v>742</v>
      </c>
      <c r="Q191" s="404"/>
    </row>
    <row r="192" spans="1:17" s="4" customFormat="1" ht="11.25" customHeight="1">
      <c r="A192" s="424" t="s">
        <v>1102</v>
      </c>
      <c r="B192" s="424" t="s">
        <v>1103</v>
      </c>
      <c r="C192" s="427">
        <v>2984</v>
      </c>
      <c r="D192" s="427">
        <v>0</v>
      </c>
      <c r="E192" s="427">
        <v>0</v>
      </c>
      <c r="F192" s="427">
        <v>0</v>
      </c>
      <c r="G192" s="427">
        <v>0</v>
      </c>
      <c r="H192" s="427">
        <v>0</v>
      </c>
      <c r="I192" s="427">
        <v>0</v>
      </c>
      <c r="J192" s="427">
        <v>0</v>
      </c>
      <c r="K192" s="427">
        <v>0</v>
      </c>
      <c r="L192" s="427">
        <v>0</v>
      </c>
      <c r="M192" s="427">
        <v>0</v>
      </c>
      <c r="N192" s="427">
        <v>0</v>
      </c>
      <c r="O192" s="427">
        <v>2984</v>
      </c>
      <c r="P192" s="427">
        <v>0</v>
      </c>
      <c r="Q192" s="404"/>
    </row>
    <row r="193" spans="1:17" s="4" customFormat="1" ht="11.25" customHeight="1">
      <c r="A193" s="424" t="s">
        <v>1104</v>
      </c>
      <c r="B193" s="424" t="s">
        <v>1105</v>
      </c>
      <c r="C193" s="427">
        <v>-400</v>
      </c>
      <c r="D193" s="427">
        <v>-2984</v>
      </c>
      <c r="E193" s="427">
        <v>0</v>
      </c>
      <c r="F193" s="427">
        <v>0</v>
      </c>
      <c r="G193" s="427">
        <v>0</v>
      </c>
      <c r="H193" s="427">
        <v>0</v>
      </c>
      <c r="I193" s="427">
        <v>0</v>
      </c>
      <c r="J193" s="427">
        <v>0</v>
      </c>
      <c r="K193" s="427">
        <v>0</v>
      </c>
      <c r="L193" s="427">
        <v>0</v>
      </c>
      <c r="M193" s="427">
        <v>0</v>
      </c>
      <c r="N193" s="427">
        <v>0</v>
      </c>
      <c r="O193" s="427">
        <v>-3384</v>
      </c>
      <c r="P193" s="427">
        <v>0</v>
      </c>
      <c r="Q193" s="404"/>
    </row>
    <row r="194" spans="1:17" s="10" customFormat="1" ht="11.25" customHeight="1">
      <c r="A194" s="428" t="s">
        <v>545</v>
      </c>
      <c r="B194" s="424" t="s">
        <v>1106</v>
      </c>
      <c r="C194" s="429">
        <v>2584</v>
      </c>
      <c r="D194" s="429">
        <v>-2984</v>
      </c>
      <c r="E194" s="429">
        <v>0</v>
      </c>
      <c r="F194" s="429">
        <v>0</v>
      </c>
      <c r="G194" s="429">
        <v>0</v>
      </c>
      <c r="H194" s="429">
        <v>0</v>
      </c>
      <c r="I194" s="429">
        <v>0</v>
      </c>
      <c r="J194" s="429">
        <v>0</v>
      </c>
      <c r="K194" s="429">
        <v>0</v>
      </c>
      <c r="L194" s="429">
        <v>0</v>
      </c>
      <c r="M194" s="429">
        <v>0</v>
      </c>
      <c r="N194" s="429">
        <v>0</v>
      </c>
      <c r="O194" s="429">
        <v>-400</v>
      </c>
      <c r="P194" s="429">
        <v>0</v>
      </c>
      <c r="Q194" s="404"/>
    </row>
    <row r="195" spans="1:17" s="403" customFormat="1" ht="11.25" customHeight="1">
      <c r="A195" s="534" t="s">
        <v>545</v>
      </c>
      <c r="B195" s="534"/>
      <c r="C195" s="534"/>
      <c r="D195" s="534"/>
      <c r="E195" s="534"/>
      <c r="F195" s="534"/>
      <c r="G195" s="534"/>
      <c r="H195" s="534"/>
      <c r="I195" s="534"/>
      <c r="J195" s="534"/>
      <c r="K195" s="534"/>
      <c r="L195" s="534"/>
      <c r="M195" s="534"/>
      <c r="N195" s="534"/>
      <c r="O195" s="534"/>
      <c r="P195" s="534"/>
      <c r="Q195" s="404"/>
    </row>
    <row r="196" spans="1:17" s="403" customFormat="1" ht="11.25" customHeight="1">
      <c r="A196" s="428" t="s">
        <v>545</v>
      </c>
      <c r="B196" s="424" t="s">
        <v>1107</v>
      </c>
      <c r="C196" s="429">
        <v>84336</v>
      </c>
      <c r="D196" s="429">
        <v>110922</v>
      </c>
      <c r="E196" s="429">
        <v>105361</v>
      </c>
      <c r="F196" s="429">
        <v>86090</v>
      </c>
      <c r="G196" s="429">
        <v>97325</v>
      </c>
      <c r="H196" s="429">
        <v>111340</v>
      </c>
      <c r="I196" s="429">
        <v>95859</v>
      </c>
      <c r="J196" s="429">
        <v>103642</v>
      </c>
      <c r="K196" s="429">
        <v>102323</v>
      </c>
      <c r="L196" s="429">
        <v>89477</v>
      </c>
      <c r="M196" s="429">
        <v>104040</v>
      </c>
      <c r="N196" s="429">
        <v>111850</v>
      </c>
      <c r="O196" s="429">
        <v>1202564</v>
      </c>
      <c r="P196" s="429">
        <v>1066611</v>
      </c>
      <c r="Q196" s="404"/>
    </row>
    <row r="197" spans="1:17" s="4" customFormat="1" ht="11.25" customHeight="1">
      <c r="A197" s="534" t="s">
        <v>545</v>
      </c>
      <c r="B197" s="534"/>
      <c r="C197" s="534"/>
      <c r="D197" s="534"/>
      <c r="E197" s="534"/>
      <c r="F197" s="534"/>
      <c r="G197" s="534"/>
      <c r="H197" s="534"/>
      <c r="I197" s="534"/>
      <c r="J197" s="534"/>
      <c r="K197" s="534"/>
      <c r="L197" s="534"/>
      <c r="M197" s="534"/>
      <c r="N197" s="534"/>
      <c r="O197" s="534"/>
      <c r="P197" s="534"/>
      <c r="Q197" s="404"/>
    </row>
    <row r="198" spans="1:17" s="4" customFormat="1" ht="11.25" customHeight="1">
      <c r="A198" s="424" t="s">
        <v>742</v>
      </c>
      <c r="B198" s="424" t="s">
        <v>1108</v>
      </c>
      <c r="C198" s="424" t="s">
        <v>742</v>
      </c>
      <c r="D198" s="424" t="s">
        <v>742</v>
      </c>
      <c r="E198" s="424" t="s">
        <v>742</v>
      </c>
      <c r="F198" s="424" t="s">
        <v>742</v>
      </c>
      <c r="G198" s="424" t="s">
        <v>742</v>
      </c>
      <c r="H198" s="424" t="s">
        <v>742</v>
      </c>
      <c r="I198" s="424" t="s">
        <v>742</v>
      </c>
      <c r="J198" s="424" t="s">
        <v>742</v>
      </c>
      <c r="K198" s="424" t="s">
        <v>742</v>
      </c>
      <c r="L198" s="424" t="s">
        <v>742</v>
      </c>
      <c r="M198" s="424" t="s">
        <v>742</v>
      </c>
      <c r="N198" s="424" t="s">
        <v>742</v>
      </c>
      <c r="O198" s="424" t="s">
        <v>742</v>
      </c>
      <c r="P198" s="424" t="s">
        <v>742</v>
      </c>
      <c r="Q198" s="404"/>
    </row>
    <row r="199" spans="1:17" s="4" customFormat="1" ht="11.25" customHeight="1">
      <c r="A199" s="424" t="s">
        <v>1109</v>
      </c>
      <c r="B199" s="424" t="s">
        <v>1110</v>
      </c>
      <c r="C199" s="427">
        <v>42270</v>
      </c>
      <c r="D199" s="427">
        <v>42200</v>
      </c>
      <c r="E199" s="427">
        <v>39412</v>
      </c>
      <c r="F199" s="427">
        <v>42051</v>
      </c>
      <c r="G199" s="427">
        <v>40626</v>
      </c>
      <c r="H199" s="427">
        <v>41905</v>
      </c>
      <c r="I199" s="427">
        <v>40484</v>
      </c>
      <c r="J199" s="427">
        <v>42624</v>
      </c>
      <c r="K199" s="427">
        <v>42555</v>
      </c>
      <c r="L199" s="427">
        <v>41116</v>
      </c>
      <c r="M199" s="427">
        <v>42413</v>
      </c>
      <c r="N199" s="427">
        <v>40977</v>
      </c>
      <c r="O199" s="427">
        <v>498630</v>
      </c>
      <c r="P199" s="427">
        <v>520264</v>
      </c>
      <c r="Q199" s="404"/>
    </row>
    <row r="200" spans="1:17" s="177" customFormat="1" ht="11.25" customHeight="1">
      <c r="A200" s="424" t="s">
        <v>1111</v>
      </c>
      <c r="B200" s="424" t="s">
        <v>1112</v>
      </c>
      <c r="C200" s="427">
        <v>0</v>
      </c>
      <c r="D200" s="427">
        <v>0</v>
      </c>
      <c r="E200" s="427">
        <v>0</v>
      </c>
      <c r="F200" s="427">
        <v>0</v>
      </c>
      <c r="G200" s="427">
        <v>0</v>
      </c>
      <c r="H200" s="427">
        <v>0</v>
      </c>
      <c r="I200" s="427">
        <v>0</v>
      </c>
      <c r="J200" s="427">
        <v>0</v>
      </c>
      <c r="K200" s="427">
        <v>0</v>
      </c>
      <c r="L200" s="427">
        <v>0</v>
      </c>
      <c r="M200" s="427">
        <v>0</v>
      </c>
      <c r="N200" s="427">
        <v>0</v>
      </c>
      <c r="O200" s="427">
        <v>0</v>
      </c>
      <c r="P200" s="427">
        <v>66000</v>
      </c>
      <c r="Q200" s="406"/>
    </row>
    <row r="201" spans="1:17" s="177" customFormat="1" ht="11.25" customHeight="1">
      <c r="A201" s="428" t="s">
        <v>545</v>
      </c>
      <c r="B201" s="424" t="s">
        <v>1115</v>
      </c>
      <c r="C201" s="429">
        <v>42270</v>
      </c>
      <c r="D201" s="429">
        <v>42200</v>
      </c>
      <c r="E201" s="429">
        <v>39412</v>
      </c>
      <c r="F201" s="429">
        <v>42051</v>
      </c>
      <c r="G201" s="429">
        <v>40626</v>
      </c>
      <c r="H201" s="429">
        <v>41905</v>
      </c>
      <c r="I201" s="429">
        <v>40484</v>
      </c>
      <c r="J201" s="429">
        <v>42624</v>
      </c>
      <c r="K201" s="429">
        <v>42555</v>
      </c>
      <c r="L201" s="429">
        <v>41116</v>
      </c>
      <c r="M201" s="429">
        <v>42413</v>
      </c>
      <c r="N201" s="429">
        <v>40977</v>
      </c>
      <c r="O201" s="429">
        <v>498630</v>
      </c>
      <c r="P201" s="429">
        <v>586264</v>
      </c>
      <c r="Q201" s="406"/>
    </row>
    <row r="202" spans="1:17" s="177" customFormat="1" ht="11.25" customHeight="1">
      <c r="A202" s="534" t="s">
        <v>545</v>
      </c>
      <c r="B202" s="534"/>
      <c r="C202" s="534"/>
      <c r="D202" s="534"/>
      <c r="E202" s="534"/>
      <c r="F202" s="534"/>
      <c r="G202" s="534"/>
      <c r="H202" s="534"/>
      <c r="I202" s="534"/>
      <c r="J202" s="534"/>
      <c r="K202" s="534"/>
      <c r="L202" s="534"/>
      <c r="M202" s="534"/>
      <c r="N202" s="534"/>
      <c r="O202" s="534"/>
      <c r="P202" s="534"/>
      <c r="Q202" s="406"/>
    </row>
    <row r="203" spans="1:17" s="177" customFormat="1" ht="11.25" customHeight="1">
      <c r="A203" s="428" t="s">
        <v>545</v>
      </c>
      <c r="B203" s="424" t="s">
        <v>1116</v>
      </c>
      <c r="C203" s="430">
        <v>42066</v>
      </c>
      <c r="D203" s="430">
        <v>68722</v>
      </c>
      <c r="E203" s="430">
        <v>65949</v>
      </c>
      <c r="F203" s="430">
        <v>44039</v>
      </c>
      <c r="G203" s="430">
        <v>56699</v>
      </c>
      <c r="H203" s="430">
        <v>69435</v>
      </c>
      <c r="I203" s="430">
        <v>55375</v>
      </c>
      <c r="J203" s="430">
        <v>61018</v>
      </c>
      <c r="K203" s="430">
        <v>59768</v>
      </c>
      <c r="L203" s="430">
        <v>48361</v>
      </c>
      <c r="M203" s="430">
        <v>61627</v>
      </c>
      <c r="N203" s="430">
        <v>70873</v>
      </c>
      <c r="O203" s="430">
        <v>703934</v>
      </c>
      <c r="P203" s="430">
        <v>480347</v>
      </c>
      <c r="Q203" s="406"/>
    </row>
    <row r="204" spans="1:17" s="177" customFormat="1" ht="11.25" customHeight="1">
      <c r="A204" s="424" t="s">
        <v>742</v>
      </c>
      <c r="B204" s="424" t="s">
        <v>1117</v>
      </c>
      <c r="C204" s="431" t="s">
        <v>742</v>
      </c>
      <c r="D204" s="431" t="s">
        <v>742</v>
      </c>
      <c r="E204" s="431" t="s">
        <v>742</v>
      </c>
      <c r="F204" s="431" t="s">
        <v>742</v>
      </c>
      <c r="G204" s="431" t="s">
        <v>742</v>
      </c>
      <c r="H204" s="431" t="s">
        <v>742</v>
      </c>
      <c r="I204" s="431" t="s">
        <v>742</v>
      </c>
      <c r="J204" s="431" t="s">
        <v>742</v>
      </c>
      <c r="K204" s="431" t="s">
        <v>742</v>
      </c>
      <c r="L204" s="431" t="s">
        <v>742</v>
      </c>
      <c r="M204" s="431" t="s">
        <v>742</v>
      </c>
      <c r="N204" s="431" t="s">
        <v>742</v>
      </c>
      <c r="O204" s="431" t="s">
        <v>742</v>
      </c>
      <c r="P204" s="431" t="s">
        <v>742</v>
      </c>
      <c r="Q204" s="406"/>
    </row>
    <row r="205" spans="1:17" s="177" customFormat="1" ht="11.25" customHeight="1">
      <c r="A205" s="424" t="s">
        <v>1118</v>
      </c>
      <c r="B205" s="424" t="s">
        <v>1119</v>
      </c>
      <c r="C205" s="427">
        <v>0</v>
      </c>
      <c r="D205" s="427">
        <v>0</v>
      </c>
      <c r="E205" s="427">
        <v>0</v>
      </c>
      <c r="F205" s="427">
        <v>0</v>
      </c>
      <c r="G205" s="427">
        <v>0</v>
      </c>
      <c r="H205" s="427">
        <v>0</v>
      </c>
      <c r="I205" s="427">
        <v>0</v>
      </c>
      <c r="J205" s="427">
        <v>0</v>
      </c>
      <c r="K205" s="427">
        <v>0</v>
      </c>
      <c r="L205" s="427">
        <v>0</v>
      </c>
      <c r="M205" s="427">
        <v>0</v>
      </c>
      <c r="N205" s="427">
        <v>0</v>
      </c>
      <c r="O205" s="427">
        <v>0</v>
      </c>
      <c r="P205" s="427">
        <v>326040</v>
      </c>
      <c r="Q205" s="406"/>
    </row>
    <row r="206" spans="1:17" s="181" customFormat="1" ht="11.25" customHeight="1">
      <c r="A206" s="424" t="s">
        <v>1120</v>
      </c>
      <c r="B206" s="424" t="s">
        <v>1121</v>
      </c>
      <c r="C206" s="427">
        <v>0</v>
      </c>
      <c r="D206" s="427">
        <v>0</v>
      </c>
      <c r="E206" s="427">
        <v>0</v>
      </c>
      <c r="F206" s="427">
        <v>0</v>
      </c>
      <c r="G206" s="427">
        <v>0</v>
      </c>
      <c r="H206" s="427">
        <v>0</v>
      </c>
      <c r="I206" s="427">
        <v>0</v>
      </c>
      <c r="J206" s="427">
        <v>0</v>
      </c>
      <c r="K206" s="427">
        <v>0</v>
      </c>
      <c r="L206" s="427">
        <v>0</v>
      </c>
      <c r="M206" s="427">
        <v>0</v>
      </c>
      <c r="N206" s="427">
        <v>0</v>
      </c>
      <c r="O206" s="427">
        <v>0</v>
      </c>
      <c r="P206" s="427">
        <v>20212</v>
      </c>
      <c r="Q206" s="406"/>
    </row>
    <row r="207" spans="1:17" s="407" customFormat="1" ht="11">
      <c r="A207" s="428" t="s">
        <v>545</v>
      </c>
      <c r="B207" s="424" t="s">
        <v>1122</v>
      </c>
      <c r="C207" s="430">
        <v>0</v>
      </c>
      <c r="D207" s="430">
        <v>0</v>
      </c>
      <c r="E207" s="430">
        <v>0</v>
      </c>
      <c r="F207" s="430">
        <v>0</v>
      </c>
      <c r="G207" s="430">
        <v>0</v>
      </c>
      <c r="H207" s="430">
        <v>0</v>
      </c>
      <c r="I207" s="430">
        <v>0</v>
      </c>
      <c r="J207" s="430">
        <v>0</v>
      </c>
      <c r="K207" s="430">
        <v>0</v>
      </c>
      <c r="L207" s="430">
        <v>0</v>
      </c>
      <c r="M207" s="430">
        <v>0</v>
      </c>
      <c r="N207" s="430">
        <v>0</v>
      </c>
      <c r="O207" s="430">
        <v>0</v>
      </c>
      <c r="P207" s="430">
        <v>346252</v>
      </c>
      <c r="Q207" s="406"/>
    </row>
    <row r="208" spans="1:17" s="408" customFormat="1" ht="11.25" customHeight="1">
      <c r="A208" s="534" t="s">
        <v>545</v>
      </c>
      <c r="B208" s="534"/>
      <c r="C208" s="534"/>
      <c r="D208" s="534"/>
      <c r="E208" s="534"/>
      <c r="F208" s="534"/>
      <c r="G208" s="534"/>
      <c r="H208" s="534"/>
      <c r="I208" s="534"/>
      <c r="J208" s="534"/>
      <c r="K208" s="534"/>
      <c r="L208" s="534"/>
      <c r="M208" s="534"/>
      <c r="N208" s="534"/>
      <c r="O208" s="534"/>
      <c r="P208" s="534"/>
      <c r="Q208" s="406"/>
    </row>
    <row r="209" spans="1:17" s="177" customFormat="1" ht="12" thickBot="1">
      <c r="A209" s="428" t="s">
        <v>545</v>
      </c>
      <c r="B209" s="424" t="s">
        <v>1132</v>
      </c>
      <c r="C209" s="432">
        <v>42066</v>
      </c>
      <c r="D209" s="432">
        <v>68722</v>
      </c>
      <c r="E209" s="432">
        <v>65949</v>
      </c>
      <c r="F209" s="432">
        <v>44039</v>
      </c>
      <c r="G209" s="432">
        <v>56699</v>
      </c>
      <c r="H209" s="432">
        <v>69435</v>
      </c>
      <c r="I209" s="432">
        <v>55375</v>
      </c>
      <c r="J209" s="432">
        <v>61018</v>
      </c>
      <c r="K209" s="432">
        <v>59768</v>
      </c>
      <c r="L209" s="432">
        <v>48361</v>
      </c>
      <c r="M209" s="432">
        <v>61627</v>
      </c>
      <c r="N209" s="432">
        <v>70873</v>
      </c>
      <c r="O209" s="432">
        <v>703934</v>
      </c>
      <c r="P209" s="432">
        <v>134095</v>
      </c>
      <c r="Q209" s="406"/>
    </row>
    <row r="210" spans="1:17" s="407" customFormat="1" ht="11.25" customHeight="1" thickTop="1">
      <c r="A210" s="534" t="s">
        <v>545</v>
      </c>
      <c r="B210" s="534"/>
      <c r="C210" s="534"/>
      <c r="D210" s="534"/>
      <c r="E210" s="534"/>
      <c r="F210" s="534"/>
      <c r="G210" s="534"/>
      <c r="H210" s="534"/>
      <c r="I210" s="534"/>
      <c r="J210" s="534"/>
      <c r="K210" s="534"/>
      <c r="L210" s="534"/>
      <c r="M210" s="534"/>
      <c r="N210" s="534"/>
      <c r="O210" s="534"/>
      <c r="P210" s="534"/>
      <c r="Q210" s="406"/>
    </row>
    <row r="211" spans="1:17" s="177" customFormat="1" ht="11.25" customHeight="1">
      <c r="A211" s="424" t="s">
        <v>742</v>
      </c>
      <c r="B211" s="424" t="s">
        <v>1133</v>
      </c>
      <c r="C211" s="424" t="s">
        <v>742</v>
      </c>
      <c r="D211" s="424" t="s">
        <v>742</v>
      </c>
      <c r="E211" s="424" t="s">
        <v>742</v>
      </c>
      <c r="F211" s="424" t="s">
        <v>742</v>
      </c>
      <c r="G211" s="424" t="s">
        <v>742</v>
      </c>
      <c r="H211" s="424" t="s">
        <v>742</v>
      </c>
      <c r="I211" s="424" t="s">
        <v>742</v>
      </c>
      <c r="J211" s="424" t="s">
        <v>742</v>
      </c>
      <c r="K211" s="424" t="s">
        <v>742</v>
      </c>
      <c r="L211" s="424" t="s">
        <v>742</v>
      </c>
      <c r="M211" s="424" t="s">
        <v>742</v>
      </c>
      <c r="N211" s="424" t="s">
        <v>742</v>
      </c>
      <c r="O211" s="424" t="s">
        <v>742</v>
      </c>
      <c r="P211" s="424" t="s">
        <v>742</v>
      </c>
      <c r="Q211" s="406"/>
    </row>
    <row r="212" spans="1:17" s="407" customFormat="1" ht="11.25" customHeight="1">
      <c r="A212" s="424" t="s">
        <v>1137</v>
      </c>
      <c r="B212" s="424" t="s">
        <v>1138</v>
      </c>
      <c r="C212" s="427">
        <v>0</v>
      </c>
      <c r="D212" s="427">
        <v>7313</v>
      </c>
      <c r="E212" s="427">
        <v>7313</v>
      </c>
      <c r="F212" s="427">
        <v>7313</v>
      </c>
      <c r="G212" s="427">
        <v>7313</v>
      </c>
      <c r="H212" s="427">
        <v>7313</v>
      </c>
      <c r="I212" s="427">
        <v>7313</v>
      </c>
      <c r="J212" s="427">
        <v>0</v>
      </c>
      <c r="K212" s="427">
        <v>0</v>
      </c>
      <c r="L212" s="427">
        <v>0</v>
      </c>
      <c r="M212" s="427">
        <v>0</v>
      </c>
      <c r="N212" s="427">
        <v>0</v>
      </c>
      <c r="O212" s="427">
        <v>43877</v>
      </c>
      <c r="P212" s="427">
        <v>0</v>
      </c>
      <c r="Q212" s="406"/>
    </row>
    <row r="213" spans="1:17" s="407" customFormat="1" ht="11.25" customHeight="1">
      <c r="A213" s="424" t="s">
        <v>1139</v>
      </c>
      <c r="B213" s="424" t="s">
        <v>1140</v>
      </c>
      <c r="C213" s="427">
        <v>0</v>
      </c>
      <c r="D213" s="427">
        <v>26291</v>
      </c>
      <c r="E213" s="427">
        <v>26291</v>
      </c>
      <c r="F213" s="427">
        <v>26291</v>
      </c>
      <c r="G213" s="427">
        <v>26291</v>
      </c>
      <c r="H213" s="427">
        <v>26291</v>
      </c>
      <c r="I213" s="427">
        <v>26291</v>
      </c>
      <c r="J213" s="427">
        <v>0</v>
      </c>
      <c r="K213" s="427">
        <v>0</v>
      </c>
      <c r="L213" s="427">
        <v>0</v>
      </c>
      <c r="M213" s="427">
        <v>0</v>
      </c>
      <c r="N213" s="427">
        <v>0</v>
      </c>
      <c r="O213" s="427">
        <v>157749</v>
      </c>
      <c r="P213" s="427">
        <v>0</v>
      </c>
      <c r="Q213" s="406"/>
    </row>
    <row r="214" spans="1:17" s="177" customFormat="1" ht="11.25" customHeight="1">
      <c r="A214" s="424" t="s">
        <v>1165</v>
      </c>
      <c r="B214" s="424" t="s">
        <v>1166</v>
      </c>
      <c r="C214" s="427">
        <v>0</v>
      </c>
      <c r="D214" s="427">
        <v>3362</v>
      </c>
      <c r="E214" s="427">
        <v>3362</v>
      </c>
      <c r="F214" s="427">
        <v>3362</v>
      </c>
      <c r="G214" s="427">
        <v>3362</v>
      </c>
      <c r="H214" s="427">
        <v>3362</v>
      </c>
      <c r="I214" s="427">
        <v>3362</v>
      </c>
      <c r="J214" s="427">
        <v>0</v>
      </c>
      <c r="K214" s="427">
        <v>0</v>
      </c>
      <c r="L214" s="427">
        <v>0</v>
      </c>
      <c r="M214" s="427">
        <v>0</v>
      </c>
      <c r="N214" s="427">
        <v>0</v>
      </c>
      <c r="O214" s="427">
        <v>20168</v>
      </c>
      <c r="P214" s="427">
        <v>0</v>
      </c>
      <c r="Q214" s="406"/>
    </row>
    <row r="215" spans="1:17" s="177" customFormat="1" ht="11.25" customHeight="1">
      <c r="A215" s="424" t="s">
        <v>1168</v>
      </c>
      <c r="B215" s="424" t="s">
        <v>1169</v>
      </c>
      <c r="C215" s="427">
        <v>0</v>
      </c>
      <c r="D215" s="427">
        <v>1959</v>
      </c>
      <c r="E215" s="427">
        <v>1959</v>
      </c>
      <c r="F215" s="427">
        <v>1959</v>
      </c>
      <c r="G215" s="427">
        <v>1959</v>
      </c>
      <c r="H215" s="427">
        <v>1959</v>
      </c>
      <c r="I215" s="427">
        <v>1959</v>
      </c>
      <c r="J215" s="427">
        <v>0</v>
      </c>
      <c r="K215" s="427">
        <v>0</v>
      </c>
      <c r="L215" s="427">
        <v>0</v>
      </c>
      <c r="M215" s="427">
        <v>0</v>
      </c>
      <c r="N215" s="427">
        <v>0</v>
      </c>
      <c r="O215" s="427">
        <v>11753</v>
      </c>
      <c r="P215" s="427">
        <v>0</v>
      </c>
      <c r="Q215" s="406"/>
    </row>
    <row r="216" spans="1:17" s="177" customFormat="1" ht="11">
      <c r="A216" s="424" t="s">
        <v>1170</v>
      </c>
      <c r="B216" s="424" t="s">
        <v>1171</v>
      </c>
      <c r="C216" s="427">
        <v>0</v>
      </c>
      <c r="D216" s="427">
        <v>378</v>
      </c>
      <c r="E216" s="427">
        <v>378</v>
      </c>
      <c r="F216" s="427">
        <v>378</v>
      </c>
      <c r="G216" s="427">
        <v>378</v>
      </c>
      <c r="H216" s="427">
        <v>378</v>
      </c>
      <c r="I216" s="427">
        <v>378</v>
      </c>
      <c r="J216" s="427">
        <v>0</v>
      </c>
      <c r="K216" s="427">
        <v>0</v>
      </c>
      <c r="L216" s="427">
        <v>0</v>
      </c>
      <c r="M216" s="427">
        <v>0</v>
      </c>
      <c r="N216" s="427">
        <v>0</v>
      </c>
      <c r="O216" s="427">
        <v>2274</v>
      </c>
      <c r="P216" s="427">
        <v>0</v>
      </c>
      <c r="Q216" s="406"/>
    </row>
    <row r="217" spans="1:17" s="177" customFormat="1" ht="11">
      <c r="A217" s="424" t="s">
        <v>1175</v>
      </c>
      <c r="B217" s="424" t="s">
        <v>1176</v>
      </c>
      <c r="C217" s="427">
        <v>0</v>
      </c>
      <c r="D217" s="427">
        <v>4559</v>
      </c>
      <c r="E217" s="427">
        <v>4559</v>
      </c>
      <c r="F217" s="427">
        <v>4559</v>
      </c>
      <c r="G217" s="427">
        <v>4559</v>
      </c>
      <c r="H217" s="427">
        <v>4559</v>
      </c>
      <c r="I217" s="427">
        <v>4559</v>
      </c>
      <c r="J217" s="427">
        <v>0</v>
      </c>
      <c r="K217" s="427">
        <v>0</v>
      </c>
      <c r="L217" s="427">
        <v>0</v>
      </c>
      <c r="M217" s="427">
        <v>0</v>
      </c>
      <c r="N217" s="427">
        <v>0</v>
      </c>
      <c r="O217" s="427">
        <v>27352</v>
      </c>
      <c r="P217" s="427">
        <v>0</v>
      </c>
      <c r="Q217" s="406"/>
    </row>
    <row r="218" spans="1:17" s="177" customFormat="1" ht="11">
      <c r="A218" s="424" t="s">
        <v>1181</v>
      </c>
      <c r="B218" s="424" t="s">
        <v>1182</v>
      </c>
      <c r="C218" s="427">
        <v>0</v>
      </c>
      <c r="D218" s="427">
        <v>15949</v>
      </c>
      <c r="E218" s="427">
        <v>15949</v>
      </c>
      <c r="F218" s="427">
        <v>15949</v>
      </c>
      <c r="G218" s="427">
        <v>15949</v>
      </c>
      <c r="H218" s="427">
        <v>15949</v>
      </c>
      <c r="I218" s="427">
        <v>15949</v>
      </c>
      <c r="J218" s="427">
        <v>0</v>
      </c>
      <c r="K218" s="427">
        <v>0</v>
      </c>
      <c r="L218" s="427">
        <v>0</v>
      </c>
      <c r="M218" s="427">
        <v>0</v>
      </c>
      <c r="N218" s="427">
        <v>0</v>
      </c>
      <c r="O218" s="427">
        <v>95692</v>
      </c>
      <c r="P218" s="427">
        <v>0</v>
      </c>
      <c r="Q218" s="406"/>
    </row>
    <row r="219" spans="1:17" s="181" customFormat="1" ht="11.25" customHeight="1">
      <c r="A219" s="424" t="s">
        <v>1184</v>
      </c>
      <c r="B219" s="424" t="s">
        <v>1185</v>
      </c>
      <c r="C219" s="427">
        <v>0</v>
      </c>
      <c r="D219" s="427">
        <v>14453</v>
      </c>
      <c r="E219" s="427">
        <v>14453</v>
      </c>
      <c r="F219" s="427">
        <v>14453</v>
      </c>
      <c r="G219" s="427">
        <v>14453</v>
      </c>
      <c r="H219" s="427">
        <v>14453</v>
      </c>
      <c r="I219" s="427">
        <v>14453</v>
      </c>
      <c r="J219" s="427">
        <v>0</v>
      </c>
      <c r="K219" s="427">
        <v>0</v>
      </c>
      <c r="L219" s="427">
        <v>0</v>
      </c>
      <c r="M219" s="427">
        <v>0</v>
      </c>
      <c r="N219" s="427">
        <v>0</v>
      </c>
      <c r="O219" s="427">
        <v>86721</v>
      </c>
      <c r="P219" s="427">
        <v>0</v>
      </c>
      <c r="Q219" s="406"/>
    </row>
    <row r="220" spans="1:17" s="407" customFormat="1" ht="11">
      <c r="A220" s="424" t="s">
        <v>1200</v>
      </c>
      <c r="B220" s="424" t="s">
        <v>1201</v>
      </c>
      <c r="C220" s="427">
        <v>0</v>
      </c>
      <c r="D220" s="427">
        <v>9425</v>
      </c>
      <c r="E220" s="427">
        <v>9425</v>
      </c>
      <c r="F220" s="427">
        <v>9425</v>
      </c>
      <c r="G220" s="427">
        <v>9425</v>
      </c>
      <c r="H220" s="427">
        <v>9425</v>
      </c>
      <c r="I220" s="427">
        <v>9425</v>
      </c>
      <c r="J220" s="427">
        <v>0</v>
      </c>
      <c r="K220" s="427">
        <v>0</v>
      </c>
      <c r="L220" s="427">
        <v>0</v>
      </c>
      <c r="M220" s="427">
        <v>0</v>
      </c>
      <c r="N220" s="427">
        <v>0</v>
      </c>
      <c r="O220" s="427">
        <v>56547</v>
      </c>
      <c r="P220" s="427">
        <v>0</v>
      </c>
      <c r="Q220" s="406"/>
    </row>
    <row r="221" spans="1:17" s="407" customFormat="1" ht="11.25" customHeight="1">
      <c r="A221" s="424" t="s">
        <v>1208</v>
      </c>
      <c r="B221" s="424" t="s">
        <v>1209</v>
      </c>
      <c r="C221" s="427">
        <v>0</v>
      </c>
      <c r="D221" s="427">
        <v>67361</v>
      </c>
      <c r="E221" s="427">
        <v>67361</v>
      </c>
      <c r="F221" s="427">
        <v>67361</v>
      </c>
      <c r="G221" s="427">
        <v>67361</v>
      </c>
      <c r="H221" s="427">
        <v>67361</v>
      </c>
      <c r="I221" s="427">
        <v>67361</v>
      </c>
      <c r="J221" s="427">
        <v>0</v>
      </c>
      <c r="K221" s="427">
        <v>0</v>
      </c>
      <c r="L221" s="427">
        <v>0</v>
      </c>
      <c r="M221" s="427">
        <v>0</v>
      </c>
      <c r="N221" s="427">
        <v>0</v>
      </c>
      <c r="O221" s="427">
        <v>404168</v>
      </c>
      <c r="P221" s="427">
        <v>20656</v>
      </c>
      <c r="Q221" s="406"/>
    </row>
    <row r="222" spans="1:17" s="177" customFormat="1" ht="11.25" customHeight="1">
      <c r="A222" s="428" t="s">
        <v>545</v>
      </c>
      <c r="B222" s="424" t="s">
        <v>1133</v>
      </c>
      <c r="C222" s="429">
        <v>0</v>
      </c>
      <c r="D222" s="429">
        <v>151050</v>
      </c>
      <c r="E222" s="429">
        <v>151050</v>
      </c>
      <c r="F222" s="429">
        <v>151050</v>
      </c>
      <c r="G222" s="429">
        <v>151050</v>
      </c>
      <c r="H222" s="429">
        <v>151050</v>
      </c>
      <c r="I222" s="429">
        <v>151050</v>
      </c>
      <c r="J222" s="429">
        <v>0</v>
      </c>
      <c r="K222" s="429">
        <v>0</v>
      </c>
      <c r="L222" s="429">
        <v>0</v>
      </c>
      <c r="M222" s="429">
        <v>0</v>
      </c>
      <c r="N222" s="429">
        <v>0</v>
      </c>
      <c r="O222" s="429">
        <v>906301</v>
      </c>
      <c r="P222" s="429">
        <v>20656</v>
      </c>
      <c r="Q222" s="406"/>
    </row>
    <row r="223" spans="1:17" s="177" customFormat="1" ht="11.25" customHeight="1">
      <c r="A223" s="534" t="s">
        <v>545</v>
      </c>
      <c r="B223" s="534"/>
      <c r="C223" s="534"/>
      <c r="D223" s="534"/>
      <c r="E223" s="534"/>
      <c r="F223" s="534"/>
      <c r="G223" s="534"/>
      <c r="H223" s="534"/>
      <c r="I223" s="534"/>
      <c r="J223" s="534"/>
      <c r="K223" s="534"/>
      <c r="L223" s="534"/>
      <c r="M223" s="534"/>
      <c r="N223" s="534"/>
      <c r="O223" s="534"/>
      <c r="P223" s="534"/>
      <c r="Q223" s="406"/>
    </row>
    <row r="224" spans="1:17" s="177" customFormat="1" ht="11.25" customHeight="1">
      <c r="A224" s="424" t="s">
        <v>742</v>
      </c>
      <c r="B224" s="424" t="s">
        <v>1211</v>
      </c>
      <c r="C224" s="424" t="s">
        <v>742</v>
      </c>
      <c r="D224" s="424" t="s">
        <v>742</v>
      </c>
      <c r="E224" s="424" t="s">
        <v>742</v>
      </c>
      <c r="F224" s="424" t="s">
        <v>742</v>
      </c>
      <c r="G224" s="424" t="s">
        <v>742</v>
      </c>
      <c r="H224" s="424" t="s">
        <v>742</v>
      </c>
      <c r="I224" s="424" t="s">
        <v>742</v>
      </c>
      <c r="J224" s="424" t="s">
        <v>742</v>
      </c>
      <c r="K224" s="424" t="s">
        <v>742</v>
      </c>
      <c r="L224" s="424" t="s">
        <v>742</v>
      </c>
      <c r="M224" s="424" t="s">
        <v>742</v>
      </c>
      <c r="N224" s="424" t="s">
        <v>742</v>
      </c>
      <c r="O224" s="424" t="s">
        <v>742</v>
      </c>
      <c r="P224" s="424" t="s">
        <v>742</v>
      </c>
      <c r="Q224" s="406"/>
    </row>
    <row r="225" spans="1:17" s="177" customFormat="1" ht="11.25" customHeight="1">
      <c r="A225" s="424" t="s">
        <v>1212</v>
      </c>
      <c r="B225" s="424" t="s">
        <v>1213</v>
      </c>
      <c r="C225" s="427">
        <v>-11189</v>
      </c>
      <c r="D225" s="427">
        <v>6272</v>
      </c>
      <c r="E225" s="427">
        <v>11997</v>
      </c>
      <c r="F225" s="427">
        <v>84</v>
      </c>
      <c r="G225" s="427">
        <v>5809</v>
      </c>
      <c r="H225" s="427">
        <v>11534</v>
      </c>
      <c r="I225" s="427">
        <v>316</v>
      </c>
      <c r="J225" s="427">
        <v>5725</v>
      </c>
      <c r="K225" s="427">
        <v>5725</v>
      </c>
      <c r="L225" s="427">
        <v>-11275</v>
      </c>
      <c r="M225" s="427">
        <v>5725</v>
      </c>
      <c r="N225" s="427">
        <v>5725</v>
      </c>
      <c r="O225" s="427">
        <v>36449</v>
      </c>
      <c r="P225" s="427">
        <v>-5582</v>
      </c>
      <c r="Q225" s="406"/>
    </row>
    <row r="226" spans="1:17" s="177" customFormat="1" ht="11">
      <c r="A226" s="424" t="s">
        <v>1215</v>
      </c>
      <c r="B226" s="424" t="s">
        <v>1216</v>
      </c>
      <c r="C226" s="427">
        <v>10700</v>
      </c>
      <c r="D226" s="427">
        <v>33672</v>
      </c>
      <c r="E226" s="427">
        <v>12824</v>
      </c>
      <c r="F226" s="427">
        <v>23523</v>
      </c>
      <c r="G226" s="427">
        <v>34222</v>
      </c>
      <c r="H226" s="427">
        <v>44922</v>
      </c>
      <c r="I226" s="427">
        <v>55900</v>
      </c>
      <c r="J226" s="427">
        <v>-20901</v>
      </c>
      <c r="K226" s="427">
        <v>10699</v>
      </c>
      <c r="L226" s="427">
        <v>-20901</v>
      </c>
      <c r="M226" s="427">
        <v>10699</v>
      </c>
      <c r="N226" s="427">
        <v>10699</v>
      </c>
      <c r="O226" s="427">
        <v>206056</v>
      </c>
      <c r="P226" s="427">
        <v>178</v>
      </c>
      <c r="Q226" s="406"/>
    </row>
    <row r="227" spans="1:17" s="177" customFormat="1" ht="11">
      <c r="A227" s="424" t="s">
        <v>1217</v>
      </c>
      <c r="B227" s="424" t="s">
        <v>1218</v>
      </c>
      <c r="C227" s="427">
        <v>2500</v>
      </c>
      <c r="D227" s="427">
        <v>26312</v>
      </c>
      <c r="E227" s="427">
        <v>28812</v>
      </c>
      <c r="F227" s="427">
        <v>31312</v>
      </c>
      <c r="G227" s="427">
        <v>33812</v>
      </c>
      <c r="H227" s="427">
        <v>7489</v>
      </c>
      <c r="I227" s="427">
        <v>9902</v>
      </c>
      <c r="J227" s="427">
        <v>2500</v>
      </c>
      <c r="K227" s="427">
        <v>2500</v>
      </c>
      <c r="L227" s="427">
        <v>2500</v>
      </c>
      <c r="M227" s="427">
        <v>2500</v>
      </c>
      <c r="N227" s="427">
        <v>2500</v>
      </c>
      <c r="O227" s="427">
        <v>152639</v>
      </c>
      <c r="P227" s="427">
        <v>3229</v>
      </c>
      <c r="Q227" s="406"/>
    </row>
    <row r="228" spans="1:17" s="177" customFormat="1" ht="11">
      <c r="A228" s="428" t="s">
        <v>545</v>
      </c>
      <c r="B228" s="424" t="s">
        <v>1211</v>
      </c>
      <c r="C228" s="429">
        <v>2011</v>
      </c>
      <c r="D228" s="429">
        <v>66256</v>
      </c>
      <c r="E228" s="429">
        <v>53633</v>
      </c>
      <c r="F228" s="429">
        <v>54919</v>
      </c>
      <c r="G228" s="429">
        <v>73843</v>
      </c>
      <c r="H228" s="429">
        <v>63945</v>
      </c>
      <c r="I228" s="429">
        <v>66118</v>
      </c>
      <c r="J228" s="429">
        <v>-12676</v>
      </c>
      <c r="K228" s="429">
        <v>18924</v>
      </c>
      <c r="L228" s="429">
        <v>-29676</v>
      </c>
      <c r="M228" s="429">
        <v>18924</v>
      </c>
      <c r="N228" s="429">
        <v>18924</v>
      </c>
      <c r="O228" s="429">
        <v>395144</v>
      </c>
      <c r="P228" s="429">
        <v>-2175</v>
      </c>
      <c r="Q228" s="406"/>
    </row>
    <row r="229" spans="1:17" s="177" customFormat="1" ht="11.25" customHeight="1">
      <c r="A229" s="534" t="s">
        <v>545</v>
      </c>
      <c r="B229" s="534"/>
      <c r="C229" s="534"/>
      <c r="D229" s="534"/>
      <c r="E229" s="534"/>
      <c r="F229" s="534"/>
      <c r="G229" s="534"/>
      <c r="H229" s="534"/>
      <c r="I229" s="534"/>
      <c r="J229" s="534"/>
      <c r="K229" s="534"/>
      <c r="L229" s="534"/>
      <c r="M229" s="534"/>
      <c r="N229" s="534"/>
      <c r="O229" s="534"/>
      <c r="P229" s="534"/>
      <c r="Q229" s="406"/>
    </row>
    <row r="230" spans="1:17" s="177" customFormat="1" ht="11.25" customHeight="1">
      <c r="A230" s="424" t="s">
        <v>742</v>
      </c>
      <c r="B230" s="424" t="s">
        <v>1223</v>
      </c>
      <c r="C230" s="424" t="s">
        <v>742</v>
      </c>
      <c r="D230" s="424" t="s">
        <v>742</v>
      </c>
      <c r="E230" s="424" t="s">
        <v>742</v>
      </c>
      <c r="F230" s="424" t="s">
        <v>742</v>
      </c>
      <c r="G230" s="424" t="s">
        <v>742</v>
      </c>
      <c r="H230" s="424" t="s">
        <v>742</v>
      </c>
      <c r="I230" s="424" t="s">
        <v>742</v>
      </c>
      <c r="J230" s="424" t="s">
        <v>742</v>
      </c>
      <c r="K230" s="424" t="s">
        <v>742</v>
      </c>
      <c r="L230" s="424" t="s">
        <v>742</v>
      </c>
      <c r="M230" s="424" t="s">
        <v>742</v>
      </c>
      <c r="N230" s="424" t="s">
        <v>742</v>
      </c>
      <c r="O230" s="424" t="s">
        <v>742</v>
      </c>
      <c r="P230" s="424" t="s">
        <v>742</v>
      </c>
      <c r="Q230" s="406"/>
    </row>
    <row r="231" spans="1:17" s="177" customFormat="1" ht="11.25" customHeight="1">
      <c r="A231" s="424" t="s">
        <v>1224</v>
      </c>
      <c r="B231" s="424" t="s">
        <v>1225</v>
      </c>
      <c r="C231" s="427">
        <v>0</v>
      </c>
      <c r="D231" s="427">
        <v>13650000</v>
      </c>
      <c r="E231" s="427">
        <v>13650000</v>
      </c>
      <c r="F231" s="427">
        <v>13650000</v>
      </c>
      <c r="G231" s="427">
        <v>13650000</v>
      </c>
      <c r="H231" s="427">
        <v>13650000</v>
      </c>
      <c r="I231" s="427">
        <v>13650000</v>
      </c>
      <c r="J231" s="427">
        <v>0</v>
      </c>
      <c r="K231" s="427">
        <v>0</v>
      </c>
      <c r="L231" s="427">
        <v>0</v>
      </c>
      <c r="M231" s="427">
        <v>0</v>
      </c>
      <c r="N231" s="427">
        <v>0</v>
      </c>
      <c r="O231" s="427">
        <v>81900000</v>
      </c>
      <c r="P231" s="427">
        <v>0</v>
      </c>
      <c r="Q231" s="406"/>
    </row>
    <row r="232" spans="1:17" s="181" customFormat="1" ht="11">
      <c r="A232" s="424" t="s">
        <v>1226</v>
      </c>
      <c r="B232" s="424" t="s">
        <v>1227</v>
      </c>
      <c r="C232" s="427">
        <v>-21334</v>
      </c>
      <c r="D232" s="427">
        <v>-775110</v>
      </c>
      <c r="E232" s="427">
        <v>-799302</v>
      </c>
      <c r="F232" s="427">
        <v>-820855</v>
      </c>
      <c r="G232" s="427">
        <v>-843832</v>
      </c>
      <c r="H232" s="427">
        <v>-865531</v>
      </c>
      <c r="I232" s="427">
        <v>-888650</v>
      </c>
      <c r="J232" s="427">
        <v>20979</v>
      </c>
      <c r="K232" s="427">
        <v>21048</v>
      </c>
      <c r="L232" s="427">
        <v>22487</v>
      </c>
      <c r="M232" s="427">
        <v>21190</v>
      </c>
      <c r="N232" s="427">
        <v>22626</v>
      </c>
      <c r="O232" s="427">
        <v>-4906283</v>
      </c>
      <c r="P232" s="427">
        <v>-260108</v>
      </c>
      <c r="Q232" s="406"/>
    </row>
    <row r="233" spans="1:17">
      <c r="A233" s="424" t="s">
        <v>1229</v>
      </c>
      <c r="B233" s="424" t="s">
        <v>1230</v>
      </c>
      <c r="C233" s="427">
        <v>0</v>
      </c>
      <c r="D233" s="427">
        <v>0</v>
      </c>
      <c r="E233" s="427">
        <v>0</v>
      </c>
      <c r="F233" s="427">
        <v>0</v>
      </c>
      <c r="G233" s="427">
        <v>0</v>
      </c>
      <c r="H233" s="427">
        <v>0</v>
      </c>
      <c r="I233" s="427">
        <v>0</v>
      </c>
      <c r="J233" s="427">
        <v>0</v>
      </c>
      <c r="K233" s="427">
        <v>0</v>
      </c>
      <c r="L233" s="427">
        <v>0</v>
      </c>
      <c r="M233" s="427">
        <v>0</v>
      </c>
      <c r="N233" s="427">
        <v>0</v>
      </c>
      <c r="O233" s="427">
        <v>0</v>
      </c>
      <c r="P233" s="427">
        <v>0</v>
      </c>
    </row>
    <row r="234" spans="1:17">
      <c r="A234" s="428" t="s">
        <v>545</v>
      </c>
      <c r="B234" s="424" t="s">
        <v>1241</v>
      </c>
      <c r="C234" s="429">
        <v>-21334</v>
      </c>
      <c r="D234" s="429">
        <v>12874890</v>
      </c>
      <c r="E234" s="429">
        <v>12850698</v>
      </c>
      <c r="F234" s="429">
        <v>12829145</v>
      </c>
      <c r="G234" s="429">
        <v>12806168</v>
      </c>
      <c r="H234" s="429">
        <v>12784469</v>
      </c>
      <c r="I234" s="429">
        <v>12761350</v>
      </c>
      <c r="J234" s="429">
        <v>20979</v>
      </c>
      <c r="K234" s="429">
        <v>21048</v>
      </c>
      <c r="L234" s="429">
        <v>22487</v>
      </c>
      <c r="M234" s="429">
        <v>21190</v>
      </c>
      <c r="N234" s="429">
        <v>22626</v>
      </c>
      <c r="O234" s="429">
        <v>76993717</v>
      </c>
      <c r="P234" s="429">
        <v>-260108</v>
      </c>
    </row>
    <row r="235" spans="1:17">
      <c r="A235" s="425" t="s">
        <v>545</v>
      </c>
      <c r="B235" s="423"/>
      <c r="C235" s="423"/>
      <c r="D235" s="423"/>
      <c r="E235" s="423"/>
      <c r="F235" s="423"/>
      <c r="G235" s="423"/>
      <c r="H235" s="423"/>
      <c r="I235" s="423"/>
      <c r="J235" s="423"/>
      <c r="K235" s="423"/>
      <c r="L235" s="423"/>
      <c r="M235" s="423"/>
      <c r="N235" s="423"/>
      <c r="O235" s="423"/>
      <c r="P235" s="423"/>
    </row>
    <row r="236" spans="1:17">
      <c r="A236" s="425" t="s">
        <v>545</v>
      </c>
    </row>
    <row r="237" spans="1:17">
      <c r="A237" s="424" t="s">
        <v>1242</v>
      </c>
    </row>
    <row r="238" spans="1:17">
      <c r="A238" s="424" t="s">
        <v>1255</v>
      </c>
    </row>
  </sheetData>
  <mergeCells count="10">
    <mergeCell ref="L2:N2"/>
    <mergeCell ref="A229:P229"/>
    <mergeCell ref="A175:P175"/>
    <mergeCell ref="A190:P190"/>
    <mergeCell ref="A195:P195"/>
    <mergeCell ref="A197:P197"/>
    <mergeCell ref="A202:P202"/>
    <mergeCell ref="A208:P208"/>
    <mergeCell ref="A210:P210"/>
    <mergeCell ref="A223:P223"/>
  </mergeCells>
  <printOptions headings="1" gridLines="1"/>
  <pageMargins left="0.25" right="0.25" top="0.25" bottom="0.25" header="0" footer="0"/>
  <pageSetup scale="70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Q236"/>
  <sheetViews>
    <sheetView zoomScaleSheetLayoutView="100" workbookViewId="0">
      <pane xSplit="2" ySplit="4" topLeftCell="C5" activePane="bottomRight" state="frozen"/>
      <selection activeCell="H6" sqref="H6"/>
      <selection pane="topRight" activeCell="H6" sqref="H6"/>
      <selection pane="bottomLeft" activeCell="H6" sqref="H6"/>
      <selection pane="bottomRight" activeCell="C5" sqref="C5"/>
    </sheetView>
  </sheetViews>
  <sheetFormatPr baseColWidth="10" defaultColWidth="9.1640625" defaultRowHeight="14" x14ac:dyDescent="0"/>
  <cols>
    <col min="1" max="1" width="8.33203125" style="3" customWidth="1"/>
    <col min="2" max="2" width="25.6640625" style="3" customWidth="1"/>
    <col min="3" max="16" width="10.6640625" style="3" customWidth="1"/>
    <col min="17" max="16384" width="9.1640625" style="11"/>
  </cols>
  <sheetData>
    <row r="1" spans="1:16" s="126" customFormat="1" ht="10.5" customHeight="1" thickBo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s="126" customFormat="1" ht="10.5" customHeight="1" thickBot="1">
      <c r="A2" s="144"/>
      <c r="B2" s="145" t="str">
        <f>+Setup!B10</f>
        <v>Budget Master</v>
      </c>
      <c r="C2" s="124"/>
      <c r="D2" s="124"/>
      <c r="E2" s="124"/>
      <c r="F2" s="124"/>
      <c r="G2" s="124"/>
      <c r="H2" s="124"/>
      <c r="I2" s="124"/>
      <c r="J2" s="206"/>
      <c r="K2" s="122"/>
      <c r="L2" s="122"/>
      <c r="M2" s="122"/>
      <c r="N2" s="122"/>
      <c r="O2" s="219"/>
      <c r="P2" s="122"/>
    </row>
    <row r="3" spans="1:16" s="126" customFormat="1" ht="10.5" customHeight="1" thickBot="1">
      <c r="A3" s="144"/>
      <c r="B3" s="145">
        <f>+Setup!B9-1-1</f>
        <v>2016</v>
      </c>
      <c r="C3" s="168">
        <v>40198</v>
      </c>
      <c r="D3" s="168">
        <v>40229</v>
      </c>
      <c r="E3" s="168">
        <v>40257</v>
      </c>
      <c r="F3" s="168">
        <v>40288</v>
      </c>
      <c r="G3" s="168">
        <v>40318</v>
      </c>
      <c r="H3" s="168">
        <v>40349</v>
      </c>
      <c r="I3" s="168">
        <v>40379</v>
      </c>
      <c r="J3" s="168">
        <v>40410</v>
      </c>
      <c r="K3" s="210">
        <v>40441</v>
      </c>
      <c r="L3" s="210">
        <v>40471</v>
      </c>
      <c r="M3" s="210">
        <v>40502</v>
      </c>
      <c r="N3" s="210">
        <v>40532</v>
      </c>
      <c r="O3" s="210"/>
      <c r="P3" s="124"/>
    </row>
    <row r="4" spans="1:16" s="126" customFormat="1" ht="10.5" customHeight="1" thickBot="1">
      <c r="A4" s="147"/>
      <c r="B4" s="144"/>
      <c r="C4" s="124">
        <f>+B3</f>
        <v>2016</v>
      </c>
      <c r="D4" s="124">
        <f>+C4</f>
        <v>2016</v>
      </c>
      <c r="E4" s="124">
        <f t="shared" ref="E4:J4" si="0">+D4</f>
        <v>2016</v>
      </c>
      <c r="F4" s="124">
        <f t="shared" si="0"/>
        <v>2016</v>
      </c>
      <c r="G4" s="124">
        <f t="shared" si="0"/>
        <v>2016</v>
      </c>
      <c r="H4" s="124">
        <f t="shared" si="0"/>
        <v>2016</v>
      </c>
      <c r="I4" s="124">
        <f t="shared" si="0"/>
        <v>2016</v>
      </c>
      <c r="J4" s="124">
        <f t="shared" si="0"/>
        <v>2016</v>
      </c>
      <c r="K4" s="155">
        <f>+J4</f>
        <v>2016</v>
      </c>
      <c r="L4" s="155">
        <f>+K4</f>
        <v>2016</v>
      </c>
      <c r="M4" s="155">
        <f>+L4</f>
        <v>2016</v>
      </c>
      <c r="N4" s="155">
        <f>+M4</f>
        <v>2016</v>
      </c>
      <c r="O4" s="155">
        <f>+N4</f>
        <v>2016</v>
      </c>
      <c r="P4" s="167">
        <f>+O4-1</f>
        <v>2015</v>
      </c>
    </row>
    <row r="5" spans="1:16" s="402" customFormat="1" ht="11">
      <c r="A5" s="414" t="s">
        <v>545</v>
      </c>
      <c r="B5" s="414" t="s">
        <v>741</v>
      </c>
      <c r="C5" s="416">
        <v>0.94299999999999995</v>
      </c>
      <c r="D5" s="416">
        <v>0.94200000000000006</v>
      </c>
      <c r="E5" s="416">
        <v>0.95799999999999996</v>
      </c>
      <c r="F5" s="416">
        <v>0.96</v>
      </c>
      <c r="G5" s="416">
        <v>0.94900000000000007</v>
      </c>
      <c r="H5" s="416">
        <v>0.95900000000000007</v>
      </c>
      <c r="I5" s="416">
        <v>0.95</v>
      </c>
      <c r="J5" s="416">
        <v>0.95799999999999996</v>
      </c>
      <c r="K5" s="416">
        <v>0.95400000000000007</v>
      </c>
      <c r="L5" s="416">
        <v>0.94900000000000007</v>
      </c>
      <c r="M5" s="416">
        <v>0.94799999999999995</v>
      </c>
      <c r="N5" s="416">
        <v>0.93799999999999994</v>
      </c>
      <c r="O5" s="469">
        <f>1+O10/O7</f>
        <v>0.95074093489611522</v>
      </c>
      <c r="P5" s="416">
        <v>0.95200000000000007</v>
      </c>
    </row>
    <row r="6" spans="1:16" s="402" customFormat="1" ht="11">
      <c r="A6" s="414" t="s">
        <v>742</v>
      </c>
      <c r="B6" s="414" t="s">
        <v>193</v>
      </c>
      <c r="C6" s="414" t="s">
        <v>742</v>
      </c>
      <c r="D6" s="414" t="s">
        <v>742</v>
      </c>
      <c r="E6" s="414" t="s">
        <v>742</v>
      </c>
      <c r="F6" s="414" t="s">
        <v>742</v>
      </c>
      <c r="G6" s="414" t="s">
        <v>742</v>
      </c>
      <c r="H6" s="414" t="s">
        <v>742</v>
      </c>
      <c r="I6" s="414" t="s">
        <v>742</v>
      </c>
      <c r="J6" s="414" t="s">
        <v>742</v>
      </c>
      <c r="K6" s="414" t="s">
        <v>742</v>
      </c>
      <c r="L6" s="414" t="s">
        <v>742</v>
      </c>
      <c r="M6" s="414" t="s">
        <v>742</v>
      </c>
      <c r="N6" s="414" t="s">
        <v>742</v>
      </c>
      <c r="O6" s="414" t="s">
        <v>742</v>
      </c>
      <c r="P6" s="414" t="s">
        <v>742</v>
      </c>
    </row>
    <row r="7" spans="1:16" s="402" customFormat="1" ht="11">
      <c r="A7" s="414" t="s">
        <v>743</v>
      </c>
      <c r="B7" s="414" t="s">
        <v>744</v>
      </c>
      <c r="C7" s="417">
        <v>167678</v>
      </c>
      <c r="D7" s="417">
        <v>176210</v>
      </c>
      <c r="E7" s="417">
        <v>176210</v>
      </c>
      <c r="F7" s="417">
        <v>176210</v>
      </c>
      <c r="G7" s="417">
        <v>176210</v>
      </c>
      <c r="H7" s="417">
        <v>176210</v>
      </c>
      <c r="I7" s="417">
        <v>176210</v>
      </c>
      <c r="J7" s="417">
        <v>176210</v>
      </c>
      <c r="K7" s="417">
        <v>176210</v>
      </c>
      <c r="L7" s="417">
        <v>176210</v>
      </c>
      <c r="M7" s="417">
        <v>176210</v>
      </c>
      <c r="N7" s="417">
        <v>176210</v>
      </c>
      <c r="O7" s="417">
        <v>2105988</v>
      </c>
      <c r="P7" s="417">
        <v>1994536</v>
      </c>
    </row>
    <row r="8" spans="1:16" s="402" customFormat="1" ht="11">
      <c r="A8" s="414" t="s">
        <v>745</v>
      </c>
      <c r="B8" s="414" t="s">
        <v>746</v>
      </c>
      <c r="C8" s="417">
        <v>-2133</v>
      </c>
      <c r="D8" s="417">
        <v>-9287</v>
      </c>
      <c r="E8" s="417">
        <v>-8564</v>
      </c>
      <c r="F8" s="417">
        <v>-9533</v>
      </c>
      <c r="G8" s="417">
        <v>-10458</v>
      </c>
      <c r="H8" s="417">
        <v>-9585</v>
      </c>
      <c r="I8" s="417">
        <v>-6539</v>
      </c>
      <c r="J8" s="417">
        <v>-5274</v>
      </c>
      <c r="K8" s="417">
        <v>-4759</v>
      </c>
      <c r="L8" s="417">
        <v>-3893</v>
      </c>
      <c r="M8" s="417">
        <v>-2734</v>
      </c>
      <c r="N8" s="417">
        <v>-2242</v>
      </c>
      <c r="O8" s="417">
        <v>-75001</v>
      </c>
      <c r="P8" s="417">
        <v>-56796</v>
      </c>
    </row>
    <row r="9" spans="1:16" s="402" customFormat="1" ht="11">
      <c r="A9" s="418" t="s">
        <v>545</v>
      </c>
      <c r="B9" s="414" t="s">
        <v>747</v>
      </c>
      <c r="C9" s="419">
        <v>165545</v>
      </c>
      <c r="D9" s="419">
        <v>166923</v>
      </c>
      <c r="E9" s="419">
        <v>167646</v>
      </c>
      <c r="F9" s="419">
        <v>166677</v>
      </c>
      <c r="G9" s="419">
        <v>165752</v>
      </c>
      <c r="H9" s="419">
        <v>166625</v>
      </c>
      <c r="I9" s="419">
        <v>169671</v>
      </c>
      <c r="J9" s="419">
        <v>170936</v>
      </c>
      <c r="K9" s="419">
        <v>171451</v>
      </c>
      <c r="L9" s="419">
        <v>172317</v>
      </c>
      <c r="M9" s="419">
        <v>173476</v>
      </c>
      <c r="N9" s="419">
        <v>173968</v>
      </c>
      <c r="O9" s="419">
        <v>2030987</v>
      </c>
      <c r="P9" s="419">
        <v>1937740</v>
      </c>
    </row>
    <row r="10" spans="1:16" s="402" customFormat="1" ht="11">
      <c r="A10" s="414" t="s">
        <v>748</v>
      </c>
      <c r="B10" s="414" t="s">
        <v>749</v>
      </c>
      <c r="C10" s="417">
        <v>-9551</v>
      </c>
      <c r="D10" s="417">
        <v>-10222</v>
      </c>
      <c r="E10" s="417">
        <v>-7334</v>
      </c>
      <c r="F10" s="417">
        <v>-7097</v>
      </c>
      <c r="G10" s="417">
        <v>-8931</v>
      </c>
      <c r="H10" s="417">
        <v>-7141</v>
      </c>
      <c r="I10" s="417">
        <v>-8859</v>
      </c>
      <c r="J10" s="417">
        <v>-7383</v>
      </c>
      <c r="K10" s="417">
        <v>-8080</v>
      </c>
      <c r="L10" s="417">
        <v>-9049</v>
      </c>
      <c r="M10" s="417">
        <v>-9173</v>
      </c>
      <c r="N10" s="417">
        <v>-10919</v>
      </c>
      <c r="O10" s="417">
        <v>-103739</v>
      </c>
      <c r="P10" s="417">
        <v>-95845</v>
      </c>
    </row>
    <row r="11" spans="1:16" s="402" customFormat="1" ht="11">
      <c r="A11" s="418" t="s">
        <v>545</v>
      </c>
      <c r="B11" s="414" t="s">
        <v>750</v>
      </c>
      <c r="C11" s="419">
        <v>155994</v>
      </c>
      <c r="D11" s="419">
        <v>156701</v>
      </c>
      <c r="E11" s="419">
        <v>160312</v>
      </c>
      <c r="F11" s="419">
        <v>159580</v>
      </c>
      <c r="G11" s="419">
        <v>156821</v>
      </c>
      <c r="H11" s="419">
        <v>159484</v>
      </c>
      <c r="I11" s="419">
        <v>160812</v>
      </c>
      <c r="J11" s="419">
        <v>163553</v>
      </c>
      <c r="K11" s="419">
        <v>163371</v>
      </c>
      <c r="L11" s="419">
        <v>163268</v>
      </c>
      <c r="M11" s="419">
        <v>164303</v>
      </c>
      <c r="N11" s="419">
        <v>163049</v>
      </c>
      <c r="O11" s="419">
        <v>1927248</v>
      </c>
      <c r="P11" s="419">
        <v>1841895</v>
      </c>
    </row>
    <row r="12" spans="1:16" s="402" customFormat="1" ht="11">
      <c r="A12" s="414" t="s">
        <v>751</v>
      </c>
      <c r="B12" s="414" t="s">
        <v>752</v>
      </c>
      <c r="C12" s="417">
        <v>-56</v>
      </c>
      <c r="D12" s="417">
        <v>-671</v>
      </c>
      <c r="E12" s="417">
        <v>-48</v>
      </c>
      <c r="F12" s="417">
        <v>0</v>
      </c>
      <c r="G12" s="417">
        <v>-524</v>
      </c>
      <c r="H12" s="417">
        <v>-500</v>
      </c>
      <c r="I12" s="417">
        <v>-1937</v>
      </c>
      <c r="J12" s="417">
        <v>0</v>
      </c>
      <c r="K12" s="417">
        <v>-64</v>
      </c>
      <c r="L12" s="417">
        <v>-144</v>
      </c>
      <c r="M12" s="417">
        <v>-540</v>
      </c>
      <c r="N12" s="417">
        <v>-665</v>
      </c>
      <c r="O12" s="417">
        <v>-5149</v>
      </c>
      <c r="P12" s="417">
        <v>-7005</v>
      </c>
    </row>
    <row r="13" spans="1:16" s="402" customFormat="1" ht="11">
      <c r="A13" s="414" t="s">
        <v>753</v>
      </c>
      <c r="B13" s="414" t="s">
        <v>754</v>
      </c>
      <c r="C13" s="417">
        <v>0</v>
      </c>
      <c r="D13" s="417">
        <v>597</v>
      </c>
      <c r="E13" s="417">
        <v>1285</v>
      </c>
      <c r="F13" s="417">
        <v>350</v>
      </c>
      <c r="G13" s="417">
        <v>370</v>
      </c>
      <c r="H13" s="417">
        <v>925</v>
      </c>
      <c r="I13" s="417">
        <v>0</v>
      </c>
      <c r="J13" s="417">
        <v>1773</v>
      </c>
      <c r="K13" s="417">
        <v>0</v>
      </c>
      <c r="L13" s="417">
        <v>68</v>
      </c>
      <c r="M13" s="417">
        <v>88</v>
      </c>
      <c r="N13" s="417">
        <v>0</v>
      </c>
      <c r="O13" s="417">
        <v>5454</v>
      </c>
      <c r="P13" s="417">
        <v>4636</v>
      </c>
    </row>
    <row r="14" spans="1:16" s="402" customFormat="1" ht="11">
      <c r="A14" s="414" t="s">
        <v>755</v>
      </c>
      <c r="B14" s="414" t="s">
        <v>756</v>
      </c>
      <c r="C14" s="417">
        <v>600</v>
      </c>
      <c r="D14" s="417">
        <v>700</v>
      </c>
      <c r="E14" s="417">
        <v>700</v>
      </c>
      <c r="F14" s="417">
        <v>800</v>
      </c>
      <c r="G14" s="417">
        <v>700</v>
      </c>
      <c r="H14" s="417">
        <v>500</v>
      </c>
      <c r="I14" s="417">
        <v>600</v>
      </c>
      <c r="J14" s="417">
        <v>600</v>
      </c>
      <c r="K14" s="417">
        <v>623</v>
      </c>
      <c r="L14" s="417">
        <v>500</v>
      </c>
      <c r="M14" s="417">
        <v>544</v>
      </c>
      <c r="N14" s="417">
        <v>437</v>
      </c>
      <c r="O14" s="417">
        <v>7304</v>
      </c>
      <c r="P14" s="417">
        <v>6049</v>
      </c>
    </row>
    <row r="15" spans="1:16" s="402" customFormat="1" ht="11">
      <c r="A15" s="414" t="s">
        <v>757</v>
      </c>
      <c r="B15" s="414" t="s">
        <v>758</v>
      </c>
      <c r="C15" s="417">
        <v>-1585</v>
      </c>
      <c r="D15" s="417">
        <v>-1585</v>
      </c>
      <c r="E15" s="417">
        <v>-1585</v>
      </c>
      <c r="F15" s="417">
        <v>-1585</v>
      </c>
      <c r="G15" s="417">
        <v>-1585</v>
      </c>
      <c r="H15" s="417">
        <v>-1585</v>
      </c>
      <c r="I15" s="417">
        <v>-1585</v>
      </c>
      <c r="J15" s="417">
        <v>-1585</v>
      </c>
      <c r="K15" s="417">
        <v>-1585</v>
      </c>
      <c r="L15" s="417">
        <v>-1585</v>
      </c>
      <c r="M15" s="417">
        <v>-1586</v>
      </c>
      <c r="N15" s="417">
        <v>-1585</v>
      </c>
      <c r="O15" s="417">
        <v>-19020</v>
      </c>
      <c r="P15" s="417">
        <v>-19020</v>
      </c>
    </row>
    <row r="16" spans="1:16" s="402" customFormat="1" ht="11">
      <c r="A16" s="414" t="s">
        <v>759</v>
      </c>
      <c r="B16" s="414" t="s">
        <v>760</v>
      </c>
      <c r="C16" s="417">
        <v>0</v>
      </c>
      <c r="D16" s="417">
        <v>0</v>
      </c>
      <c r="E16" s="417">
        <v>-349</v>
      </c>
      <c r="F16" s="417">
        <v>0</v>
      </c>
      <c r="G16" s="417">
        <v>0</v>
      </c>
      <c r="H16" s="417">
        <v>0</v>
      </c>
      <c r="I16" s="417">
        <v>0</v>
      </c>
      <c r="J16" s="417">
        <v>-100</v>
      </c>
      <c r="K16" s="417">
        <v>0</v>
      </c>
      <c r="L16" s="417">
        <v>0</v>
      </c>
      <c r="M16" s="417">
        <v>0</v>
      </c>
      <c r="N16" s="417">
        <v>0</v>
      </c>
      <c r="O16" s="417">
        <v>-449</v>
      </c>
      <c r="P16" s="417">
        <v>-1047</v>
      </c>
    </row>
    <row r="17" spans="1:16" s="402" customFormat="1" ht="11">
      <c r="A17" s="414" t="s">
        <v>762</v>
      </c>
      <c r="B17" s="414" t="s">
        <v>763</v>
      </c>
      <c r="C17" s="417">
        <v>8677</v>
      </c>
      <c r="D17" s="417">
        <v>5170</v>
      </c>
      <c r="E17" s="417">
        <v>-6912</v>
      </c>
      <c r="F17" s="417">
        <v>1384</v>
      </c>
      <c r="G17" s="417">
        <v>-2769</v>
      </c>
      <c r="H17" s="417">
        <v>74</v>
      </c>
      <c r="I17" s="417">
        <v>2083</v>
      </c>
      <c r="J17" s="417">
        <v>-1212</v>
      </c>
      <c r="K17" s="417">
        <v>-3039</v>
      </c>
      <c r="L17" s="417">
        <v>1291</v>
      </c>
      <c r="M17" s="417">
        <v>168</v>
      </c>
      <c r="N17" s="417">
        <v>150</v>
      </c>
      <c r="O17" s="417">
        <v>5064</v>
      </c>
      <c r="P17" s="417">
        <v>-7563</v>
      </c>
    </row>
    <row r="18" spans="1:16" s="402" customFormat="1" ht="11">
      <c r="A18" s="418" t="s">
        <v>545</v>
      </c>
      <c r="B18" s="414" t="s">
        <v>764</v>
      </c>
      <c r="C18" s="419">
        <v>163630</v>
      </c>
      <c r="D18" s="419">
        <v>160912</v>
      </c>
      <c r="E18" s="419">
        <v>153403</v>
      </c>
      <c r="F18" s="419">
        <v>160529</v>
      </c>
      <c r="G18" s="419">
        <v>153013</v>
      </c>
      <c r="H18" s="419">
        <v>158898</v>
      </c>
      <c r="I18" s="419">
        <v>159973</v>
      </c>
      <c r="J18" s="419">
        <v>163029</v>
      </c>
      <c r="K18" s="419">
        <v>159306</v>
      </c>
      <c r="L18" s="419">
        <v>163398</v>
      </c>
      <c r="M18" s="419">
        <v>162977</v>
      </c>
      <c r="N18" s="419">
        <v>161386</v>
      </c>
      <c r="O18" s="419">
        <v>1920452</v>
      </c>
      <c r="P18" s="419">
        <v>1817945</v>
      </c>
    </row>
    <row r="19" spans="1:16" s="402" customFormat="1" ht="11">
      <c r="A19" s="414" t="s">
        <v>742</v>
      </c>
      <c r="B19" s="414" t="s">
        <v>765</v>
      </c>
      <c r="C19" s="414" t="s">
        <v>742</v>
      </c>
      <c r="D19" s="414" t="s">
        <v>742</v>
      </c>
      <c r="E19" s="414" t="s">
        <v>742</v>
      </c>
      <c r="F19" s="414" t="s">
        <v>742</v>
      </c>
      <c r="G19" s="414" t="s">
        <v>742</v>
      </c>
      <c r="H19" s="414" t="s">
        <v>742</v>
      </c>
      <c r="I19" s="414" t="s">
        <v>742</v>
      </c>
      <c r="J19" s="414" t="s">
        <v>742</v>
      </c>
      <c r="K19" s="414" t="s">
        <v>742</v>
      </c>
      <c r="L19" s="414" t="s">
        <v>742</v>
      </c>
      <c r="M19" s="414" t="s">
        <v>742</v>
      </c>
      <c r="N19" s="414" t="s">
        <v>742</v>
      </c>
      <c r="O19" s="414" t="s">
        <v>742</v>
      </c>
      <c r="P19" s="414" t="s">
        <v>742</v>
      </c>
    </row>
    <row r="20" spans="1:16" s="402" customFormat="1" ht="11">
      <c r="A20" s="414" t="s">
        <v>766</v>
      </c>
      <c r="B20" s="414" t="s">
        <v>767</v>
      </c>
      <c r="C20" s="414" t="s">
        <v>766</v>
      </c>
      <c r="D20" s="414" t="s">
        <v>766</v>
      </c>
      <c r="E20" s="414" t="s">
        <v>766</v>
      </c>
      <c r="F20" s="414" t="s">
        <v>766</v>
      </c>
      <c r="G20" s="414" t="s">
        <v>766</v>
      </c>
      <c r="H20" s="414" t="s">
        <v>766</v>
      </c>
      <c r="I20" s="414" t="s">
        <v>766</v>
      </c>
      <c r="J20" s="414" t="s">
        <v>766</v>
      </c>
      <c r="K20" s="414" t="s">
        <v>766</v>
      </c>
      <c r="L20" s="414" t="s">
        <v>766</v>
      </c>
      <c r="M20" s="414" t="s">
        <v>766</v>
      </c>
      <c r="N20" s="414" t="s">
        <v>766</v>
      </c>
      <c r="O20" s="414" t="s">
        <v>766</v>
      </c>
      <c r="P20" s="414" t="s">
        <v>766</v>
      </c>
    </row>
    <row r="21" spans="1:16" s="402" customFormat="1" ht="11">
      <c r="A21" s="414" t="s">
        <v>768</v>
      </c>
      <c r="B21" s="414" t="s">
        <v>769</v>
      </c>
      <c r="C21" s="417">
        <v>450</v>
      </c>
      <c r="D21" s="417">
        <v>600</v>
      </c>
      <c r="E21" s="417">
        <v>750</v>
      </c>
      <c r="F21" s="417">
        <v>200</v>
      </c>
      <c r="G21" s="417">
        <v>750</v>
      </c>
      <c r="H21" s="417">
        <v>1000</v>
      </c>
      <c r="I21" s="417">
        <v>350</v>
      </c>
      <c r="J21" s="417">
        <v>500</v>
      </c>
      <c r="K21" s="417">
        <v>350</v>
      </c>
      <c r="L21" s="417">
        <v>550</v>
      </c>
      <c r="M21" s="417">
        <v>200</v>
      </c>
      <c r="N21" s="417">
        <v>100</v>
      </c>
      <c r="O21" s="417">
        <v>5800</v>
      </c>
      <c r="P21" s="417">
        <v>5100</v>
      </c>
    </row>
    <row r="22" spans="1:16" s="402" customFormat="1" ht="11">
      <c r="A22" s="414" t="s">
        <v>770</v>
      </c>
      <c r="B22" s="414" t="s">
        <v>771</v>
      </c>
      <c r="C22" s="417">
        <v>897</v>
      </c>
      <c r="D22" s="417">
        <v>1258</v>
      </c>
      <c r="E22" s="417">
        <v>1675</v>
      </c>
      <c r="F22" s="417">
        <v>1660</v>
      </c>
      <c r="G22" s="417">
        <v>1019</v>
      </c>
      <c r="H22" s="417">
        <v>1975</v>
      </c>
      <c r="I22" s="417">
        <v>1400</v>
      </c>
      <c r="J22" s="417">
        <v>1115</v>
      </c>
      <c r="K22" s="417">
        <v>1050</v>
      </c>
      <c r="L22" s="417">
        <v>1000</v>
      </c>
      <c r="M22" s="417">
        <v>1000</v>
      </c>
      <c r="N22" s="417">
        <v>400</v>
      </c>
      <c r="O22" s="417">
        <v>14449</v>
      </c>
      <c r="P22" s="417">
        <v>19818</v>
      </c>
    </row>
    <row r="23" spans="1:16" s="402" customFormat="1" ht="11">
      <c r="A23" s="414" t="s">
        <v>773</v>
      </c>
      <c r="B23" s="414" t="s">
        <v>774</v>
      </c>
      <c r="C23" s="417">
        <v>0</v>
      </c>
      <c r="D23" s="417">
        <v>25</v>
      </c>
      <c r="E23" s="417">
        <v>293</v>
      </c>
      <c r="F23" s="417">
        <v>130</v>
      </c>
      <c r="G23" s="417">
        <v>30</v>
      </c>
      <c r="H23" s="417">
        <v>45</v>
      </c>
      <c r="I23" s="417">
        <v>249</v>
      </c>
      <c r="J23" s="417">
        <v>130</v>
      </c>
      <c r="K23" s="417">
        <v>176</v>
      </c>
      <c r="L23" s="417">
        <v>35</v>
      </c>
      <c r="M23" s="417">
        <v>0</v>
      </c>
      <c r="N23" s="417">
        <v>0</v>
      </c>
      <c r="O23" s="417">
        <v>1112</v>
      </c>
      <c r="P23" s="417">
        <v>1789</v>
      </c>
    </row>
    <row r="24" spans="1:16" s="402" customFormat="1" ht="11">
      <c r="A24" s="414" t="s">
        <v>776</v>
      </c>
      <c r="B24" s="414" t="s">
        <v>777</v>
      </c>
      <c r="C24" s="417">
        <v>20</v>
      </c>
      <c r="D24" s="417">
        <v>167</v>
      </c>
      <c r="E24" s="417">
        <v>128</v>
      </c>
      <c r="F24" s="417">
        <v>185</v>
      </c>
      <c r="G24" s="417">
        <v>55</v>
      </c>
      <c r="H24" s="417">
        <v>0</v>
      </c>
      <c r="I24" s="417">
        <v>10</v>
      </c>
      <c r="J24" s="417">
        <v>65</v>
      </c>
      <c r="K24" s="417">
        <v>167</v>
      </c>
      <c r="L24" s="417">
        <v>0</v>
      </c>
      <c r="M24" s="417">
        <v>40</v>
      </c>
      <c r="N24" s="417">
        <v>55</v>
      </c>
      <c r="O24" s="417">
        <v>892</v>
      </c>
      <c r="P24" s="417">
        <v>715</v>
      </c>
    </row>
    <row r="25" spans="1:16" s="402" customFormat="1" ht="11">
      <c r="A25" s="414" t="s">
        <v>778</v>
      </c>
      <c r="B25" s="414" t="s">
        <v>779</v>
      </c>
      <c r="C25" s="417">
        <v>1700</v>
      </c>
      <c r="D25" s="417">
        <v>1050</v>
      </c>
      <c r="E25" s="417">
        <v>1150</v>
      </c>
      <c r="F25" s="417">
        <v>860</v>
      </c>
      <c r="G25" s="417">
        <v>1850</v>
      </c>
      <c r="H25" s="417">
        <v>1840</v>
      </c>
      <c r="I25" s="417">
        <v>710</v>
      </c>
      <c r="J25" s="417">
        <v>1090</v>
      </c>
      <c r="K25" s="417">
        <v>990</v>
      </c>
      <c r="L25" s="417">
        <v>770</v>
      </c>
      <c r="M25" s="417">
        <v>1250</v>
      </c>
      <c r="N25" s="417">
        <v>800</v>
      </c>
      <c r="O25" s="417">
        <v>14060</v>
      </c>
      <c r="P25" s="417">
        <v>12760</v>
      </c>
    </row>
    <row r="26" spans="1:16" s="402" customFormat="1" ht="11">
      <c r="A26" s="414" t="s">
        <v>780</v>
      </c>
      <c r="B26" s="414" t="s">
        <v>781</v>
      </c>
      <c r="C26" s="417">
        <v>25</v>
      </c>
      <c r="D26" s="417">
        <v>100</v>
      </c>
      <c r="E26" s="417">
        <v>25</v>
      </c>
      <c r="F26" s="417">
        <v>0</v>
      </c>
      <c r="G26" s="417">
        <v>50</v>
      </c>
      <c r="H26" s="417">
        <v>25</v>
      </c>
      <c r="I26" s="417">
        <v>25</v>
      </c>
      <c r="J26" s="417">
        <v>25</v>
      </c>
      <c r="K26" s="417">
        <v>25</v>
      </c>
      <c r="L26" s="417">
        <v>0</v>
      </c>
      <c r="M26" s="417">
        <v>25</v>
      </c>
      <c r="N26" s="417">
        <v>0</v>
      </c>
      <c r="O26" s="417">
        <v>325</v>
      </c>
      <c r="P26" s="417">
        <v>176</v>
      </c>
    </row>
    <row r="27" spans="1:16" s="402" customFormat="1" ht="11">
      <c r="A27" s="414" t="s">
        <v>782</v>
      </c>
      <c r="B27" s="414" t="s">
        <v>783</v>
      </c>
      <c r="C27" s="417">
        <v>2050</v>
      </c>
      <c r="D27" s="417">
        <v>1902</v>
      </c>
      <c r="E27" s="417">
        <v>1959</v>
      </c>
      <c r="F27" s="417">
        <v>1958</v>
      </c>
      <c r="G27" s="417">
        <v>1888</v>
      </c>
      <c r="H27" s="417">
        <v>2119</v>
      </c>
      <c r="I27" s="417">
        <v>2200</v>
      </c>
      <c r="J27" s="417">
        <v>2200</v>
      </c>
      <c r="K27" s="417">
        <v>2150</v>
      </c>
      <c r="L27" s="417">
        <v>2058</v>
      </c>
      <c r="M27" s="417">
        <v>1990</v>
      </c>
      <c r="N27" s="417">
        <v>1971</v>
      </c>
      <c r="O27" s="417">
        <v>24445</v>
      </c>
      <c r="P27" s="417">
        <v>24792</v>
      </c>
    </row>
    <row r="28" spans="1:16" s="402" customFormat="1" ht="11">
      <c r="A28" s="414" t="s">
        <v>784</v>
      </c>
      <c r="B28" s="414" t="s">
        <v>785</v>
      </c>
      <c r="C28" s="417">
        <v>200</v>
      </c>
      <c r="D28" s="417">
        <v>200</v>
      </c>
      <c r="E28" s="417">
        <v>242</v>
      </c>
      <c r="F28" s="417">
        <v>0</v>
      </c>
      <c r="G28" s="417">
        <v>400</v>
      </c>
      <c r="H28" s="417">
        <v>0</v>
      </c>
      <c r="I28" s="417">
        <v>55</v>
      </c>
      <c r="J28" s="417">
        <v>100</v>
      </c>
      <c r="K28" s="417">
        <v>100</v>
      </c>
      <c r="L28" s="417">
        <v>717</v>
      </c>
      <c r="M28" s="417">
        <v>771</v>
      </c>
      <c r="N28" s="417">
        <v>0</v>
      </c>
      <c r="O28" s="417">
        <v>2786</v>
      </c>
      <c r="P28" s="417">
        <v>5153</v>
      </c>
    </row>
    <row r="29" spans="1:16" s="402" customFormat="1" ht="11">
      <c r="A29" s="414" t="s">
        <v>786</v>
      </c>
      <c r="B29" s="414" t="s">
        <v>787</v>
      </c>
      <c r="C29" s="417">
        <v>2407</v>
      </c>
      <c r="D29" s="417">
        <v>1509</v>
      </c>
      <c r="E29" s="417">
        <v>1407</v>
      </c>
      <c r="F29" s="417">
        <v>350</v>
      </c>
      <c r="G29" s="417">
        <v>1753</v>
      </c>
      <c r="H29" s="417">
        <v>2888</v>
      </c>
      <c r="I29" s="417">
        <v>-5</v>
      </c>
      <c r="J29" s="417">
        <v>450</v>
      </c>
      <c r="K29" s="417">
        <v>471</v>
      </c>
      <c r="L29" s="417">
        <v>1274</v>
      </c>
      <c r="M29" s="417">
        <v>421</v>
      </c>
      <c r="N29" s="417">
        <v>739</v>
      </c>
      <c r="O29" s="417">
        <v>13664</v>
      </c>
      <c r="P29" s="417">
        <v>16491</v>
      </c>
    </row>
    <row r="30" spans="1:16" s="402" customFormat="1" ht="11">
      <c r="A30" s="418" t="s">
        <v>545</v>
      </c>
      <c r="B30" s="414" t="s">
        <v>767</v>
      </c>
      <c r="C30" s="419">
        <v>7749</v>
      </c>
      <c r="D30" s="419">
        <v>6811</v>
      </c>
      <c r="E30" s="419">
        <v>7629</v>
      </c>
      <c r="F30" s="419">
        <v>5343</v>
      </c>
      <c r="G30" s="419">
        <v>7795</v>
      </c>
      <c r="H30" s="419">
        <v>9892</v>
      </c>
      <c r="I30" s="419">
        <v>4994</v>
      </c>
      <c r="J30" s="419">
        <v>5675</v>
      </c>
      <c r="K30" s="419">
        <v>5479</v>
      </c>
      <c r="L30" s="419">
        <v>6404</v>
      </c>
      <c r="M30" s="419">
        <v>5697</v>
      </c>
      <c r="N30" s="419">
        <v>4065</v>
      </c>
      <c r="O30" s="419">
        <v>77533</v>
      </c>
      <c r="P30" s="419">
        <v>86794</v>
      </c>
    </row>
    <row r="31" spans="1:16" s="402" customFormat="1" ht="11">
      <c r="A31" s="414" t="s">
        <v>766</v>
      </c>
      <c r="B31" s="414" t="s">
        <v>789</v>
      </c>
      <c r="C31" s="414" t="s">
        <v>766</v>
      </c>
      <c r="D31" s="414" t="s">
        <v>766</v>
      </c>
      <c r="E31" s="414" t="s">
        <v>766</v>
      </c>
      <c r="F31" s="414" t="s">
        <v>766</v>
      </c>
      <c r="G31" s="414" t="s">
        <v>766</v>
      </c>
      <c r="H31" s="414" t="s">
        <v>766</v>
      </c>
      <c r="I31" s="414" t="s">
        <v>766</v>
      </c>
      <c r="J31" s="414" t="s">
        <v>766</v>
      </c>
      <c r="K31" s="414" t="s">
        <v>766</v>
      </c>
      <c r="L31" s="414" t="s">
        <v>766</v>
      </c>
      <c r="M31" s="414" t="s">
        <v>766</v>
      </c>
      <c r="N31" s="414" t="s">
        <v>766</v>
      </c>
      <c r="O31" s="414" t="s">
        <v>766</v>
      </c>
      <c r="P31" s="414" t="s">
        <v>766</v>
      </c>
    </row>
    <row r="32" spans="1:16" s="402" customFormat="1" ht="11">
      <c r="A32" s="414" t="s">
        <v>796</v>
      </c>
      <c r="B32" s="414" t="s">
        <v>797</v>
      </c>
      <c r="C32" s="417">
        <v>1030</v>
      </c>
      <c r="D32" s="417">
        <v>1050</v>
      </c>
      <c r="E32" s="417">
        <v>1090</v>
      </c>
      <c r="F32" s="417">
        <v>1060</v>
      </c>
      <c r="G32" s="417">
        <v>1050</v>
      </c>
      <c r="H32" s="417">
        <v>1120</v>
      </c>
      <c r="I32" s="417">
        <v>1090</v>
      </c>
      <c r="J32" s="417">
        <v>1110</v>
      </c>
      <c r="K32" s="417">
        <v>1090</v>
      </c>
      <c r="L32" s="417">
        <v>1060</v>
      </c>
      <c r="M32" s="417">
        <v>1090</v>
      </c>
      <c r="N32" s="417">
        <v>1020</v>
      </c>
      <c r="O32" s="417">
        <v>12860</v>
      </c>
      <c r="P32" s="417">
        <v>11983</v>
      </c>
    </row>
    <row r="33" spans="1:16" s="402" customFormat="1" ht="11">
      <c r="A33" s="414" t="s">
        <v>799</v>
      </c>
      <c r="B33" s="414" t="s">
        <v>800</v>
      </c>
      <c r="C33" s="417">
        <v>0</v>
      </c>
      <c r="D33" s="417">
        <v>0</v>
      </c>
      <c r="E33" s="417">
        <v>0</v>
      </c>
      <c r="F33" s="417">
        <v>0</v>
      </c>
      <c r="G33" s="417">
        <v>0</v>
      </c>
      <c r="H33" s="417">
        <v>0</v>
      </c>
      <c r="I33" s="417">
        <v>0</v>
      </c>
      <c r="J33" s="417">
        <v>0</v>
      </c>
      <c r="K33" s="417">
        <v>0</v>
      </c>
      <c r="L33" s="417">
        <v>0</v>
      </c>
      <c r="M33" s="417">
        <v>0</v>
      </c>
      <c r="N33" s="417">
        <v>0</v>
      </c>
      <c r="O33" s="417">
        <v>0</v>
      </c>
      <c r="P33" s="417">
        <v>141</v>
      </c>
    </row>
    <row r="34" spans="1:16" s="402" customFormat="1" ht="11">
      <c r="A34" s="414" t="s">
        <v>801</v>
      </c>
      <c r="B34" s="414" t="s">
        <v>802</v>
      </c>
      <c r="C34" s="417">
        <v>0</v>
      </c>
      <c r="D34" s="417">
        <v>0</v>
      </c>
      <c r="E34" s="417">
        <v>0</v>
      </c>
      <c r="F34" s="417">
        <v>0</v>
      </c>
      <c r="G34" s="417">
        <v>0</v>
      </c>
      <c r="H34" s="417">
        <v>0</v>
      </c>
      <c r="I34" s="417">
        <v>0</v>
      </c>
      <c r="J34" s="417">
        <v>0</v>
      </c>
      <c r="K34" s="417">
        <v>0</v>
      </c>
      <c r="L34" s="417">
        <v>0</v>
      </c>
      <c r="M34" s="417">
        <v>0</v>
      </c>
      <c r="N34" s="417">
        <v>99</v>
      </c>
      <c r="O34" s="417">
        <v>99</v>
      </c>
      <c r="P34" s="417">
        <v>0</v>
      </c>
    </row>
    <row r="35" spans="1:16" s="402" customFormat="1" ht="11">
      <c r="A35" s="418" t="s">
        <v>545</v>
      </c>
      <c r="B35" s="414" t="s">
        <v>803</v>
      </c>
      <c r="C35" s="419">
        <v>1030</v>
      </c>
      <c r="D35" s="419">
        <v>1050</v>
      </c>
      <c r="E35" s="419">
        <v>1090</v>
      </c>
      <c r="F35" s="419">
        <v>1060</v>
      </c>
      <c r="G35" s="419">
        <v>1050</v>
      </c>
      <c r="H35" s="419">
        <v>1120</v>
      </c>
      <c r="I35" s="419">
        <v>1090</v>
      </c>
      <c r="J35" s="419">
        <v>1110</v>
      </c>
      <c r="K35" s="419">
        <v>1090</v>
      </c>
      <c r="L35" s="419">
        <v>1060</v>
      </c>
      <c r="M35" s="419">
        <v>1090</v>
      </c>
      <c r="N35" s="419">
        <v>1119</v>
      </c>
      <c r="O35" s="419">
        <v>12959</v>
      </c>
      <c r="P35" s="419">
        <v>12124</v>
      </c>
    </row>
    <row r="36" spans="1:16" s="402" customFormat="1" ht="11">
      <c r="A36" s="414" t="s">
        <v>766</v>
      </c>
      <c r="B36" s="414" t="s">
        <v>804</v>
      </c>
      <c r="C36" s="414" t="s">
        <v>766</v>
      </c>
      <c r="D36" s="414" t="s">
        <v>766</v>
      </c>
      <c r="E36" s="414" t="s">
        <v>766</v>
      </c>
      <c r="F36" s="414" t="s">
        <v>766</v>
      </c>
      <c r="G36" s="414" t="s">
        <v>766</v>
      </c>
      <c r="H36" s="414" t="s">
        <v>766</v>
      </c>
      <c r="I36" s="414" t="s">
        <v>766</v>
      </c>
      <c r="J36" s="414" t="s">
        <v>766</v>
      </c>
      <c r="K36" s="414" t="s">
        <v>766</v>
      </c>
      <c r="L36" s="414" t="s">
        <v>766</v>
      </c>
      <c r="M36" s="414" t="s">
        <v>766</v>
      </c>
      <c r="N36" s="414" t="s">
        <v>766</v>
      </c>
      <c r="O36" s="414" t="s">
        <v>766</v>
      </c>
      <c r="P36" s="414" t="s">
        <v>766</v>
      </c>
    </row>
    <row r="37" spans="1:16" s="402" customFormat="1" ht="11">
      <c r="A37" s="414" t="s">
        <v>805</v>
      </c>
      <c r="B37" s="414" t="s">
        <v>806</v>
      </c>
      <c r="C37" s="417">
        <v>0</v>
      </c>
      <c r="D37" s="417">
        <v>0</v>
      </c>
      <c r="E37" s="417">
        <v>0</v>
      </c>
      <c r="F37" s="417">
        <v>0</v>
      </c>
      <c r="G37" s="417">
        <v>0</v>
      </c>
      <c r="H37" s="417">
        <v>0</v>
      </c>
      <c r="I37" s="417">
        <v>0</v>
      </c>
      <c r="J37" s="417">
        <v>0</v>
      </c>
      <c r="K37" s="417">
        <v>0</v>
      </c>
      <c r="L37" s="417">
        <v>144</v>
      </c>
      <c r="M37" s="417">
        <v>36</v>
      </c>
      <c r="N37" s="417">
        <v>0</v>
      </c>
      <c r="O37" s="417">
        <v>180</v>
      </c>
      <c r="P37" s="417">
        <v>0</v>
      </c>
    </row>
    <row r="38" spans="1:16" s="402" customFormat="1" ht="11">
      <c r="A38" s="414" t="s">
        <v>809</v>
      </c>
      <c r="B38" s="414" t="s">
        <v>810</v>
      </c>
      <c r="C38" s="417">
        <v>6268</v>
      </c>
      <c r="D38" s="417">
        <v>6234</v>
      </c>
      <c r="E38" s="417">
        <v>6384</v>
      </c>
      <c r="F38" s="417">
        <v>6373</v>
      </c>
      <c r="G38" s="417">
        <v>6288</v>
      </c>
      <c r="H38" s="417">
        <v>6313</v>
      </c>
      <c r="I38" s="417">
        <v>6247</v>
      </c>
      <c r="J38" s="417">
        <v>6349</v>
      </c>
      <c r="K38" s="417">
        <v>6329</v>
      </c>
      <c r="L38" s="417">
        <v>6287</v>
      </c>
      <c r="M38" s="417">
        <v>6250</v>
      </c>
      <c r="N38" s="417">
        <v>6171</v>
      </c>
      <c r="O38" s="417">
        <v>75493</v>
      </c>
      <c r="P38" s="417">
        <v>74966</v>
      </c>
    </row>
    <row r="39" spans="1:16" s="402" customFormat="1" ht="11">
      <c r="A39" s="418" t="s">
        <v>545</v>
      </c>
      <c r="B39" s="414" t="s">
        <v>804</v>
      </c>
      <c r="C39" s="419">
        <v>6268</v>
      </c>
      <c r="D39" s="419">
        <v>6234</v>
      </c>
      <c r="E39" s="419">
        <v>6384</v>
      </c>
      <c r="F39" s="419">
        <v>6373</v>
      </c>
      <c r="G39" s="419">
        <v>6288</v>
      </c>
      <c r="H39" s="419">
        <v>6313</v>
      </c>
      <c r="I39" s="419">
        <v>6247</v>
      </c>
      <c r="J39" s="419">
        <v>6349</v>
      </c>
      <c r="K39" s="419">
        <v>6329</v>
      </c>
      <c r="L39" s="419">
        <v>6431</v>
      </c>
      <c r="M39" s="419">
        <v>6286</v>
      </c>
      <c r="N39" s="419">
        <v>6171</v>
      </c>
      <c r="O39" s="419">
        <v>75673</v>
      </c>
      <c r="P39" s="419">
        <v>74966</v>
      </c>
    </row>
    <row r="40" spans="1:16" s="402" customFormat="1" ht="12">
      <c r="A40" s="415" t="s">
        <v>545</v>
      </c>
      <c r="B40" s="414" t="s">
        <v>765</v>
      </c>
      <c r="C40" s="419">
        <v>15047</v>
      </c>
      <c r="D40" s="419">
        <v>14095</v>
      </c>
      <c r="E40" s="419">
        <v>15103</v>
      </c>
      <c r="F40" s="419">
        <v>12776</v>
      </c>
      <c r="G40" s="419">
        <v>15133</v>
      </c>
      <c r="H40" s="419">
        <v>17325</v>
      </c>
      <c r="I40" s="419">
        <v>12331</v>
      </c>
      <c r="J40" s="419">
        <v>13134</v>
      </c>
      <c r="K40" s="419">
        <v>12898</v>
      </c>
      <c r="L40" s="419">
        <v>13895</v>
      </c>
      <c r="M40" s="419">
        <v>13073</v>
      </c>
      <c r="N40" s="419">
        <v>11355</v>
      </c>
      <c r="O40" s="419">
        <v>166165</v>
      </c>
      <c r="P40" s="419">
        <v>173884</v>
      </c>
    </row>
    <row r="41" spans="1:16" s="402" customFormat="1" ht="12">
      <c r="A41" s="415" t="s">
        <v>545</v>
      </c>
      <c r="B41" s="414" t="s">
        <v>811</v>
      </c>
      <c r="C41" s="419">
        <v>178677</v>
      </c>
      <c r="D41" s="419">
        <v>175007</v>
      </c>
      <c r="E41" s="419">
        <v>168506</v>
      </c>
      <c r="F41" s="419">
        <v>173305</v>
      </c>
      <c r="G41" s="419">
        <v>168146</v>
      </c>
      <c r="H41" s="419">
        <v>176223</v>
      </c>
      <c r="I41" s="419">
        <v>172304</v>
      </c>
      <c r="J41" s="419">
        <v>176163</v>
      </c>
      <c r="K41" s="419">
        <v>172204</v>
      </c>
      <c r="L41" s="419">
        <v>177293</v>
      </c>
      <c r="M41" s="419">
        <v>176050</v>
      </c>
      <c r="N41" s="419">
        <v>172741</v>
      </c>
      <c r="O41" s="419">
        <v>2086617</v>
      </c>
      <c r="P41" s="419">
        <v>1991829</v>
      </c>
    </row>
    <row r="42" spans="1:16" s="402" customFormat="1" ht="11">
      <c r="A42" s="414" t="s">
        <v>742</v>
      </c>
      <c r="B42" s="414" t="s">
        <v>812</v>
      </c>
      <c r="C42" s="414" t="s">
        <v>742</v>
      </c>
      <c r="D42" s="414" t="s">
        <v>742</v>
      </c>
      <c r="E42" s="414" t="s">
        <v>742</v>
      </c>
      <c r="F42" s="414" t="s">
        <v>742</v>
      </c>
      <c r="G42" s="414" t="s">
        <v>742</v>
      </c>
      <c r="H42" s="414" t="s">
        <v>742</v>
      </c>
      <c r="I42" s="414" t="s">
        <v>742</v>
      </c>
      <c r="J42" s="414" t="s">
        <v>742</v>
      </c>
      <c r="K42" s="414" t="s">
        <v>742</v>
      </c>
      <c r="L42" s="414" t="s">
        <v>742</v>
      </c>
      <c r="M42" s="414" t="s">
        <v>742</v>
      </c>
      <c r="N42" s="414" t="s">
        <v>742</v>
      </c>
      <c r="O42" s="414" t="s">
        <v>742</v>
      </c>
      <c r="P42" s="414" t="s">
        <v>742</v>
      </c>
    </row>
    <row r="43" spans="1:16" s="402" customFormat="1" ht="11">
      <c r="A43" s="414" t="s">
        <v>766</v>
      </c>
      <c r="B43" s="414" t="s">
        <v>813</v>
      </c>
      <c r="C43" s="414" t="s">
        <v>766</v>
      </c>
      <c r="D43" s="414" t="s">
        <v>766</v>
      </c>
      <c r="E43" s="414" t="s">
        <v>766</v>
      </c>
      <c r="F43" s="414" t="s">
        <v>766</v>
      </c>
      <c r="G43" s="414" t="s">
        <v>766</v>
      </c>
      <c r="H43" s="414" t="s">
        <v>766</v>
      </c>
      <c r="I43" s="414" t="s">
        <v>766</v>
      </c>
      <c r="J43" s="414" t="s">
        <v>766</v>
      </c>
      <c r="K43" s="414" t="s">
        <v>766</v>
      </c>
      <c r="L43" s="414" t="s">
        <v>766</v>
      </c>
      <c r="M43" s="414" t="s">
        <v>766</v>
      </c>
      <c r="N43" s="414" t="s">
        <v>766</v>
      </c>
      <c r="O43" s="414" t="s">
        <v>766</v>
      </c>
      <c r="P43" s="414" t="s">
        <v>766</v>
      </c>
    </row>
    <row r="44" spans="1:16" s="402" customFormat="1" ht="11">
      <c r="A44" s="414" t="s">
        <v>814</v>
      </c>
      <c r="B44" s="414" t="s">
        <v>815</v>
      </c>
      <c r="C44" s="414" t="s">
        <v>814</v>
      </c>
      <c r="D44" s="414" t="s">
        <v>814</v>
      </c>
      <c r="E44" s="414" t="s">
        <v>814</v>
      </c>
      <c r="F44" s="414" t="s">
        <v>814</v>
      </c>
      <c r="G44" s="414" t="s">
        <v>814</v>
      </c>
      <c r="H44" s="414" t="s">
        <v>814</v>
      </c>
      <c r="I44" s="414" t="s">
        <v>814</v>
      </c>
      <c r="J44" s="414" t="s">
        <v>814</v>
      </c>
      <c r="K44" s="414" t="s">
        <v>814</v>
      </c>
      <c r="L44" s="414" t="s">
        <v>814</v>
      </c>
      <c r="M44" s="414" t="s">
        <v>814</v>
      </c>
      <c r="N44" s="414" t="s">
        <v>814</v>
      </c>
      <c r="O44" s="414" t="s">
        <v>814</v>
      </c>
      <c r="P44" s="414" t="s">
        <v>814</v>
      </c>
    </row>
    <row r="45" spans="1:16" s="402" customFormat="1" ht="11">
      <c r="A45" s="414" t="s">
        <v>816</v>
      </c>
      <c r="B45" s="414" t="s">
        <v>817</v>
      </c>
      <c r="C45" s="417">
        <v>5360</v>
      </c>
      <c r="D45" s="417">
        <v>5251</v>
      </c>
      <c r="E45" s="417">
        <v>5056</v>
      </c>
      <c r="F45" s="417">
        <v>5199</v>
      </c>
      <c r="G45" s="417">
        <v>5045</v>
      </c>
      <c r="H45" s="417">
        <v>5287</v>
      </c>
      <c r="I45" s="417">
        <v>5169</v>
      </c>
      <c r="J45" s="417">
        <v>5285</v>
      </c>
      <c r="K45" s="417">
        <v>5166</v>
      </c>
      <c r="L45" s="417">
        <v>5319</v>
      </c>
      <c r="M45" s="417">
        <v>5282</v>
      </c>
      <c r="N45" s="417">
        <v>5179</v>
      </c>
      <c r="O45" s="417">
        <v>62596</v>
      </c>
      <c r="P45" s="417">
        <v>59754</v>
      </c>
    </row>
    <row r="46" spans="1:16" s="402" customFormat="1" ht="11">
      <c r="A46" s="418" t="s">
        <v>545</v>
      </c>
      <c r="B46" s="414" t="s">
        <v>815</v>
      </c>
      <c r="C46" s="419">
        <v>5360</v>
      </c>
      <c r="D46" s="419">
        <v>5251</v>
      </c>
      <c r="E46" s="419">
        <v>5056</v>
      </c>
      <c r="F46" s="419">
        <v>5199</v>
      </c>
      <c r="G46" s="419">
        <v>5045</v>
      </c>
      <c r="H46" s="419">
        <v>5287</v>
      </c>
      <c r="I46" s="419">
        <v>5169</v>
      </c>
      <c r="J46" s="419">
        <v>5285</v>
      </c>
      <c r="K46" s="419">
        <v>5166</v>
      </c>
      <c r="L46" s="419">
        <v>5319</v>
      </c>
      <c r="M46" s="419">
        <v>5282</v>
      </c>
      <c r="N46" s="419">
        <v>5179</v>
      </c>
      <c r="O46" s="419">
        <v>62596</v>
      </c>
      <c r="P46" s="419">
        <v>59754</v>
      </c>
    </row>
    <row r="47" spans="1:16" s="402" customFormat="1" ht="11">
      <c r="A47" s="414" t="s">
        <v>814</v>
      </c>
      <c r="B47" s="414" t="s">
        <v>818</v>
      </c>
      <c r="C47" s="414" t="s">
        <v>814</v>
      </c>
      <c r="D47" s="414" t="s">
        <v>814</v>
      </c>
      <c r="E47" s="414" t="s">
        <v>814</v>
      </c>
      <c r="F47" s="414" t="s">
        <v>814</v>
      </c>
      <c r="G47" s="414" t="s">
        <v>814</v>
      </c>
      <c r="H47" s="414" t="s">
        <v>814</v>
      </c>
      <c r="I47" s="414" t="s">
        <v>814</v>
      </c>
      <c r="J47" s="414" t="s">
        <v>814</v>
      </c>
      <c r="K47" s="414" t="s">
        <v>814</v>
      </c>
      <c r="L47" s="414" t="s">
        <v>814</v>
      </c>
      <c r="M47" s="414" t="s">
        <v>814</v>
      </c>
      <c r="N47" s="414" t="s">
        <v>814</v>
      </c>
      <c r="O47" s="414" t="s">
        <v>814</v>
      </c>
      <c r="P47" s="414" t="s">
        <v>814</v>
      </c>
    </row>
    <row r="48" spans="1:16" s="402" customFormat="1" ht="11">
      <c r="A48" s="414" t="s">
        <v>819</v>
      </c>
      <c r="B48" s="414" t="s">
        <v>820</v>
      </c>
      <c r="C48" s="414" t="s">
        <v>819</v>
      </c>
      <c r="D48" s="414" t="s">
        <v>819</v>
      </c>
      <c r="E48" s="414" t="s">
        <v>819</v>
      </c>
      <c r="F48" s="414" t="s">
        <v>819</v>
      </c>
      <c r="G48" s="414" t="s">
        <v>819</v>
      </c>
      <c r="H48" s="414" t="s">
        <v>819</v>
      </c>
      <c r="I48" s="414" t="s">
        <v>819</v>
      </c>
      <c r="J48" s="414" t="s">
        <v>819</v>
      </c>
      <c r="K48" s="414" t="s">
        <v>819</v>
      </c>
      <c r="L48" s="414" t="s">
        <v>819</v>
      </c>
      <c r="M48" s="414" t="s">
        <v>819</v>
      </c>
      <c r="N48" s="414" t="s">
        <v>819</v>
      </c>
      <c r="O48" s="414" t="s">
        <v>819</v>
      </c>
      <c r="P48" s="414" t="s">
        <v>819</v>
      </c>
    </row>
    <row r="49" spans="1:16" s="402" customFormat="1" ht="11">
      <c r="A49" s="414" t="s">
        <v>821</v>
      </c>
      <c r="B49" s="414" t="s">
        <v>822</v>
      </c>
      <c r="C49" s="417">
        <v>134</v>
      </c>
      <c r="D49" s="417">
        <v>359</v>
      </c>
      <c r="E49" s="417">
        <v>134</v>
      </c>
      <c r="F49" s="417">
        <v>234</v>
      </c>
      <c r="G49" s="417">
        <v>799</v>
      </c>
      <c r="H49" s="417">
        <v>359</v>
      </c>
      <c r="I49" s="417">
        <v>134</v>
      </c>
      <c r="J49" s="417">
        <v>283</v>
      </c>
      <c r="K49" s="417">
        <v>134</v>
      </c>
      <c r="L49" s="417">
        <v>134</v>
      </c>
      <c r="M49" s="417">
        <v>268</v>
      </c>
      <c r="N49" s="417">
        <v>134</v>
      </c>
      <c r="O49" s="417">
        <v>3106</v>
      </c>
      <c r="P49" s="417">
        <v>2642</v>
      </c>
    </row>
    <row r="50" spans="1:16" s="402" customFormat="1" ht="11">
      <c r="A50" s="414" t="s">
        <v>823</v>
      </c>
      <c r="B50" s="414" t="s">
        <v>824</v>
      </c>
      <c r="C50" s="417">
        <v>1754</v>
      </c>
      <c r="D50" s="417">
        <v>1754</v>
      </c>
      <c r="E50" s="417">
        <v>1747</v>
      </c>
      <c r="F50" s="417">
        <v>1748</v>
      </c>
      <c r="G50" s="417">
        <v>1737</v>
      </c>
      <c r="H50" s="417">
        <v>1742</v>
      </c>
      <c r="I50" s="417">
        <v>1742</v>
      </c>
      <c r="J50" s="417">
        <v>1741</v>
      </c>
      <c r="K50" s="417">
        <v>1748</v>
      </c>
      <c r="L50" s="417">
        <v>1742</v>
      </c>
      <c r="M50" s="417">
        <v>2525</v>
      </c>
      <c r="N50" s="417">
        <v>1733</v>
      </c>
      <c r="O50" s="417">
        <v>21712</v>
      </c>
      <c r="P50" s="417">
        <v>22717</v>
      </c>
    </row>
    <row r="51" spans="1:16" s="402" customFormat="1" ht="11">
      <c r="A51" s="414" t="s">
        <v>825</v>
      </c>
      <c r="B51" s="414" t="s">
        <v>826</v>
      </c>
      <c r="C51" s="417">
        <v>0</v>
      </c>
      <c r="D51" s="417">
        <v>0</v>
      </c>
      <c r="E51" s="417">
        <v>0</v>
      </c>
      <c r="F51" s="417">
        <v>479</v>
      </c>
      <c r="G51" s="417">
        <v>479</v>
      </c>
      <c r="H51" s="417">
        <v>0</v>
      </c>
      <c r="I51" s="417">
        <v>0</v>
      </c>
      <c r="J51" s="417">
        <v>0</v>
      </c>
      <c r="K51" s="417">
        <v>0</v>
      </c>
      <c r="L51" s="417">
        <v>0</v>
      </c>
      <c r="M51" s="417">
        <v>0</v>
      </c>
      <c r="N51" s="417">
        <v>0</v>
      </c>
      <c r="O51" s="417">
        <v>958</v>
      </c>
      <c r="P51" s="417">
        <v>2095</v>
      </c>
    </row>
    <row r="52" spans="1:16" s="402" customFormat="1" ht="11">
      <c r="A52" s="414" t="s">
        <v>827</v>
      </c>
      <c r="B52" s="414" t="s">
        <v>828</v>
      </c>
      <c r="C52" s="417">
        <v>0</v>
      </c>
      <c r="D52" s="417">
        <v>0</v>
      </c>
      <c r="E52" s="417">
        <v>0</v>
      </c>
      <c r="F52" s="417">
        <v>0</v>
      </c>
      <c r="G52" s="417">
        <v>639</v>
      </c>
      <c r="H52" s="417">
        <v>0</v>
      </c>
      <c r="I52" s="417">
        <v>0</v>
      </c>
      <c r="J52" s="417">
        <v>0</v>
      </c>
      <c r="K52" s="417">
        <v>0</v>
      </c>
      <c r="L52" s="417">
        <v>0</v>
      </c>
      <c r="M52" s="417">
        <v>0</v>
      </c>
      <c r="N52" s="417">
        <v>0</v>
      </c>
      <c r="O52" s="417">
        <v>640</v>
      </c>
      <c r="P52" s="417">
        <v>574</v>
      </c>
    </row>
    <row r="53" spans="1:16" s="402" customFormat="1" ht="11">
      <c r="A53" s="414" t="s">
        <v>829</v>
      </c>
      <c r="B53" s="414" t="s">
        <v>830</v>
      </c>
      <c r="C53" s="417">
        <v>0</v>
      </c>
      <c r="D53" s="417">
        <v>0</v>
      </c>
      <c r="E53" s="417">
        <v>0</v>
      </c>
      <c r="F53" s="417">
        <v>0</v>
      </c>
      <c r="G53" s="417">
        <v>100</v>
      </c>
      <c r="H53" s="417">
        <v>0</v>
      </c>
      <c r="I53" s="417">
        <v>0</v>
      </c>
      <c r="J53" s="417">
        <v>0</v>
      </c>
      <c r="K53" s="417">
        <v>0</v>
      </c>
      <c r="L53" s="417">
        <v>0</v>
      </c>
      <c r="M53" s="417">
        <v>0</v>
      </c>
      <c r="N53" s="417">
        <v>0</v>
      </c>
      <c r="O53" s="417">
        <v>100</v>
      </c>
      <c r="P53" s="417">
        <v>900</v>
      </c>
    </row>
    <row r="54" spans="1:16" s="402" customFormat="1" ht="11">
      <c r="A54" s="414" t="s">
        <v>831</v>
      </c>
      <c r="B54" s="414" t="s">
        <v>832</v>
      </c>
      <c r="C54" s="417">
        <v>0</v>
      </c>
      <c r="D54" s="417">
        <v>0</v>
      </c>
      <c r="E54" s="417">
        <v>0</v>
      </c>
      <c r="F54" s="417">
        <v>0</v>
      </c>
      <c r="G54" s="417">
        <v>115</v>
      </c>
      <c r="H54" s="417">
        <v>0</v>
      </c>
      <c r="I54" s="417">
        <v>0</v>
      </c>
      <c r="J54" s="417">
        <v>0</v>
      </c>
      <c r="K54" s="417">
        <v>0</v>
      </c>
      <c r="L54" s="417">
        <v>0</v>
      </c>
      <c r="M54" s="417">
        <v>0</v>
      </c>
      <c r="N54" s="417">
        <v>0</v>
      </c>
      <c r="O54" s="417">
        <v>115</v>
      </c>
      <c r="P54" s="417">
        <v>129</v>
      </c>
    </row>
    <row r="55" spans="1:16" s="402" customFormat="1" ht="11">
      <c r="A55" s="418" t="s">
        <v>545</v>
      </c>
      <c r="B55" s="414" t="s">
        <v>820</v>
      </c>
      <c r="C55" s="419">
        <v>1888</v>
      </c>
      <c r="D55" s="419">
        <v>2113</v>
      </c>
      <c r="E55" s="419">
        <v>1881</v>
      </c>
      <c r="F55" s="419">
        <v>2461</v>
      </c>
      <c r="G55" s="419">
        <v>3869</v>
      </c>
      <c r="H55" s="419">
        <v>2101</v>
      </c>
      <c r="I55" s="419">
        <v>1876</v>
      </c>
      <c r="J55" s="419">
        <v>2024</v>
      </c>
      <c r="K55" s="419">
        <v>1882</v>
      </c>
      <c r="L55" s="419">
        <v>1876</v>
      </c>
      <c r="M55" s="419">
        <v>2793</v>
      </c>
      <c r="N55" s="419">
        <v>1867</v>
      </c>
      <c r="O55" s="419">
        <v>26631</v>
      </c>
      <c r="P55" s="419">
        <v>29057</v>
      </c>
    </row>
    <row r="56" spans="1:16" s="402" customFormat="1" ht="11">
      <c r="A56" s="414" t="s">
        <v>819</v>
      </c>
      <c r="B56" s="414" t="s">
        <v>833</v>
      </c>
      <c r="C56" s="414" t="s">
        <v>819</v>
      </c>
      <c r="D56" s="414" t="s">
        <v>819</v>
      </c>
      <c r="E56" s="414" t="s">
        <v>819</v>
      </c>
      <c r="F56" s="414" t="s">
        <v>819</v>
      </c>
      <c r="G56" s="414" t="s">
        <v>819</v>
      </c>
      <c r="H56" s="414" t="s">
        <v>819</v>
      </c>
      <c r="I56" s="414" t="s">
        <v>819</v>
      </c>
      <c r="J56" s="414" t="s">
        <v>819</v>
      </c>
      <c r="K56" s="414" t="s">
        <v>819</v>
      </c>
      <c r="L56" s="414" t="s">
        <v>819</v>
      </c>
      <c r="M56" s="414" t="s">
        <v>819</v>
      </c>
      <c r="N56" s="414" t="s">
        <v>819</v>
      </c>
      <c r="O56" s="414" t="s">
        <v>819</v>
      </c>
      <c r="P56" s="414" t="s">
        <v>819</v>
      </c>
    </row>
    <row r="57" spans="1:16" s="402" customFormat="1" ht="11">
      <c r="A57" s="414" t="s">
        <v>835</v>
      </c>
      <c r="B57" s="414" t="s">
        <v>836</v>
      </c>
      <c r="C57" s="417">
        <v>86</v>
      </c>
      <c r="D57" s="417">
        <v>107</v>
      </c>
      <c r="E57" s="417">
        <v>118</v>
      </c>
      <c r="F57" s="417">
        <v>171</v>
      </c>
      <c r="G57" s="417">
        <v>150</v>
      </c>
      <c r="H57" s="417">
        <v>53</v>
      </c>
      <c r="I57" s="417">
        <v>214</v>
      </c>
      <c r="J57" s="417">
        <v>182</v>
      </c>
      <c r="K57" s="417">
        <v>180</v>
      </c>
      <c r="L57" s="417">
        <v>144</v>
      </c>
      <c r="M57" s="417">
        <v>200</v>
      </c>
      <c r="N57" s="417">
        <v>154</v>
      </c>
      <c r="O57" s="417">
        <v>1760</v>
      </c>
      <c r="P57" s="417">
        <v>1654</v>
      </c>
    </row>
    <row r="58" spans="1:16" s="402" customFormat="1" ht="11">
      <c r="A58" s="414" t="s">
        <v>837</v>
      </c>
      <c r="B58" s="414" t="s">
        <v>838</v>
      </c>
      <c r="C58" s="417">
        <v>417</v>
      </c>
      <c r="D58" s="417">
        <v>417</v>
      </c>
      <c r="E58" s="417">
        <v>417</v>
      </c>
      <c r="F58" s="417">
        <v>417</v>
      </c>
      <c r="G58" s="417">
        <v>418</v>
      </c>
      <c r="H58" s="417">
        <v>417</v>
      </c>
      <c r="I58" s="417">
        <v>417</v>
      </c>
      <c r="J58" s="417">
        <v>417</v>
      </c>
      <c r="K58" s="417">
        <v>417</v>
      </c>
      <c r="L58" s="417">
        <v>438</v>
      </c>
      <c r="M58" s="417">
        <v>438</v>
      </c>
      <c r="N58" s="417">
        <v>438</v>
      </c>
      <c r="O58" s="417">
        <v>5068</v>
      </c>
      <c r="P58" s="417">
        <v>4895</v>
      </c>
    </row>
    <row r="59" spans="1:16" s="402" customFormat="1" ht="11">
      <c r="A59" s="414" t="s">
        <v>839</v>
      </c>
      <c r="B59" s="414" t="s">
        <v>840</v>
      </c>
      <c r="C59" s="417">
        <v>60</v>
      </c>
      <c r="D59" s="417">
        <v>378</v>
      </c>
      <c r="E59" s="417">
        <v>60</v>
      </c>
      <c r="F59" s="417">
        <v>288</v>
      </c>
      <c r="G59" s="417">
        <v>105</v>
      </c>
      <c r="H59" s="417">
        <v>606</v>
      </c>
      <c r="I59" s="417">
        <v>714</v>
      </c>
      <c r="J59" s="417">
        <v>135</v>
      </c>
      <c r="K59" s="417">
        <v>135</v>
      </c>
      <c r="L59" s="417">
        <v>280</v>
      </c>
      <c r="M59" s="417">
        <v>273</v>
      </c>
      <c r="N59" s="417">
        <v>471</v>
      </c>
      <c r="O59" s="417">
        <v>3505</v>
      </c>
      <c r="P59" s="417">
        <v>12013</v>
      </c>
    </row>
    <row r="60" spans="1:16" s="402" customFormat="1" ht="11">
      <c r="A60" s="418" t="s">
        <v>545</v>
      </c>
      <c r="B60" s="414" t="s">
        <v>833</v>
      </c>
      <c r="C60" s="419">
        <v>563</v>
      </c>
      <c r="D60" s="419">
        <v>902</v>
      </c>
      <c r="E60" s="419">
        <v>595</v>
      </c>
      <c r="F60" s="419">
        <v>876</v>
      </c>
      <c r="G60" s="419">
        <v>673</v>
      </c>
      <c r="H60" s="419">
        <v>1076</v>
      </c>
      <c r="I60" s="419">
        <v>1345</v>
      </c>
      <c r="J60" s="419">
        <v>734</v>
      </c>
      <c r="K60" s="419">
        <v>732</v>
      </c>
      <c r="L60" s="419">
        <v>862</v>
      </c>
      <c r="M60" s="419">
        <v>911</v>
      </c>
      <c r="N60" s="419">
        <v>1063</v>
      </c>
      <c r="O60" s="419">
        <v>10333</v>
      </c>
      <c r="P60" s="419">
        <v>18562</v>
      </c>
    </row>
    <row r="61" spans="1:16" s="402" customFormat="1" ht="11">
      <c r="A61" s="414" t="s">
        <v>819</v>
      </c>
      <c r="B61" s="414" t="s">
        <v>843</v>
      </c>
      <c r="C61" s="414" t="s">
        <v>819</v>
      </c>
      <c r="D61" s="414" t="s">
        <v>819</v>
      </c>
      <c r="E61" s="414" t="s">
        <v>819</v>
      </c>
      <c r="F61" s="414" t="s">
        <v>819</v>
      </c>
      <c r="G61" s="414" t="s">
        <v>819</v>
      </c>
      <c r="H61" s="414" t="s">
        <v>819</v>
      </c>
      <c r="I61" s="414" t="s">
        <v>819</v>
      </c>
      <c r="J61" s="414" t="s">
        <v>819</v>
      </c>
      <c r="K61" s="414" t="s">
        <v>819</v>
      </c>
      <c r="L61" s="414" t="s">
        <v>819</v>
      </c>
      <c r="M61" s="414" t="s">
        <v>819</v>
      </c>
      <c r="N61" s="414" t="s">
        <v>819</v>
      </c>
      <c r="O61" s="414" t="s">
        <v>819</v>
      </c>
      <c r="P61" s="414" t="s">
        <v>819</v>
      </c>
    </row>
    <row r="62" spans="1:16" s="402" customFormat="1" ht="11">
      <c r="A62" s="414" t="s">
        <v>844</v>
      </c>
      <c r="B62" s="414" t="s">
        <v>845</v>
      </c>
      <c r="C62" s="417">
        <v>79</v>
      </c>
      <c r="D62" s="417">
        <v>79</v>
      </c>
      <c r="E62" s="417">
        <v>79</v>
      </c>
      <c r="F62" s="417">
        <v>79</v>
      </c>
      <c r="G62" s="417">
        <v>79</v>
      </c>
      <c r="H62" s="417">
        <v>79</v>
      </c>
      <c r="I62" s="417">
        <v>79</v>
      </c>
      <c r="J62" s="417">
        <v>79</v>
      </c>
      <c r="K62" s="417">
        <v>79</v>
      </c>
      <c r="L62" s="417">
        <v>79</v>
      </c>
      <c r="M62" s="417">
        <v>79</v>
      </c>
      <c r="N62" s="417">
        <v>0</v>
      </c>
      <c r="O62" s="417">
        <v>871</v>
      </c>
      <c r="P62" s="417">
        <v>950</v>
      </c>
    </row>
    <row r="63" spans="1:16" s="402" customFormat="1" ht="11">
      <c r="A63" s="414" t="s">
        <v>847</v>
      </c>
      <c r="B63" s="414" t="s">
        <v>848</v>
      </c>
      <c r="C63" s="417">
        <v>0</v>
      </c>
      <c r="D63" s="417">
        <v>0</v>
      </c>
      <c r="E63" s="417">
        <v>495</v>
      </c>
      <c r="F63" s="417">
        <v>0</v>
      </c>
      <c r="G63" s="417">
        <v>0</v>
      </c>
      <c r="H63" s="417">
        <v>464</v>
      </c>
      <c r="I63" s="417">
        <v>0</v>
      </c>
      <c r="J63" s="417">
        <v>0</v>
      </c>
      <c r="K63" s="417">
        <v>434</v>
      </c>
      <c r="L63" s="417">
        <v>0</v>
      </c>
      <c r="M63" s="417">
        <v>0</v>
      </c>
      <c r="N63" s="417">
        <v>415</v>
      </c>
      <c r="O63" s="417">
        <v>1808</v>
      </c>
      <c r="P63" s="417">
        <v>1744</v>
      </c>
    </row>
    <row r="64" spans="1:16" s="402" customFormat="1" ht="11">
      <c r="A64" s="414" t="s">
        <v>849</v>
      </c>
      <c r="B64" s="414" t="s">
        <v>850</v>
      </c>
      <c r="C64" s="417">
        <v>306</v>
      </c>
      <c r="D64" s="417">
        <v>306</v>
      </c>
      <c r="E64" s="417">
        <v>306</v>
      </c>
      <c r="F64" s="417">
        <v>306</v>
      </c>
      <c r="G64" s="417">
        <v>305</v>
      </c>
      <c r="H64" s="417">
        <v>306</v>
      </c>
      <c r="I64" s="417">
        <v>321</v>
      </c>
      <c r="J64" s="417">
        <v>321</v>
      </c>
      <c r="K64" s="417">
        <v>321</v>
      </c>
      <c r="L64" s="417">
        <v>321</v>
      </c>
      <c r="M64" s="417">
        <v>321</v>
      </c>
      <c r="N64" s="417">
        <v>321</v>
      </c>
      <c r="O64" s="417">
        <v>3761</v>
      </c>
      <c r="P64" s="417">
        <v>3616</v>
      </c>
    </row>
    <row r="65" spans="1:16" s="402" customFormat="1" ht="11">
      <c r="A65" s="414" t="s">
        <v>851</v>
      </c>
      <c r="B65" s="414" t="s">
        <v>852</v>
      </c>
      <c r="C65" s="417">
        <v>364</v>
      </c>
      <c r="D65" s="417">
        <v>364</v>
      </c>
      <c r="E65" s="417">
        <v>364</v>
      </c>
      <c r="F65" s="417">
        <v>364</v>
      </c>
      <c r="G65" s="417">
        <v>364</v>
      </c>
      <c r="H65" s="417">
        <v>364</v>
      </c>
      <c r="I65" s="417">
        <v>364</v>
      </c>
      <c r="J65" s="417">
        <v>364</v>
      </c>
      <c r="K65" s="417">
        <v>364</v>
      </c>
      <c r="L65" s="417">
        <v>364</v>
      </c>
      <c r="M65" s="417">
        <v>364</v>
      </c>
      <c r="N65" s="417">
        <v>0</v>
      </c>
      <c r="O65" s="417">
        <v>4001</v>
      </c>
      <c r="P65" s="417">
        <v>4365</v>
      </c>
    </row>
    <row r="66" spans="1:16" s="402" customFormat="1" ht="11">
      <c r="A66" s="414" t="s">
        <v>854</v>
      </c>
      <c r="B66" s="414" t="s">
        <v>855</v>
      </c>
      <c r="C66" s="417">
        <v>0</v>
      </c>
      <c r="D66" s="417">
        <v>0</v>
      </c>
      <c r="E66" s="417">
        <v>108</v>
      </c>
      <c r="F66" s="417">
        <v>1097</v>
      </c>
      <c r="G66" s="417">
        <v>0</v>
      </c>
      <c r="H66" s="417">
        <v>0</v>
      </c>
      <c r="I66" s="417">
        <v>0</v>
      </c>
      <c r="J66" s="417">
        <v>0</v>
      </c>
      <c r="K66" s="417">
        <v>0</v>
      </c>
      <c r="L66" s="417">
        <v>0</v>
      </c>
      <c r="M66" s="417">
        <v>0</v>
      </c>
      <c r="N66" s="417">
        <v>0</v>
      </c>
      <c r="O66" s="417">
        <v>1205</v>
      </c>
      <c r="P66" s="417">
        <v>380</v>
      </c>
    </row>
    <row r="67" spans="1:16" s="402" customFormat="1" ht="11">
      <c r="A67" s="414" t="s">
        <v>857</v>
      </c>
      <c r="B67" s="414" t="s">
        <v>858</v>
      </c>
      <c r="C67" s="417">
        <v>0</v>
      </c>
      <c r="D67" s="417">
        <v>0</v>
      </c>
      <c r="E67" s="417">
        <v>0</v>
      </c>
      <c r="F67" s="417">
        <v>0</v>
      </c>
      <c r="G67" s="417">
        <v>0</v>
      </c>
      <c r="H67" s="417">
        <v>244</v>
      </c>
      <c r="I67" s="417">
        <v>96</v>
      </c>
      <c r="J67" s="417">
        <v>86</v>
      </c>
      <c r="K67" s="417">
        <v>214</v>
      </c>
      <c r="L67" s="417">
        <v>214</v>
      </c>
      <c r="M67" s="417">
        <v>214</v>
      </c>
      <c r="N67" s="417">
        <v>214</v>
      </c>
      <c r="O67" s="417">
        <v>1282</v>
      </c>
      <c r="P67" s="417">
        <v>0</v>
      </c>
    </row>
    <row r="68" spans="1:16" s="402" customFormat="1" ht="11">
      <c r="A68" s="414" t="s">
        <v>859</v>
      </c>
      <c r="B68" s="414" t="s">
        <v>860</v>
      </c>
      <c r="C68" s="417">
        <v>53</v>
      </c>
      <c r="D68" s="417">
        <v>53</v>
      </c>
      <c r="E68" s="417">
        <v>54</v>
      </c>
      <c r="F68" s="417">
        <v>53</v>
      </c>
      <c r="G68" s="417">
        <v>54</v>
      </c>
      <c r="H68" s="417">
        <v>53</v>
      </c>
      <c r="I68" s="417">
        <v>53</v>
      </c>
      <c r="J68" s="417">
        <v>53</v>
      </c>
      <c r="K68" s="417">
        <v>54</v>
      </c>
      <c r="L68" s="417">
        <v>54</v>
      </c>
      <c r="M68" s="417">
        <v>53</v>
      </c>
      <c r="N68" s="417">
        <v>54</v>
      </c>
      <c r="O68" s="417">
        <v>642</v>
      </c>
      <c r="P68" s="417">
        <v>642</v>
      </c>
    </row>
    <row r="69" spans="1:16" s="402" customFormat="1" ht="11">
      <c r="A69" s="414" t="s">
        <v>861</v>
      </c>
      <c r="B69" s="414" t="s">
        <v>862</v>
      </c>
      <c r="C69" s="417">
        <v>0</v>
      </c>
      <c r="D69" s="417">
        <v>0</v>
      </c>
      <c r="E69" s="417">
        <v>0</v>
      </c>
      <c r="F69" s="417">
        <v>131</v>
      </c>
      <c r="G69" s="417">
        <v>0</v>
      </c>
      <c r="H69" s="417">
        <v>0</v>
      </c>
      <c r="I69" s="417">
        <v>0</v>
      </c>
      <c r="J69" s="417">
        <v>0</v>
      </c>
      <c r="K69" s="417">
        <v>0</v>
      </c>
      <c r="L69" s="417">
        <v>149</v>
      </c>
      <c r="M69" s="417">
        <v>0</v>
      </c>
      <c r="N69" s="417">
        <v>0</v>
      </c>
      <c r="O69" s="417">
        <v>279</v>
      </c>
      <c r="P69" s="417">
        <v>351</v>
      </c>
    </row>
    <row r="70" spans="1:16" s="402" customFormat="1" ht="11">
      <c r="A70" s="414" t="s">
        <v>863</v>
      </c>
      <c r="B70" s="414" t="s">
        <v>864</v>
      </c>
      <c r="C70" s="417">
        <v>0</v>
      </c>
      <c r="D70" s="417">
        <v>57</v>
      </c>
      <c r="E70" s="417">
        <v>0</v>
      </c>
      <c r="F70" s="417">
        <v>0</v>
      </c>
      <c r="G70" s="417">
        <v>0</v>
      </c>
      <c r="H70" s="417">
        <v>99</v>
      </c>
      <c r="I70" s="417">
        <v>0</v>
      </c>
      <c r="J70" s="417">
        <v>83</v>
      </c>
      <c r="K70" s="417">
        <v>0</v>
      </c>
      <c r="L70" s="417">
        <v>0</v>
      </c>
      <c r="M70" s="417">
        <v>68</v>
      </c>
      <c r="N70" s="417">
        <v>0</v>
      </c>
      <c r="O70" s="417">
        <v>307</v>
      </c>
      <c r="P70" s="417">
        <v>266</v>
      </c>
    </row>
    <row r="71" spans="1:16" s="402" customFormat="1" ht="11">
      <c r="A71" s="414" t="s">
        <v>866</v>
      </c>
      <c r="B71" s="414" t="s">
        <v>867</v>
      </c>
      <c r="C71" s="417">
        <v>61</v>
      </c>
      <c r="D71" s="417">
        <v>61</v>
      </c>
      <c r="E71" s="417">
        <v>64</v>
      </c>
      <c r="F71" s="417">
        <v>70</v>
      </c>
      <c r="G71" s="417">
        <v>67</v>
      </c>
      <c r="H71" s="417">
        <v>74</v>
      </c>
      <c r="I71" s="417">
        <v>83</v>
      </c>
      <c r="J71" s="417">
        <v>61</v>
      </c>
      <c r="K71" s="417">
        <v>89</v>
      </c>
      <c r="L71" s="417">
        <v>105</v>
      </c>
      <c r="M71" s="417">
        <v>184</v>
      </c>
      <c r="N71" s="417">
        <v>72</v>
      </c>
      <c r="O71" s="417">
        <v>992</v>
      </c>
      <c r="P71" s="417">
        <v>1277</v>
      </c>
    </row>
    <row r="72" spans="1:16" s="402" customFormat="1" ht="11">
      <c r="A72" s="414" t="s">
        <v>872</v>
      </c>
      <c r="B72" s="414" t="s">
        <v>873</v>
      </c>
      <c r="C72" s="417">
        <v>0</v>
      </c>
      <c r="D72" s="417">
        <v>29</v>
      </c>
      <c r="E72" s="417">
        <v>148</v>
      </c>
      <c r="F72" s="417">
        <v>236</v>
      </c>
      <c r="G72" s="417">
        <v>199</v>
      </c>
      <c r="H72" s="417">
        <v>0</v>
      </c>
      <c r="I72" s="417">
        <v>0</v>
      </c>
      <c r="J72" s="417">
        <v>46</v>
      </c>
      <c r="K72" s="417">
        <v>190</v>
      </c>
      <c r="L72" s="417">
        <v>0</v>
      </c>
      <c r="M72" s="417">
        <v>299</v>
      </c>
      <c r="N72" s="417">
        <v>143</v>
      </c>
      <c r="O72" s="417">
        <v>1291</v>
      </c>
      <c r="P72" s="417">
        <v>1876</v>
      </c>
    </row>
    <row r="73" spans="1:16" s="402" customFormat="1" ht="11">
      <c r="A73" s="414" t="s">
        <v>875</v>
      </c>
      <c r="B73" s="414" t="s">
        <v>876</v>
      </c>
      <c r="C73" s="417">
        <v>697</v>
      </c>
      <c r="D73" s="417">
        <v>702</v>
      </c>
      <c r="E73" s="417">
        <v>740</v>
      </c>
      <c r="F73" s="417">
        <v>730</v>
      </c>
      <c r="G73" s="417">
        <v>709</v>
      </c>
      <c r="H73" s="417">
        <v>732</v>
      </c>
      <c r="I73" s="417">
        <v>727</v>
      </c>
      <c r="J73" s="417">
        <v>753</v>
      </c>
      <c r="K73" s="417">
        <v>728</v>
      </c>
      <c r="L73" s="417">
        <v>695</v>
      </c>
      <c r="M73" s="417">
        <v>753</v>
      </c>
      <c r="N73" s="417">
        <v>708</v>
      </c>
      <c r="O73" s="417">
        <v>8672</v>
      </c>
      <c r="P73" s="417">
        <v>7872</v>
      </c>
    </row>
    <row r="74" spans="1:16" s="402" customFormat="1" ht="11">
      <c r="A74" s="414" t="s">
        <v>877</v>
      </c>
      <c r="B74" s="414" t="s">
        <v>878</v>
      </c>
      <c r="C74" s="417">
        <v>34</v>
      </c>
      <c r="D74" s="417">
        <v>85</v>
      </c>
      <c r="E74" s="417">
        <v>32</v>
      </c>
      <c r="F74" s="417">
        <v>56</v>
      </c>
      <c r="G74" s="417">
        <v>43</v>
      </c>
      <c r="H74" s="417">
        <v>34</v>
      </c>
      <c r="I74" s="417">
        <v>26</v>
      </c>
      <c r="J74" s="417">
        <v>32</v>
      </c>
      <c r="K74" s="417">
        <v>33</v>
      </c>
      <c r="L74" s="417">
        <v>69</v>
      </c>
      <c r="M74" s="417">
        <v>50</v>
      </c>
      <c r="N74" s="417">
        <v>60</v>
      </c>
      <c r="O74" s="417">
        <v>552</v>
      </c>
      <c r="P74" s="417">
        <v>437</v>
      </c>
    </row>
    <row r="75" spans="1:16" s="402" customFormat="1" ht="11">
      <c r="A75" s="414" t="s">
        <v>879</v>
      </c>
      <c r="B75" s="414" t="s">
        <v>880</v>
      </c>
      <c r="C75" s="417">
        <v>86</v>
      </c>
      <c r="D75" s="417">
        <v>221</v>
      </c>
      <c r="E75" s="417">
        <v>232</v>
      </c>
      <c r="F75" s="417">
        <v>26</v>
      </c>
      <c r="G75" s="417">
        <v>161</v>
      </c>
      <c r="H75" s="417">
        <v>178</v>
      </c>
      <c r="I75" s="417">
        <v>26</v>
      </c>
      <c r="J75" s="417">
        <v>161</v>
      </c>
      <c r="K75" s="417">
        <v>177</v>
      </c>
      <c r="L75" s="417">
        <v>26</v>
      </c>
      <c r="M75" s="417">
        <v>26</v>
      </c>
      <c r="N75" s="417">
        <v>178</v>
      </c>
      <c r="O75" s="417">
        <v>1499</v>
      </c>
      <c r="P75" s="417">
        <v>2617</v>
      </c>
    </row>
    <row r="76" spans="1:16" s="402" customFormat="1" ht="11">
      <c r="A76" s="414" t="s">
        <v>881</v>
      </c>
      <c r="B76" s="414" t="s">
        <v>882</v>
      </c>
      <c r="C76" s="417">
        <v>0</v>
      </c>
      <c r="D76" s="417">
        <v>0</v>
      </c>
      <c r="E76" s="417">
        <v>0</v>
      </c>
      <c r="F76" s="417">
        <v>0</v>
      </c>
      <c r="G76" s="417">
        <v>0</v>
      </c>
      <c r="H76" s="417">
        <v>0</v>
      </c>
      <c r="I76" s="417">
        <v>0</v>
      </c>
      <c r="J76" s="417">
        <v>0</v>
      </c>
      <c r="K76" s="417">
        <v>0</v>
      </c>
      <c r="L76" s="417">
        <v>0</v>
      </c>
      <c r="M76" s="417">
        <v>75</v>
      </c>
      <c r="N76" s="417">
        <v>0</v>
      </c>
      <c r="O76" s="417">
        <v>75</v>
      </c>
      <c r="P76" s="417">
        <v>299</v>
      </c>
    </row>
    <row r="77" spans="1:16" s="402" customFormat="1" ht="11">
      <c r="A77" s="414" t="s">
        <v>883</v>
      </c>
      <c r="B77" s="414" t="s">
        <v>884</v>
      </c>
      <c r="C77" s="417">
        <v>406</v>
      </c>
      <c r="D77" s="417">
        <v>512</v>
      </c>
      <c r="E77" s="417">
        <v>412</v>
      </c>
      <c r="F77" s="417">
        <v>412</v>
      </c>
      <c r="G77" s="417">
        <v>411</v>
      </c>
      <c r="H77" s="417">
        <v>411</v>
      </c>
      <c r="I77" s="417">
        <v>412</v>
      </c>
      <c r="J77" s="417">
        <v>411</v>
      </c>
      <c r="K77" s="417">
        <v>412</v>
      </c>
      <c r="L77" s="417">
        <v>411</v>
      </c>
      <c r="M77" s="417">
        <v>410</v>
      </c>
      <c r="N77" s="417">
        <v>409</v>
      </c>
      <c r="O77" s="417">
        <v>5030</v>
      </c>
      <c r="P77" s="417">
        <v>4117</v>
      </c>
    </row>
    <row r="78" spans="1:16" s="402" customFormat="1" ht="11">
      <c r="A78" s="414" t="s">
        <v>885</v>
      </c>
      <c r="B78" s="414" t="s">
        <v>886</v>
      </c>
      <c r="C78" s="417">
        <v>271</v>
      </c>
      <c r="D78" s="417">
        <v>338</v>
      </c>
      <c r="E78" s="417">
        <v>279</v>
      </c>
      <c r="F78" s="417">
        <v>279</v>
      </c>
      <c r="G78" s="417">
        <v>268</v>
      </c>
      <c r="H78" s="417">
        <v>402</v>
      </c>
      <c r="I78" s="417">
        <v>330</v>
      </c>
      <c r="J78" s="417">
        <v>330</v>
      </c>
      <c r="K78" s="417">
        <v>398</v>
      </c>
      <c r="L78" s="417">
        <v>330</v>
      </c>
      <c r="M78" s="417">
        <v>415</v>
      </c>
      <c r="N78" s="417">
        <v>331</v>
      </c>
      <c r="O78" s="417">
        <v>3972</v>
      </c>
      <c r="P78" s="417">
        <v>3388</v>
      </c>
    </row>
    <row r="79" spans="1:16" s="402" customFormat="1" ht="11">
      <c r="A79" s="418" t="s">
        <v>545</v>
      </c>
      <c r="B79" s="414" t="s">
        <v>843</v>
      </c>
      <c r="C79" s="419">
        <v>2357</v>
      </c>
      <c r="D79" s="419">
        <v>2807</v>
      </c>
      <c r="E79" s="419">
        <v>3313</v>
      </c>
      <c r="F79" s="419">
        <v>3839</v>
      </c>
      <c r="G79" s="419">
        <v>2660</v>
      </c>
      <c r="H79" s="419">
        <v>3440</v>
      </c>
      <c r="I79" s="419">
        <v>2517</v>
      </c>
      <c r="J79" s="419">
        <v>2780</v>
      </c>
      <c r="K79" s="419">
        <v>3493</v>
      </c>
      <c r="L79" s="419">
        <v>2817</v>
      </c>
      <c r="M79" s="419">
        <v>3311</v>
      </c>
      <c r="N79" s="419">
        <v>2905</v>
      </c>
      <c r="O79" s="419">
        <v>36239</v>
      </c>
      <c r="P79" s="419">
        <v>34197</v>
      </c>
    </row>
    <row r="80" spans="1:16" s="402" customFormat="1" ht="11">
      <c r="A80" s="414" t="s">
        <v>819</v>
      </c>
      <c r="B80" s="414" t="s">
        <v>887</v>
      </c>
      <c r="C80" s="414" t="s">
        <v>819</v>
      </c>
      <c r="D80" s="414" t="s">
        <v>819</v>
      </c>
      <c r="E80" s="414" t="s">
        <v>819</v>
      </c>
      <c r="F80" s="414" t="s">
        <v>819</v>
      </c>
      <c r="G80" s="414" t="s">
        <v>819</v>
      </c>
      <c r="H80" s="414" t="s">
        <v>819</v>
      </c>
      <c r="I80" s="414" t="s">
        <v>819</v>
      </c>
      <c r="J80" s="414" t="s">
        <v>819</v>
      </c>
      <c r="K80" s="414" t="s">
        <v>819</v>
      </c>
      <c r="L80" s="414" t="s">
        <v>819</v>
      </c>
      <c r="M80" s="414" t="s">
        <v>819</v>
      </c>
      <c r="N80" s="414" t="s">
        <v>819</v>
      </c>
      <c r="O80" s="414" t="s">
        <v>819</v>
      </c>
      <c r="P80" s="414" t="s">
        <v>819</v>
      </c>
    </row>
    <row r="81" spans="1:16" s="402" customFormat="1" ht="11">
      <c r="A81" s="414" t="s">
        <v>888</v>
      </c>
      <c r="B81" s="414" t="s">
        <v>889</v>
      </c>
      <c r="C81" s="417">
        <v>0</v>
      </c>
      <c r="D81" s="417">
        <v>0</v>
      </c>
      <c r="E81" s="417">
        <v>0</v>
      </c>
      <c r="F81" s="417">
        <v>0</v>
      </c>
      <c r="G81" s="417">
        <v>0</v>
      </c>
      <c r="H81" s="417">
        <v>0</v>
      </c>
      <c r="I81" s="417">
        <v>0</v>
      </c>
      <c r="J81" s="417">
        <v>0</v>
      </c>
      <c r="K81" s="417">
        <v>0</v>
      </c>
      <c r="L81" s="417">
        <v>0</v>
      </c>
      <c r="M81" s="417">
        <v>0</v>
      </c>
      <c r="N81" s="417">
        <v>0</v>
      </c>
      <c r="O81" s="417">
        <v>0</v>
      </c>
      <c r="P81" s="417">
        <v>4181</v>
      </c>
    </row>
    <row r="82" spans="1:16" s="402" customFormat="1" ht="11">
      <c r="A82" s="414" t="s">
        <v>893</v>
      </c>
      <c r="B82" s="414" t="s">
        <v>894</v>
      </c>
      <c r="C82" s="417">
        <v>100</v>
      </c>
      <c r="D82" s="417">
        <v>102</v>
      </c>
      <c r="E82" s="417">
        <v>113</v>
      </c>
      <c r="F82" s="417">
        <v>120</v>
      </c>
      <c r="G82" s="417">
        <v>101</v>
      </c>
      <c r="H82" s="417">
        <v>108</v>
      </c>
      <c r="I82" s="417">
        <v>127</v>
      </c>
      <c r="J82" s="417">
        <v>87</v>
      </c>
      <c r="K82" s="417">
        <v>112</v>
      </c>
      <c r="L82" s="417">
        <v>108</v>
      </c>
      <c r="M82" s="417">
        <v>101</v>
      </c>
      <c r="N82" s="417">
        <v>123</v>
      </c>
      <c r="O82" s="417">
        <v>1302</v>
      </c>
      <c r="P82" s="417">
        <v>1388</v>
      </c>
    </row>
    <row r="83" spans="1:16" s="402" customFormat="1" ht="11">
      <c r="A83" s="418" t="s">
        <v>545</v>
      </c>
      <c r="B83" s="414" t="s">
        <v>887</v>
      </c>
      <c r="C83" s="419">
        <v>100</v>
      </c>
      <c r="D83" s="419">
        <v>102</v>
      </c>
      <c r="E83" s="419">
        <v>113</v>
      </c>
      <c r="F83" s="419">
        <v>120</v>
      </c>
      <c r="G83" s="419">
        <v>101</v>
      </c>
      <c r="H83" s="419">
        <v>108</v>
      </c>
      <c r="I83" s="419">
        <v>127</v>
      </c>
      <c r="J83" s="419">
        <v>87</v>
      </c>
      <c r="K83" s="419">
        <v>112</v>
      </c>
      <c r="L83" s="419">
        <v>108</v>
      </c>
      <c r="M83" s="419">
        <v>101</v>
      </c>
      <c r="N83" s="419">
        <v>123</v>
      </c>
      <c r="O83" s="419">
        <v>1302</v>
      </c>
      <c r="P83" s="419">
        <v>5569</v>
      </c>
    </row>
    <row r="84" spans="1:16" s="402" customFormat="1" ht="11">
      <c r="A84" s="414" t="s">
        <v>819</v>
      </c>
      <c r="B84" s="414" t="s">
        <v>896</v>
      </c>
      <c r="C84" s="414" t="s">
        <v>819</v>
      </c>
      <c r="D84" s="414" t="s">
        <v>819</v>
      </c>
      <c r="E84" s="414" t="s">
        <v>819</v>
      </c>
      <c r="F84" s="414" t="s">
        <v>819</v>
      </c>
      <c r="G84" s="414" t="s">
        <v>819</v>
      </c>
      <c r="H84" s="414" t="s">
        <v>819</v>
      </c>
      <c r="I84" s="414" t="s">
        <v>819</v>
      </c>
      <c r="J84" s="414" t="s">
        <v>819</v>
      </c>
      <c r="K84" s="414" t="s">
        <v>819</v>
      </c>
      <c r="L84" s="414" t="s">
        <v>819</v>
      </c>
      <c r="M84" s="414" t="s">
        <v>819</v>
      </c>
      <c r="N84" s="414" t="s">
        <v>819</v>
      </c>
      <c r="O84" s="414" t="s">
        <v>819</v>
      </c>
      <c r="P84" s="414" t="s">
        <v>819</v>
      </c>
    </row>
    <row r="85" spans="1:16" s="402" customFormat="1" ht="11">
      <c r="A85" s="414" t="s">
        <v>897</v>
      </c>
      <c r="B85" s="414" t="s">
        <v>898</v>
      </c>
      <c r="C85" s="417">
        <v>0</v>
      </c>
      <c r="D85" s="417">
        <v>0</v>
      </c>
      <c r="E85" s="417">
        <v>0</v>
      </c>
      <c r="F85" s="417">
        <v>0</v>
      </c>
      <c r="G85" s="417">
        <v>0</v>
      </c>
      <c r="H85" s="417">
        <v>0</v>
      </c>
      <c r="I85" s="417">
        <v>0</v>
      </c>
      <c r="J85" s="417">
        <v>0</v>
      </c>
      <c r="K85" s="417">
        <v>0</v>
      </c>
      <c r="L85" s="417">
        <v>55</v>
      </c>
      <c r="M85" s="417">
        <v>0</v>
      </c>
      <c r="N85" s="417">
        <v>0</v>
      </c>
      <c r="O85" s="417">
        <v>55</v>
      </c>
      <c r="P85" s="417">
        <v>0</v>
      </c>
    </row>
    <row r="86" spans="1:16" s="402" customFormat="1" ht="11">
      <c r="A86" s="414" t="s">
        <v>899</v>
      </c>
      <c r="B86" s="414" t="s">
        <v>900</v>
      </c>
      <c r="C86" s="417">
        <v>0</v>
      </c>
      <c r="D86" s="417">
        <v>100</v>
      </c>
      <c r="E86" s="417">
        <v>0</v>
      </c>
      <c r="F86" s="417">
        <v>0</v>
      </c>
      <c r="G86" s="417">
        <v>800</v>
      </c>
      <c r="H86" s="417">
        <v>325</v>
      </c>
      <c r="I86" s="417">
        <v>2246</v>
      </c>
      <c r="J86" s="417">
        <v>0</v>
      </c>
      <c r="K86" s="417">
        <v>0</v>
      </c>
      <c r="L86" s="417">
        <v>0</v>
      </c>
      <c r="M86" s="417">
        <v>800</v>
      </c>
      <c r="N86" s="417">
        <v>0</v>
      </c>
      <c r="O86" s="417">
        <v>4271</v>
      </c>
      <c r="P86" s="417">
        <v>4171</v>
      </c>
    </row>
    <row r="87" spans="1:16" s="402" customFormat="1" ht="11">
      <c r="A87" s="418" t="s">
        <v>545</v>
      </c>
      <c r="B87" s="414" t="s">
        <v>896</v>
      </c>
      <c r="C87" s="419">
        <v>0</v>
      </c>
      <c r="D87" s="419">
        <v>100</v>
      </c>
      <c r="E87" s="419">
        <v>0</v>
      </c>
      <c r="F87" s="419">
        <v>0</v>
      </c>
      <c r="G87" s="419">
        <v>800</v>
      </c>
      <c r="H87" s="419">
        <v>325</v>
      </c>
      <c r="I87" s="419">
        <v>2246</v>
      </c>
      <c r="J87" s="419">
        <v>0</v>
      </c>
      <c r="K87" s="419">
        <v>0</v>
      </c>
      <c r="L87" s="419">
        <v>55</v>
      </c>
      <c r="M87" s="419">
        <v>800</v>
      </c>
      <c r="N87" s="419">
        <v>0</v>
      </c>
      <c r="O87" s="419">
        <v>4326</v>
      </c>
      <c r="P87" s="419">
        <v>4171</v>
      </c>
    </row>
    <row r="88" spans="1:16" s="402" customFormat="1" ht="12">
      <c r="A88" s="415" t="s">
        <v>545</v>
      </c>
      <c r="B88" s="414" t="s">
        <v>818</v>
      </c>
      <c r="C88" s="419">
        <v>4908</v>
      </c>
      <c r="D88" s="419">
        <v>6024</v>
      </c>
      <c r="E88" s="419">
        <v>5902</v>
      </c>
      <c r="F88" s="419">
        <v>7296</v>
      </c>
      <c r="G88" s="419">
        <v>8103</v>
      </c>
      <c r="H88" s="419">
        <v>7050</v>
      </c>
      <c r="I88" s="419">
        <v>8111</v>
      </c>
      <c r="J88" s="419">
        <v>5625</v>
      </c>
      <c r="K88" s="419">
        <v>6219</v>
      </c>
      <c r="L88" s="419">
        <v>5718</v>
      </c>
      <c r="M88" s="419">
        <v>7916</v>
      </c>
      <c r="N88" s="419">
        <v>5958</v>
      </c>
      <c r="O88" s="419">
        <v>78831</v>
      </c>
      <c r="P88" s="419">
        <v>91556</v>
      </c>
    </row>
    <row r="89" spans="1:16" s="402" customFormat="1" ht="11">
      <c r="A89" s="414" t="s">
        <v>814</v>
      </c>
      <c r="B89" s="414" t="s">
        <v>901</v>
      </c>
      <c r="C89" s="414" t="s">
        <v>814</v>
      </c>
      <c r="D89" s="414" t="s">
        <v>814</v>
      </c>
      <c r="E89" s="414" t="s">
        <v>814</v>
      </c>
      <c r="F89" s="414" t="s">
        <v>814</v>
      </c>
      <c r="G89" s="414" t="s">
        <v>814</v>
      </c>
      <c r="H89" s="414" t="s">
        <v>814</v>
      </c>
      <c r="I89" s="414" t="s">
        <v>814</v>
      </c>
      <c r="J89" s="414" t="s">
        <v>814</v>
      </c>
      <c r="K89" s="414" t="s">
        <v>814</v>
      </c>
      <c r="L89" s="414" t="s">
        <v>814</v>
      </c>
      <c r="M89" s="414" t="s">
        <v>814</v>
      </c>
      <c r="N89" s="414" t="s">
        <v>814</v>
      </c>
      <c r="O89" s="414" t="s">
        <v>814</v>
      </c>
      <c r="P89" s="414" t="s">
        <v>814</v>
      </c>
    </row>
    <row r="90" spans="1:16" s="402" customFormat="1" ht="11">
      <c r="A90" s="414" t="s">
        <v>819</v>
      </c>
      <c r="B90" s="414" t="s">
        <v>902</v>
      </c>
      <c r="C90" s="414" t="s">
        <v>819</v>
      </c>
      <c r="D90" s="414" t="s">
        <v>819</v>
      </c>
      <c r="E90" s="414" t="s">
        <v>819</v>
      </c>
      <c r="F90" s="414" t="s">
        <v>819</v>
      </c>
      <c r="G90" s="414" t="s">
        <v>819</v>
      </c>
      <c r="H90" s="414" t="s">
        <v>819</v>
      </c>
      <c r="I90" s="414" t="s">
        <v>819</v>
      </c>
      <c r="J90" s="414" t="s">
        <v>819</v>
      </c>
      <c r="K90" s="414" t="s">
        <v>819</v>
      </c>
      <c r="L90" s="414" t="s">
        <v>819</v>
      </c>
      <c r="M90" s="414" t="s">
        <v>819</v>
      </c>
      <c r="N90" s="414" t="s">
        <v>819</v>
      </c>
      <c r="O90" s="414" t="s">
        <v>819</v>
      </c>
      <c r="P90" s="414" t="s">
        <v>819</v>
      </c>
    </row>
    <row r="91" spans="1:16" s="402" customFormat="1" ht="11">
      <c r="A91" s="414" t="s">
        <v>903</v>
      </c>
      <c r="B91" s="414" t="s">
        <v>904</v>
      </c>
      <c r="C91" s="417">
        <v>4915</v>
      </c>
      <c r="D91" s="417">
        <v>4916</v>
      </c>
      <c r="E91" s="417">
        <v>4966</v>
      </c>
      <c r="F91" s="417">
        <v>5014</v>
      </c>
      <c r="G91" s="417">
        <v>5014</v>
      </c>
      <c r="H91" s="417">
        <v>5015</v>
      </c>
      <c r="I91" s="417">
        <v>5014</v>
      </c>
      <c r="J91" s="417">
        <v>5015</v>
      </c>
      <c r="K91" s="417">
        <v>5014</v>
      </c>
      <c r="L91" s="417">
        <v>5015</v>
      </c>
      <c r="M91" s="417">
        <v>5015</v>
      </c>
      <c r="N91" s="417">
        <v>5014</v>
      </c>
      <c r="O91" s="417">
        <v>59927</v>
      </c>
      <c r="P91" s="417">
        <v>58703</v>
      </c>
    </row>
    <row r="92" spans="1:16" s="402" customFormat="1" ht="11">
      <c r="A92" s="414" t="s">
        <v>906</v>
      </c>
      <c r="B92" s="414" t="s">
        <v>907</v>
      </c>
      <c r="C92" s="417">
        <v>2206</v>
      </c>
      <c r="D92" s="417">
        <v>2112</v>
      </c>
      <c r="E92" s="417">
        <v>1945</v>
      </c>
      <c r="F92" s="417">
        <v>2136</v>
      </c>
      <c r="G92" s="417">
        <v>2155</v>
      </c>
      <c r="H92" s="417">
        <v>2056</v>
      </c>
      <c r="I92" s="417">
        <v>2415</v>
      </c>
      <c r="J92" s="417">
        <v>2249</v>
      </c>
      <c r="K92" s="417">
        <v>2190</v>
      </c>
      <c r="L92" s="417">
        <v>2410</v>
      </c>
      <c r="M92" s="417">
        <v>2258</v>
      </c>
      <c r="N92" s="417">
        <v>2045</v>
      </c>
      <c r="O92" s="417">
        <v>26174</v>
      </c>
      <c r="P92" s="417">
        <v>24012</v>
      </c>
    </row>
    <row r="93" spans="1:16" s="402" customFormat="1" ht="11">
      <c r="A93" s="414" t="s">
        <v>908</v>
      </c>
      <c r="B93" s="414" t="s">
        <v>909</v>
      </c>
      <c r="C93" s="417">
        <v>36</v>
      </c>
      <c r="D93" s="417">
        <v>0</v>
      </c>
      <c r="E93" s="417">
        <v>150</v>
      </c>
      <c r="F93" s="417">
        <v>282</v>
      </c>
      <c r="G93" s="417">
        <v>0</v>
      </c>
      <c r="H93" s="417">
        <v>154</v>
      </c>
      <c r="I93" s="417">
        <v>5</v>
      </c>
      <c r="J93" s="417">
        <v>7</v>
      </c>
      <c r="K93" s="417">
        <v>153</v>
      </c>
      <c r="L93" s="417">
        <v>0</v>
      </c>
      <c r="M93" s="417">
        <v>0</v>
      </c>
      <c r="N93" s="417">
        <v>0</v>
      </c>
      <c r="O93" s="417">
        <v>787</v>
      </c>
      <c r="P93" s="417">
        <v>37</v>
      </c>
    </row>
    <row r="94" spans="1:16" s="402" customFormat="1" ht="11">
      <c r="A94" s="414" t="s">
        <v>910</v>
      </c>
      <c r="B94" s="414" t="s">
        <v>911</v>
      </c>
      <c r="C94" s="417">
        <v>1030</v>
      </c>
      <c r="D94" s="417">
        <v>1346</v>
      </c>
      <c r="E94" s="417">
        <v>1004</v>
      </c>
      <c r="F94" s="417">
        <v>1105</v>
      </c>
      <c r="G94" s="417">
        <v>1237</v>
      </c>
      <c r="H94" s="417">
        <v>1071</v>
      </c>
      <c r="I94" s="417">
        <v>954</v>
      </c>
      <c r="J94" s="417">
        <v>1313</v>
      </c>
      <c r="K94" s="417">
        <v>1213</v>
      </c>
      <c r="L94" s="417">
        <v>871</v>
      </c>
      <c r="M94" s="417">
        <v>888</v>
      </c>
      <c r="N94" s="417">
        <v>7760</v>
      </c>
      <c r="O94" s="417">
        <v>19792</v>
      </c>
      <c r="P94" s="417">
        <v>20284</v>
      </c>
    </row>
    <row r="95" spans="1:16" s="402" customFormat="1" ht="11">
      <c r="A95" s="414" t="s">
        <v>914</v>
      </c>
      <c r="B95" s="414" t="s">
        <v>915</v>
      </c>
      <c r="C95" s="417">
        <v>3186</v>
      </c>
      <c r="D95" s="417">
        <v>3151</v>
      </c>
      <c r="E95" s="417">
        <v>2909</v>
      </c>
      <c r="F95" s="417">
        <v>3341</v>
      </c>
      <c r="G95" s="417">
        <v>2374</v>
      </c>
      <c r="H95" s="417">
        <v>3386</v>
      </c>
      <c r="I95" s="417">
        <v>3241</v>
      </c>
      <c r="J95" s="417">
        <v>2629</v>
      </c>
      <c r="K95" s="417">
        <v>3067</v>
      </c>
      <c r="L95" s="417">
        <v>3129</v>
      </c>
      <c r="M95" s="417">
        <v>3219</v>
      </c>
      <c r="N95" s="417">
        <v>3214</v>
      </c>
      <c r="O95" s="417">
        <v>36848</v>
      </c>
      <c r="P95" s="417">
        <v>37298</v>
      </c>
    </row>
    <row r="96" spans="1:16" s="402" customFormat="1" ht="11">
      <c r="A96" s="414" t="s">
        <v>917</v>
      </c>
      <c r="B96" s="414" t="s">
        <v>918</v>
      </c>
      <c r="C96" s="417">
        <v>3962</v>
      </c>
      <c r="D96" s="417">
        <v>4049</v>
      </c>
      <c r="E96" s="417">
        <v>3630</v>
      </c>
      <c r="F96" s="417">
        <v>4088</v>
      </c>
      <c r="G96" s="417">
        <v>4308</v>
      </c>
      <c r="H96" s="417">
        <v>4330</v>
      </c>
      <c r="I96" s="417">
        <v>4142</v>
      </c>
      <c r="J96" s="417">
        <v>4484</v>
      </c>
      <c r="K96" s="417">
        <v>4209</v>
      </c>
      <c r="L96" s="417">
        <v>4250</v>
      </c>
      <c r="M96" s="417">
        <v>4405</v>
      </c>
      <c r="N96" s="417">
        <v>4112</v>
      </c>
      <c r="O96" s="417">
        <v>49969</v>
      </c>
      <c r="P96" s="417">
        <v>46476</v>
      </c>
    </row>
    <row r="97" spans="1:16" s="402" customFormat="1" ht="11">
      <c r="A97" s="414" t="s">
        <v>919</v>
      </c>
      <c r="B97" s="414" t="s">
        <v>920</v>
      </c>
      <c r="C97" s="417">
        <v>2493</v>
      </c>
      <c r="D97" s="417">
        <v>2492</v>
      </c>
      <c r="E97" s="417">
        <v>2286</v>
      </c>
      <c r="F97" s="417">
        <v>2657</v>
      </c>
      <c r="G97" s="417">
        <v>2311</v>
      </c>
      <c r="H97" s="417">
        <v>2657</v>
      </c>
      <c r="I97" s="417">
        <v>2541</v>
      </c>
      <c r="J97" s="417">
        <v>2426</v>
      </c>
      <c r="K97" s="417">
        <v>2657</v>
      </c>
      <c r="L97" s="417">
        <v>2426</v>
      </c>
      <c r="M97" s="417">
        <v>2541</v>
      </c>
      <c r="N97" s="417">
        <v>2542</v>
      </c>
      <c r="O97" s="417">
        <v>30027</v>
      </c>
      <c r="P97" s="417">
        <v>29349</v>
      </c>
    </row>
    <row r="98" spans="1:16" s="402" customFormat="1" ht="11">
      <c r="A98" s="414" t="s">
        <v>921</v>
      </c>
      <c r="B98" s="414" t="s">
        <v>922</v>
      </c>
      <c r="C98" s="417">
        <v>77</v>
      </c>
      <c r="D98" s="417">
        <v>289</v>
      </c>
      <c r="E98" s="417">
        <v>126</v>
      </c>
      <c r="F98" s="417">
        <v>263</v>
      </c>
      <c r="G98" s="417">
        <v>56</v>
      </c>
      <c r="H98" s="417">
        <v>36</v>
      </c>
      <c r="I98" s="417">
        <v>70</v>
      </c>
      <c r="J98" s="417">
        <v>233</v>
      </c>
      <c r="K98" s="417">
        <v>311</v>
      </c>
      <c r="L98" s="417">
        <v>100</v>
      </c>
      <c r="M98" s="417">
        <v>34</v>
      </c>
      <c r="N98" s="417">
        <v>55</v>
      </c>
      <c r="O98" s="417">
        <v>1649</v>
      </c>
      <c r="P98" s="417">
        <v>2095</v>
      </c>
    </row>
    <row r="99" spans="1:16" s="402" customFormat="1" ht="11">
      <c r="A99" s="414" t="s">
        <v>923</v>
      </c>
      <c r="B99" s="414" t="s">
        <v>924</v>
      </c>
      <c r="C99" s="417">
        <v>718</v>
      </c>
      <c r="D99" s="417">
        <v>650</v>
      </c>
      <c r="E99" s="417">
        <v>650</v>
      </c>
      <c r="F99" s="417">
        <v>667</v>
      </c>
      <c r="G99" s="417">
        <v>633</v>
      </c>
      <c r="H99" s="417">
        <v>600</v>
      </c>
      <c r="I99" s="417">
        <v>467</v>
      </c>
      <c r="J99" s="417">
        <v>633</v>
      </c>
      <c r="K99" s="417">
        <v>1033</v>
      </c>
      <c r="L99" s="417">
        <v>500</v>
      </c>
      <c r="M99" s="417">
        <v>533</v>
      </c>
      <c r="N99" s="417">
        <v>9877</v>
      </c>
      <c r="O99" s="417">
        <v>16962</v>
      </c>
      <c r="P99" s="417">
        <v>16455</v>
      </c>
    </row>
    <row r="100" spans="1:16" s="402" customFormat="1" ht="11">
      <c r="A100" s="418" t="s">
        <v>545</v>
      </c>
      <c r="B100" s="414" t="s">
        <v>902</v>
      </c>
      <c r="C100" s="419">
        <v>18623</v>
      </c>
      <c r="D100" s="419">
        <v>19005</v>
      </c>
      <c r="E100" s="419">
        <v>17666</v>
      </c>
      <c r="F100" s="419">
        <v>19553</v>
      </c>
      <c r="G100" s="419">
        <v>18088</v>
      </c>
      <c r="H100" s="419">
        <v>19305</v>
      </c>
      <c r="I100" s="419">
        <v>18849</v>
      </c>
      <c r="J100" s="419">
        <v>18989</v>
      </c>
      <c r="K100" s="419">
        <v>19847</v>
      </c>
      <c r="L100" s="419">
        <v>18701</v>
      </c>
      <c r="M100" s="419">
        <v>18893</v>
      </c>
      <c r="N100" s="419">
        <v>34619</v>
      </c>
      <c r="O100" s="419">
        <v>242135</v>
      </c>
      <c r="P100" s="419">
        <v>234709</v>
      </c>
    </row>
    <row r="101" spans="1:16" s="402" customFormat="1" ht="11">
      <c r="A101" s="414" t="s">
        <v>819</v>
      </c>
      <c r="B101" s="414" t="s">
        <v>926</v>
      </c>
      <c r="C101" s="414" t="s">
        <v>819</v>
      </c>
      <c r="D101" s="414" t="s">
        <v>819</v>
      </c>
      <c r="E101" s="414" t="s">
        <v>819</v>
      </c>
      <c r="F101" s="414" t="s">
        <v>819</v>
      </c>
      <c r="G101" s="414" t="s">
        <v>819</v>
      </c>
      <c r="H101" s="414" t="s">
        <v>819</v>
      </c>
      <c r="I101" s="414" t="s">
        <v>819</v>
      </c>
      <c r="J101" s="414" t="s">
        <v>819</v>
      </c>
      <c r="K101" s="414" t="s">
        <v>819</v>
      </c>
      <c r="L101" s="414" t="s">
        <v>819</v>
      </c>
      <c r="M101" s="414" t="s">
        <v>819</v>
      </c>
      <c r="N101" s="414" t="s">
        <v>819</v>
      </c>
      <c r="O101" s="414" t="s">
        <v>819</v>
      </c>
      <c r="P101" s="414" t="s">
        <v>819</v>
      </c>
    </row>
    <row r="102" spans="1:16" s="402" customFormat="1" ht="11">
      <c r="A102" s="414" t="s">
        <v>928</v>
      </c>
      <c r="B102" s="414" t="s">
        <v>929</v>
      </c>
      <c r="C102" s="417">
        <v>0</v>
      </c>
      <c r="D102" s="417">
        <v>0</v>
      </c>
      <c r="E102" s="417">
        <v>0</v>
      </c>
      <c r="F102" s="417">
        <v>0</v>
      </c>
      <c r="G102" s="417">
        <v>0</v>
      </c>
      <c r="H102" s="417">
        <v>0</v>
      </c>
      <c r="I102" s="417">
        <v>0</v>
      </c>
      <c r="J102" s="417">
        <v>0</v>
      </c>
      <c r="K102" s="417">
        <v>0</v>
      </c>
      <c r="L102" s="417">
        <v>0</v>
      </c>
      <c r="M102" s="417">
        <v>0</v>
      </c>
      <c r="N102" s="417">
        <v>0</v>
      </c>
      <c r="O102" s="417">
        <v>0</v>
      </c>
      <c r="P102" s="417">
        <v>142</v>
      </c>
    </row>
    <row r="103" spans="1:16" s="402" customFormat="1" ht="11">
      <c r="A103" s="414" t="s">
        <v>930</v>
      </c>
      <c r="B103" s="414" t="s">
        <v>931</v>
      </c>
      <c r="C103" s="417">
        <v>838</v>
      </c>
      <c r="D103" s="417">
        <v>974</v>
      </c>
      <c r="E103" s="417">
        <v>956</v>
      </c>
      <c r="F103" s="417">
        <v>965</v>
      </c>
      <c r="G103" s="417">
        <v>948</v>
      </c>
      <c r="H103" s="417">
        <v>947</v>
      </c>
      <c r="I103" s="417">
        <v>969</v>
      </c>
      <c r="J103" s="417">
        <v>948</v>
      </c>
      <c r="K103" s="417">
        <v>631</v>
      </c>
      <c r="L103" s="417">
        <v>1063</v>
      </c>
      <c r="M103" s="417">
        <v>844</v>
      </c>
      <c r="N103" s="417">
        <v>729</v>
      </c>
      <c r="O103" s="417">
        <v>10814</v>
      </c>
      <c r="P103" s="417">
        <v>13777</v>
      </c>
    </row>
    <row r="104" spans="1:16" s="402" customFormat="1" ht="11">
      <c r="A104" s="414" t="s">
        <v>933</v>
      </c>
      <c r="B104" s="414" t="s">
        <v>934</v>
      </c>
      <c r="C104" s="417">
        <v>397</v>
      </c>
      <c r="D104" s="417">
        <v>396</v>
      </c>
      <c r="E104" s="417">
        <v>397</v>
      </c>
      <c r="F104" s="417">
        <v>381</v>
      </c>
      <c r="G104" s="417">
        <v>377</v>
      </c>
      <c r="H104" s="417">
        <v>377</v>
      </c>
      <c r="I104" s="417">
        <v>383</v>
      </c>
      <c r="J104" s="417">
        <v>376</v>
      </c>
      <c r="K104" s="417">
        <v>389</v>
      </c>
      <c r="L104" s="417">
        <v>401</v>
      </c>
      <c r="M104" s="417">
        <v>399</v>
      </c>
      <c r="N104" s="417">
        <v>397</v>
      </c>
      <c r="O104" s="417">
        <v>4670</v>
      </c>
      <c r="P104" s="417">
        <v>4741</v>
      </c>
    </row>
    <row r="105" spans="1:16" s="402" customFormat="1" ht="11">
      <c r="A105" s="414" t="s">
        <v>935</v>
      </c>
      <c r="B105" s="414" t="s">
        <v>936</v>
      </c>
      <c r="C105" s="417">
        <v>1324</v>
      </c>
      <c r="D105" s="417">
        <v>1346</v>
      </c>
      <c r="E105" s="417">
        <v>1247</v>
      </c>
      <c r="F105" s="417">
        <v>1406</v>
      </c>
      <c r="G105" s="417">
        <v>1329</v>
      </c>
      <c r="H105" s="417">
        <v>1416</v>
      </c>
      <c r="I105" s="417">
        <v>1395</v>
      </c>
      <c r="J105" s="417">
        <v>1409</v>
      </c>
      <c r="K105" s="417">
        <v>1484</v>
      </c>
      <c r="L105" s="417">
        <v>1391</v>
      </c>
      <c r="M105" s="417">
        <v>1409</v>
      </c>
      <c r="N105" s="417">
        <v>2611</v>
      </c>
      <c r="O105" s="417">
        <v>17767</v>
      </c>
      <c r="P105" s="417">
        <v>16772</v>
      </c>
    </row>
    <row r="106" spans="1:16" s="402" customFormat="1" ht="11">
      <c r="A106" s="414" t="s">
        <v>937</v>
      </c>
      <c r="B106" s="414" t="s">
        <v>938</v>
      </c>
      <c r="C106" s="417">
        <v>55</v>
      </c>
      <c r="D106" s="417">
        <v>100</v>
      </c>
      <c r="E106" s="417">
        <v>54</v>
      </c>
      <c r="F106" s="417">
        <v>37</v>
      </c>
      <c r="G106" s="417">
        <v>6</v>
      </c>
      <c r="H106" s="417">
        <v>0</v>
      </c>
      <c r="I106" s="417">
        <v>0</v>
      </c>
      <c r="J106" s="417">
        <v>0</v>
      </c>
      <c r="K106" s="417">
        <v>0</v>
      </c>
      <c r="L106" s="417">
        <v>0</v>
      </c>
      <c r="M106" s="417">
        <v>0</v>
      </c>
      <c r="N106" s="417">
        <v>0</v>
      </c>
      <c r="O106" s="417">
        <v>252</v>
      </c>
      <c r="P106" s="417">
        <v>253</v>
      </c>
    </row>
    <row r="107" spans="1:16" s="402" customFormat="1" ht="11">
      <c r="A107" s="414" t="s">
        <v>939</v>
      </c>
      <c r="B107" s="414" t="s">
        <v>940</v>
      </c>
      <c r="C107" s="417">
        <v>363</v>
      </c>
      <c r="D107" s="417">
        <v>568</v>
      </c>
      <c r="E107" s="417">
        <v>521</v>
      </c>
      <c r="F107" s="417">
        <v>567</v>
      </c>
      <c r="G107" s="417">
        <v>525</v>
      </c>
      <c r="H107" s="417">
        <v>435</v>
      </c>
      <c r="I107" s="417">
        <v>382</v>
      </c>
      <c r="J107" s="417">
        <v>385</v>
      </c>
      <c r="K107" s="417">
        <v>330</v>
      </c>
      <c r="L107" s="417">
        <v>269</v>
      </c>
      <c r="M107" s="417">
        <v>277</v>
      </c>
      <c r="N107" s="417">
        <v>223</v>
      </c>
      <c r="O107" s="417">
        <v>4844</v>
      </c>
      <c r="P107" s="417">
        <v>4612</v>
      </c>
    </row>
    <row r="108" spans="1:16" s="402" customFormat="1" ht="11">
      <c r="A108" s="414" t="s">
        <v>941</v>
      </c>
      <c r="B108" s="414" t="s">
        <v>942</v>
      </c>
      <c r="C108" s="417">
        <v>209</v>
      </c>
      <c r="D108" s="417">
        <v>212</v>
      </c>
      <c r="E108" s="417">
        <v>196</v>
      </c>
      <c r="F108" s="417">
        <v>218</v>
      </c>
      <c r="G108" s="417">
        <v>200</v>
      </c>
      <c r="H108" s="417">
        <v>215</v>
      </c>
      <c r="I108" s="417">
        <v>209</v>
      </c>
      <c r="J108" s="417">
        <v>211</v>
      </c>
      <c r="K108" s="417">
        <v>225</v>
      </c>
      <c r="L108" s="417">
        <v>236</v>
      </c>
      <c r="M108" s="417">
        <v>268</v>
      </c>
      <c r="N108" s="417">
        <v>500</v>
      </c>
      <c r="O108" s="417">
        <v>2899</v>
      </c>
      <c r="P108" s="417">
        <v>2588</v>
      </c>
    </row>
    <row r="109" spans="1:16" s="402" customFormat="1" ht="11">
      <c r="A109" s="414" t="s">
        <v>943</v>
      </c>
      <c r="B109" s="414" t="s">
        <v>944</v>
      </c>
      <c r="C109" s="417">
        <v>489</v>
      </c>
      <c r="D109" s="417">
        <v>498</v>
      </c>
      <c r="E109" s="417">
        <v>458</v>
      </c>
      <c r="F109" s="417">
        <v>514</v>
      </c>
      <c r="G109" s="417">
        <v>466</v>
      </c>
      <c r="H109" s="417">
        <v>500</v>
      </c>
      <c r="I109" s="417">
        <v>408</v>
      </c>
      <c r="J109" s="417">
        <v>408</v>
      </c>
      <c r="K109" s="417">
        <v>437</v>
      </c>
      <c r="L109" s="417">
        <v>376</v>
      </c>
      <c r="M109" s="417">
        <v>287</v>
      </c>
      <c r="N109" s="417">
        <v>563</v>
      </c>
      <c r="O109" s="417">
        <v>5405</v>
      </c>
      <c r="P109" s="417">
        <v>4955</v>
      </c>
    </row>
    <row r="110" spans="1:16" s="402" customFormat="1" ht="11">
      <c r="A110" s="418" t="s">
        <v>545</v>
      </c>
      <c r="B110" s="414" t="s">
        <v>926</v>
      </c>
      <c r="C110" s="419">
        <v>3675</v>
      </c>
      <c r="D110" s="419">
        <v>4094</v>
      </c>
      <c r="E110" s="419">
        <v>3829</v>
      </c>
      <c r="F110" s="419">
        <v>4088</v>
      </c>
      <c r="G110" s="419">
        <v>3851</v>
      </c>
      <c r="H110" s="419">
        <v>3890</v>
      </c>
      <c r="I110" s="419">
        <v>3746</v>
      </c>
      <c r="J110" s="419">
        <v>3737</v>
      </c>
      <c r="K110" s="419">
        <v>3496</v>
      </c>
      <c r="L110" s="419">
        <v>3736</v>
      </c>
      <c r="M110" s="419">
        <v>3484</v>
      </c>
      <c r="N110" s="419">
        <v>5023</v>
      </c>
      <c r="O110" s="419">
        <v>46651</v>
      </c>
      <c r="P110" s="419">
        <v>47840</v>
      </c>
    </row>
    <row r="111" spans="1:16" s="402" customFormat="1" ht="12">
      <c r="A111" s="415" t="s">
        <v>545</v>
      </c>
      <c r="B111" s="414" t="s">
        <v>901</v>
      </c>
      <c r="C111" s="419">
        <v>22298</v>
      </c>
      <c r="D111" s="419">
        <v>23099</v>
      </c>
      <c r="E111" s="419">
        <v>21495</v>
      </c>
      <c r="F111" s="419">
        <v>23641</v>
      </c>
      <c r="G111" s="419">
        <v>21939</v>
      </c>
      <c r="H111" s="419">
        <v>23195</v>
      </c>
      <c r="I111" s="419">
        <v>22595</v>
      </c>
      <c r="J111" s="419">
        <v>22726</v>
      </c>
      <c r="K111" s="419">
        <v>23343</v>
      </c>
      <c r="L111" s="419">
        <v>22437</v>
      </c>
      <c r="M111" s="419">
        <v>22377</v>
      </c>
      <c r="N111" s="419">
        <v>39642</v>
      </c>
      <c r="O111" s="419">
        <v>288786</v>
      </c>
      <c r="P111" s="419">
        <v>282549</v>
      </c>
    </row>
    <row r="112" spans="1:16" s="402" customFormat="1" ht="11">
      <c r="A112" s="414" t="s">
        <v>814</v>
      </c>
      <c r="B112" s="414" t="s">
        <v>945</v>
      </c>
      <c r="C112" s="414" t="s">
        <v>814</v>
      </c>
      <c r="D112" s="414" t="s">
        <v>814</v>
      </c>
      <c r="E112" s="414" t="s">
        <v>814</v>
      </c>
      <c r="F112" s="414" t="s">
        <v>814</v>
      </c>
      <c r="G112" s="414" t="s">
        <v>814</v>
      </c>
      <c r="H112" s="414" t="s">
        <v>814</v>
      </c>
      <c r="I112" s="414" t="s">
        <v>814</v>
      </c>
      <c r="J112" s="414" t="s">
        <v>814</v>
      </c>
      <c r="K112" s="414" t="s">
        <v>814</v>
      </c>
      <c r="L112" s="414" t="s">
        <v>814</v>
      </c>
      <c r="M112" s="414" t="s">
        <v>814</v>
      </c>
      <c r="N112" s="414" t="s">
        <v>814</v>
      </c>
      <c r="O112" s="414" t="s">
        <v>814</v>
      </c>
      <c r="P112" s="414" t="s">
        <v>814</v>
      </c>
    </row>
    <row r="113" spans="1:16" s="402" customFormat="1" ht="11">
      <c r="A113" s="414" t="s">
        <v>819</v>
      </c>
      <c r="B113" s="414" t="s">
        <v>946</v>
      </c>
      <c r="C113" s="414" t="s">
        <v>819</v>
      </c>
      <c r="D113" s="414" t="s">
        <v>819</v>
      </c>
      <c r="E113" s="414" t="s">
        <v>819</v>
      </c>
      <c r="F113" s="414" t="s">
        <v>819</v>
      </c>
      <c r="G113" s="414" t="s">
        <v>819</v>
      </c>
      <c r="H113" s="414" t="s">
        <v>819</v>
      </c>
      <c r="I113" s="414" t="s">
        <v>819</v>
      </c>
      <c r="J113" s="414" t="s">
        <v>819</v>
      </c>
      <c r="K113" s="414" t="s">
        <v>819</v>
      </c>
      <c r="L113" s="414" t="s">
        <v>819</v>
      </c>
      <c r="M113" s="414" t="s">
        <v>819</v>
      </c>
      <c r="N113" s="414" t="s">
        <v>819</v>
      </c>
      <c r="O113" s="414" t="s">
        <v>819</v>
      </c>
      <c r="P113" s="414" t="s">
        <v>819</v>
      </c>
    </row>
    <row r="114" spans="1:16" s="402" customFormat="1" ht="11">
      <c r="A114" s="414" t="s">
        <v>947</v>
      </c>
      <c r="B114" s="414" t="s">
        <v>948</v>
      </c>
      <c r="C114" s="417">
        <v>304</v>
      </c>
      <c r="D114" s="417">
        <v>897</v>
      </c>
      <c r="E114" s="417">
        <v>908</v>
      </c>
      <c r="F114" s="417">
        <v>695</v>
      </c>
      <c r="G114" s="417">
        <v>629</v>
      </c>
      <c r="H114" s="417">
        <v>648</v>
      </c>
      <c r="I114" s="417">
        <v>947</v>
      </c>
      <c r="J114" s="417">
        <v>207</v>
      </c>
      <c r="K114" s="417">
        <v>958</v>
      </c>
      <c r="L114" s="417">
        <v>224</v>
      </c>
      <c r="M114" s="417">
        <v>903</v>
      </c>
      <c r="N114" s="417">
        <v>475</v>
      </c>
      <c r="O114" s="417">
        <v>7793</v>
      </c>
      <c r="P114" s="417">
        <v>2553</v>
      </c>
    </row>
    <row r="115" spans="1:16" s="402" customFormat="1" ht="11">
      <c r="A115" s="414" t="s">
        <v>949</v>
      </c>
      <c r="B115" s="414" t="s">
        <v>950</v>
      </c>
      <c r="C115" s="417">
        <v>560</v>
      </c>
      <c r="D115" s="417">
        <v>740</v>
      </c>
      <c r="E115" s="417">
        <v>840</v>
      </c>
      <c r="F115" s="417">
        <v>810</v>
      </c>
      <c r="G115" s="417">
        <v>517</v>
      </c>
      <c r="H115" s="417">
        <v>375</v>
      </c>
      <c r="I115" s="417">
        <v>555</v>
      </c>
      <c r="J115" s="417">
        <v>510</v>
      </c>
      <c r="K115" s="417">
        <v>630</v>
      </c>
      <c r="L115" s="417">
        <v>780</v>
      </c>
      <c r="M115" s="417">
        <v>530</v>
      </c>
      <c r="N115" s="417">
        <v>610</v>
      </c>
      <c r="O115" s="417">
        <v>7457</v>
      </c>
      <c r="P115" s="417">
        <v>8685</v>
      </c>
    </row>
    <row r="116" spans="1:16" s="402" customFormat="1" ht="11">
      <c r="A116" s="414" t="s">
        <v>951</v>
      </c>
      <c r="B116" s="414" t="s">
        <v>952</v>
      </c>
      <c r="C116" s="417">
        <v>406</v>
      </c>
      <c r="D116" s="417">
        <v>664</v>
      </c>
      <c r="E116" s="417">
        <v>262</v>
      </c>
      <c r="F116" s="417">
        <v>22</v>
      </c>
      <c r="G116" s="417">
        <v>123</v>
      </c>
      <c r="H116" s="417">
        <v>251</v>
      </c>
      <c r="I116" s="417">
        <v>129</v>
      </c>
      <c r="J116" s="417">
        <v>139</v>
      </c>
      <c r="K116" s="417">
        <v>215</v>
      </c>
      <c r="L116" s="417">
        <v>215</v>
      </c>
      <c r="M116" s="417">
        <v>243</v>
      </c>
      <c r="N116" s="417">
        <v>754</v>
      </c>
      <c r="O116" s="417">
        <v>3426</v>
      </c>
      <c r="P116" s="417">
        <v>3761</v>
      </c>
    </row>
    <row r="117" spans="1:16" s="402" customFormat="1" ht="11">
      <c r="A117" s="414" t="s">
        <v>954</v>
      </c>
      <c r="B117" s="414" t="s">
        <v>955</v>
      </c>
      <c r="C117" s="417">
        <v>0</v>
      </c>
      <c r="D117" s="417">
        <v>263</v>
      </c>
      <c r="E117" s="417">
        <v>263</v>
      </c>
      <c r="F117" s="417">
        <v>288</v>
      </c>
      <c r="G117" s="417">
        <v>263</v>
      </c>
      <c r="H117" s="417">
        <v>457</v>
      </c>
      <c r="I117" s="417">
        <v>0</v>
      </c>
      <c r="J117" s="417">
        <v>482</v>
      </c>
      <c r="K117" s="417">
        <v>263</v>
      </c>
      <c r="L117" s="417">
        <v>288</v>
      </c>
      <c r="M117" s="417">
        <v>263</v>
      </c>
      <c r="N117" s="417">
        <v>0</v>
      </c>
      <c r="O117" s="417">
        <v>2830</v>
      </c>
      <c r="P117" s="417">
        <v>1393</v>
      </c>
    </row>
    <row r="118" spans="1:16" s="402" customFormat="1" ht="11">
      <c r="A118" s="414" t="s">
        <v>957</v>
      </c>
      <c r="B118" s="414" t="s">
        <v>958</v>
      </c>
      <c r="C118" s="417">
        <v>524</v>
      </c>
      <c r="D118" s="417">
        <v>543</v>
      </c>
      <c r="E118" s="417">
        <v>225</v>
      </c>
      <c r="F118" s="417">
        <v>403</v>
      </c>
      <c r="G118" s="417">
        <v>243</v>
      </c>
      <c r="H118" s="417">
        <v>725</v>
      </c>
      <c r="I118" s="417">
        <v>580</v>
      </c>
      <c r="J118" s="417">
        <v>0</v>
      </c>
      <c r="K118" s="417">
        <v>273</v>
      </c>
      <c r="L118" s="417">
        <v>649</v>
      </c>
      <c r="M118" s="417">
        <v>639</v>
      </c>
      <c r="N118" s="417">
        <v>375</v>
      </c>
      <c r="O118" s="417">
        <v>5178</v>
      </c>
      <c r="P118" s="417">
        <v>5176</v>
      </c>
    </row>
    <row r="119" spans="1:16" s="402" customFormat="1" ht="11">
      <c r="A119" s="414" t="s">
        <v>959</v>
      </c>
      <c r="B119" s="414" t="s">
        <v>960</v>
      </c>
      <c r="C119" s="417">
        <v>100</v>
      </c>
      <c r="D119" s="417">
        <v>200</v>
      </c>
      <c r="E119" s="417">
        <v>100</v>
      </c>
      <c r="F119" s="417">
        <v>100</v>
      </c>
      <c r="G119" s="417">
        <v>145</v>
      </c>
      <c r="H119" s="417">
        <v>0</v>
      </c>
      <c r="I119" s="417">
        <v>0</v>
      </c>
      <c r="J119" s="417">
        <v>0</v>
      </c>
      <c r="K119" s="417">
        <v>0</v>
      </c>
      <c r="L119" s="417">
        <v>0</v>
      </c>
      <c r="M119" s="417">
        <v>0</v>
      </c>
      <c r="N119" s="417">
        <v>175</v>
      </c>
      <c r="O119" s="417">
        <v>820</v>
      </c>
      <c r="P119" s="417">
        <v>490</v>
      </c>
    </row>
    <row r="120" spans="1:16" s="402" customFormat="1" ht="11">
      <c r="A120" s="414" t="s">
        <v>961</v>
      </c>
      <c r="B120" s="414" t="s">
        <v>962</v>
      </c>
      <c r="C120" s="417">
        <v>606</v>
      </c>
      <c r="D120" s="417">
        <v>1182</v>
      </c>
      <c r="E120" s="417">
        <v>1662</v>
      </c>
      <c r="F120" s="417">
        <v>900</v>
      </c>
      <c r="G120" s="417">
        <v>600</v>
      </c>
      <c r="H120" s="417">
        <v>1503</v>
      </c>
      <c r="I120" s="417">
        <v>852</v>
      </c>
      <c r="J120" s="417">
        <v>1189</v>
      </c>
      <c r="K120" s="417">
        <v>667</v>
      </c>
      <c r="L120" s="417">
        <v>161</v>
      </c>
      <c r="M120" s="417">
        <v>967</v>
      </c>
      <c r="N120" s="417">
        <v>1507</v>
      </c>
      <c r="O120" s="417">
        <v>11799</v>
      </c>
      <c r="P120" s="417">
        <v>13607</v>
      </c>
    </row>
    <row r="121" spans="1:16" s="402" customFormat="1" ht="11">
      <c r="A121" s="414" t="s">
        <v>963</v>
      </c>
      <c r="B121" s="414" t="s">
        <v>964</v>
      </c>
      <c r="C121" s="417">
        <v>0</v>
      </c>
      <c r="D121" s="417">
        <v>0</v>
      </c>
      <c r="E121" s="417">
        <v>0</v>
      </c>
      <c r="F121" s="417">
        <v>0</v>
      </c>
      <c r="G121" s="417">
        <v>0</v>
      </c>
      <c r="H121" s="417">
        <v>0</v>
      </c>
      <c r="I121" s="417">
        <v>0</v>
      </c>
      <c r="J121" s="417">
        <v>0</v>
      </c>
      <c r="K121" s="417">
        <v>0</v>
      </c>
      <c r="L121" s="417">
        <v>0</v>
      </c>
      <c r="M121" s="417">
        <v>199</v>
      </c>
      <c r="N121" s="417">
        <v>0</v>
      </c>
      <c r="O121" s="417">
        <v>198</v>
      </c>
      <c r="P121" s="417">
        <v>89</v>
      </c>
    </row>
    <row r="122" spans="1:16" s="402" customFormat="1" ht="11">
      <c r="A122" s="418" t="s">
        <v>545</v>
      </c>
      <c r="B122" s="414" t="s">
        <v>946</v>
      </c>
      <c r="C122" s="419">
        <v>2500</v>
      </c>
      <c r="D122" s="419">
        <v>4489</v>
      </c>
      <c r="E122" s="419">
        <v>4260</v>
      </c>
      <c r="F122" s="419">
        <v>3218</v>
      </c>
      <c r="G122" s="419">
        <v>2520</v>
      </c>
      <c r="H122" s="419">
        <v>3959</v>
      </c>
      <c r="I122" s="419">
        <v>3063</v>
      </c>
      <c r="J122" s="419">
        <v>2527</v>
      </c>
      <c r="K122" s="419">
        <v>3006</v>
      </c>
      <c r="L122" s="419">
        <v>2317</v>
      </c>
      <c r="M122" s="419">
        <v>3744</v>
      </c>
      <c r="N122" s="419">
        <v>3896</v>
      </c>
      <c r="O122" s="419">
        <v>39501</v>
      </c>
      <c r="P122" s="419">
        <v>35754</v>
      </c>
    </row>
    <row r="123" spans="1:16" s="402" customFormat="1" ht="11">
      <c r="A123" s="414" t="s">
        <v>819</v>
      </c>
      <c r="B123" s="414" t="s">
        <v>965</v>
      </c>
      <c r="C123" s="414" t="s">
        <v>819</v>
      </c>
      <c r="D123" s="414" t="s">
        <v>819</v>
      </c>
      <c r="E123" s="414" t="s">
        <v>819</v>
      </c>
      <c r="F123" s="414" t="s">
        <v>819</v>
      </c>
      <c r="G123" s="414" t="s">
        <v>819</v>
      </c>
      <c r="H123" s="414" t="s">
        <v>819</v>
      </c>
      <c r="I123" s="414" t="s">
        <v>819</v>
      </c>
      <c r="J123" s="414" t="s">
        <v>819</v>
      </c>
      <c r="K123" s="414" t="s">
        <v>819</v>
      </c>
      <c r="L123" s="414" t="s">
        <v>819</v>
      </c>
      <c r="M123" s="414" t="s">
        <v>819</v>
      </c>
      <c r="N123" s="414" t="s">
        <v>819</v>
      </c>
      <c r="O123" s="414" t="s">
        <v>819</v>
      </c>
      <c r="P123" s="414" t="s">
        <v>819</v>
      </c>
    </row>
    <row r="124" spans="1:16" s="402" customFormat="1" ht="11">
      <c r="A124" s="414" t="s">
        <v>967</v>
      </c>
      <c r="B124" s="414" t="s">
        <v>968</v>
      </c>
      <c r="C124" s="417">
        <v>0</v>
      </c>
      <c r="D124" s="417">
        <v>493</v>
      </c>
      <c r="E124" s="417">
        <v>444</v>
      </c>
      <c r="F124" s="417">
        <v>324</v>
      </c>
      <c r="G124" s="417">
        <v>0</v>
      </c>
      <c r="H124" s="417">
        <v>336</v>
      </c>
      <c r="I124" s="417">
        <v>180</v>
      </c>
      <c r="J124" s="417">
        <v>281</v>
      </c>
      <c r="K124" s="417">
        <v>0</v>
      </c>
      <c r="L124" s="417">
        <v>276</v>
      </c>
      <c r="M124" s="417">
        <v>300</v>
      </c>
      <c r="N124" s="417">
        <v>0</v>
      </c>
      <c r="O124" s="417">
        <v>2632</v>
      </c>
      <c r="P124" s="417">
        <v>1745</v>
      </c>
    </row>
    <row r="125" spans="1:16" s="402" customFormat="1" ht="11">
      <c r="A125" s="414" t="s">
        <v>970</v>
      </c>
      <c r="B125" s="414" t="s">
        <v>971</v>
      </c>
      <c r="C125" s="417">
        <v>548</v>
      </c>
      <c r="D125" s="417">
        <v>278</v>
      </c>
      <c r="E125" s="417">
        <v>266</v>
      </c>
      <c r="F125" s="417">
        <v>479</v>
      </c>
      <c r="G125" s="417">
        <v>140</v>
      </c>
      <c r="H125" s="417">
        <v>640</v>
      </c>
      <c r="I125" s="417">
        <v>927</v>
      </c>
      <c r="J125" s="417">
        <v>1281</v>
      </c>
      <c r="K125" s="417">
        <v>281</v>
      </c>
      <c r="L125" s="417">
        <v>321</v>
      </c>
      <c r="M125" s="417">
        <v>185</v>
      </c>
      <c r="N125" s="417">
        <v>101</v>
      </c>
      <c r="O125" s="417">
        <v>5445</v>
      </c>
      <c r="P125" s="417">
        <v>4178</v>
      </c>
    </row>
    <row r="126" spans="1:16" s="402" customFormat="1" ht="11">
      <c r="A126" s="414" t="s">
        <v>973</v>
      </c>
      <c r="B126" s="414" t="s">
        <v>974</v>
      </c>
      <c r="C126" s="417">
        <v>0</v>
      </c>
      <c r="D126" s="417">
        <v>0</v>
      </c>
      <c r="E126" s="417">
        <v>0</v>
      </c>
      <c r="F126" s="417">
        <v>0</v>
      </c>
      <c r="G126" s="417">
        <v>608</v>
      </c>
      <c r="H126" s="417">
        <v>596</v>
      </c>
      <c r="I126" s="417">
        <v>0</v>
      </c>
      <c r="J126" s="417">
        <v>0</v>
      </c>
      <c r="K126" s="417">
        <v>0</v>
      </c>
      <c r="L126" s="417">
        <v>22</v>
      </c>
      <c r="M126" s="417">
        <v>0</v>
      </c>
      <c r="N126" s="417">
        <v>58</v>
      </c>
      <c r="O126" s="417">
        <v>1283</v>
      </c>
      <c r="P126" s="417">
        <v>139</v>
      </c>
    </row>
    <row r="127" spans="1:16" s="402" customFormat="1" ht="11">
      <c r="A127" s="414" t="s">
        <v>976</v>
      </c>
      <c r="B127" s="414" t="s">
        <v>977</v>
      </c>
      <c r="C127" s="417">
        <v>0</v>
      </c>
      <c r="D127" s="417">
        <v>194</v>
      </c>
      <c r="E127" s="417">
        <v>0</v>
      </c>
      <c r="F127" s="417">
        <v>464</v>
      </c>
      <c r="G127" s="417">
        <v>0</v>
      </c>
      <c r="H127" s="417">
        <v>1192</v>
      </c>
      <c r="I127" s="417">
        <v>317</v>
      </c>
      <c r="J127" s="417">
        <v>337</v>
      </c>
      <c r="K127" s="417">
        <v>386</v>
      </c>
      <c r="L127" s="417">
        <v>194</v>
      </c>
      <c r="M127" s="417">
        <v>320</v>
      </c>
      <c r="N127" s="417">
        <v>194</v>
      </c>
      <c r="O127" s="417">
        <v>3601</v>
      </c>
      <c r="P127" s="417">
        <v>3731</v>
      </c>
    </row>
    <row r="128" spans="1:16" s="402" customFormat="1" ht="11">
      <c r="A128" s="414" t="s">
        <v>978</v>
      </c>
      <c r="B128" s="414" t="s">
        <v>979</v>
      </c>
      <c r="C128" s="417">
        <v>0</v>
      </c>
      <c r="D128" s="417">
        <v>261</v>
      </c>
      <c r="E128" s="417">
        <v>398</v>
      </c>
      <c r="F128" s="417">
        <v>0</v>
      </c>
      <c r="G128" s="417">
        <v>0</v>
      </c>
      <c r="H128" s="417">
        <v>0</v>
      </c>
      <c r="I128" s="417">
        <v>0</v>
      </c>
      <c r="J128" s="417">
        <v>0</v>
      </c>
      <c r="K128" s="417">
        <v>0</v>
      </c>
      <c r="L128" s="417">
        <v>0</v>
      </c>
      <c r="M128" s="417">
        <v>0</v>
      </c>
      <c r="N128" s="417">
        <v>0</v>
      </c>
      <c r="O128" s="417">
        <v>659</v>
      </c>
      <c r="P128" s="417">
        <v>703</v>
      </c>
    </row>
    <row r="129" spans="1:16" s="402" customFormat="1" ht="11">
      <c r="A129" s="414" t="s">
        <v>981</v>
      </c>
      <c r="B129" s="414" t="s">
        <v>982</v>
      </c>
      <c r="C129" s="417">
        <v>0</v>
      </c>
      <c r="D129" s="417">
        <v>0</v>
      </c>
      <c r="E129" s="417">
        <v>0</v>
      </c>
      <c r="F129" s="417">
        <v>0</v>
      </c>
      <c r="G129" s="417">
        <v>0</v>
      </c>
      <c r="H129" s="417">
        <v>0</v>
      </c>
      <c r="I129" s="417">
        <v>0</v>
      </c>
      <c r="J129" s="417">
        <v>0</v>
      </c>
      <c r="K129" s="417">
        <v>0</v>
      </c>
      <c r="L129" s="417">
        <v>0</v>
      </c>
      <c r="M129" s="417">
        <v>0</v>
      </c>
      <c r="N129" s="417">
        <v>0</v>
      </c>
      <c r="O129" s="417">
        <v>0</v>
      </c>
      <c r="P129" s="417">
        <v>433</v>
      </c>
    </row>
    <row r="130" spans="1:16" s="402" customFormat="1" ht="11">
      <c r="A130" s="414" t="s">
        <v>983</v>
      </c>
      <c r="B130" s="414" t="s">
        <v>984</v>
      </c>
      <c r="C130" s="417">
        <v>0</v>
      </c>
      <c r="D130" s="417">
        <v>0</v>
      </c>
      <c r="E130" s="417">
        <v>352</v>
      </c>
      <c r="F130" s="417">
        <v>0</v>
      </c>
      <c r="G130" s="417">
        <v>0</v>
      </c>
      <c r="H130" s="417">
        <v>0</v>
      </c>
      <c r="I130" s="417">
        <v>0</v>
      </c>
      <c r="J130" s="417">
        <v>325</v>
      </c>
      <c r="K130" s="417">
        <v>975</v>
      </c>
      <c r="L130" s="417">
        <v>0</v>
      </c>
      <c r="M130" s="417">
        <v>0</v>
      </c>
      <c r="N130" s="417">
        <v>0</v>
      </c>
      <c r="O130" s="417">
        <v>1652</v>
      </c>
      <c r="P130" s="417">
        <v>0</v>
      </c>
    </row>
    <row r="131" spans="1:16" s="402" customFormat="1" ht="11">
      <c r="A131" s="418" t="s">
        <v>545</v>
      </c>
      <c r="B131" s="414" t="s">
        <v>965</v>
      </c>
      <c r="C131" s="419">
        <v>548</v>
      </c>
      <c r="D131" s="419">
        <v>1226</v>
      </c>
      <c r="E131" s="419">
        <v>1460</v>
      </c>
      <c r="F131" s="419">
        <v>1267</v>
      </c>
      <c r="G131" s="419">
        <v>748</v>
      </c>
      <c r="H131" s="419">
        <v>2764</v>
      </c>
      <c r="I131" s="419">
        <v>1424</v>
      </c>
      <c r="J131" s="419">
        <v>2224</v>
      </c>
      <c r="K131" s="419">
        <v>1642</v>
      </c>
      <c r="L131" s="419">
        <v>813</v>
      </c>
      <c r="M131" s="419">
        <v>805</v>
      </c>
      <c r="N131" s="419">
        <v>353</v>
      </c>
      <c r="O131" s="419">
        <v>15272</v>
      </c>
      <c r="P131" s="419">
        <v>10929</v>
      </c>
    </row>
    <row r="132" spans="1:16" s="402" customFormat="1" ht="11">
      <c r="A132" s="414" t="s">
        <v>819</v>
      </c>
      <c r="B132" s="414" t="s">
        <v>987</v>
      </c>
      <c r="C132" s="414" t="s">
        <v>819</v>
      </c>
      <c r="D132" s="414" t="s">
        <v>819</v>
      </c>
      <c r="E132" s="414" t="s">
        <v>819</v>
      </c>
      <c r="F132" s="414" t="s">
        <v>819</v>
      </c>
      <c r="G132" s="414" t="s">
        <v>819</v>
      </c>
      <c r="H132" s="414" t="s">
        <v>819</v>
      </c>
      <c r="I132" s="414" t="s">
        <v>819</v>
      </c>
      <c r="J132" s="414" t="s">
        <v>819</v>
      </c>
      <c r="K132" s="414" t="s">
        <v>819</v>
      </c>
      <c r="L132" s="414" t="s">
        <v>819</v>
      </c>
      <c r="M132" s="414" t="s">
        <v>819</v>
      </c>
      <c r="N132" s="414" t="s">
        <v>819</v>
      </c>
      <c r="O132" s="414" t="s">
        <v>819</v>
      </c>
      <c r="P132" s="414" t="s">
        <v>819</v>
      </c>
    </row>
    <row r="133" spans="1:16" s="402" customFormat="1" ht="11">
      <c r="A133" s="414" t="s">
        <v>988</v>
      </c>
      <c r="B133" s="414" t="s">
        <v>989</v>
      </c>
      <c r="C133" s="417">
        <v>0</v>
      </c>
      <c r="D133" s="417">
        <v>0</v>
      </c>
      <c r="E133" s="417">
        <v>0</v>
      </c>
      <c r="F133" s="417">
        <v>18</v>
      </c>
      <c r="G133" s="417">
        <v>0</v>
      </c>
      <c r="H133" s="417">
        <v>0</v>
      </c>
      <c r="I133" s="417">
        <v>0</v>
      </c>
      <c r="J133" s="417">
        <v>0</v>
      </c>
      <c r="K133" s="417">
        <v>0</v>
      </c>
      <c r="L133" s="417">
        <v>0</v>
      </c>
      <c r="M133" s="417">
        <v>0</v>
      </c>
      <c r="N133" s="417">
        <v>0</v>
      </c>
      <c r="O133" s="417">
        <v>17</v>
      </c>
      <c r="P133" s="417">
        <v>0</v>
      </c>
    </row>
    <row r="134" spans="1:16" s="402" customFormat="1" ht="11">
      <c r="A134" s="414" t="s">
        <v>991</v>
      </c>
      <c r="B134" s="414" t="s">
        <v>992</v>
      </c>
      <c r="C134" s="417">
        <v>0</v>
      </c>
      <c r="D134" s="417">
        <v>0</v>
      </c>
      <c r="E134" s="417">
        <v>0</v>
      </c>
      <c r="F134" s="417">
        <v>0</v>
      </c>
      <c r="G134" s="417">
        <v>0</v>
      </c>
      <c r="H134" s="417">
        <v>0</v>
      </c>
      <c r="I134" s="417">
        <v>1152</v>
      </c>
      <c r="J134" s="417">
        <v>1290</v>
      </c>
      <c r="K134" s="417">
        <v>0</v>
      </c>
      <c r="L134" s="417">
        <v>0</v>
      </c>
      <c r="M134" s="417">
        <v>1376</v>
      </c>
      <c r="N134" s="417">
        <v>0</v>
      </c>
      <c r="O134" s="417">
        <v>3818</v>
      </c>
      <c r="P134" s="417">
        <v>2832</v>
      </c>
    </row>
    <row r="135" spans="1:16" s="402" customFormat="1" ht="11">
      <c r="A135" s="418" t="s">
        <v>545</v>
      </c>
      <c r="B135" s="414" t="s">
        <v>987</v>
      </c>
      <c r="C135" s="419">
        <v>0</v>
      </c>
      <c r="D135" s="419">
        <v>0</v>
      </c>
      <c r="E135" s="419">
        <v>0</v>
      </c>
      <c r="F135" s="419">
        <v>18</v>
      </c>
      <c r="G135" s="419">
        <v>0</v>
      </c>
      <c r="H135" s="419">
        <v>0</v>
      </c>
      <c r="I135" s="419">
        <v>1152</v>
      </c>
      <c r="J135" s="419">
        <v>1290</v>
      </c>
      <c r="K135" s="419">
        <v>0</v>
      </c>
      <c r="L135" s="419">
        <v>0</v>
      </c>
      <c r="M135" s="419">
        <v>1376</v>
      </c>
      <c r="N135" s="419">
        <v>0</v>
      </c>
      <c r="O135" s="419">
        <v>3835</v>
      </c>
      <c r="P135" s="419">
        <v>2832</v>
      </c>
    </row>
    <row r="136" spans="1:16" s="402" customFormat="1" ht="11">
      <c r="A136" s="414" t="s">
        <v>819</v>
      </c>
      <c r="B136" s="414" t="s">
        <v>994</v>
      </c>
      <c r="C136" s="414" t="s">
        <v>819</v>
      </c>
      <c r="D136" s="414" t="s">
        <v>819</v>
      </c>
      <c r="E136" s="414" t="s">
        <v>819</v>
      </c>
      <c r="F136" s="414" t="s">
        <v>819</v>
      </c>
      <c r="G136" s="414" t="s">
        <v>819</v>
      </c>
      <c r="H136" s="414" t="s">
        <v>819</v>
      </c>
      <c r="I136" s="414" t="s">
        <v>819</v>
      </c>
      <c r="J136" s="414" t="s">
        <v>819</v>
      </c>
      <c r="K136" s="414" t="s">
        <v>819</v>
      </c>
      <c r="L136" s="414" t="s">
        <v>819</v>
      </c>
      <c r="M136" s="414" t="s">
        <v>819</v>
      </c>
      <c r="N136" s="414" t="s">
        <v>819</v>
      </c>
      <c r="O136" s="414" t="s">
        <v>819</v>
      </c>
      <c r="P136" s="414" t="s">
        <v>819</v>
      </c>
    </row>
    <row r="137" spans="1:16" s="402" customFormat="1" ht="11">
      <c r="A137" s="414" t="s">
        <v>995</v>
      </c>
      <c r="B137" s="414" t="s">
        <v>996</v>
      </c>
      <c r="C137" s="417">
        <v>18</v>
      </c>
      <c r="D137" s="417">
        <v>0</v>
      </c>
      <c r="E137" s="417">
        <v>201</v>
      </c>
      <c r="F137" s="417">
        <v>24</v>
      </c>
      <c r="G137" s="417">
        <v>286</v>
      </c>
      <c r="H137" s="417">
        <v>0</v>
      </c>
      <c r="I137" s="417">
        <v>29</v>
      </c>
      <c r="J137" s="417">
        <v>61</v>
      </c>
      <c r="K137" s="417">
        <v>190</v>
      </c>
      <c r="L137" s="417">
        <v>111</v>
      </c>
      <c r="M137" s="417">
        <v>104</v>
      </c>
      <c r="N137" s="417">
        <v>205</v>
      </c>
      <c r="O137" s="417">
        <v>1230</v>
      </c>
      <c r="P137" s="417">
        <v>1468</v>
      </c>
    </row>
    <row r="138" spans="1:16" s="402" customFormat="1" ht="11">
      <c r="A138" s="414" t="s">
        <v>1000</v>
      </c>
      <c r="B138" s="414" t="s">
        <v>1001</v>
      </c>
      <c r="C138" s="417">
        <v>0</v>
      </c>
      <c r="D138" s="417">
        <v>0</v>
      </c>
      <c r="E138" s="417">
        <v>0</v>
      </c>
      <c r="F138" s="417">
        <v>0</v>
      </c>
      <c r="G138" s="417">
        <v>0</v>
      </c>
      <c r="H138" s="417">
        <v>0</v>
      </c>
      <c r="I138" s="417">
        <v>0</v>
      </c>
      <c r="J138" s="417">
        <v>0</v>
      </c>
      <c r="K138" s="417">
        <v>0</v>
      </c>
      <c r="L138" s="417">
        <v>0</v>
      </c>
      <c r="M138" s="417">
        <v>50</v>
      </c>
      <c r="N138" s="417">
        <v>486</v>
      </c>
      <c r="O138" s="417">
        <v>536</v>
      </c>
      <c r="P138" s="417">
        <v>549</v>
      </c>
    </row>
    <row r="139" spans="1:16" s="402" customFormat="1" ht="11">
      <c r="A139" s="414" t="s">
        <v>1002</v>
      </c>
      <c r="B139" s="414" t="s">
        <v>1003</v>
      </c>
      <c r="C139" s="417">
        <v>0</v>
      </c>
      <c r="D139" s="417">
        <v>0</v>
      </c>
      <c r="E139" s="417">
        <v>905</v>
      </c>
      <c r="F139" s="417">
        <v>532</v>
      </c>
      <c r="G139" s="417">
        <v>0</v>
      </c>
      <c r="H139" s="417">
        <v>625</v>
      </c>
      <c r="I139" s="417">
        <v>0</v>
      </c>
      <c r="J139" s="417">
        <v>460</v>
      </c>
      <c r="K139" s="417">
        <v>0</v>
      </c>
      <c r="L139" s="417">
        <v>290</v>
      </c>
      <c r="M139" s="417">
        <v>355</v>
      </c>
      <c r="N139" s="417">
        <v>435</v>
      </c>
      <c r="O139" s="417">
        <v>3602</v>
      </c>
      <c r="P139" s="417">
        <v>4442</v>
      </c>
    </row>
    <row r="140" spans="1:16" s="402" customFormat="1" ht="11">
      <c r="A140" s="414" t="s">
        <v>1004</v>
      </c>
      <c r="B140" s="414" t="s">
        <v>1005</v>
      </c>
      <c r="C140" s="417">
        <v>0</v>
      </c>
      <c r="D140" s="417">
        <v>219</v>
      </c>
      <c r="E140" s="417">
        <v>199</v>
      </c>
      <c r="F140" s="417">
        <v>14</v>
      </c>
      <c r="G140" s="417">
        <v>176</v>
      </c>
      <c r="H140" s="417">
        <v>0</v>
      </c>
      <c r="I140" s="417">
        <v>362</v>
      </c>
      <c r="J140" s="417">
        <v>661</v>
      </c>
      <c r="K140" s="417">
        <v>109</v>
      </c>
      <c r="L140" s="417">
        <v>0</v>
      </c>
      <c r="M140" s="417">
        <v>75</v>
      </c>
      <c r="N140" s="417">
        <v>0</v>
      </c>
      <c r="O140" s="417">
        <v>1815</v>
      </c>
      <c r="P140" s="417">
        <v>1243</v>
      </c>
    </row>
    <row r="141" spans="1:16" s="402" customFormat="1" ht="11">
      <c r="A141" s="414" t="s">
        <v>1009</v>
      </c>
      <c r="B141" s="414" t="s">
        <v>1010</v>
      </c>
      <c r="C141" s="417">
        <v>467</v>
      </c>
      <c r="D141" s="417">
        <v>963</v>
      </c>
      <c r="E141" s="417">
        <v>1092</v>
      </c>
      <c r="F141" s="417">
        <v>1398</v>
      </c>
      <c r="G141" s="417">
        <v>571</v>
      </c>
      <c r="H141" s="417">
        <v>1359</v>
      </c>
      <c r="I141" s="417">
        <v>922</v>
      </c>
      <c r="J141" s="417">
        <v>1702</v>
      </c>
      <c r="K141" s="417">
        <v>663</v>
      </c>
      <c r="L141" s="417">
        <v>1243</v>
      </c>
      <c r="M141" s="417">
        <v>675</v>
      </c>
      <c r="N141" s="417">
        <v>816</v>
      </c>
      <c r="O141" s="417">
        <v>11871</v>
      </c>
      <c r="P141" s="417">
        <v>2041</v>
      </c>
    </row>
    <row r="142" spans="1:16" s="402" customFormat="1" ht="11">
      <c r="A142" s="414" t="s">
        <v>1011</v>
      </c>
      <c r="B142" s="414" t="s">
        <v>1012</v>
      </c>
      <c r="C142" s="417">
        <v>0</v>
      </c>
      <c r="D142" s="417">
        <v>0</v>
      </c>
      <c r="E142" s="417">
        <v>0</v>
      </c>
      <c r="F142" s="417">
        <v>317</v>
      </c>
      <c r="G142" s="417">
        <v>0</v>
      </c>
      <c r="H142" s="417">
        <v>300</v>
      </c>
      <c r="I142" s="417">
        <v>0</v>
      </c>
      <c r="J142" s="417">
        <v>0</v>
      </c>
      <c r="K142" s="417">
        <v>0</v>
      </c>
      <c r="L142" s="417">
        <v>0</v>
      </c>
      <c r="M142" s="417">
        <v>172</v>
      </c>
      <c r="N142" s="417">
        <v>0</v>
      </c>
      <c r="O142" s="417">
        <v>790</v>
      </c>
      <c r="P142" s="417">
        <v>656</v>
      </c>
    </row>
    <row r="143" spans="1:16" s="402" customFormat="1" ht="11">
      <c r="A143" s="414" t="s">
        <v>1013</v>
      </c>
      <c r="B143" s="414" t="s">
        <v>1014</v>
      </c>
      <c r="C143" s="417">
        <v>0</v>
      </c>
      <c r="D143" s="417">
        <v>201</v>
      </c>
      <c r="E143" s="417">
        <v>3</v>
      </c>
      <c r="F143" s="417">
        <v>0</v>
      </c>
      <c r="G143" s="417">
        <v>16</v>
      </c>
      <c r="H143" s="417">
        <v>193</v>
      </c>
      <c r="I143" s="417">
        <v>126</v>
      </c>
      <c r="J143" s="417">
        <v>117</v>
      </c>
      <c r="K143" s="417">
        <v>9</v>
      </c>
      <c r="L143" s="417">
        <v>0</v>
      </c>
      <c r="M143" s="417">
        <v>231</v>
      </c>
      <c r="N143" s="417">
        <v>212</v>
      </c>
      <c r="O143" s="417">
        <v>1107</v>
      </c>
      <c r="P143" s="417">
        <v>1102</v>
      </c>
    </row>
    <row r="144" spans="1:16" s="402" customFormat="1" ht="11">
      <c r="A144" s="414" t="s">
        <v>1015</v>
      </c>
      <c r="B144" s="414" t="s">
        <v>1016</v>
      </c>
      <c r="C144" s="417">
        <v>112</v>
      </c>
      <c r="D144" s="417">
        <v>184</v>
      </c>
      <c r="E144" s="417">
        <v>257</v>
      </c>
      <c r="F144" s="417">
        <v>260</v>
      </c>
      <c r="G144" s="417">
        <v>263</v>
      </c>
      <c r="H144" s="417">
        <v>287</v>
      </c>
      <c r="I144" s="417">
        <v>112</v>
      </c>
      <c r="J144" s="417">
        <v>558</v>
      </c>
      <c r="K144" s="417">
        <v>251</v>
      </c>
      <c r="L144" s="417">
        <v>37</v>
      </c>
      <c r="M144" s="417">
        <v>266</v>
      </c>
      <c r="N144" s="417">
        <v>360</v>
      </c>
      <c r="O144" s="417">
        <v>2946</v>
      </c>
      <c r="P144" s="417">
        <v>2959</v>
      </c>
    </row>
    <row r="145" spans="1:16" s="402" customFormat="1" ht="11">
      <c r="A145" s="414" t="s">
        <v>1017</v>
      </c>
      <c r="B145" s="414" t="s">
        <v>1018</v>
      </c>
      <c r="C145" s="417">
        <v>0</v>
      </c>
      <c r="D145" s="417">
        <v>500</v>
      </c>
      <c r="E145" s="417">
        <v>0</v>
      </c>
      <c r="F145" s="417">
        <v>0</v>
      </c>
      <c r="G145" s="417">
        <v>0</v>
      </c>
      <c r="H145" s="417">
        <v>0</v>
      </c>
      <c r="I145" s="417">
        <v>0</v>
      </c>
      <c r="J145" s="417">
        <v>0</v>
      </c>
      <c r="K145" s="417">
        <v>0</v>
      </c>
      <c r="L145" s="417">
        <v>0</v>
      </c>
      <c r="M145" s="417">
        <v>0</v>
      </c>
      <c r="N145" s="417">
        <v>0</v>
      </c>
      <c r="O145" s="417">
        <v>500</v>
      </c>
      <c r="P145" s="417">
        <v>100</v>
      </c>
    </row>
    <row r="146" spans="1:16" s="402" customFormat="1" ht="11">
      <c r="A146" s="414" t="s">
        <v>1019</v>
      </c>
      <c r="B146" s="414" t="s">
        <v>1020</v>
      </c>
      <c r="C146" s="417">
        <v>122</v>
      </c>
      <c r="D146" s="417">
        <v>24</v>
      </c>
      <c r="E146" s="417">
        <v>60</v>
      </c>
      <c r="F146" s="417">
        <v>0</v>
      </c>
      <c r="G146" s="417">
        <v>71</v>
      </c>
      <c r="H146" s="417">
        <v>23</v>
      </c>
      <c r="I146" s="417">
        <v>0</v>
      </c>
      <c r="J146" s="417">
        <v>7</v>
      </c>
      <c r="K146" s="417">
        <v>0</v>
      </c>
      <c r="L146" s="417">
        <v>34</v>
      </c>
      <c r="M146" s="417">
        <v>67</v>
      </c>
      <c r="N146" s="417">
        <v>0</v>
      </c>
      <c r="O146" s="417">
        <v>409</v>
      </c>
      <c r="P146" s="417">
        <v>241</v>
      </c>
    </row>
    <row r="147" spans="1:16" s="402" customFormat="1" ht="11">
      <c r="A147" s="414" t="s">
        <v>1021</v>
      </c>
      <c r="B147" s="414" t="s">
        <v>1022</v>
      </c>
      <c r="C147" s="417">
        <v>0</v>
      </c>
      <c r="D147" s="417">
        <v>317</v>
      </c>
      <c r="E147" s="417">
        <v>0</v>
      </c>
      <c r="F147" s="417">
        <v>52</v>
      </c>
      <c r="G147" s="417">
        <v>212</v>
      </c>
      <c r="H147" s="417">
        <v>0</v>
      </c>
      <c r="I147" s="417">
        <v>0</v>
      </c>
      <c r="J147" s="417">
        <v>268</v>
      </c>
      <c r="K147" s="417">
        <v>0</v>
      </c>
      <c r="L147" s="417">
        <v>0</v>
      </c>
      <c r="M147" s="417">
        <v>232</v>
      </c>
      <c r="N147" s="417">
        <v>0</v>
      </c>
      <c r="O147" s="417">
        <v>1081</v>
      </c>
      <c r="P147" s="417">
        <v>603</v>
      </c>
    </row>
    <row r="148" spans="1:16" s="402" customFormat="1" ht="11">
      <c r="A148" s="418" t="s">
        <v>545</v>
      </c>
      <c r="B148" s="414" t="s">
        <v>994</v>
      </c>
      <c r="C148" s="419">
        <v>719</v>
      </c>
      <c r="D148" s="419">
        <v>2408</v>
      </c>
      <c r="E148" s="419">
        <v>2717</v>
      </c>
      <c r="F148" s="419">
        <v>2597</v>
      </c>
      <c r="G148" s="419">
        <v>1595</v>
      </c>
      <c r="H148" s="419">
        <v>2787</v>
      </c>
      <c r="I148" s="419">
        <v>1551</v>
      </c>
      <c r="J148" s="419">
        <v>3834</v>
      </c>
      <c r="K148" s="419">
        <v>1222</v>
      </c>
      <c r="L148" s="419">
        <v>1715</v>
      </c>
      <c r="M148" s="419">
        <v>2227</v>
      </c>
      <c r="N148" s="419">
        <v>2514</v>
      </c>
      <c r="O148" s="419">
        <v>25887</v>
      </c>
      <c r="P148" s="419">
        <v>15404</v>
      </c>
    </row>
    <row r="149" spans="1:16" s="402" customFormat="1" ht="11">
      <c r="A149" s="414" t="s">
        <v>819</v>
      </c>
      <c r="B149" s="414" t="s">
        <v>1023</v>
      </c>
      <c r="C149" s="414" t="s">
        <v>819</v>
      </c>
      <c r="D149" s="414" t="s">
        <v>819</v>
      </c>
      <c r="E149" s="414" t="s">
        <v>819</v>
      </c>
      <c r="F149" s="414" t="s">
        <v>819</v>
      </c>
      <c r="G149" s="414" t="s">
        <v>819</v>
      </c>
      <c r="H149" s="414" t="s">
        <v>819</v>
      </c>
      <c r="I149" s="414" t="s">
        <v>819</v>
      </c>
      <c r="J149" s="414" t="s">
        <v>819</v>
      </c>
      <c r="K149" s="414" t="s">
        <v>819</v>
      </c>
      <c r="L149" s="414" t="s">
        <v>819</v>
      </c>
      <c r="M149" s="414" t="s">
        <v>819</v>
      </c>
      <c r="N149" s="414" t="s">
        <v>819</v>
      </c>
      <c r="O149" s="414" t="s">
        <v>819</v>
      </c>
      <c r="P149" s="414" t="s">
        <v>819</v>
      </c>
    </row>
    <row r="150" spans="1:16" s="402" customFormat="1" ht="11">
      <c r="A150" s="414" t="s">
        <v>1025</v>
      </c>
      <c r="B150" s="414" t="s">
        <v>1026</v>
      </c>
      <c r="C150" s="417">
        <v>2225</v>
      </c>
      <c r="D150" s="417">
        <v>2225</v>
      </c>
      <c r="E150" s="417">
        <v>2225</v>
      </c>
      <c r="F150" s="417">
        <v>2225</v>
      </c>
      <c r="G150" s="417">
        <v>2225</v>
      </c>
      <c r="H150" s="417">
        <v>2225</v>
      </c>
      <c r="I150" s="417">
        <v>2225</v>
      </c>
      <c r="J150" s="417">
        <v>2225</v>
      </c>
      <c r="K150" s="417">
        <v>2225</v>
      </c>
      <c r="L150" s="417">
        <v>2225</v>
      </c>
      <c r="M150" s="417">
        <v>2225</v>
      </c>
      <c r="N150" s="417">
        <v>2225</v>
      </c>
      <c r="O150" s="417">
        <v>26700</v>
      </c>
      <c r="P150" s="417">
        <v>26700</v>
      </c>
    </row>
    <row r="151" spans="1:16" s="402" customFormat="1" ht="11">
      <c r="A151" s="414" t="s">
        <v>1027</v>
      </c>
      <c r="B151" s="414" t="s">
        <v>1028</v>
      </c>
      <c r="C151" s="417">
        <v>344</v>
      </c>
      <c r="D151" s="417">
        <v>406</v>
      </c>
      <c r="E151" s="417">
        <v>355</v>
      </c>
      <c r="F151" s="417">
        <v>344</v>
      </c>
      <c r="G151" s="417">
        <v>344</v>
      </c>
      <c r="H151" s="417">
        <v>406</v>
      </c>
      <c r="I151" s="417">
        <v>293</v>
      </c>
      <c r="J151" s="417">
        <v>406</v>
      </c>
      <c r="K151" s="417">
        <v>440</v>
      </c>
      <c r="L151" s="417">
        <v>344</v>
      </c>
      <c r="M151" s="417">
        <v>406</v>
      </c>
      <c r="N151" s="417">
        <v>344</v>
      </c>
      <c r="O151" s="417">
        <v>4432</v>
      </c>
      <c r="P151" s="417">
        <v>4907</v>
      </c>
    </row>
    <row r="152" spans="1:16" s="402" customFormat="1" ht="11">
      <c r="A152" s="414" t="s">
        <v>1031</v>
      </c>
      <c r="B152" s="414" t="s">
        <v>1032</v>
      </c>
      <c r="C152" s="417">
        <v>5795</v>
      </c>
      <c r="D152" s="417">
        <v>108</v>
      </c>
      <c r="E152" s="417">
        <v>108</v>
      </c>
      <c r="F152" s="417">
        <v>5830</v>
      </c>
      <c r="G152" s="417">
        <v>72</v>
      </c>
      <c r="H152" s="417">
        <v>35</v>
      </c>
      <c r="I152" s="417">
        <v>5887</v>
      </c>
      <c r="J152" s="417">
        <v>0</v>
      </c>
      <c r="K152" s="417">
        <v>0</v>
      </c>
      <c r="L152" s="417">
        <v>5816</v>
      </c>
      <c r="M152" s="417">
        <v>0</v>
      </c>
      <c r="N152" s="417">
        <v>0</v>
      </c>
      <c r="O152" s="417">
        <v>23650</v>
      </c>
      <c r="P152" s="417">
        <v>23924</v>
      </c>
    </row>
    <row r="153" spans="1:16" s="402" customFormat="1" ht="11">
      <c r="A153" s="418" t="s">
        <v>545</v>
      </c>
      <c r="B153" s="414" t="s">
        <v>1023</v>
      </c>
      <c r="C153" s="419">
        <v>8364</v>
      </c>
      <c r="D153" s="419">
        <v>2739</v>
      </c>
      <c r="E153" s="419">
        <v>2688</v>
      </c>
      <c r="F153" s="419">
        <v>8399</v>
      </c>
      <c r="G153" s="419">
        <v>2641</v>
      </c>
      <c r="H153" s="419">
        <v>2666</v>
      </c>
      <c r="I153" s="419">
        <v>8405</v>
      </c>
      <c r="J153" s="419">
        <v>2631</v>
      </c>
      <c r="K153" s="419">
        <v>2665</v>
      </c>
      <c r="L153" s="419">
        <v>8385</v>
      </c>
      <c r="M153" s="419">
        <v>2631</v>
      </c>
      <c r="N153" s="419">
        <v>2569</v>
      </c>
      <c r="O153" s="419">
        <v>54782</v>
      </c>
      <c r="P153" s="419">
        <v>55531</v>
      </c>
    </row>
    <row r="154" spans="1:16" s="402" customFormat="1" ht="12">
      <c r="A154" s="415" t="s">
        <v>545</v>
      </c>
      <c r="B154" s="414" t="s">
        <v>945</v>
      </c>
      <c r="C154" s="419">
        <v>12131</v>
      </c>
      <c r="D154" s="419">
        <v>10862</v>
      </c>
      <c r="E154" s="419">
        <v>11125</v>
      </c>
      <c r="F154" s="419">
        <v>15499</v>
      </c>
      <c r="G154" s="419">
        <v>7504</v>
      </c>
      <c r="H154" s="419">
        <v>12176</v>
      </c>
      <c r="I154" s="419">
        <v>15595</v>
      </c>
      <c r="J154" s="419">
        <v>12506</v>
      </c>
      <c r="K154" s="419">
        <v>8535</v>
      </c>
      <c r="L154" s="419">
        <v>13230</v>
      </c>
      <c r="M154" s="419">
        <v>10783</v>
      </c>
      <c r="N154" s="419">
        <v>9332</v>
      </c>
      <c r="O154" s="419">
        <v>139277</v>
      </c>
      <c r="P154" s="419">
        <v>120450</v>
      </c>
    </row>
    <row r="155" spans="1:16" s="402" customFormat="1" ht="11">
      <c r="A155" s="414" t="s">
        <v>814</v>
      </c>
      <c r="B155" s="414" t="s">
        <v>1034</v>
      </c>
      <c r="C155" s="414" t="s">
        <v>814</v>
      </c>
      <c r="D155" s="414" t="s">
        <v>814</v>
      </c>
      <c r="E155" s="414" t="s">
        <v>814</v>
      </c>
      <c r="F155" s="414" t="s">
        <v>814</v>
      </c>
      <c r="G155" s="414" t="s">
        <v>814</v>
      </c>
      <c r="H155" s="414" t="s">
        <v>814</v>
      </c>
      <c r="I155" s="414" t="s">
        <v>814</v>
      </c>
      <c r="J155" s="414" t="s">
        <v>814</v>
      </c>
      <c r="K155" s="414" t="s">
        <v>814</v>
      </c>
      <c r="L155" s="414" t="s">
        <v>814</v>
      </c>
      <c r="M155" s="414" t="s">
        <v>814</v>
      </c>
      <c r="N155" s="414" t="s">
        <v>814</v>
      </c>
      <c r="O155" s="414" t="s">
        <v>814</v>
      </c>
      <c r="P155" s="414" t="s">
        <v>814</v>
      </c>
    </row>
    <row r="156" spans="1:16" s="402" customFormat="1" ht="11">
      <c r="A156" s="414" t="s">
        <v>1035</v>
      </c>
      <c r="B156" s="414" t="s">
        <v>1036</v>
      </c>
      <c r="C156" s="417">
        <v>2510</v>
      </c>
      <c r="D156" s="417">
        <v>2418</v>
      </c>
      <c r="E156" s="417">
        <v>2443</v>
      </c>
      <c r="F156" s="417">
        <v>2291</v>
      </c>
      <c r="G156" s="417">
        <v>2339</v>
      </c>
      <c r="H156" s="417">
        <v>2523</v>
      </c>
      <c r="I156" s="417">
        <v>2466</v>
      </c>
      <c r="J156" s="417">
        <v>2508</v>
      </c>
      <c r="K156" s="417">
        <v>2357</v>
      </c>
      <c r="L156" s="417">
        <v>2229</v>
      </c>
      <c r="M156" s="417">
        <v>2058</v>
      </c>
      <c r="N156" s="417">
        <v>2403</v>
      </c>
      <c r="O156" s="417">
        <v>28546</v>
      </c>
      <c r="P156" s="417">
        <v>28642</v>
      </c>
    </row>
    <row r="157" spans="1:16" s="402" customFormat="1" ht="11">
      <c r="A157" s="414" t="s">
        <v>1037</v>
      </c>
      <c r="B157" s="414" t="s">
        <v>1038</v>
      </c>
      <c r="C157" s="417">
        <v>89</v>
      </c>
      <c r="D157" s="417">
        <v>93</v>
      </c>
      <c r="E157" s="417">
        <v>98</v>
      </c>
      <c r="F157" s="417">
        <v>120</v>
      </c>
      <c r="G157" s="417">
        <v>131</v>
      </c>
      <c r="H157" s="417">
        <v>171</v>
      </c>
      <c r="I157" s="417">
        <v>218</v>
      </c>
      <c r="J157" s="417">
        <v>220</v>
      </c>
      <c r="K157" s="417">
        <v>207</v>
      </c>
      <c r="L157" s="417">
        <v>178</v>
      </c>
      <c r="M157" s="417">
        <v>127</v>
      </c>
      <c r="N157" s="417">
        <v>109</v>
      </c>
      <c r="O157" s="417">
        <v>1761</v>
      </c>
      <c r="P157" s="417">
        <v>1541</v>
      </c>
    </row>
    <row r="158" spans="1:16" s="402" customFormat="1" ht="11">
      <c r="A158" s="414" t="s">
        <v>1040</v>
      </c>
      <c r="B158" s="414" t="s">
        <v>1041</v>
      </c>
      <c r="C158" s="417">
        <v>34</v>
      </c>
      <c r="D158" s="417">
        <v>172</v>
      </c>
      <c r="E158" s="417">
        <v>74</v>
      </c>
      <c r="F158" s="417">
        <v>109</v>
      </c>
      <c r="G158" s="417">
        <v>76</v>
      </c>
      <c r="H158" s="417">
        <v>152</v>
      </c>
      <c r="I158" s="417">
        <v>125</v>
      </c>
      <c r="J158" s="417">
        <v>167</v>
      </c>
      <c r="K158" s="417">
        <v>90</v>
      </c>
      <c r="L158" s="417">
        <v>319</v>
      </c>
      <c r="M158" s="417">
        <v>122</v>
      </c>
      <c r="N158" s="417">
        <v>126</v>
      </c>
      <c r="O158" s="417">
        <v>1565</v>
      </c>
      <c r="P158" s="417">
        <v>1936</v>
      </c>
    </row>
    <row r="159" spans="1:16" s="402" customFormat="1" ht="11">
      <c r="A159" s="414" t="s">
        <v>1042</v>
      </c>
      <c r="B159" s="414" t="s">
        <v>1043</v>
      </c>
      <c r="C159" s="417">
        <v>1022</v>
      </c>
      <c r="D159" s="417">
        <v>853</v>
      </c>
      <c r="E159" s="417">
        <v>372</v>
      </c>
      <c r="F159" s="417">
        <v>113</v>
      </c>
      <c r="G159" s="417">
        <v>500</v>
      </c>
      <c r="H159" s="417">
        <v>666</v>
      </c>
      <c r="I159" s="417">
        <v>624</v>
      </c>
      <c r="J159" s="417">
        <v>428</v>
      </c>
      <c r="K159" s="417">
        <v>257</v>
      </c>
      <c r="L159" s="417">
        <v>294</v>
      </c>
      <c r="M159" s="417">
        <v>359</v>
      </c>
      <c r="N159" s="417">
        <v>470</v>
      </c>
      <c r="O159" s="417">
        <v>5956</v>
      </c>
      <c r="P159" s="417">
        <v>7284</v>
      </c>
    </row>
    <row r="160" spans="1:16" s="402" customFormat="1" ht="11">
      <c r="A160" s="414" t="s">
        <v>1044</v>
      </c>
      <c r="B160" s="414" t="s">
        <v>1045</v>
      </c>
      <c r="C160" s="417">
        <v>358</v>
      </c>
      <c r="D160" s="417">
        <v>318</v>
      </c>
      <c r="E160" s="417">
        <v>193</v>
      </c>
      <c r="F160" s="417">
        <v>145</v>
      </c>
      <c r="G160" s="417">
        <v>587</v>
      </c>
      <c r="H160" s="417">
        <v>-266</v>
      </c>
      <c r="I160" s="417">
        <v>217</v>
      </c>
      <c r="J160" s="417">
        <v>176</v>
      </c>
      <c r="K160" s="417">
        <v>149</v>
      </c>
      <c r="L160" s="417">
        <v>159</v>
      </c>
      <c r="M160" s="417">
        <v>102</v>
      </c>
      <c r="N160" s="417">
        <v>89</v>
      </c>
      <c r="O160" s="417">
        <v>2229</v>
      </c>
      <c r="P160" s="417">
        <v>1506</v>
      </c>
    </row>
    <row r="161" spans="1:16" s="402" customFormat="1" ht="11">
      <c r="A161" s="414" t="s">
        <v>1046</v>
      </c>
      <c r="B161" s="414" t="s">
        <v>1047</v>
      </c>
      <c r="C161" s="417">
        <v>6593</v>
      </c>
      <c r="D161" s="417">
        <v>6077</v>
      </c>
      <c r="E161" s="417">
        <v>6525</v>
      </c>
      <c r="F161" s="417">
        <v>6444</v>
      </c>
      <c r="G161" s="417">
        <v>7638</v>
      </c>
      <c r="H161" s="417">
        <v>8345</v>
      </c>
      <c r="I161" s="417">
        <v>8880</v>
      </c>
      <c r="J161" s="417">
        <v>9693</v>
      </c>
      <c r="K161" s="417">
        <v>9291</v>
      </c>
      <c r="L161" s="417">
        <v>8741</v>
      </c>
      <c r="M161" s="417">
        <v>7188</v>
      </c>
      <c r="N161" s="417">
        <v>6187</v>
      </c>
      <c r="O161" s="417">
        <v>91604</v>
      </c>
      <c r="P161" s="417">
        <v>86752</v>
      </c>
    </row>
    <row r="162" spans="1:16" s="402" customFormat="1" ht="11">
      <c r="A162" s="414" t="s">
        <v>1048</v>
      </c>
      <c r="B162" s="414" t="s">
        <v>1049</v>
      </c>
      <c r="C162" s="417">
        <v>8303</v>
      </c>
      <c r="D162" s="417">
        <v>0</v>
      </c>
      <c r="E162" s="417">
        <v>0</v>
      </c>
      <c r="F162" s="417">
        <v>8303</v>
      </c>
      <c r="G162" s="417">
        <v>0</v>
      </c>
      <c r="H162" s="417">
        <v>0</v>
      </c>
      <c r="I162" s="417">
        <v>8304</v>
      </c>
      <c r="J162" s="417">
        <v>0</v>
      </c>
      <c r="K162" s="417">
        <v>0</v>
      </c>
      <c r="L162" s="417">
        <v>8302</v>
      </c>
      <c r="M162" s="417">
        <v>0</v>
      </c>
      <c r="N162" s="417">
        <v>0</v>
      </c>
      <c r="O162" s="417">
        <v>33211</v>
      </c>
      <c r="P162" s="417">
        <v>33210</v>
      </c>
    </row>
    <row r="163" spans="1:16" s="402" customFormat="1" ht="11">
      <c r="A163" s="418" t="s">
        <v>545</v>
      </c>
      <c r="B163" s="414" t="s">
        <v>1034</v>
      </c>
      <c r="C163" s="419">
        <v>18909</v>
      </c>
      <c r="D163" s="419">
        <v>9931</v>
      </c>
      <c r="E163" s="419">
        <v>9705</v>
      </c>
      <c r="F163" s="419">
        <v>17525</v>
      </c>
      <c r="G163" s="419">
        <v>11271</v>
      </c>
      <c r="H163" s="419">
        <v>11591</v>
      </c>
      <c r="I163" s="419">
        <v>20834</v>
      </c>
      <c r="J163" s="419">
        <v>13192</v>
      </c>
      <c r="K163" s="419">
        <v>12351</v>
      </c>
      <c r="L163" s="419">
        <v>20222</v>
      </c>
      <c r="M163" s="419">
        <v>9956</v>
      </c>
      <c r="N163" s="419">
        <v>9384</v>
      </c>
      <c r="O163" s="419">
        <v>164872</v>
      </c>
      <c r="P163" s="419">
        <v>160871</v>
      </c>
    </row>
    <row r="164" spans="1:16" s="402" customFormat="1" ht="12">
      <c r="A164" s="415" t="s">
        <v>545</v>
      </c>
      <c r="B164" s="414" t="s">
        <v>813</v>
      </c>
      <c r="C164" s="419">
        <v>63606</v>
      </c>
      <c r="D164" s="419">
        <v>55167</v>
      </c>
      <c r="E164" s="419">
        <v>53283</v>
      </c>
      <c r="F164" s="419">
        <v>69160</v>
      </c>
      <c r="G164" s="419">
        <v>53862</v>
      </c>
      <c r="H164" s="419">
        <v>59299</v>
      </c>
      <c r="I164" s="419">
        <v>72304</v>
      </c>
      <c r="J164" s="419">
        <v>59334</v>
      </c>
      <c r="K164" s="419">
        <v>55614</v>
      </c>
      <c r="L164" s="419">
        <v>66926</v>
      </c>
      <c r="M164" s="419">
        <v>56314</v>
      </c>
      <c r="N164" s="419">
        <v>69495</v>
      </c>
      <c r="O164" s="419">
        <v>734362</v>
      </c>
      <c r="P164" s="419">
        <v>715180</v>
      </c>
    </row>
    <row r="165" spans="1:16" s="402" customFormat="1" ht="11">
      <c r="A165" s="414" t="s">
        <v>766</v>
      </c>
      <c r="B165" s="414" t="s">
        <v>1050</v>
      </c>
      <c r="C165" s="414" t="s">
        <v>766</v>
      </c>
      <c r="D165" s="414" t="s">
        <v>766</v>
      </c>
      <c r="E165" s="414" t="s">
        <v>766</v>
      </c>
      <c r="F165" s="414" t="s">
        <v>766</v>
      </c>
      <c r="G165" s="414" t="s">
        <v>766</v>
      </c>
      <c r="H165" s="414" t="s">
        <v>766</v>
      </c>
      <c r="I165" s="414" t="s">
        <v>766</v>
      </c>
      <c r="J165" s="414" t="s">
        <v>766</v>
      </c>
      <c r="K165" s="414" t="s">
        <v>766</v>
      </c>
      <c r="L165" s="414" t="s">
        <v>766</v>
      </c>
      <c r="M165" s="414" t="s">
        <v>766</v>
      </c>
      <c r="N165" s="414" t="s">
        <v>766</v>
      </c>
      <c r="O165" s="414" t="s">
        <v>766</v>
      </c>
      <c r="P165" s="414" t="s">
        <v>766</v>
      </c>
    </row>
    <row r="166" spans="1:16" s="402" customFormat="1" ht="11">
      <c r="A166" s="414" t="s">
        <v>814</v>
      </c>
      <c r="B166" s="414" t="s">
        <v>1051</v>
      </c>
      <c r="C166" s="414" t="s">
        <v>814</v>
      </c>
      <c r="D166" s="414" t="s">
        <v>814</v>
      </c>
      <c r="E166" s="414" t="s">
        <v>814</v>
      </c>
      <c r="F166" s="414" t="s">
        <v>814</v>
      </c>
      <c r="G166" s="414" t="s">
        <v>814</v>
      </c>
      <c r="H166" s="414" t="s">
        <v>814</v>
      </c>
      <c r="I166" s="414" t="s">
        <v>814</v>
      </c>
      <c r="J166" s="414" t="s">
        <v>814</v>
      </c>
      <c r="K166" s="414" t="s">
        <v>814</v>
      </c>
      <c r="L166" s="414" t="s">
        <v>814</v>
      </c>
      <c r="M166" s="414" t="s">
        <v>814</v>
      </c>
      <c r="N166" s="414" t="s">
        <v>814</v>
      </c>
      <c r="O166" s="414" t="s">
        <v>814</v>
      </c>
      <c r="P166" s="414" t="s">
        <v>814</v>
      </c>
    </row>
    <row r="167" spans="1:16" s="402" customFormat="1" ht="11">
      <c r="A167" s="414" t="s">
        <v>1054</v>
      </c>
      <c r="B167" s="414" t="s">
        <v>1055</v>
      </c>
      <c r="C167" s="417">
        <v>0</v>
      </c>
      <c r="D167" s="417">
        <v>0</v>
      </c>
      <c r="E167" s="417">
        <v>0</v>
      </c>
      <c r="F167" s="417">
        <v>0</v>
      </c>
      <c r="G167" s="417">
        <v>0</v>
      </c>
      <c r="H167" s="417">
        <v>0</v>
      </c>
      <c r="I167" s="417">
        <v>0</v>
      </c>
      <c r="J167" s="417">
        <v>0</v>
      </c>
      <c r="K167" s="417">
        <v>2801</v>
      </c>
      <c r="L167" s="417">
        <v>0</v>
      </c>
      <c r="M167" s="417">
        <v>0</v>
      </c>
      <c r="N167" s="417">
        <v>0</v>
      </c>
      <c r="O167" s="417">
        <v>2801</v>
      </c>
      <c r="P167" s="417">
        <v>6234</v>
      </c>
    </row>
    <row r="168" spans="1:16" s="402" customFormat="1" ht="11">
      <c r="A168" s="414" t="s">
        <v>1056</v>
      </c>
      <c r="B168" s="414" t="s">
        <v>1057</v>
      </c>
      <c r="C168" s="417">
        <v>10189</v>
      </c>
      <c r="D168" s="417">
        <v>10190</v>
      </c>
      <c r="E168" s="417">
        <v>10190</v>
      </c>
      <c r="F168" s="417">
        <v>10189</v>
      </c>
      <c r="G168" s="417">
        <v>10190</v>
      </c>
      <c r="H168" s="417">
        <v>10190</v>
      </c>
      <c r="I168" s="417">
        <v>10189</v>
      </c>
      <c r="J168" s="417">
        <v>10894</v>
      </c>
      <c r="K168" s="417">
        <v>10541</v>
      </c>
      <c r="L168" s="417">
        <v>10516</v>
      </c>
      <c r="M168" s="417">
        <v>10516</v>
      </c>
      <c r="N168" s="417">
        <v>10516</v>
      </c>
      <c r="O168" s="417">
        <v>124311</v>
      </c>
      <c r="P168" s="417">
        <v>120570</v>
      </c>
    </row>
    <row r="169" spans="1:16" s="402" customFormat="1" ht="11">
      <c r="A169" s="418" t="s">
        <v>545</v>
      </c>
      <c r="B169" s="414" t="s">
        <v>1051</v>
      </c>
      <c r="C169" s="419">
        <v>10189</v>
      </c>
      <c r="D169" s="419">
        <v>10190</v>
      </c>
      <c r="E169" s="419">
        <v>10190</v>
      </c>
      <c r="F169" s="419">
        <v>10189</v>
      </c>
      <c r="G169" s="419">
        <v>10190</v>
      </c>
      <c r="H169" s="419">
        <v>10190</v>
      </c>
      <c r="I169" s="419">
        <v>10189</v>
      </c>
      <c r="J169" s="419">
        <v>10894</v>
      </c>
      <c r="K169" s="419">
        <v>13342</v>
      </c>
      <c r="L169" s="419">
        <v>10516</v>
      </c>
      <c r="M169" s="419">
        <v>10516</v>
      </c>
      <c r="N169" s="419">
        <v>10516</v>
      </c>
      <c r="O169" s="419">
        <v>127112</v>
      </c>
      <c r="P169" s="419">
        <v>126804</v>
      </c>
    </row>
    <row r="170" spans="1:16" s="402" customFormat="1" ht="11">
      <c r="A170" s="414" t="s">
        <v>814</v>
      </c>
      <c r="B170" s="414" t="s">
        <v>1059</v>
      </c>
      <c r="C170" s="414" t="s">
        <v>814</v>
      </c>
      <c r="D170" s="414" t="s">
        <v>814</v>
      </c>
      <c r="E170" s="414" t="s">
        <v>814</v>
      </c>
      <c r="F170" s="414" t="s">
        <v>814</v>
      </c>
      <c r="G170" s="414" t="s">
        <v>814</v>
      </c>
      <c r="H170" s="414" t="s">
        <v>814</v>
      </c>
      <c r="I170" s="414" t="s">
        <v>814</v>
      </c>
      <c r="J170" s="414" t="s">
        <v>814</v>
      </c>
      <c r="K170" s="414" t="s">
        <v>814</v>
      </c>
      <c r="L170" s="414" t="s">
        <v>814</v>
      </c>
      <c r="M170" s="414" t="s">
        <v>814</v>
      </c>
      <c r="N170" s="414" t="s">
        <v>814</v>
      </c>
      <c r="O170" s="414" t="s">
        <v>814</v>
      </c>
      <c r="P170" s="414" t="s">
        <v>814</v>
      </c>
    </row>
    <row r="171" spans="1:16" s="402" customFormat="1" ht="11">
      <c r="A171" s="414" t="s">
        <v>1060</v>
      </c>
      <c r="B171" s="414" t="s">
        <v>1061</v>
      </c>
      <c r="C171" s="417">
        <v>2381</v>
      </c>
      <c r="D171" s="417">
        <v>2381</v>
      </c>
      <c r="E171" s="417">
        <v>2381</v>
      </c>
      <c r="F171" s="417">
        <v>2381</v>
      </c>
      <c r="G171" s="417">
        <v>2391</v>
      </c>
      <c r="H171" s="417">
        <v>2391</v>
      </c>
      <c r="I171" s="417">
        <v>2390</v>
      </c>
      <c r="J171" s="417">
        <v>2390</v>
      </c>
      <c r="K171" s="417">
        <v>2391</v>
      </c>
      <c r="L171" s="417">
        <v>2391</v>
      </c>
      <c r="M171" s="417">
        <v>2391</v>
      </c>
      <c r="N171" s="417">
        <v>2391</v>
      </c>
      <c r="O171" s="417">
        <v>28649</v>
      </c>
      <c r="P171" s="417">
        <v>28252</v>
      </c>
    </row>
    <row r="172" spans="1:16" s="402" customFormat="1" ht="11">
      <c r="A172" s="418" t="s">
        <v>545</v>
      </c>
      <c r="B172" s="414" t="s">
        <v>1059</v>
      </c>
      <c r="C172" s="419">
        <v>2381</v>
      </c>
      <c r="D172" s="419">
        <v>2381</v>
      </c>
      <c r="E172" s="419">
        <v>2381</v>
      </c>
      <c r="F172" s="419">
        <v>2381</v>
      </c>
      <c r="G172" s="419">
        <v>2391</v>
      </c>
      <c r="H172" s="419">
        <v>2391</v>
      </c>
      <c r="I172" s="419">
        <v>2390</v>
      </c>
      <c r="J172" s="419">
        <v>2390</v>
      </c>
      <c r="K172" s="419">
        <v>2391</v>
      </c>
      <c r="L172" s="419">
        <v>2391</v>
      </c>
      <c r="M172" s="419">
        <v>2391</v>
      </c>
      <c r="N172" s="419">
        <v>2391</v>
      </c>
      <c r="O172" s="419">
        <v>28649</v>
      </c>
      <c r="P172" s="419">
        <v>28252</v>
      </c>
    </row>
    <row r="173" spans="1:16" s="402" customFormat="1" ht="12">
      <c r="A173" s="415" t="s">
        <v>545</v>
      </c>
      <c r="B173" s="414" t="s">
        <v>1050</v>
      </c>
      <c r="C173" s="419">
        <v>12570</v>
      </c>
      <c r="D173" s="419">
        <v>12571</v>
      </c>
      <c r="E173" s="419">
        <v>12571</v>
      </c>
      <c r="F173" s="419">
        <v>12570</v>
      </c>
      <c r="G173" s="419">
        <v>12581</v>
      </c>
      <c r="H173" s="419">
        <v>12581</v>
      </c>
      <c r="I173" s="419">
        <v>12579</v>
      </c>
      <c r="J173" s="419">
        <v>13284</v>
      </c>
      <c r="K173" s="419">
        <v>15733</v>
      </c>
      <c r="L173" s="419">
        <v>12907</v>
      </c>
      <c r="M173" s="419">
        <v>12907</v>
      </c>
      <c r="N173" s="419">
        <v>12907</v>
      </c>
      <c r="O173" s="419">
        <v>155761</v>
      </c>
      <c r="P173" s="419">
        <v>155056</v>
      </c>
    </row>
    <row r="174" spans="1:16" s="402" customFormat="1" ht="12">
      <c r="A174" s="415" t="s">
        <v>545</v>
      </c>
      <c r="B174" s="414" t="s">
        <v>1064</v>
      </c>
      <c r="C174" s="419">
        <v>76176</v>
      </c>
      <c r="D174" s="419">
        <v>67738</v>
      </c>
      <c r="E174" s="419">
        <v>65854</v>
      </c>
      <c r="F174" s="419">
        <v>81730</v>
      </c>
      <c r="G174" s="419">
        <v>66443</v>
      </c>
      <c r="H174" s="419">
        <v>71880</v>
      </c>
      <c r="I174" s="419">
        <v>84883</v>
      </c>
      <c r="J174" s="419">
        <v>72618</v>
      </c>
      <c r="K174" s="419">
        <v>71347</v>
      </c>
      <c r="L174" s="419">
        <v>79833</v>
      </c>
      <c r="M174" s="419">
        <v>69221</v>
      </c>
      <c r="N174" s="419">
        <v>82402</v>
      </c>
      <c r="O174" s="419">
        <v>890123</v>
      </c>
      <c r="P174" s="419">
        <v>870236</v>
      </c>
    </row>
    <row r="175" spans="1:16" s="402" customFormat="1" ht="12">
      <c r="A175" s="415" t="s">
        <v>545</v>
      </c>
      <c r="B175" s="414" t="s">
        <v>1065</v>
      </c>
      <c r="C175" s="419">
        <v>102501</v>
      </c>
      <c r="D175" s="419">
        <v>107269</v>
      </c>
      <c r="E175" s="419">
        <v>102652</v>
      </c>
      <c r="F175" s="419">
        <v>91575</v>
      </c>
      <c r="G175" s="419">
        <v>101703</v>
      </c>
      <c r="H175" s="419">
        <v>104343</v>
      </c>
      <c r="I175" s="419">
        <v>87421</v>
      </c>
      <c r="J175" s="419">
        <v>103545</v>
      </c>
      <c r="K175" s="419">
        <v>100857</v>
      </c>
      <c r="L175" s="419">
        <v>97460</v>
      </c>
      <c r="M175" s="419">
        <v>106829</v>
      </c>
      <c r="N175" s="419">
        <v>90339</v>
      </c>
      <c r="O175" s="419">
        <v>1196494</v>
      </c>
      <c r="P175" s="419">
        <v>1121593</v>
      </c>
    </row>
    <row r="176" spans="1:16" s="402" customFormat="1" ht="11">
      <c r="A176" s="534" t="s">
        <v>545</v>
      </c>
      <c r="B176" s="534"/>
      <c r="C176" s="534"/>
      <c r="D176" s="534"/>
      <c r="E176" s="534"/>
      <c r="F176" s="534"/>
      <c r="G176" s="534"/>
      <c r="H176" s="534"/>
      <c r="I176" s="534"/>
      <c r="J176" s="534"/>
      <c r="K176" s="534"/>
      <c r="L176" s="534"/>
      <c r="M176" s="534"/>
      <c r="N176" s="534"/>
      <c r="O176" s="534"/>
      <c r="P176" s="534"/>
    </row>
    <row r="177" spans="1:16" s="402" customFormat="1" ht="11">
      <c r="A177" s="414" t="s">
        <v>742</v>
      </c>
      <c r="B177" s="414" t="s">
        <v>1066</v>
      </c>
      <c r="C177" s="414" t="s">
        <v>742</v>
      </c>
      <c r="D177" s="414" t="s">
        <v>742</v>
      </c>
      <c r="E177" s="414" t="s">
        <v>742</v>
      </c>
      <c r="F177" s="414" t="s">
        <v>742</v>
      </c>
      <c r="G177" s="414" t="s">
        <v>742</v>
      </c>
      <c r="H177" s="414" t="s">
        <v>742</v>
      </c>
      <c r="I177" s="414" t="s">
        <v>742</v>
      </c>
      <c r="J177" s="414" t="s">
        <v>742</v>
      </c>
      <c r="K177" s="414" t="s">
        <v>742</v>
      </c>
      <c r="L177" s="414" t="s">
        <v>742</v>
      </c>
      <c r="M177" s="414" t="s">
        <v>742</v>
      </c>
      <c r="N177" s="414" t="s">
        <v>742</v>
      </c>
      <c r="O177" s="414" t="s">
        <v>742</v>
      </c>
      <c r="P177" s="414" t="s">
        <v>742</v>
      </c>
    </row>
    <row r="178" spans="1:16" s="402" customFormat="1" ht="11">
      <c r="A178" s="414" t="s">
        <v>1067</v>
      </c>
      <c r="B178" s="414" t="s">
        <v>1068</v>
      </c>
      <c r="C178" s="417">
        <v>1703</v>
      </c>
      <c r="D178" s="417">
        <v>1430</v>
      </c>
      <c r="E178" s="417">
        <v>3968</v>
      </c>
      <c r="F178" s="417">
        <v>1120</v>
      </c>
      <c r="G178" s="417">
        <v>2028</v>
      </c>
      <c r="H178" s="417">
        <v>4106</v>
      </c>
      <c r="I178" s="417">
        <v>4500</v>
      </c>
      <c r="J178" s="417">
        <v>3560</v>
      </c>
      <c r="K178" s="417">
        <v>997</v>
      </c>
      <c r="L178" s="417">
        <v>5095</v>
      </c>
      <c r="M178" s="417">
        <v>2028</v>
      </c>
      <c r="N178" s="417">
        <v>1435</v>
      </c>
      <c r="O178" s="417">
        <v>31969</v>
      </c>
      <c r="P178" s="417">
        <v>26077</v>
      </c>
    </row>
    <row r="179" spans="1:16" s="402" customFormat="1" ht="11">
      <c r="A179" s="414" t="s">
        <v>1069</v>
      </c>
      <c r="B179" s="414" t="s">
        <v>1070</v>
      </c>
      <c r="C179" s="417">
        <v>141</v>
      </c>
      <c r="D179" s="417">
        <v>270</v>
      </c>
      <c r="E179" s="417">
        <v>107</v>
      </c>
      <c r="F179" s="417">
        <v>146</v>
      </c>
      <c r="G179" s="417">
        <v>88</v>
      </c>
      <c r="H179" s="417">
        <v>323</v>
      </c>
      <c r="I179" s="417">
        <v>259</v>
      </c>
      <c r="J179" s="417">
        <v>127</v>
      </c>
      <c r="K179" s="417">
        <v>0</v>
      </c>
      <c r="L179" s="417">
        <v>0</v>
      </c>
      <c r="M179" s="417">
        <v>0</v>
      </c>
      <c r="N179" s="417">
        <v>0</v>
      </c>
      <c r="O179" s="417">
        <v>1462</v>
      </c>
      <c r="P179" s="417">
        <v>2187</v>
      </c>
    </row>
    <row r="180" spans="1:16" s="402" customFormat="1" ht="11">
      <c r="A180" s="414" t="s">
        <v>1071</v>
      </c>
      <c r="B180" s="414" t="s">
        <v>1072</v>
      </c>
      <c r="C180" s="417">
        <v>294</v>
      </c>
      <c r="D180" s="417">
        <v>587</v>
      </c>
      <c r="E180" s="417">
        <v>119</v>
      </c>
      <c r="F180" s="417">
        <v>649</v>
      </c>
      <c r="G180" s="417">
        <v>260</v>
      </c>
      <c r="H180" s="417">
        <v>0</v>
      </c>
      <c r="I180" s="417">
        <v>390</v>
      </c>
      <c r="J180" s="417">
        <v>259</v>
      </c>
      <c r="K180" s="417">
        <v>0</v>
      </c>
      <c r="L180" s="417">
        <v>0</v>
      </c>
      <c r="M180" s="417">
        <v>0</v>
      </c>
      <c r="N180" s="417">
        <v>0</v>
      </c>
      <c r="O180" s="417">
        <v>2557</v>
      </c>
      <c r="P180" s="417">
        <v>4736</v>
      </c>
    </row>
    <row r="181" spans="1:16" s="402" customFormat="1" ht="11">
      <c r="A181" s="414" t="s">
        <v>1073</v>
      </c>
      <c r="B181" s="414" t="s">
        <v>1074</v>
      </c>
      <c r="C181" s="417">
        <v>0</v>
      </c>
      <c r="D181" s="417">
        <v>0</v>
      </c>
      <c r="E181" s="417">
        <v>1400</v>
      </c>
      <c r="F181" s="417">
        <v>0</v>
      </c>
      <c r="G181" s="417">
        <v>0</v>
      </c>
      <c r="H181" s="417">
        <v>1400</v>
      </c>
      <c r="I181" s="417">
        <v>0</v>
      </c>
      <c r="J181" s="417">
        <v>0</v>
      </c>
      <c r="K181" s="417">
        <v>0</v>
      </c>
      <c r="L181" s="417">
        <v>0</v>
      </c>
      <c r="M181" s="417">
        <v>2200</v>
      </c>
      <c r="N181" s="417">
        <v>0</v>
      </c>
      <c r="O181" s="417">
        <v>5000</v>
      </c>
      <c r="P181" s="417">
        <v>5250</v>
      </c>
    </row>
    <row r="182" spans="1:16" s="402" customFormat="1" ht="11">
      <c r="A182" s="414" t="s">
        <v>1075</v>
      </c>
      <c r="B182" s="414" t="s">
        <v>1076</v>
      </c>
      <c r="C182" s="417">
        <v>0</v>
      </c>
      <c r="D182" s="417">
        <v>4192</v>
      </c>
      <c r="E182" s="417">
        <v>0</v>
      </c>
      <c r="F182" s="417">
        <v>0</v>
      </c>
      <c r="G182" s="417">
        <v>0</v>
      </c>
      <c r="H182" s="417">
        <v>1000</v>
      </c>
      <c r="I182" s="417">
        <v>0</v>
      </c>
      <c r="J182" s="417">
        <v>1104</v>
      </c>
      <c r="K182" s="417">
        <v>0</v>
      </c>
      <c r="L182" s="417">
        <v>0</v>
      </c>
      <c r="M182" s="417">
        <v>1305</v>
      </c>
      <c r="N182" s="417">
        <v>-3523</v>
      </c>
      <c r="O182" s="417">
        <v>4078</v>
      </c>
      <c r="P182" s="417">
        <v>32023</v>
      </c>
    </row>
    <row r="183" spans="1:16" s="402" customFormat="1" ht="11">
      <c r="A183" s="414" t="s">
        <v>1077</v>
      </c>
      <c r="B183" s="414" t="s">
        <v>1078</v>
      </c>
      <c r="C183" s="417">
        <v>2719</v>
      </c>
      <c r="D183" s="417">
        <v>6229</v>
      </c>
      <c r="E183" s="417">
        <v>3093</v>
      </c>
      <c r="F183" s="417">
        <v>3438</v>
      </c>
      <c r="G183" s="417">
        <v>2673</v>
      </c>
      <c r="H183" s="417">
        <v>5673</v>
      </c>
      <c r="I183" s="417">
        <v>3415</v>
      </c>
      <c r="J183" s="417">
        <v>11467</v>
      </c>
      <c r="K183" s="417">
        <v>5350</v>
      </c>
      <c r="L183" s="417">
        <v>5592</v>
      </c>
      <c r="M183" s="417">
        <v>1156</v>
      </c>
      <c r="N183" s="417">
        <v>4088</v>
      </c>
      <c r="O183" s="417">
        <v>54896</v>
      </c>
      <c r="P183" s="417">
        <v>40929</v>
      </c>
    </row>
    <row r="184" spans="1:16" s="402" customFormat="1" ht="11">
      <c r="A184" s="414" t="s">
        <v>1079</v>
      </c>
      <c r="B184" s="414" t="s">
        <v>1080</v>
      </c>
      <c r="C184" s="417">
        <v>0</v>
      </c>
      <c r="D184" s="417">
        <v>0</v>
      </c>
      <c r="E184" s="417">
        <v>0</v>
      </c>
      <c r="F184" s="417">
        <v>0</v>
      </c>
      <c r="G184" s="417">
        <v>8100</v>
      </c>
      <c r="H184" s="417">
        <v>0</v>
      </c>
      <c r="I184" s="417">
        <v>0</v>
      </c>
      <c r="J184" s="417">
        <v>0</v>
      </c>
      <c r="K184" s="417">
        <v>0</v>
      </c>
      <c r="L184" s="417">
        <v>0</v>
      </c>
      <c r="M184" s="417">
        <v>0</v>
      </c>
      <c r="N184" s="417">
        <v>0</v>
      </c>
      <c r="O184" s="417">
        <v>8100</v>
      </c>
      <c r="P184" s="417">
        <v>800</v>
      </c>
    </row>
    <row r="185" spans="1:16" s="402" customFormat="1" ht="11">
      <c r="A185" s="414" t="s">
        <v>1081</v>
      </c>
      <c r="B185" s="414" t="s">
        <v>1082</v>
      </c>
      <c r="C185" s="417">
        <v>0</v>
      </c>
      <c r="D185" s="417">
        <v>257</v>
      </c>
      <c r="E185" s="417">
        <v>12117</v>
      </c>
      <c r="F185" s="417">
        <v>972</v>
      </c>
      <c r="G185" s="417">
        <v>-1000</v>
      </c>
      <c r="H185" s="417">
        <v>550</v>
      </c>
      <c r="I185" s="417">
        <v>263</v>
      </c>
      <c r="J185" s="417">
        <v>0</v>
      </c>
      <c r="K185" s="417">
        <v>0</v>
      </c>
      <c r="L185" s="417">
        <v>0</v>
      </c>
      <c r="M185" s="417">
        <v>3968</v>
      </c>
      <c r="N185" s="417">
        <v>-3967</v>
      </c>
      <c r="O185" s="417">
        <v>13160</v>
      </c>
      <c r="P185" s="417">
        <v>3634</v>
      </c>
    </row>
    <row r="186" spans="1:16" s="402" customFormat="1" ht="11">
      <c r="A186" s="414" t="s">
        <v>1083</v>
      </c>
      <c r="B186" s="414" t="s">
        <v>1084</v>
      </c>
      <c r="C186" s="417">
        <v>395</v>
      </c>
      <c r="D186" s="417">
        <v>0</v>
      </c>
      <c r="E186" s="417">
        <v>0</v>
      </c>
      <c r="F186" s="417">
        <v>0</v>
      </c>
      <c r="G186" s="417">
        <v>0</v>
      </c>
      <c r="H186" s="417">
        <v>0</v>
      </c>
      <c r="I186" s="417">
        <v>0</v>
      </c>
      <c r="J186" s="417">
        <v>0</v>
      </c>
      <c r="K186" s="417">
        <v>0</v>
      </c>
      <c r="L186" s="417">
        <v>0</v>
      </c>
      <c r="M186" s="417">
        <v>5400</v>
      </c>
      <c r="N186" s="417">
        <v>-5400</v>
      </c>
      <c r="O186" s="417">
        <v>395</v>
      </c>
      <c r="P186" s="417">
        <v>5770</v>
      </c>
    </row>
    <row r="187" spans="1:16" s="402" customFormat="1" ht="11">
      <c r="A187" s="414" t="s">
        <v>1085</v>
      </c>
      <c r="B187" s="414" t="s">
        <v>1086</v>
      </c>
      <c r="C187" s="417">
        <v>157</v>
      </c>
      <c r="D187" s="417">
        <v>547</v>
      </c>
      <c r="E187" s="417">
        <v>557</v>
      </c>
      <c r="F187" s="417">
        <v>300</v>
      </c>
      <c r="G187" s="417">
        <v>631</v>
      </c>
      <c r="H187" s="417">
        <v>719</v>
      </c>
      <c r="I187" s="417">
        <v>0</v>
      </c>
      <c r="J187" s="417">
        <v>0</v>
      </c>
      <c r="K187" s="417">
        <v>379</v>
      </c>
      <c r="L187" s="417">
        <v>0</v>
      </c>
      <c r="M187" s="417">
        <v>295</v>
      </c>
      <c r="N187" s="417">
        <v>366</v>
      </c>
      <c r="O187" s="417">
        <v>3951</v>
      </c>
      <c r="P187" s="417">
        <v>9181</v>
      </c>
    </row>
    <row r="188" spans="1:16" s="402" customFormat="1" ht="11">
      <c r="A188" s="414" t="s">
        <v>1087</v>
      </c>
      <c r="B188" s="414" t="s">
        <v>1088</v>
      </c>
      <c r="C188" s="417">
        <v>162</v>
      </c>
      <c r="D188" s="417">
        <v>0</v>
      </c>
      <c r="E188" s="417">
        <v>0</v>
      </c>
      <c r="F188" s="417">
        <v>150</v>
      </c>
      <c r="G188" s="417">
        <v>0</v>
      </c>
      <c r="H188" s="417">
        <v>0</v>
      </c>
      <c r="I188" s="417">
        <v>0</v>
      </c>
      <c r="J188" s="417">
        <v>775</v>
      </c>
      <c r="K188" s="417">
        <v>0</v>
      </c>
      <c r="L188" s="417">
        <v>0</v>
      </c>
      <c r="M188" s="417">
        <v>0</v>
      </c>
      <c r="N188" s="417">
        <v>1100</v>
      </c>
      <c r="O188" s="417">
        <v>2187</v>
      </c>
      <c r="P188" s="417">
        <v>14825</v>
      </c>
    </row>
    <row r="189" spans="1:16" s="402" customFormat="1" ht="11">
      <c r="A189" s="414" t="s">
        <v>1089</v>
      </c>
      <c r="B189" s="414" t="s">
        <v>1090</v>
      </c>
      <c r="C189" s="417">
        <v>0</v>
      </c>
      <c r="D189" s="417">
        <v>3905</v>
      </c>
      <c r="E189" s="417">
        <v>1565</v>
      </c>
      <c r="F189" s="417">
        <v>3741</v>
      </c>
      <c r="G189" s="417">
        <v>0</v>
      </c>
      <c r="H189" s="417">
        <v>0</v>
      </c>
      <c r="I189" s="417">
        <v>0</v>
      </c>
      <c r="J189" s="417">
        <v>400</v>
      </c>
      <c r="K189" s="417">
        <v>0</v>
      </c>
      <c r="L189" s="417">
        <v>0</v>
      </c>
      <c r="M189" s="417">
        <v>0</v>
      </c>
      <c r="N189" s="417">
        <v>-7482</v>
      </c>
      <c r="O189" s="417">
        <v>2129</v>
      </c>
      <c r="P189" s="417">
        <v>-4189</v>
      </c>
    </row>
    <row r="190" spans="1:16" s="402" customFormat="1" ht="11">
      <c r="A190" s="414" t="s">
        <v>1092</v>
      </c>
      <c r="B190" s="414" t="s">
        <v>1093</v>
      </c>
      <c r="C190" s="417">
        <v>0</v>
      </c>
      <c r="D190" s="417">
        <v>0</v>
      </c>
      <c r="E190" s="417">
        <v>0</v>
      </c>
      <c r="F190" s="417">
        <v>0</v>
      </c>
      <c r="G190" s="417">
        <v>0</v>
      </c>
      <c r="H190" s="417">
        <v>0</v>
      </c>
      <c r="I190" s="417">
        <v>0</v>
      </c>
      <c r="J190" s="417">
        <v>0</v>
      </c>
      <c r="K190" s="417">
        <v>0</v>
      </c>
      <c r="L190" s="417">
        <v>0</v>
      </c>
      <c r="M190" s="417">
        <v>0</v>
      </c>
      <c r="N190" s="417">
        <v>0</v>
      </c>
      <c r="O190" s="417">
        <v>0</v>
      </c>
      <c r="P190" s="417">
        <v>1800</v>
      </c>
    </row>
    <row r="191" spans="1:16" s="402" customFormat="1" ht="11">
      <c r="A191" s="418" t="s">
        <v>545</v>
      </c>
      <c r="B191" s="414" t="s">
        <v>1096</v>
      </c>
      <c r="C191" s="419">
        <v>5571</v>
      </c>
      <c r="D191" s="419">
        <v>17417</v>
      </c>
      <c r="E191" s="419">
        <v>22926</v>
      </c>
      <c r="F191" s="419">
        <v>10516</v>
      </c>
      <c r="G191" s="419">
        <v>12780</v>
      </c>
      <c r="H191" s="419">
        <v>13771</v>
      </c>
      <c r="I191" s="419">
        <v>8827</v>
      </c>
      <c r="J191" s="419">
        <v>17692</v>
      </c>
      <c r="K191" s="419">
        <v>6726</v>
      </c>
      <c r="L191" s="419">
        <v>10687</v>
      </c>
      <c r="M191" s="419">
        <v>16352</v>
      </c>
      <c r="N191" s="419">
        <v>-13383</v>
      </c>
      <c r="O191" s="419">
        <v>129884</v>
      </c>
      <c r="P191" s="419">
        <v>143023</v>
      </c>
    </row>
    <row r="192" spans="1:16" s="402" customFormat="1" ht="11">
      <c r="A192" s="534" t="s">
        <v>545</v>
      </c>
      <c r="B192" s="534"/>
      <c r="C192" s="534"/>
      <c r="D192" s="534"/>
      <c r="E192" s="534"/>
      <c r="F192" s="534"/>
      <c r="G192" s="534"/>
      <c r="H192" s="534"/>
      <c r="I192" s="534"/>
      <c r="J192" s="534"/>
      <c r="K192" s="534"/>
      <c r="L192" s="534"/>
      <c r="M192" s="534"/>
      <c r="N192" s="534"/>
      <c r="O192" s="534"/>
      <c r="P192" s="534"/>
    </row>
    <row r="193" spans="1:16" s="402" customFormat="1" ht="11">
      <c r="A193" s="418" t="s">
        <v>545</v>
      </c>
      <c r="B193" s="414" t="s">
        <v>1107</v>
      </c>
      <c r="C193" s="419">
        <v>96930</v>
      </c>
      <c r="D193" s="419">
        <v>89852</v>
      </c>
      <c r="E193" s="419">
        <v>79726</v>
      </c>
      <c r="F193" s="419">
        <v>81059</v>
      </c>
      <c r="G193" s="419">
        <v>88923</v>
      </c>
      <c r="H193" s="419">
        <v>90572</v>
      </c>
      <c r="I193" s="419">
        <v>78594</v>
      </c>
      <c r="J193" s="419">
        <v>85853</v>
      </c>
      <c r="K193" s="419">
        <v>94131</v>
      </c>
      <c r="L193" s="419">
        <v>86773</v>
      </c>
      <c r="M193" s="419">
        <v>90477</v>
      </c>
      <c r="N193" s="419">
        <v>103722</v>
      </c>
      <c r="O193" s="419">
        <v>1066611</v>
      </c>
      <c r="P193" s="419">
        <v>978570</v>
      </c>
    </row>
    <row r="194" spans="1:16" s="402" customFormat="1" ht="11">
      <c r="A194" s="534" t="s">
        <v>545</v>
      </c>
      <c r="B194" s="534"/>
      <c r="C194" s="534"/>
      <c r="D194" s="534"/>
      <c r="E194" s="534"/>
      <c r="F194" s="534"/>
      <c r="G194" s="534"/>
      <c r="H194" s="534"/>
      <c r="I194" s="534"/>
      <c r="J194" s="534"/>
      <c r="K194" s="534"/>
      <c r="L194" s="534"/>
      <c r="M194" s="534"/>
      <c r="N194" s="534"/>
      <c r="O194" s="534"/>
      <c r="P194" s="534"/>
    </row>
    <row r="195" spans="1:16" s="402" customFormat="1" ht="11">
      <c r="A195" s="414" t="s">
        <v>742</v>
      </c>
      <c r="B195" s="414" t="s">
        <v>1108</v>
      </c>
      <c r="C195" s="414" t="s">
        <v>742</v>
      </c>
      <c r="D195" s="414" t="s">
        <v>742</v>
      </c>
      <c r="E195" s="414" t="s">
        <v>742</v>
      </c>
      <c r="F195" s="414" t="s">
        <v>742</v>
      </c>
      <c r="G195" s="414" t="s">
        <v>742</v>
      </c>
      <c r="H195" s="414" t="s">
        <v>742</v>
      </c>
      <c r="I195" s="414" t="s">
        <v>742</v>
      </c>
      <c r="J195" s="414" t="s">
        <v>742</v>
      </c>
      <c r="K195" s="414" t="s">
        <v>742</v>
      </c>
      <c r="L195" s="414" t="s">
        <v>742</v>
      </c>
      <c r="M195" s="414" t="s">
        <v>742</v>
      </c>
      <c r="N195" s="414" t="s">
        <v>742</v>
      </c>
      <c r="O195" s="414" t="s">
        <v>742</v>
      </c>
      <c r="P195" s="414" t="s">
        <v>742</v>
      </c>
    </row>
    <row r="196" spans="1:16" s="402" customFormat="1" ht="11">
      <c r="A196" s="414" t="s">
        <v>1109</v>
      </c>
      <c r="B196" s="414" t="s">
        <v>1110</v>
      </c>
      <c r="C196" s="417">
        <v>43121</v>
      </c>
      <c r="D196" s="417">
        <v>43053</v>
      </c>
      <c r="E196" s="417">
        <v>38826</v>
      </c>
      <c r="F196" s="417">
        <v>42906</v>
      </c>
      <c r="G196" s="417">
        <v>41456</v>
      </c>
      <c r="H196" s="417">
        <v>42765</v>
      </c>
      <c r="I196" s="417">
        <v>41320</v>
      </c>
      <c r="J196" s="417">
        <v>42624</v>
      </c>
      <c r="K196" s="417">
        <v>42555</v>
      </c>
      <c r="L196" s="417">
        <v>41116</v>
      </c>
      <c r="M196" s="417">
        <v>42412</v>
      </c>
      <c r="N196" s="417">
        <v>58111</v>
      </c>
      <c r="O196" s="417">
        <v>520263</v>
      </c>
      <c r="P196" s="417">
        <v>527046</v>
      </c>
    </row>
    <row r="197" spans="1:16" s="402" customFormat="1" ht="11">
      <c r="A197" s="414" t="s">
        <v>1111</v>
      </c>
      <c r="B197" s="414" t="s">
        <v>1112</v>
      </c>
      <c r="C197" s="417">
        <v>0</v>
      </c>
      <c r="D197" s="417">
        <v>0</v>
      </c>
      <c r="E197" s="417">
        <v>0</v>
      </c>
      <c r="F197" s="417">
        <v>0</v>
      </c>
      <c r="G197" s="417">
        <v>0</v>
      </c>
      <c r="H197" s="417">
        <v>0</v>
      </c>
      <c r="I197" s="417">
        <v>0</v>
      </c>
      <c r="J197" s="417">
        <v>0</v>
      </c>
      <c r="K197" s="417">
        <v>0</v>
      </c>
      <c r="L197" s="417">
        <v>0</v>
      </c>
      <c r="M197" s="417">
        <v>0</v>
      </c>
      <c r="N197" s="417">
        <v>66000</v>
      </c>
      <c r="O197" s="417">
        <v>66000</v>
      </c>
      <c r="P197" s="417">
        <v>66000</v>
      </c>
    </row>
    <row r="198" spans="1:16" s="402" customFormat="1" ht="11">
      <c r="A198" s="418" t="s">
        <v>545</v>
      </c>
      <c r="B198" s="414" t="s">
        <v>1115</v>
      </c>
      <c r="C198" s="419">
        <v>43121</v>
      </c>
      <c r="D198" s="419">
        <v>43053</v>
      </c>
      <c r="E198" s="419">
        <v>38826</v>
      </c>
      <c r="F198" s="419">
        <v>42906</v>
      </c>
      <c r="G198" s="419">
        <v>41456</v>
      </c>
      <c r="H198" s="419">
        <v>42765</v>
      </c>
      <c r="I198" s="419">
        <v>41320</v>
      </c>
      <c r="J198" s="419">
        <v>42624</v>
      </c>
      <c r="K198" s="419">
        <v>42555</v>
      </c>
      <c r="L198" s="419">
        <v>41116</v>
      </c>
      <c r="M198" s="419">
        <v>42412</v>
      </c>
      <c r="N198" s="419">
        <v>124111</v>
      </c>
      <c r="O198" s="419">
        <v>586263</v>
      </c>
      <c r="P198" s="419">
        <v>593046</v>
      </c>
    </row>
    <row r="199" spans="1:16" s="402" customFormat="1" ht="11">
      <c r="A199" s="534" t="s">
        <v>545</v>
      </c>
      <c r="B199" s="534"/>
      <c r="C199" s="534"/>
      <c r="D199" s="534"/>
      <c r="E199" s="534"/>
      <c r="F199" s="534"/>
      <c r="G199" s="534"/>
      <c r="H199" s="534"/>
      <c r="I199" s="534"/>
      <c r="J199" s="534"/>
      <c r="K199" s="534"/>
      <c r="L199" s="534"/>
      <c r="M199" s="534"/>
      <c r="N199" s="534"/>
      <c r="O199" s="534"/>
      <c r="P199" s="534"/>
    </row>
    <row r="200" spans="1:16" s="402" customFormat="1" ht="11">
      <c r="A200" s="418" t="s">
        <v>545</v>
      </c>
      <c r="B200" s="414" t="s">
        <v>1116</v>
      </c>
      <c r="C200" s="420">
        <v>53809</v>
      </c>
      <c r="D200" s="420">
        <v>46799</v>
      </c>
      <c r="E200" s="420">
        <v>40900</v>
      </c>
      <c r="F200" s="420">
        <v>38153</v>
      </c>
      <c r="G200" s="420">
        <v>47467</v>
      </c>
      <c r="H200" s="420">
        <v>47807</v>
      </c>
      <c r="I200" s="420">
        <v>37274</v>
      </c>
      <c r="J200" s="420">
        <v>43229</v>
      </c>
      <c r="K200" s="420">
        <v>51576</v>
      </c>
      <c r="L200" s="420">
        <v>45657</v>
      </c>
      <c r="M200" s="420">
        <v>48065</v>
      </c>
      <c r="N200" s="420">
        <v>-20389</v>
      </c>
      <c r="O200" s="420">
        <v>480347</v>
      </c>
      <c r="P200" s="420">
        <v>385524</v>
      </c>
    </row>
    <row r="201" spans="1:16" s="402" customFormat="1" ht="11">
      <c r="A201" s="414" t="s">
        <v>742</v>
      </c>
      <c r="B201" s="414" t="s">
        <v>1117</v>
      </c>
      <c r="C201" s="421" t="s">
        <v>742</v>
      </c>
      <c r="D201" s="421" t="s">
        <v>742</v>
      </c>
      <c r="E201" s="421" t="s">
        <v>742</v>
      </c>
      <c r="F201" s="421" t="s">
        <v>742</v>
      </c>
      <c r="G201" s="421" t="s">
        <v>742</v>
      </c>
      <c r="H201" s="421" t="s">
        <v>742</v>
      </c>
      <c r="I201" s="421" t="s">
        <v>742</v>
      </c>
      <c r="J201" s="421" t="s">
        <v>742</v>
      </c>
      <c r="K201" s="421" t="s">
        <v>742</v>
      </c>
      <c r="L201" s="421" t="s">
        <v>742</v>
      </c>
      <c r="M201" s="421" t="s">
        <v>742</v>
      </c>
      <c r="N201" s="421" t="s">
        <v>742</v>
      </c>
      <c r="O201" s="421" t="s">
        <v>742</v>
      </c>
      <c r="P201" s="421" t="s">
        <v>742</v>
      </c>
    </row>
    <row r="202" spans="1:16" s="402" customFormat="1" ht="11">
      <c r="A202" s="414" t="s">
        <v>1118</v>
      </c>
      <c r="B202" s="414" t="s">
        <v>1119</v>
      </c>
      <c r="C202" s="417">
        <v>0</v>
      </c>
      <c r="D202" s="417">
        <v>0</v>
      </c>
      <c r="E202" s="417">
        <v>0</v>
      </c>
      <c r="F202" s="417">
        <v>0</v>
      </c>
      <c r="G202" s="417">
        <v>0</v>
      </c>
      <c r="H202" s="417">
        <v>0</v>
      </c>
      <c r="I202" s="417">
        <v>0</v>
      </c>
      <c r="J202" s="417">
        <v>0</v>
      </c>
      <c r="K202" s="417">
        <v>0</v>
      </c>
      <c r="L202" s="417">
        <v>0</v>
      </c>
      <c r="M202" s="417">
        <v>0</v>
      </c>
      <c r="N202" s="417">
        <v>326040</v>
      </c>
      <c r="O202" s="417">
        <v>326039</v>
      </c>
      <c r="P202" s="417">
        <v>349742</v>
      </c>
    </row>
    <row r="203" spans="1:16" s="402" customFormat="1" ht="11">
      <c r="A203" s="414" t="s">
        <v>1120</v>
      </c>
      <c r="B203" s="414" t="s">
        <v>1121</v>
      </c>
      <c r="C203" s="417">
        <v>0</v>
      </c>
      <c r="D203" s="417">
        <v>0</v>
      </c>
      <c r="E203" s="417">
        <v>0</v>
      </c>
      <c r="F203" s="417">
        <v>0</v>
      </c>
      <c r="G203" s="417">
        <v>0</v>
      </c>
      <c r="H203" s="417">
        <v>0</v>
      </c>
      <c r="I203" s="417">
        <v>0</v>
      </c>
      <c r="J203" s="417">
        <v>0</v>
      </c>
      <c r="K203" s="417">
        <v>0</v>
      </c>
      <c r="L203" s="417">
        <v>0</v>
      </c>
      <c r="M203" s="417">
        <v>0</v>
      </c>
      <c r="N203" s="417">
        <v>20212</v>
      </c>
      <c r="O203" s="417">
        <v>20212</v>
      </c>
      <c r="P203" s="417">
        <v>20212</v>
      </c>
    </row>
    <row r="204" spans="1:16" s="402" customFormat="1" ht="11">
      <c r="A204" s="418" t="s">
        <v>545</v>
      </c>
      <c r="B204" s="414" t="s">
        <v>1122</v>
      </c>
      <c r="C204" s="420">
        <v>0</v>
      </c>
      <c r="D204" s="420">
        <v>0</v>
      </c>
      <c r="E204" s="420">
        <v>0</v>
      </c>
      <c r="F204" s="420">
        <v>0</v>
      </c>
      <c r="G204" s="420">
        <v>0</v>
      </c>
      <c r="H204" s="420">
        <v>0</v>
      </c>
      <c r="I204" s="420">
        <v>0</v>
      </c>
      <c r="J204" s="420">
        <v>0</v>
      </c>
      <c r="K204" s="420">
        <v>0</v>
      </c>
      <c r="L204" s="420">
        <v>0</v>
      </c>
      <c r="M204" s="420">
        <v>0</v>
      </c>
      <c r="N204" s="420">
        <v>346252</v>
      </c>
      <c r="O204" s="420">
        <v>346251</v>
      </c>
      <c r="P204" s="420">
        <v>369954</v>
      </c>
    </row>
    <row r="205" spans="1:16" s="402" customFormat="1" ht="11">
      <c r="A205" s="534" t="s">
        <v>545</v>
      </c>
      <c r="B205" s="534"/>
      <c r="C205" s="534"/>
      <c r="D205" s="534"/>
      <c r="E205" s="534"/>
      <c r="F205" s="534"/>
      <c r="G205" s="534"/>
      <c r="H205" s="534"/>
      <c r="I205" s="534"/>
      <c r="J205" s="534"/>
      <c r="K205" s="534"/>
      <c r="L205" s="534"/>
      <c r="M205" s="534"/>
      <c r="N205" s="534"/>
      <c r="O205" s="534"/>
      <c r="P205" s="534"/>
    </row>
    <row r="206" spans="1:16" s="402" customFormat="1" ht="12" thickBot="1">
      <c r="A206" s="418" t="s">
        <v>545</v>
      </c>
      <c r="B206" s="414" t="s">
        <v>1132</v>
      </c>
      <c r="C206" s="422">
        <v>53809</v>
      </c>
      <c r="D206" s="422">
        <v>46799</v>
      </c>
      <c r="E206" s="422">
        <v>40900</v>
      </c>
      <c r="F206" s="422">
        <v>38153</v>
      </c>
      <c r="G206" s="422">
        <v>47467</v>
      </c>
      <c r="H206" s="422">
        <v>47807</v>
      </c>
      <c r="I206" s="422">
        <v>37274</v>
      </c>
      <c r="J206" s="422">
        <v>43229</v>
      </c>
      <c r="K206" s="422">
        <v>51576</v>
      </c>
      <c r="L206" s="422">
        <v>45657</v>
      </c>
      <c r="M206" s="422">
        <v>48065</v>
      </c>
      <c r="N206" s="422">
        <v>-366641</v>
      </c>
      <c r="O206" s="422">
        <v>134095</v>
      </c>
      <c r="P206" s="422">
        <v>15570</v>
      </c>
    </row>
    <row r="207" spans="1:16" s="402" customFormat="1" ht="12" thickTop="1">
      <c r="A207" s="534" t="s">
        <v>545</v>
      </c>
      <c r="B207" s="534"/>
      <c r="C207" s="534"/>
      <c r="D207" s="534"/>
      <c r="E207" s="534"/>
      <c r="F207" s="534"/>
      <c r="G207" s="534"/>
      <c r="H207" s="534"/>
      <c r="I207" s="534"/>
      <c r="J207" s="534"/>
      <c r="K207" s="534"/>
      <c r="L207" s="534"/>
      <c r="M207" s="534"/>
      <c r="N207" s="534"/>
      <c r="O207" s="534"/>
      <c r="P207" s="534"/>
    </row>
    <row r="208" spans="1:16" s="402" customFormat="1" ht="11">
      <c r="A208" s="414" t="s">
        <v>742</v>
      </c>
      <c r="B208" s="414" t="s">
        <v>1133</v>
      </c>
      <c r="C208" s="414" t="s">
        <v>742</v>
      </c>
      <c r="D208" s="414" t="s">
        <v>742</v>
      </c>
      <c r="E208" s="414" t="s">
        <v>742</v>
      </c>
      <c r="F208" s="414" t="s">
        <v>742</v>
      </c>
      <c r="G208" s="414" t="s">
        <v>742</v>
      </c>
      <c r="H208" s="414" t="s">
        <v>742</v>
      </c>
      <c r="I208" s="414" t="s">
        <v>742</v>
      </c>
      <c r="J208" s="414" t="s">
        <v>742</v>
      </c>
      <c r="K208" s="414" t="s">
        <v>742</v>
      </c>
      <c r="L208" s="414" t="s">
        <v>742</v>
      </c>
      <c r="M208" s="414" t="s">
        <v>742</v>
      </c>
      <c r="N208" s="414" t="s">
        <v>742</v>
      </c>
      <c r="O208" s="414" t="s">
        <v>742</v>
      </c>
      <c r="P208" s="414" t="s">
        <v>742</v>
      </c>
    </row>
    <row r="209" spans="1:16" s="402" customFormat="1" ht="11">
      <c r="A209" s="414" t="s">
        <v>1137</v>
      </c>
      <c r="B209" s="414" t="s">
        <v>1138</v>
      </c>
      <c r="C209" s="417">
        <v>0</v>
      </c>
      <c r="D209" s="417">
        <v>7313</v>
      </c>
      <c r="E209" s="417">
        <v>7313</v>
      </c>
      <c r="F209" s="417">
        <v>7313</v>
      </c>
      <c r="G209" s="417">
        <v>7313</v>
      </c>
      <c r="H209" s="417">
        <v>7313</v>
      </c>
      <c r="I209" s="417">
        <v>7313</v>
      </c>
      <c r="J209" s="417">
        <v>7313</v>
      </c>
      <c r="K209" s="417">
        <v>7313</v>
      </c>
      <c r="L209" s="417">
        <v>7313</v>
      </c>
      <c r="M209" s="417">
        <v>7313</v>
      </c>
      <c r="N209" s="417">
        <v>7313</v>
      </c>
      <c r="O209" s="417">
        <v>80441</v>
      </c>
      <c r="P209" s="417">
        <v>0</v>
      </c>
    </row>
    <row r="210" spans="1:16" s="402" customFormat="1" ht="11">
      <c r="A210" s="414" t="s">
        <v>1139</v>
      </c>
      <c r="B210" s="414" t="s">
        <v>1140</v>
      </c>
      <c r="C210" s="417">
        <v>0</v>
      </c>
      <c r="D210" s="417">
        <v>26291</v>
      </c>
      <c r="E210" s="417">
        <v>26291</v>
      </c>
      <c r="F210" s="417">
        <v>26291</v>
      </c>
      <c r="G210" s="417">
        <v>26291</v>
      </c>
      <c r="H210" s="417">
        <v>26291</v>
      </c>
      <c r="I210" s="417">
        <v>26291</v>
      </c>
      <c r="J210" s="417">
        <v>26291</v>
      </c>
      <c r="K210" s="417">
        <v>26291</v>
      </c>
      <c r="L210" s="417">
        <v>26291</v>
      </c>
      <c r="M210" s="417">
        <v>26291</v>
      </c>
      <c r="N210" s="417">
        <v>26291</v>
      </c>
      <c r="O210" s="417">
        <v>289207</v>
      </c>
      <c r="P210" s="417">
        <v>0</v>
      </c>
    </row>
    <row r="211" spans="1:16" s="402" customFormat="1" ht="11">
      <c r="A211" s="414" t="s">
        <v>1165</v>
      </c>
      <c r="B211" s="414" t="s">
        <v>1166</v>
      </c>
      <c r="C211" s="417">
        <v>0</v>
      </c>
      <c r="D211" s="417">
        <v>3362</v>
      </c>
      <c r="E211" s="417">
        <v>3362</v>
      </c>
      <c r="F211" s="417">
        <v>3362</v>
      </c>
      <c r="G211" s="417">
        <v>3362</v>
      </c>
      <c r="H211" s="417">
        <v>3362</v>
      </c>
      <c r="I211" s="417">
        <v>3362</v>
      </c>
      <c r="J211" s="417">
        <v>3362</v>
      </c>
      <c r="K211" s="417">
        <v>3362</v>
      </c>
      <c r="L211" s="417">
        <v>3362</v>
      </c>
      <c r="M211" s="417">
        <v>3362</v>
      </c>
      <c r="N211" s="417">
        <v>3362</v>
      </c>
      <c r="O211" s="417">
        <v>36974</v>
      </c>
      <c r="P211" s="417">
        <v>0</v>
      </c>
    </row>
    <row r="212" spans="1:16" s="402" customFormat="1" ht="11">
      <c r="A212" s="414" t="s">
        <v>1168</v>
      </c>
      <c r="B212" s="414" t="s">
        <v>1169</v>
      </c>
      <c r="C212" s="417">
        <v>0</v>
      </c>
      <c r="D212" s="417">
        <v>1959</v>
      </c>
      <c r="E212" s="417">
        <v>1959</v>
      </c>
      <c r="F212" s="417">
        <v>1959</v>
      </c>
      <c r="G212" s="417">
        <v>1959</v>
      </c>
      <c r="H212" s="417">
        <v>1959</v>
      </c>
      <c r="I212" s="417">
        <v>1959</v>
      </c>
      <c r="J212" s="417">
        <v>1959</v>
      </c>
      <c r="K212" s="417">
        <v>1959</v>
      </c>
      <c r="L212" s="417">
        <v>1959</v>
      </c>
      <c r="M212" s="417">
        <v>1959</v>
      </c>
      <c r="N212" s="417">
        <v>1959</v>
      </c>
      <c r="O212" s="417">
        <v>21548</v>
      </c>
      <c r="P212" s="417">
        <v>0</v>
      </c>
    </row>
    <row r="213" spans="1:16" s="402" customFormat="1" ht="11">
      <c r="A213" s="414" t="s">
        <v>1170</v>
      </c>
      <c r="B213" s="414" t="s">
        <v>1171</v>
      </c>
      <c r="C213" s="417">
        <v>0</v>
      </c>
      <c r="D213" s="417">
        <v>378</v>
      </c>
      <c r="E213" s="417">
        <v>378</v>
      </c>
      <c r="F213" s="417">
        <v>378</v>
      </c>
      <c r="G213" s="417">
        <v>378</v>
      </c>
      <c r="H213" s="417">
        <v>378</v>
      </c>
      <c r="I213" s="417">
        <v>378</v>
      </c>
      <c r="J213" s="417">
        <v>378</v>
      </c>
      <c r="K213" s="417">
        <v>378</v>
      </c>
      <c r="L213" s="417">
        <v>378</v>
      </c>
      <c r="M213" s="417">
        <v>378</v>
      </c>
      <c r="N213" s="417">
        <v>378</v>
      </c>
      <c r="O213" s="417">
        <v>4168</v>
      </c>
      <c r="P213" s="417">
        <v>0</v>
      </c>
    </row>
    <row r="214" spans="1:16" s="402" customFormat="1" ht="11">
      <c r="A214" s="414" t="s">
        <v>1175</v>
      </c>
      <c r="B214" s="414" t="s">
        <v>1176</v>
      </c>
      <c r="C214" s="417">
        <v>0</v>
      </c>
      <c r="D214" s="417">
        <v>4559</v>
      </c>
      <c r="E214" s="417">
        <v>4559</v>
      </c>
      <c r="F214" s="417">
        <v>4559</v>
      </c>
      <c r="G214" s="417">
        <v>4559</v>
      </c>
      <c r="H214" s="417">
        <v>4559</v>
      </c>
      <c r="I214" s="417">
        <v>4559</v>
      </c>
      <c r="J214" s="417">
        <v>4559</v>
      </c>
      <c r="K214" s="417">
        <v>4559</v>
      </c>
      <c r="L214" s="417">
        <v>4559</v>
      </c>
      <c r="M214" s="417">
        <v>4559</v>
      </c>
      <c r="N214" s="417">
        <v>4559</v>
      </c>
      <c r="O214" s="417">
        <v>50145</v>
      </c>
      <c r="P214" s="417">
        <v>0</v>
      </c>
    </row>
    <row r="215" spans="1:16" s="402" customFormat="1" ht="11">
      <c r="A215" s="414" t="s">
        <v>1181</v>
      </c>
      <c r="B215" s="414" t="s">
        <v>1182</v>
      </c>
      <c r="C215" s="417">
        <v>0</v>
      </c>
      <c r="D215" s="417">
        <v>15949</v>
      </c>
      <c r="E215" s="417">
        <v>15949</v>
      </c>
      <c r="F215" s="417">
        <v>15949</v>
      </c>
      <c r="G215" s="417">
        <v>15949</v>
      </c>
      <c r="H215" s="417">
        <v>15949</v>
      </c>
      <c r="I215" s="417">
        <v>15949</v>
      </c>
      <c r="J215" s="417">
        <v>15949</v>
      </c>
      <c r="K215" s="417">
        <v>15949</v>
      </c>
      <c r="L215" s="417">
        <v>15949</v>
      </c>
      <c r="M215" s="417">
        <v>15949</v>
      </c>
      <c r="N215" s="417">
        <v>15949</v>
      </c>
      <c r="O215" s="417">
        <v>175436</v>
      </c>
      <c r="P215" s="417">
        <v>0</v>
      </c>
    </row>
    <row r="216" spans="1:16" s="402" customFormat="1" ht="11">
      <c r="A216" s="414" t="s">
        <v>1184</v>
      </c>
      <c r="B216" s="414" t="s">
        <v>1185</v>
      </c>
      <c r="C216" s="417">
        <v>0</v>
      </c>
      <c r="D216" s="417">
        <v>14453</v>
      </c>
      <c r="E216" s="417">
        <v>14453</v>
      </c>
      <c r="F216" s="417">
        <v>14453</v>
      </c>
      <c r="G216" s="417">
        <v>14453</v>
      </c>
      <c r="H216" s="417">
        <v>14453</v>
      </c>
      <c r="I216" s="417">
        <v>14453</v>
      </c>
      <c r="J216" s="417">
        <v>14453</v>
      </c>
      <c r="K216" s="417">
        <v>14453</v>
      </c>
      <c r="L216" s="417">
        <v>14453</v>
      </c>
      <c r="M216" s="417">
        <v>14453</v>
      </c>
      <c r="N216" s="417">
        <v>14453</v>
      </c>
      <c r="O216" s="417">
        <v>158989</v>
      </c>
      <c r="P216" s="417">
        <v>0</v>
      </c>
    </row>
    <row r="217" spans="1:16" s="402" customFormat="1" ht="11">
      <c r="A217" s="414" t="s">
        <v>1200</v>
      </c>
      <c r="B217" s="414" t="s">
        <v>1201</v>
      </c>
      <c r="C217" s="417">
        <v>0</v>
      </c>
      <c r="D217" s="417">
        <v>9425</v>
      </c>
      <c r="E217" s="417">
        <v>9425</v>
      </c>
      <c r="F217" s="417">
        <v>9425</v>
      </c>
      <c r="G217" s="417">
        <v>9425</v>
      </c>
      <c r="H217" s="417">
        <v>9425</v>
      </c>
      <c r="I217" s="417">
        <v>9425</v>
      </c>
      <c r="J217" s="417">
        <v>9425</v>
      </c>
      <c r="K217" s="417">
        <v>9425</v>
      </c>
      <c r="L217" s="417">
        <v>9425</v>
      </c>
      <c r="M217" s="417">
        <v>9425</v>
      </c>
      <c r="N217" s="417">
        <v>9425</v>
      </c>
      <c r="O217" s="417">
        <v>103670</v>
      </c>
      <c r="P217" s="417">
        <v>0</v>
      </c>
    </row>
    <row r="218" spans="1:16" s="402" customFormat="1" ht="11">
      <c r="A218" s="414" t="s">
        <v>1208</v>
      </c>
      <c r="B218" s="414" t="s">
        <v>1209</v>
      </c>
      <c r="C218" s="417">
        <v>0</v>
      </c>
      <c r="D218" s="417">
        <v>46705</v>
      </c>
      <c r="E218" s="417">
        <v>46705</v>
      </c>
      <c r="F218" s="417">
        <v>46705</v>
      </c>
      <c r="G218" s="417">
        <v>46705</v>
      </c>
      <c r="H218" s="417">
        <v>46705</v>
      </c>
      <c r="I218" s="417">
        <v>46705</v>
      </c>
      <c r="J218" s="417">
        <v>46705</v>
      </c>
      <c r="K218" s="417">
        <v>46705</v>
      </c>
      <c r="L218" s="417">
        <v>46705</v>
      </c>
      <c r="M218" s="417">
        <v>46705</v>
      </c>
      <c r="N218" s="417">
        <v>67361</v>
      </c>
      <c r="O218" s="417">
        <v>534412</v>
      </c>
      <c r="P218" s="417">
        <v>43391</v>
      </c>
    </row>
    <row r="219" spans="1:16" s="402" customFormat="1" ht="11">
      <c r="A219" s="418" t="s">
        <v>545</v>
      </c>
      <c r="B219" s="414" t="s">
        <v>1133</v>
      </c>
      <c r="C219" s="419">
        <v>0</v>
      </c>
      <c r="D219" s="419">
        <v>130394</v>
      </c>
      <c r="E219" s="419">
        <v>130394</v>
      </c>
      <c r="F219" s="419">
        <v>130394</v>
      </c>
      <c r="G219" s="419">
        <v>130394</v>
      </c>
      <c r="H219" s="419">
        <v>130394</v>
      </c>
      <c r="I219" s="419">
        <v>130394</v>
      </c>
      <c r="J219" s="419">
        <v>130394</v>
      </c>
      <c r="K219" s="419">
        <v>130394</v>
      </c>
      <c r="L219" s="419">
        <v>130394</v>
      </c>
      <c r="M219" s="419">
        <v>130394</v>
      </c>
      <c r="N219" s="419">
        <v>151050</v>
      </c>
      <c r="O219" s="419">
        <v>1454990</v>
      </c>
      <c r="P219" s="419">
        <v>43391</v>
      </c>
    </row>
    <row r="220" spans="1:16" s="402" customFormat="1" ht="11">
      <c r="A220" s="534" t="s">
        <v>545</v>
      </c>
      <c r="B220" s="534"/>
      <c r="C220" s="534"/>
      <c r="D220" s="534"/>
      <c r="E220" s="534"/>
      <c r="F220" s="534"/>
      <c r="G220" s="534"/>
      <c r="H220" s="534"/>
      <c r="I220" s="534"/>
      <c r="J220" s="534"/>
      <c r="K220" s="534"/>
      <c r="L220" s="534"/>
      <c r="M220" s="534"/>
      <c r="N220" s="534"/>
      <c r="O220" s="534"/>
      <c r="P220" s="534"/>
    </row>
    <row r="221" spans="1:16" s="402" customFormat="1" ht="11">
      <c r="A221" s="414" t="s">
        <v>742</v>
      </c>
      <c r="B221" s="414" t="s">
        <v>1211</v>
      </c>
      <c r="C221" s="414" t="s">
        <v>742</v>
      </c>
      <c r="D221" s="414" t="s">
        <v>742</v>
      </c>
      <c r="E221" s="414" t="s">
        <v>742</v>
      </c>
      <c r="F221" s="414" t="s">
        <v>742</v>
      </c>
      <c r="G221" s="414" t="s">
        <v>742</v>
      </c>
      <c r="H221" s="414" t="s">
        <v>742</v>
      </c>
      <c r="I221" s="414" t="s">
        <v>742</v>
      </c>
      <c r="J221" s="414" t="s">
        <v>742</v>
      </c>
      <c r="K221" s="414" t="s">
        <v>742</v>
      </c>
      <c r="L221" s="414" t="s">
        <v>742</v>
      </c>
      <c r="M221" s="414" t="s">
        <v>742</v>
      </c>
      <c r="N221" s="414" t="s">
        <v>742</v>
      </c>
      <c r="O221" s="414" t="s">
        <v>742</v>
      </c>
      <c r="P221" s="414" t="s">
        <v>742</v>
      </c>
    </row>
    <row r="222" spans="1:16" s="402" customFormat="1" ht="11">
      <c r="A222" s="414" t="s">
        <v>1212</v>
      </c>
      <c r="B222" s="414" t="s">
        <v>1213</v>
      </c>
      <c r="C222" s="417">
        <v>-11415</v>
      </c>
      <c r="D222" s="417">
        <v>11627</v>
      </c>
      <c r="E222" s="417">
        <v>17352</v>
      </c>
      <c r="F222" s="417">
        <v>5986</v>
      </c>
      <c r="G222" s="417">
        <v>11711</v>
      </c>
      <c r="H222" s="417">
        <v>17436</v>
      </c>
      <c r="I222" s="417">
        <v>5900</v>
      </c>
      <c r="J222" s="417">
        <v>11625</v>
      </c>
      <c r="K222" s="417">
        <v>17350</v>
      </c>
      <c r="L222" s="417">
        <v>286</v>
      </c>
      <c r="M222" s="417">
        <v>6011</v>
      </c>
      <c r="N222" s="417">
        <v>11736</v>
      </c>
      <c r="O222" s="417">
        <v>105606</v>
      </c>
      <c r="P222" s="417">
        <v>141</v>
      </c>
    </row>
    <row r="223" spans="1:16" s="402" customFormat="1" ht="11">
      <c r="A223" s="414" t="s">
        <v>1215</v>
      </c>
      <c r="B223" s="414" t="s">
        <v>1216</v>
      </c>
      <c r="C223" s="417">
        <v>10387</v>
      </c>
      <c r="D223" s="417">
        <v>32871</v>
      </c>
      <c r="E223" s="417">
        <v>12690</v>
      </c>
      <c r="F223" s="417">
        <v>23077</v>
      </c>
      <c r="G223" s="417">
        <v>32409</v>
      </c>
      <c r="H223" s="417">
        <v>42797</v>
      </c>
      <c r="I223" s="417">
        <v>53497</v>
      </c>
      <c r="J223" s="417">
        <v>32572</v>
      </c>
      <c r="K223" s="417">
        <v>43271</v>
      </c>
      <c r="L223" s="417">
        <v>22422</v>
      </c>
      <c r="M223" s="417">
        <v>33122</v>
      </c>
      <c r="N223" s="417">
        <v>12273</v>
      </c>
      <c r="O223" s="417">
        <v>351387</v>
      </c>
      <c r="P223" s="417">
        <v>-32675</v>
      </c>
    </row>
    <row r="224" spans="1:16" s="402" customFormat="1" ht="11">
      <c r="A224" s="414" t="s">
        <v>1217</v>
      </c>
      <c r="B224" s="414" t="s">
        <v>1218</v>
      </c>
      <c r="C224" s="417">
        <v>2333</v>
      </c>
      <c r="D224" s="417">
        <v>22748</v>
      </c>
      <c r="E224" s="417">
        <v>25080</v>
      </c>
      <c r="F224" s="417">
        <v>27413</v>
      </c>
      <c r="G224" s="417">
        <v>30801</v>
      </c>
      <c r="H224" s="417">
        <v>4446</v>
      </c>
      <c r="I224" s="417">
        <v>8812</v>
      </c>
      <c r="J224" s="417">
        <v>11311</v>
      </c>
      <c r="K224" s="417">
        <v>13812</v>
      </c>
      <c r="L224" s="417">
        <v>16312</v>
      </c>
      <c r="M224" s="417">
        <v>18812</v>
      </c>
      <c r="N224" s="417">
        <v>21312</v>
      </c>
      <c r="O224" s="417">
        <v>203191</v>
      </c>
      <c r="P224" s="417">
        <v>7154</v>
      </c>
    </row>
    <row r="225" spans="1:17" s="402" customFormat="1" ht="11">
      <c r="A225" s="418" t="s">
        <v>545</v>
      </c>
      <c r="B225" s="414" t="s">
        <v>1211</v>
      </c>
      <c r="C225" s="419">
        <v>1305</v>
      </c>
      <c r="D225" s="419">
        <v>67246</v>
      </c>
      <c r="E225" s="419">
        <v>55122</v>
      </c>
      <c r="F225" s="419">
        <v>56476</v>
      </c>
      <c r="G225" s="419">
        <v>74921</v>
      </c>
      <c r="H225" s="419">
        <v>64679</v>
      </c>
      <c r="I225" s="419">
        <v>68209</v>
      </c>
      <c r="J225" s="419">
        <v>55508</v>
      </c>
      <c r="K225" s="419">
        <v>74433</v>
      </c>
      <c r="L225" s="419">
        <v>39020</v>
      </c>
      <c r="M225" s="419">
        <v>57945</v>
      </c>
      <c r="N225" s="419">
        <v>45321</v>
      </c>
      <c r="O225" s="419">
        <v>660184</v>
      </c>
      <c r="P225" s="419">
        <v>-25380</v>
      </c>
    </row>
    <row r="226" spans="1:17" s="402" customFormat="1" ht="11">
      <c r="A226" s="534" t="s">
        <v>545</v>
      </c>
      <c r="B226" s="534"/>
      <c r="C226" s="534"/>
      <c r="D226" s="534"/>
      <c r="E226" s="534"/>
      <c r="F226" s="534"/>
      <c r="G226" s="534"/>
      <c r="H226" s="534"/>
      <c r="I226" s="534"/>
      <c r="J226" s="534"/>
      <c r="K226" s="534"/>
      <c r="L226" s="534"/>
      <c r="M226" s="534"/>
      <c r="N226" s="534"/>
      <c r="O226" s="534"/>
      <c r="P226" s="534"/>
    </row>
    <row r="227" spans="1:17" s="402" customFormat="1" ht="11">
      <c r="A227" s="414" t="s">
        <v>742</v>
      </c>
      <c r="B227" s="414" t="s">
        <v>1223</v>
      </c>
      <c r="C227" s="414" t="s">
        <v>742</v>
      </c>
      <c r="D227" s="414" t="s">
        <v>742</v>
      </c>
      <c r="E227" s="414" t="s">
        <v>742</v>
      </c>
      <c r="F227" s="414" t="s">
        <v>742</v>
      </c>
      <c r="G227" s="414" t="s">
        <v>742</v>
      </c>
      <c r="H227" s="414" t="s">
        <v>742</v>
      </c>
      <c r="I227" s="414" t="s">
        <v>742</v>
      </c>
      <c r="J227" s="414" t="s">
        <v>742</v>
      </c>
      <c r="K227" s="414" t="s">
        <v>742</v>
      </c>
      <c r="L227" s="414" t="s">
        <v>742</v>
      </c>
      <c r="M227" s="414" t="s">
        <v>742</v>
      </c>
      <c r="N227" s="414" t="s">
        <v>742</v>
      </c>
      <c r="O227" s="414" t="s">
        <v>742</v>
      </c>
      <c r="P227" s="414" t="s">
        <v>742</v>
      </c>
    </row>
    <row r="228" spans="1:17" s="402" customFormat="1" ht="11">
      <c r="A228" s="414" t="s">
        <v>1224</v>
      </c>
      <c r="B228" s="414" t="s">
        <v>1225</v>
      </c>
      <c r="C228" s="417">
        <v>0</v>
      </c>
      <c r="D228" s="417">
        <v>13650000</v>
      </c>
      <c r="E228" s="417">
        <v>13650000</v>
      </c>
      <c r="F228" s="417">
        <v>13650000</v>
      </c>
      <c r="G228" s="417">
        <v>13650000</v>
      </c>
      <c r="H228" s="417">
        <v>13650000</v>
      </c>
      <c r="I228" s="417">
        <v>13650000</v>
      </c>
      <c r="J228" s="417">
        <v>13650000</v>
      </c>
      <c r="K228" s="417">
        <v>13650000</v>
      </c>
      <c r="L228" s="417">
        <v>13650000</v>
      </c>
      <c r="M228" s="417">
        <v>13650000</v>
      </c>
      <c r="N228" s="417">
        <v>13650000</v>
      </c>
      <c r="O228" s="417">
        <v>150150000</v>
      </c>
      <c r="P228" s="417">
        <v>0</v>
      </c>
    </row>
    <row r="229" spans="1:17" s="402" customFormat="1" ht="11">
      <c r="A229" s="414" t="s">
        <v>1226</v>
      </c>
      <c r="B229" s="414" t="s">
        <v>1227</v>
      </c>
      <c r="C229" s="417">
        <v>-20483</v>
      </c>
      <c r="D229" s="417">
        <v>-513297</v>
      </c>
      <c r="E229" s="417">
        <v>-538074</v>
      </c>
      <c r="F229" s="417">
        <v>-558772</v>
      </c>
      <c r="G229" s="417">
        <v>-580920</v>
      </c>
      <c r="H229" s="417">
        <v>-601758</v>
      </c>
      <c r="I229" s="417">
        <v>-624042</v>
      </c>
      <c r="J229" s="417">
        <v>-645021</v>
      </c>
      <c r="K229" s="417">
        <v>-666069</v>
      </c>
      <c r="L229" s="417">
        <v>-688556</v>
      </c>
      <c r="M229" s="417">
        <v>-709747</v>
      </c>
      <c r="N229" s="417">
        <v>-732373</v>
      </c>
      <c r="O229" s="417">
        <v>-6879111</v>
      </c>
      <c r="P229" s="417">
        <v>-250293</v>
      </c>
    </row>
    <row r="230" spans="1:17" s="402" customFormat="1" ht="11">
      <c r="A230" s="414" t="s">
        <v>1229</v>
      </c>
      <c r="B230" s="414" t="s">
        <v>1230</v>
      </c>
      <c r="C230" s="417">
        <v>0</v>
      </c>
      <c r="D230" s="417">
        <v>0</v>
      </c>
      <c r="E230" s="417">
        <v>0</v>
      </c>
      <c r="F230" s="417">
        <v>0</v>
      </c>
      <c r="G230" s="417">
        <v>0</v>
      </c>
      <c r="H230" s="417">
        <v>0</v>
      </c>
      <c r="I230" s="417">
        <v>0</v>
      </c>
      <c r="J230" s="417">
        <v>0</v>
      </c>
      <c r="K230" s="417">
        <v>0</v>
      </c>
      <c r="L230" s="417">
        <v>0</v>
      </c>
      <c r="M230" s="417">
        <v>0</v>
      </c>
      <c r="N230" s="417">
        <v>0</v>
      </c>
      <c r="O230" s="417">
        <v>0</v>
      </c>
      <c r="P230" s="417">
        <v>0</v>
      </c>
    </row>
    <row r="231" spans="1:17" s="402" customFormat="1" ht="11">
      <c r="A231" s="418" t="s">
        <v>545</v>
      </c>
      <c r="B231" s="414" t="s">
        <v>1241</v>
      </c>
      <c r="C231" s="419">
        <v>-20483</v>
      </c>
      <c r="D231" s="419">
        <v>13136703</v>
      </c>
      <c r="E231" s="419">
        <v>13111926</v>
      </c>
      <c r="F231" s="419">
        <v>13091228</v>
      </c>
      <c r="G231" s="419">
        <v>13069080</v>
      </c>
      <c r="H231" s="419">
        <v>13048242</v>
      </c>
      <c r="I231" s="419">
        <v>13025958</v>
      </c>
      <c r="J231" s="419">
        <v>13004979</v>
      </c>
      <c r="K231" s="419">
        <v>12983931</v>
      </c>
      <c r="L231" s="419">
        <v>12961444</v>
      </c>
      <c r="M231" s="419">
        <v>12940253</v>
      </c>
      <c r="N231" s="419">
        <v>12917627</v>
      </c>
      <c r="O231" s="419">
        <v>143270889</v>
      </c>
      <c r="P231" s="419">
        <v>-250293</v>
      </c>
    </row>
    <row r="232" spans="1:17" s="402" customFormat="1" ht="12">
      <c r="A232" s="415" t="s">
        <v>545</v>
      </c>
      <c r="B232" s="413"/>
      <c r="C232" s="413"/>
      <c r="D232" s="413"/>
      <c r="E232" s="413"/>
      <c r="F232" s="413"/>
      <c r="G232" s="413"/>
      <c r="H232" s="413"/>
      <c r="I232" s="413"/>
      <c r="J232" s="413"/>
      <c r="K232" s="413"/>
      <c r="L232" s="413"/>
      <c r="M232" s="413"/>
      <c r="N232" s="413"/>
      <c r="O232" s="413"/>
      <c r="P232" s="413"/>
    </row>
    <row r="233" spans="1:17" s="402" customFormat="1" ht="12">
      <c r="A233" s="415" t="s">
        <v>545</v>
      </c>
      <c r="B233" s="413"/>
      <c r="C233" s="413"/>
      <c r="D233" s="413"/>
      <c r="E233" s="413"/>
      <c r="F233" s="413"/>
      <c r="G233" s="413"/>
      <c r="H233" s="413"/>
      <c r="I233" s="413"/>
      <c r="J233" s="413"/>
      <c r="K233" s="413"/>
      <c r="L233" s="413"/>
      <c r="M233" s="413"/>
      <c r="N233" s="413"/>
      <c r="O233" s="413"/>
      <c r="P233" s="413"/>
    </row>
    <row r="234" spans="1:17" s="402" customFormat="1" ht="12">
      <c r="A234" s="414" t="s">
        <v>1242</v>
      </c>
      <c r="B234" s="413"/>
      <c r="C234" s="413"/>
      <c r="D234" s="413"/>
      <c r="E234" s="413"/>
      <c r="F234" s="413"/>
      <c r="G234" s="413"/>
      <c r="H234" s="413"/>
      <c r="I234" s="413"/>
      <c r="J234" s="413"/>
      <c r="K234" s="413"/>
      <c r="L234" s="413"/>
      <c r="M234" s="413"/>
      <c r="N234" s="413"/>
      <c r="O234" s="413"/>
      <c r="P234" s="413"/>
    </row>
    <row r="235" spans="1:17" s="402" customFormat="1" ht="12">
      <c r="A235" s="414" t="s">
        <v>1254</v>
      </c>
      <c r="B235" s="413"/>
      <c r="C235" s="413"/>
      <c r="D235" s="413"/>
      <c r="E235" s="413"/>
      <c r="F235" s="413"/>
      <c r="G235" s="413"/>
      <c r="H235" s="413"/>
      <c r="I235" s="413"/>
      <c r="J235" s="413"/>
      <c r="K235" s="413"/>
      <c r="L235" s="413"/>
      <c r="M235" s="413"/>
      <c r="N235" s="413"/>
      <c r="O235" s="413"/>
      <c r="P235" s="413"/>
    </row>
    <row r="236" spans="1:17" s="127" customFormat="1" ht="10.5" customHeight="1">
      <c r="A236" s="161"/>
      <c r="B236" s="161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99"/>
    </row>
  </sheetData>
  <mergeCells count="8">
    <mergeCell ref="A207:P207"/>
    <mergeCell ref="A220:P220"/>
    <mergeCell ref="A226:P226"/>
    <mergeCell ref="A176:P176"/>
    <mergeCell ref="A192:P192"/>
    <mergeCell ref="A194:P194"/>
    <mergeCell ref="A199:P199"/>
    <mergeCell ref="A205:P205"/>
  </mergeCells>
  <phoneticPr fontId="30" type="noConversion"/>
  <printOptions gridLines="1"/>
  <pageMargins left="0.25" right="0.25" top="0.25" bottom="0.25" header="0" footer="0"/>
  <pageSetup scale="72" fitToHeight="1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88"/>
  <sheetViews>
    <sheetView zoomScale="90" zoomScaleNormal="90" zoomScalePageLayoutView="90" workbookViewId="0"/>
  </sheetViews>
  <sheetFormatPr baseColWidth="10" defaultColWidth="8.83203125" defaultRowHeight="14" x14ac:dyDescent="0"/>
  <cols>
    <col min="16" max="16" width="5.5" customWidth="1"/>
  </cols>
  <sheetData>
    <row r="1" spans="1:38" ht="23">
      <c r="A1" s="467" t="str">
        <f>+Setup!B10</f>
        <v>Budget Master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535" t="s">
        <v>1276</v>
      </c>
      <c r="O1" s="535"/>
      <c r="P1" s="535"/>
    </row>
    <row r="2" spans="1:38">
      <c r="Z2" s="258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</row>
    <row r="3" spans="1:38">
      <c r="Z3" s="258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</row>
    <row r="4" spans="1:38">
      <c r="Z4" s="258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</row>
    <row r="5" spans="1:38">
      <c r="Z5" s="258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</row>
    <row r="6" spans="1:38">
      <c r="Z6" s="258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</row>
    <row r="7" spans="1:38">
      <c r="Z7" s="258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</row>
    <row r="8" spans="1:38">
      <c r="Z8" s="258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</row>
    <row r="9" spans="1:38">
      <c r="Z9" s="258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</row>
    <row r="10" spans="1:38">
      <c r="Z10" s="258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</row>
    <row r="11" spans="1:38">
      <c r="Z11" s="258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</row>
    <row r="12" spans="1:38">
      <c r="Z12" s="258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</row>
    <row r="13" spans="1:38">
      <c r="Z13" s="258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</row>
    <row r="14" spans="1:38">
      <c r="Z14" s="258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</row>
    <row r="15" spans="1:38">
      <c r="Z15" s="258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</row>
    <row r="16" spans="1:38">
      <c r="Z16" s="258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</row>
    <row r="17" spans="26:38">
      <c r="Z17" s="258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</row>
    <row r="18" spans="26:38">
      <c r="Z18" s="258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</row>
    <row r="19" spans="26:38">
      <c r="Z19" s="258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</row>
    <row r="20" spans="26:38">
      <c r="Z20" s="258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</row>
    <row r="21" spans="26:38">
      <c r="Z21" s="258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</row>
    <row r="22" spans="26:38">
      <c r="Z22" s="258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</row>
    <row r="23" spans="26:38">
      <c r="Z23" s="258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</row>
    <row r="24" spans="26:38">
      <c r="Z24" s="258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</row>
    <row r="25" spans="26:38">
      <c r="Z25" s="258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</row>
    <row r="26" spans="26:38">
      <c r="Z26" s="258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</row>
    <row r="27" spans="26:38">
      <c r="Z27" s="258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</row>
    <row r="28" spans="26:38">
      <c r="Z28" s="258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</row>
    <row r="29" spans="26:38">
      <c r="Z29" s="258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</row>
    <row r="30" spans="26:38">
      <c r="Z30" s="258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</row>
    <row r="31" spans="26:38">
      <c r="Z31" s="258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</row>
    <row r="32" spans="26:38">
      <c r="Z32" s="258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</row>
    <row r="33" spans="26:38">
      <c r="Z33" s="258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</row>
    <row r="34" spans="26:38">
      <c r="Z34" s="258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</row>
    <row r="35" spans="26:38">
      <c r="Z35" s="258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</row>
    <row r="36" spans="26:38">
      <c r="Z36" s="258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</row>
    <row r="37" spans="26:38">
      <c r="Z37" s="258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</row>
    <row r="38" spans="26:38">
      <c r="Z38" s="258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</row>
    <row r="39" spans="26:38">
      <c r="Z39" s="258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</row>
    <row r="40" spans="26:38">
      <c r="Z40" s="258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</row>
    <row r="41" spans="26:38">
      <c r="Z41" s="258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</row>
    <row r="42" spans="26:38">
      <c r="Z42" s="258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</row>
    <row r="43" spans="26:38">
      <c r="Z43" s="258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</row>
    <row r="44" spans="26:38">
      <c r="Z44" s="258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</row>
    <row r="45" spans="26:38">
      <c r="Z45" s="258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</row>
    <row r="46" spans="26:38">
      <c r="Z46" s="258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</row>
    <row r="47" spans="26:38">
      <c r="Z47" s="258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</row>
    <row r="48" spans="26:38">
      <c r="Z48" s="258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</row>
    <row r="49" spans="26:38">
      <c r="Z49" s="258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</row>
    <row r="50" spans="26:38">
      <c r="Z50" s="258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</row>
    <row r="51" spans="26:38">
      <c r="Z51" s="258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</row>
    <row r="52" spans="26:38">
      <c r="Z52" s="258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</row>
    <row r="53" spans="26:38">
      <c r="Z53" s="258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</row>
    <row r="54" spans="26:38">
      <c r="Z54" s="258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</row>
    <row r="55" spans="26:38">
      <c r="Z55" s="258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</row>
    <row r="56" spans="26:38">
      <c r="Z56" s="258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</row>
    <row r="57" spans="26:38">
      <c r="Z57" s="258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</row>
    <row r="58" spans="26:38">
      <c r="Z58" s="258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</row>
    <row r="59" spans="26:38">
      <c r="Z59" s="258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</row>
    <row r="60" spans="26:38">
      <c r="Z60" s="258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</row>
    <row r="61" spans="26:38">
      <c r="Z61" s="258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</row>
    <row r="62" spans="26:38">
      <c r="Z62" s="258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</row>
    <row r="63" spans="26:38">
      <c r="Z63" s="258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</row>
    <row r="64" spans="26:38">
      <c r="Z64" s="258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</row>
    <row r="65" spans="26:38">
      <c r="Z65" s="258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</row>
    <row r="66" spans="26:38">
      <c r="Z66" s="258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</row>
    <row r="67" spans="26:38">
      <c r="Z67" s="258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</row>
    <row r="68" spans="26:38">
      <c r="Z68" s="258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</row>
    <row r="69" spans="26:38">
      <c r="Z69" s="258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</row>
    <row r="70" spans="26:38">
      <c r="Z70" s="258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</row>
    <row r="71" spans="26:38">
      <c r="Z71" s="258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</row>
    <row r="72" spans="26:38">
      <c r="Z72" s="258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</row>
    <row r="73" spans="26:38">
      <c r="Z73" s="258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</row>
    <row r="74" spans="26:38">
      <c r="Z74" s="258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</row>
    <row r="75" spans="26:38">
      <c r="Z75" s="258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</row>
    <row r="76" spans="26:38">
      <c r="Z76" s="258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</row>
    <row r="77" spans="26:38">
      <c r="Z77" s="258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</row>
    <row r="78" spans="26:38">
      <c r="Z78" s="258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</row>
    <row r="79" spans="26:38">
      <c r="Z79" s="258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</row>
    <row r="80" spans="26:38">
      <c r="Z80" s="258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</row>
    <row r="81" spans="26:38">
      <c r="Z81" s="258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</row>
    <row r="82" spans="26:38">
      <c r="Z82" s="258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</row>
    <row r="83" spans="26:38">
      <c r="Z83" s="258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</row>
    <row r="84" spans="26:38">
      <c r="Z84" s="258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</row>
    <row r="85" spans="26:38">
      <c r="Z85" s="258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</row>
    <row r="86" spans="26:38">
      <c r="Z86" s="258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</row>
    <row r="87" spans="26:38">
      <c r="Z87" s="258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</row>
    <row r="88" spans="26:38">
      <c r="Z88" s="258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</row>
  </sheetData>
  <mergeCells count="1">
    <mergeCell ref="N1:P1"/>
  </mergeCells>
  <phoneticPr fontId="76" type="noConversion"/>
  <printOptions horizontalCentered="1" verticalCentered="1"/>
  <pageMargins left="0.75" right="0.25" top="0.75" bottom="0.5" header="0" footer="0"/>
  <pageSetup scale="9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T431"/>
  <sheetViews>
    <sheetView workbookViewId="0">
      <pane xSplit="2" ySplit="4" topLeftCell="C125" activePane="bottomRight" state="frozen"/>
      <selection pane="topRight" activeCell="C1" sqref="C1"/>
      <selection pane="bottomLeft" activeCell="A5" sqref="A5"/>
      <selection pane="bottomRight" activeCell="C133" sqref="C133:P163"/>
    </sheetView>
  </sheetViews>
  <sheetFormatPr baseColWidth="10" defaultColWidth="9.1640625" defaultRowHeight="14" x14ac:dyDescent="0"/>
  <cols>
    <col min="1" max="1" width="9.1640625" style="5"/>
    <col min="2" max="2" width="8.1640625" style="5" customWidth="1"/>
    <col min="3" max="3" width="22" style="5" customWidth="1"/>
    <col min="4" max="4" width="7.5" style="5" customWidth="1"/>
    <col min="5" max="16" width="8.5" style="5" customWidth="1"/>
    <col min="17" max="19" width="9.1640625" style="5"/>
    <col min="20" max="20" width="6.83203125" style="3" customWidth="1"/>
    <col min="21" max="16384" width="9.1640625" style="5"/>
  </cols>
  <sheetData>
    <row r="1" spans="1:20" ht="15" thickBot="1">
      <c r="T1" s="311"/>
    </row>
    <row r="2" spans="1:20" ht="15" thickBot="1">
      <c r="T2" s="311"/>
    </row>
    <row r="3" spans="1:20" ht="15" thickBot="1">
      <c r="B3" s="5" t="s">
        <v>35</v>
      </c>
      <c r="E3" s="6" t="s">
        <v>23</v>
      </c>
      <c r="F3" s="6" t="s">
        <v>24</v>
      </c>
      <c r="G3" s="6" t="s">
        <v>25</v>
      </c>
      <c r="H3" s="6" t="s">
        <v>26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31</v>
      </c>
      <c r="N3" s="6" t="s">
        <v>32</v>
      </c>
      <c r="O3" s="6" t="s">
        <v>33</v>
      </c>
      <c r="P3" s="6" t="s">
        <v>34</v>
      </c>
      <c r="T3" s="311"/>
    </row>
    <row r="4" spans="1:20" s="9" customFormat="1" ht="15" thickBot="1">
      <c r="A4" s="7" t="s">
        <v>36</v>
      </c>
      <c r="B4" s="7" t="s">
        <v>37</v>
      </c>
      <c r="C4" s="7" t="s">
        <v>38</v>
      </c>
      <c r="D4" s="7" t="s">
        <v>134</v>
      </c>
      <c r="E4" s="8" t="s">
        <v>729</v>
      </c>
      <c r="F4" s="8" t="s">
        <v>730</v>
      </c>
      <c r="G4" s="8" t="s">
        <v>731</v>
      </c>
      <c r="H4" s="8" t="s">
        <v>732</v>
      </c>
      <c r="I4" s="8" t="s">
        <v>733</v>
      </c>
      <c r="J4" s="8" t="s">
        <v>734</v>
      </c>
      <c r="K4" s="8" t="s">
        <v>735</v>
      </c>
      <c r="L4" s="8" t="s">
        <v>736</v>
      </c>
      <c r="M4" s="8" t="s">
        <v>737</v>
      </c>
      <c r="N4" s="8" t="s">
        <v>738</v>
      </c>
      <c r="O4" s="8" t="s">
        <v>739</v>
      </c>
      <c r="P4" s="8" t="s">
        <v>740</v>
      </c>
      <c r="S4" s="5"/>
      <c r="T4" s="311"/>
    </row>
    <row r="5" spans="1:20" s="118" customFormat="1" ht="10.5" customHeight="1">
      <c r="A5" s="207" t="s">
        <v>70</v>
      </c>
      <c r="B5" s="412" t="s">
        <v>1212</v>
      </c>
      <c r="C5" s="208" t="str">
        <f>+Setup!$B$21</f>
        <v>WC-PropName</v>
      </c>
      <c r="D5" s="208"/>
      <c r="E5" s="209">
        <f>VLOOKUP($B5,'2017'!$A$5:$Q$1425,COUNTA(Upload!$E$3:E$3)+2,FALSE)</f>
        <v>3037.4166666666665</v>
      </c>
      <c r="F5" s="209">
        <f>VLOOKUP($B5,'2017'!$A$5:$Q$1425,COUNTA(Upload!$E$3:F$3)+2,FALSE)</f>
        <v>3037.4166666666665</v>
      </c>
      <c r="G5" s="209">
        <f>VLOOKUP($B5,'2017'!$A$5:$Q$1425,COUNTA(Upload!$E$3:G$3)+2,FALSE)</f>
        <v>3037.4166666666665</v>
      </c>
      <c r="H5" s="209">
        <f>VLOOKUP($B5,'2017'!$A$5:$Q$1425,COUNTA(Upload!$E$3:H$3)+2,FALSE)</f>
        <v>3037.4166666666665</v>
      </c>
      <c r="I5" s="209">
        <f>VLOOKUP($B5,'2017'!$A$5:$Q$1425,COUNTA(Upload!$E$3:I$3)+2,FALSE)</f>
        <v>3037.4166666666665</v>
      </c>
      <c r="J5" s="209">
        <f>VLOOKUP($B5,'2017'!$A$5:$Q$1425,COUNTA(Upload!$E$3:J$3)+2,FALSE)</f>
        <v>3037.4166666666665</v>
      </c>
      <c r="K5" s="209">
        <f>VLOOKUP($B5,'2017'!$A$5:$Q$1425,COUNTA(Upload!$E$3:K$3)+2,FALSE)</f>
        <v>3037.4166666666665</v>
      </c>
      <c r="L5" s="209">
        <f>VLOOKUP($B5,'2017'!$A$5:$Q$1425,COUNTA(Upload!$E$3:L$3)+2,FALSE)</f>
        <v>3037.4166666666665</v>
      </c>
      <c r="M5" s="209">
        <f>VLOOKUP($B5,'2017'!$A$5:$Q$1425,COUNTA(Upload!$E$3:M$3)+2,FALSE)</f>
        <v>3037.4166666666665</v>
      </c>
      <c r="N5" s="209">
        <f>VLOOKUP($B5,'2017'!$A$5:$Q$1425,COUNTA(Upload!$E$3:N$3)+2,FALSE)</f>
        <v>3037.4166666666665</v>
      </c>
      <c r="O5" s="209">
        <f>VLOOKUP($B5,'2017'!$A$5:$Q$1425,COUNTA(Upload!$E$3:O$3)+2,FALSE)</f>
        <v>3037.4166666666665</v>
      </c>
      <c r="P5" s="209">
        <f>VLOOKUP($B5,'2017'!$A$5:$Q$1425,COUNTA(Upload!$E$3:P$3)+2,FALSE)</f>
        <v>3037.4166666666665</v>
      </c>
      <c r="S5" s="5"/>
      <c r="T5" s="161"/>
    </row>
    <row r="6" spans="1:20" s="118" customFormat="1" ht="10.5" customHeight="1">
      <c r="A6" s="207" t="s">
        <v>70</v>
      </c>
      <c r="B6" s="412" t="s">
        <v>1214</v>
      </c>
      <c r="C6" s="208" t="str">
        <f>+Setup!$B$21</f>
        <v>WC-PropName</v>
      </c>
      <c r="D6" s="208"/>
      <c r="E6" s="209">
        <f>VLOOKUP($B6,'2017'!$A$5:$Q$1425,COUNTA(Upload!$E$3:E$3)+2,FALSE)</f>
        <v>0</v>
      </c>
      <c r="F6" s="209">
        <f>VLOOKUP($B6,'2017'!$A$5:$Q$1425,COUNTA(Upload!$E$3:F$3)+2,FALSE)</f>
        <v>0</v>
      </c>
      <c r="G6" s="209">
        <f>VLOOKUP($B6,'2017'!$A$5:$Q$1425,COUNTA(Upload!$E$3:G$3)+2,FALSE)</f>
        <v>0</v>
      </c>
      <c r="H6" s="209">
        <f>VLOOKUP($B6,'2017'!$A$5:$Q$1425,COUNTA(Upload!$E$3:H$3)+2,FALSE)</f>
        <v>0</v>
      </c>
      <c r="I6" s="209">
        <f>VLOOKUP($B6,'2017'!$A$5:$Q$1425,COUNTA(Upload!$E$3:I$3)+2,FALSE)</f>
        <v>0</v>
      </c>
      <c r="J6" s="209">
        <f>VLOOKUP($B6,'2017'!$A$5:$Q$1425,COUNTA(Upload!$E$3:J$3)+2,FALSE)</f>
        <v>0</v>
      </c>
      <c r="K6" s="209">
        <f>VLOOKUP($B6,'2017'!$A$5:$Q$1425,COUNTA(Upload!$E$3:K$3)+2,FALSE)</f>
        <v>0</v>
      </c>
      <c r="L6" s="209">
        <f>VLOOKUP($B6,'2017'!$A$5:$Q$1425,COUNTA(Upload!$E$3:L$3)+2,FALSE)</f>
        <v>0</v>
      </c>
      <c r="M6" s="209">
        <f>VLOOKUP($B6,'2017'!$A$5:$Q$1425,COUNTA(Upload!$E$3:M$3)+2,FALSE)</f>
        <v>0</v>
      </c>
      <c r="N6" s="209">
        <f>VLOOKUP($B6,'2017'!$A$5:$Q$1425,COUNTA(Upload!$E$3:N$3)+2,FALSE)</f>
        <v>0</v>
      </c>
      <c r="O6" s="209">
        <f>VLOOKUP($B6,'2017'!$A$5:$Q$1425,COUNTA(Upload!$E$3:O$3)+2,FALSE)</f>
        <v>0</v>
      </c>
      <c r="P6" s="209">
        <f>VLOOKUP($B6,'2017'!$A$5:$Q$1425,COUNTA(Upload!$E$3:P$3)+2,FALSE)</f>
        <v>0</v>
      </c>
      <c r="S6" s="5"/>
      <c r="T6" s="161"/>
    </row>
    <row r="7" spans="1:20" s="118" customFormat="1" ht="10.5" customHeight="1">
      <c r="A7" s="207" t="s">
        <v>70</v>
      </c>
      <c r="B7" s="412" t="s">
        <v>1215</v>
      </c>
      <c r="C7" s="208" t="str">
        <f>+Setup!$B$21</f>
        <v>WC-PropName</v>
      </c>
      <c r="D7" s="208"/>
      <c r="E7" s="209">
        <f>VLOOKUP($B7,'2017'!$A$5:$Q$1425,COUNTA(Upload!$E$3:E$3)+2,FALSE)</f>
        <v>17171.333333333332</v>
      </c>
      <c r="F7" s="209">
        <f>VLOOKUP($B7,'2017'!$A$5:$Q$1425,COUNTA(Upload!$E$3:F$3)+2,FALSE)</f>
        <v>17171.333333333332</v>
      </c>
      <c r="G7" s="209">
        <f>VLOOKUP($B7,'2017'!$A$5:$Q$1425,COUNTA(Upload!$E$3:G$3)+2,FALSE)</f>
        <v>17171.333333333332</v>
      </c>
      <c r="H7" s="209">
        <f>VLOOKUP($B7,'2017'!$A$5:$Q$1425,COUNTA(Upload!$E$3:H$3)+2,FALSE)</f>
        <v>17171.333333333332</v>
      </c>
      <c r="I7" s="209">
        <f>VLOOKUP($B7,'2017'!$A$5:$Q$1425,COUNTA(Upload!$E$3:I$3)+2,FALSE)</f>
        <v>17171.333333333332</v>
      </c>
      <c r="J7" s="209">
        <f>VLOOKUP($B7,'2017'!$A$5:$Q$1425,COUNTA(Upload!$E$3:J$3)+2,FALSE)</f>
        <v>17171.333333333332</v>
      </c>
      <c r="K7" s="209">
        <f>VLOOKUP($B7,'2017'!$A$5:$Q$1425,COUNTA(Upload!$E$3:K$3)+2,FALSE)</f>
        <v>17171.333333333332</v>
      </c>
      <c r="L7" s="209">
        <f>VLOOKUP($B7,'2017'!$A$5:$Q$1425,COUNTA(Upload!$E$3:L$3)+2,FALSE)</f>
        <v>17171.333333333332</v>
      </c>
      <c r="M7" s="209">
        <f>VLOOKUP($B7,'2017'!$A$5:$Q$1425,COUNTA(Upload!$E$3:M$3)+2,FALSE)</f>
        <v>17171.333333333332</v>
      </c>
      <c r="N7" s="209">
        <f>VLOOKUP($B7,'2017'!$A$5:$Q$1425,COUNTA(Upload!$E$3:N$3)+2,FALSE)</f>
        <v>17171.333333333332</v>
      </c>
      <c r="O7" s="209">
        <f>VLOOKUP($B7,'2017'!$A$5:$Q$1425,COUNTA(Upload!$E$3:O$3)+2,FALSE)</f>
        <v>17171.333333333332</v>
      </c>
      <c r="P7" s="209">
        <f>VLOOKUP($B7,'2017'!$A$5:$Q$1425,COUNTA(Upload!$E$3:P$3)+2,FALSE)</f>
        <v>17171.333333333332</v>
      </c>
      <c r="S7" s="5"/>
      <c r="T7" s="161"/>
    </row>
    <row r="8" spans="1:20" s="118" customFormat="1" ht="10.5" customHeight="1">
      <c r="A8" s="207" t="s">
        <v>70</v>
      </c>
      <c r="B8" s="412" t="s">
        <v>1217</v>
      </c>
      <c r="C8" s="208" t="str">
        <f>+Setup!$B$21</f>
        <v>WC-PropName</v>
      </c>
      <c r="D8" s="208"/>
      <c r="E8" s="209">
        <f>VLOOKUP($B8,'2017'!$A$5:$Q$1425,COUNTA(Upload!$E$3:E$3)+2,FALSE)</f>
        <v>12719.916666666666</v>
      </c>
      <c r="F8" s="209">
        <f>VLOOKUP($B8,'2017'!$A$5:$Q$1425,COUNTA(Upload!$E$3:F$3)+2,FALSE)</f>
        <v>12719.916666666666</v>
      </c>
      <c r="G8" s="209">
        <f>VLOOKUP($B8,'2017'!$A$5:$Q$1425,COUNTA(Upload!$E$3:G$3)+2,FALSE)</f>
        <v>12719.916666666666</v>
      </c>
      <c r="H8" s="209">
        <f>VLOOKUP($B8,'2017'!$A$5:$Q$1425,COUNTA(Upload!$E$3:H$3)+2,FALSE)</f>
        <v>12719.916666666666</v>
      </c>
      <c r="I8" s="209">
        <f>VLOOKUP($B8,'2017'!$A$5:$Q$1425,COUNTA(Upload!$E$3:I$3)+2,FALSE)</f>
        <v>12719.916666666666</v>
      </c>
      <c r="J8" s="209">
        <f>VLOOKUP($B8,'2017'!$A$5:$Q$1425,COUNTA(Upload!$E$3:J$3)+2,FALSE)</f>
        <v>12719.916666666666</v>
      </c>
      <c r="K8" s="209">
        <f>VLOOKUP($B8,'2017'!$A$5:$Q$1425,COUNTA(Upload!$E$3:K$3)+2,FALSE)</f>
        <v>12719.916666666666</v>
      </c>
      <c r="L8" s="209">
        <f>VLOOKUP($B8,'2017'!$A$5:$Q$1425,COUNTA(Upload!$E$3:L$3)+2,FALSE)</f>
        <v>12719.916666666666</v>
      </c>
      <c r="M8" s="209">
        <f>VLOOKUP($B8,'2017'!$A$5:$Q$1425,COUNTA(Upload!$E$3:M$3)+2,FALSE)</f>
        <v>12719.916666666666</v>
      </c>
      <c r="N8" s="209">
        <f>VLOOKUP($B8,'2017'!$A$5:$Q$1425,COUNTA(Upload!$E$3:N$3)+2,FALSE)</f>
        <v>12719.916666666666</v>
      </c>
      <c r="O8" s="209">
        <f>VLOOKUP($B8,'2017'!$A$5:$Q$1425,COUNTA(Upload!$E$3:O$3)+2,FALSE)</f>
        <v>12719.916666666666</v>
      </c>
      <c r="P8" s="209">
        <f>VLOOKUP($B8,'2017'!$A$5:$Q$1425,COUNTA(Upload!$E$3:P$3)+2,FALSE)</f>
        <v>12719.916666666666</v>
      </c>
      <c r="S8" s="5"/>
      <c r="T8" s="161"/>
    </row>
    <row r="9" spans="1:20" s="118" customFormat="1" ht="10.5" customHeight="1">
      <c r="A9" s="207" t="s">
        <v>70</v>
      </c>
      <c r="B9" s="412" t="s">
        <v>1219</v>
      </c>
      <c r="C9" s="208" t="str">
        <f>+Setup!$B$21</f>
        <v>WC-PropName</v>
      </c>
      <c r="D9" s="208"/>
      <c r="E9" s="209">
        <f>VLOOKUP($B9,'2017'!$A$5:$Q$1425,COUNTA(Upload!$E$3:E$3)+2,FALSE)</f>
        <v>0</v>
      </c>
      <c r="F9" s="209">
        <f>VLOOKUP($B9,'2017'!$A$5:$Q$1425,COUNTA(Upload!$E$3:F$3)+2,FALSE)</f>
        <v>0</v>
      </c>
      <c r="G9" s="209">
        <f>VLOOKUP($B9,'2017'!$A$5:$Q$1425,COUNTA(Upload!$E$3:G$3)+2,FALSE)</f>
        <v>0</v>
      </c>
      <c r="H9" s="209">
        <f>VLOOKUP($B9,'2017'!$A$5:$Q$1425,COUNTA(Upload!$E$3:H$3)+2,FALSE)</f>
        <v>0</v>
      </c>
      <c r="I9" s="209">
        <f>VLOOKUP($B9,'2017'!$A$5:$Q$1425,COUNTA(Upload!$E$3:I$3)+2,FALSE)</f>
        <v>0</v>
      </c>
      <c r="J9" s="209">
        <f>VLOOKUP($B9,'2017'!$A$5:$Q$1425,COUNTA(Upload!$E$3:J$3)+2,FALSE)</f>
        <v>0</v>
      </c>
      <c r="K9" s="209">
        <f>VLOOKUP($B9,'2017'!$A$5:$Q$1425,COUNTA(Upload!$E$3:K$3)+2,FALSE)</f>
        <v>0</v>
      </c>
      <c r="L9" s="209">
        <f>VLOOKUP($B9,'2017'!$A$5:$Q$1425,COUNTA(Upload!$E$3:L$3)+2,FALSE)</f>
        <v>0</v>
      </c>
      <c r="M9" s="209">
        <f>VLOOKUP($B9,'2017'!$A$5:$Q$1425,COUNTA(Upload!$E$3:M$3)+2,FALSE)</f>
        <v>0</v>
      </c>
      <c r="N9" s="209">
        <f>VLOOKUP($B9,'2017'!$A$5:$Q$1425,COUNTA(Upload!$E$3:N$3)+2,FALSE)</f>
        <v>0</v>
      </c>
      <c r="O9" s="209">
        <f>VLOOKUP($B9,'2017'!$A$5:$Q$1425,COUNTA(Upload!$E$3:O$3)+2,FALSE)</f>
        <v>0</v>
      </c>
      <c r="P9" s="209">
        <f>VLOOKUP($B9,'2017'!$A$5:$Q$1425,COUNTA(Upload!$E$3:P$3)+2,FALSE)</f>
        <v>0</v>
      </c>
      <c r="S9" s="5"/>
      <c r="T9" s="161"/>
    </row>
    <row r="10" spans="1:20" s="118" customFormat="1" ht="10.5" customHeight="1">
      <c r="A10" s="207" t="s">
        <v>70</v>
      </c>
      <c r="B10" s="412" t="s">
        <v>1220</v>
      </c>
      <c r="C10" s="208" t="str">
        <f>+Setup!$B$21</f>
        <v>WC-PropName</v>
      </c>
      <c r="D10" s="208"/>
      <c r="E10" s="209">
        <f>VLOOKUP($B10,'2017'!$A$5:$Q$1425,COUNTA(Upload!$E$3:E$3)+2,FALSE)</f>
        <v>0</v>
      </c>
      <c r="F10" s="209">
        <f>VLOOKUP($B10,'2017'!$A$5:$Q$1425,COUNTA(Upload!$E$3:F$3)+2,FALSE)</f>
        <v>0</v>
      </c>
      <c r="G10" s="209">
        <f>VLOOKUP($B10,'2017'!$A$5:$Q$1425,COUNTA(Upload!$E$3:G$3)+2,FALSE)</f>
        <v>0</v>
      </c>
      <c r="H10" s="209">
        <f>VLOOKUP($B10,'2017'!$A$5:$Q$1425,COUNTA(Upload!$E$3:H$3)+2,FALSE)</f>
        <v>0</v>
      </c>
      <c r="I10" s="209">
        <f>VLOOKUP($B10,'2017'!$A$5:$Q$1425,COUNTA(Upload!$E$3:I$3)+2,FALSE)</f>
        <v>0</v>
      </c>
      <c r="J10" s="209">
        <f>VLOOKUP($B10,'2017'!$A$5:$Q$1425,COUNTA(Upload!$E$3:J$3)+2,FALSE)</f>
        <v>0</v>
      </c>
      <c r="K10" s="209">
        <f>VLOOKUP($B10,'2017'!$A$5:$Q$1425,COUNTA(Upload!$E$3:K$3)+2,FALSE)</f>
        <v>0</v>
      </c>
      <c r="L10" s="209">
        <f>VLOOKUP($B10,'2017'!$A$5:$Q$1425,COUNTA(Upload!$E$3:L$3)+2,FALSE)</f>
        <v>0</v>
      </c>
      <c r="M10" s="209">
        <f>VLOOKUP($B10,'2017'!$A$5:$Q$1425,COUNTA(Upload!$E$3:M$3)+2,FALSE)</f>
        <v>0</v>
      </c>
      <c r="N10" s="209">
        <f>VLOOKUP($B10,'2017'!$A$5:$Q$1425,COUNTA(Upload!$E$3:N$3)+2,FALSE)</f>
        <v>0</v>
      </c>
      <c r="O10" s="209">
        <f>VLOOKUP($B10,'2017'!$A$5:$Q$1425,COUNTA(Upload!$E$3:O$3)+2,FALSE)</f>
        <v>0</v>
      </c>
      <c r="P10" s="209">
        <f>VLOOKUP($B10,'2017'!$A$5:$Q$1425,COUNTA(Upload!$E$3:P$3)+2,FALSE)</f>
        <v>0</v>
      </c>
      <c r="S10" s="5"/>
      <c r="T10" s="161"/>
    </row>
    <row r="11" spans="1:20" s="118" customFormat="1" ht="10.5" customHeight="1">
      <c r="A11" s="207" t="s">
        <v>70</v>
      </c>
      <c r="B11" s="412" t="s">
        <v>1221</v>
      </c>
      <c r="C11" s="208" t="str">
        <f>+Setup!$B$21</f>
        <v>WC-PropName</v>
      </c>
      <c r="D11" s="208"/>
      <c r="E11" s="209">
        <f>VLOOKUP($B11,'2017'!$A$5:$Q$1425,COUNTA(Upload!$E$3:E$3)+2,FALSE)</f>
        <v>0</v>
      </c>
      <c r="F11" s="209">
        <f>VLOOKUP($B11,'2017'!$A$5:$Q$1425,COUNTA(Upload!$E$3:F$3)+2,FALSE)</f>
        <v>0</v>
      </c>
      <c r="G11" s="209">
        <f>VLOOKUP($B11,'2017'!$A$5:$Q$1425,COUNTA(Upload!$E$3:G$3)+2,FALSE)</f>
        <v>0</v>
      </c>
      <c r="H11" s="209">
        <f>VLOOKUP($B11,'2017'!$A$5:$Q$1425,COUNTA(Upload!$E$3:H$3)+2,FALSE)</f>
        <v>0</v>
      </c>
      <c r="I11" s="209">
        <f>VLOOKUP($B11,'2017'!$A$5:$Q$1425,COUNTA(Upload!$E$3:I$3)+2,FALSE)</f>
        <v>0</v>
      </c>
      <c r="J11" s="209">
        <f>VLOOKUP($B11,'2017'!$A$5:$Q$1425,COUNTA(Upload!$E$3:J$3)+2,FALSE)</f>
        <v>0</v>
      </c>
      <c r="K11" s="209">
        <f>VLOOKUP($B11,'2017'!$A$5:$Q$1425,COUNTA(Upload!$E$3:K$3)+2,FALSE)</f>
        <v>0</v>
      </c>
      <c r="L11" s="209">
        <f>VLOOKUP($B11,'2017'!$A$5:$Q$1425,COUNTA(Upload!$E$3:L$3)+2,FALSE)</f>
        <v>0</v>
      </c>
      <c r="M11" s="209">
        <f>VLOOKUP($B11,'2017'!$A$5:$Q$1425,COUNTA(Upload!$E$3:M$3)+2,FALSE)</f>
        <v>0</v>
      </c>
      <c r="N11" s="209">
        <f>VLOOKUP($B11,'2017'!$A$5:$Q$1425,COUNTA(Upload!$E$3:N$3)+2,FALSE)</f>
        <v>0</v>
      </c>
      <c r="O11" s="209">
        <f>VLOOKUP($B11,'2017'!$A$5:$Q$1425,COUNTA(Upload!$E$3:O$3)+2,FALSE)</f>
        <v>0</v>
      </c>
      <c r="P11" s="209">
        <f>VLOOKUP($B11,'2017'!$A$5:$Q$1425,COUNTA(Upload!$E$3:P$3)+2,FALSE)</f>
        <v>0</v>
      </c>
      <c r="S11" s="5"/>
      <c r="T11" s="161"/>
    </row>
    <row r="12" spans="1:20" s="118" customFormat="1" ht="10.5" customHeight="1">
      <c r="A12" s="207" t="s">
        <v>70</v>
      </c>
      <c r="B12" s="412" t="s">
        <v>1222</v>
      </c>
      <c r="C12" s="208" t="str">
        <f>+Setup!$B$21</f>
        <v>WC-PropName</v>
      </c>
      <c r="D12" s="208"/>
      <c r="E12" s="209">
        <f>VLOOKUP($B12,'2017'!$A$5:$Q$1425,COUNTA(Upload!$E$3:E$3)+2,FALSE)</f>
        <v>0</v>
      </c>
      <c r="F12" s="209">
        <f>VLOOKUP($B12,'2017'!$A$5:$Q$1425,COUNTA(Upload!$E$3:F$3)+2,FALSE)</f>
        <v>0</v>
      </c>
      <c r="G12" s="209">
        <f>VLOOKUP($B12,'2017'!$A$5:$Q$1425,COUNTA(Upload!$E$3:G$3)+2,FALSE)</f>
        <v>0</v>
      </c>
      <c r="H12" s="209">
        <f>VLOOKUP($B12,'2017'!$A$5:$Q$1425,COUNTA(Upload!$E$3:H$3)+2,FALSE)</f>
        <v>0</v>
      </c>
      <c r="I12" s="209">
        <f>VLOOKUP($B12,'2017'!$A$5:$Q$1425,COUNTA(Upload!$E$3:I$3)+2,FALSE)</f>
        <v>0</v>
      </c>
      <c r="J12" s="209">
        <f>VLOOKUP($B12,'2017'!$A$5:$Q$1425,COUNTA(Upload!$E$3:J$3)+2,FALSE)</f>
        <v>0</v>
      </c>
      <c r="K12" s="209">
        <f>VLOOKUP($B12,'2017'!$A$5:$Q$1425,COUNTA(Upload!$E$3:K$3)+2,FALSE)</f>
        <v>0</v>
      </c>
      <c r="L12" s="209">
        <f>VLOOKUP($B12,'2017'!$A$5:$Q$1425,COUNTA(Upload!$E$3:L$3)+2,FALSE)</f>
        <v>0</v>
      </c>
      <c r="M12" s="209">
        <f>VLOOKUP($B12,'2017'!$A$5:$Q$1425,COUNTA(Upload!$E$3:M$3)+2,FALSE)</f>
        <v>0</v>
      </c>
      <c r="N12" s="209">
        <f>VLOOKUP($B12,'2017'!$A$5:$Q$1425,COUNTA(Upload!$E$3:N$3)+2,FALSE)</f>
        <v>0</v>
      </c>
      <c r="O12" s="209">
        <f>VLOOKUP($B12,'2017'!$A$5:$Q$1425,COUNTA(Upload!$E$3:O$3)+2,FALSE)</f>
        <v>0</v>
      </c>
      <c r="P12" s="209">
        <f>VLOOKUP($B12,'2017'!$A$5:$Q$1425,COUNTA(Upload!$E$3:P$3)+2,FALSE)</f>
        <v>0</v>
      </c>
      <c r="S12" s="5"/>
      <c r="T12" s="161"/>
    </row>
    <row r="13" spans="1:20" s="118" customFormat="1" ht="10.5" customHeight="1">
      <c r="A13" s="207" t="s">
        <v>70</v>
      </c>
      <c r="B13" s="412" t="s">
        <v>1134</v>
      </c>
      <c r="C13" s="208" t="str">
        <f>+Setup!$B$21</f>
        <v>WC-PropName</v>
      </c>
      <c r="D13" s="208"/>
      <c r="E13" s="209">
        <f>VLOOKUP($B13,'2017'!$A$5:$Q$1425,COUNTA(Upload!$E$3:E$3)+2,FALSE)</f>
        <v>0</v>
      </c>
      <c r="F13" s="209">
        <f>VLOOKUP($B13,'2017'!$A$5:$Q$1425,COUNTA(Upload!$E$3:F$3)+2,FALSE)</f>
        <v>0</v>
      </c>
      <c r="G13" s="209">
        <f>VLOOKUP($B13,'2017'!$A$5:$Q$1425,COUNTA(Upload!$E$3:G$3)+2,FALSE)</f>
        <v>0</v>
      </c>
      <c r="H13" s="209">
        <f>VLOOKUP($B13,'2017'!$A$5:$Q$1425,COUNTA(Upload!$E$3:H$3)+2,FALSE)</f>
        <v>0</v>
      </c>
      <c r="I13" s="209">
        <f>VLOOKUP($B13,'2017'!$A$5:$Q$1425,COUNTA(Upload!$E$3:I$3)+2,FALSE)</f>
        <v>0</v>
      </c>
      <c r="J13" s="209">
        <f>VLOOKUP($B13,'2017'!$A$5:$Q$1425,COUNTA(Upload!$E$3:J$3)+2,FALSE)</f>
        <v>0</v>
      </c>
      <c r="K13" s="209">
        <f>VLOOKUP($B13,'2017'!$A$5:$Q$1425,COUNTA(Upload!$E$3:K$3)+2,FALSE)</f>
        <v>0</v>
      </c>
      <c r="L13" s="209">
        <f>VLOOKUP($B13,'2017'!$A$5:$Q$1425,COUNTA(Upload!$E$3:L$3)+2,FALSE)</f>
        <v>0</v>
      </c>
      <c r="M13" s="209">
        <f>VLOOKUP($B13,'2017'!$A$5:$Q$1425,COUNTA(Upload!$E$3:M$3)+2,FALSE)</f>
        <v>0</v>
      </c>
      <c r="N13" s="209">
        <f>VLOOKUP($B13,'2017'!$A$5:$Q$1425,COUNTA(Upload!$E$3:N$3)+2,FALSE)</f>
        <v>0</v>
      </c>
      <c r="O13" s="209">
        <f>VLOOKUP($B13,'2017'!$A$5:$Q$1425,COUNTA(Upload!$E$3:O$3)+2,FALSE)</f>
        <v>0</v>
      </c>
      <c r="P13" s="209">
        <f>VLOOKUP($B13,'2017'!$A$5:$Q$1425,COUNTA(Upload!$E$3:P$3)+2,FALSE)</f>
        <v>0</v>
      </c>
      <c r="T13" s="161"/>
    </row>
    <row r="14" spans="1:20" s="118" customFormat="1" ht="10.5" customHeight="1">
      <c r="A14" s="207" t="s">
        <v>70</v>
      </c>
      <c r="B14" s="412" t="s">
        <v>1135</v>
      </c>
      <c r="C14" s="208" t="str">
        <f>+Setup!$B$21</f>
        <v>WC-PropName</v>
      </c>
      <c r="D14" s="208"/>
      <c r="E14" s="209">
        <f>VLOOKUP($B14,'2017'!$A$5:$Q$1425,COUNTA(Upload!$E$3:E$3)+2,FALSE)</f>
        <v>0</v>
      </c>
      <c r="F14" s="209">
        <f>VLOOKUP($B14,'2017'!$A$5:$Q$1425,COUNTA(Upload!$E$3:F$3)+2,FALSE)</f>
        <v>0</v>
      </c>
      <c r="G14" s="209">
        <f>VLOOKUP($B14,'2017'!$A$5:$Q$1425,COUNTA(Upload!$E$3:G$3)+2,FALSE)</f>
        <v>0</v>
      </c>
      <c r="H14" s="209">
        <f>VLOOKUP($B14,'2017'!$A$5:$Q$1425,COUNTA(Upload!$E$3:H$3)+2,FALSE)</f>
        <v>0</v>
      </c>
      <c r="I14" s="209">
        <f>VLOOKUP($B14,'2017'!$A$5:$Q$1425,COUNTA(Upload!$E$3:I$3)+2,FALSE)</f>
        <v>0</v>
      </c>
      <c r="J14" s="209">
        <f>VLOOKUP($B14,'2017'!$A$5:$Q$1425,COUNTA(Upload!$E$3:J$3)+2,FALSE)</f>
        <v>0</v>
      </c>
      <c r="K14" s="209">
        <f>VLOOKUP($B14,'2017'!$A$5:$Q$1425,COUNTA(Upload!$E$3:K$3)+2,FALSE)</f>
        <v>0</v>
      </c>
      <c r="L14" s="209">
        <f>VLOOKUP($B14,'2017'!$A$5:$Q$1425,COUNTA(Upload!$E$3:L$3)+2,FALSE)</f>
        <v>0</v>
      </c>
      <c r="M14" s="209">
        <f>VLOOKUP($B14,'2017'!$A$5:$Q$1425,COUNTA(Upload!$E$3:M$3)+2,FALSE)</f>
        <v>0</v>
      </c>
      <c r="N14" s="209">
        <f>VLOOKUP($B14,'2017'!$A$5:$Q$1425,COUNTA(Upload!$E$3:N$3)+2,FALSE)</f>
        <v>0</v>
      </c>
      <c r="O14" s="209">
        <f>VLOOKUP($B14,'2017'!$A$5:$Q$1425,COUNTA(Upload!$E$3:O$3)+2,FALSE)</f>
        <v>0</v>
      </c>
      <c r="P14" s="209">
        <f>VLOOKUP($B14,'2017'!$A$5:$Q$1425,COUNTA(Upload!$E$3:P$3)+2,FALSE)</f>
        <v>0</v>
      </c>
      <c r="T14" s="161"/>
    </row>
    <row r="15" spans="1:20" s="118" customFormat="1" ht="10.5" customHeight="1">
      <c r="A15" s="207" t="s">
        <v>70</v>
      </c>
      <c r="B15" s="412" t="s">
        <v>1136</v>
      </c>
      <c r="C15" s="208" t="str">
        <f>+Setup!$B$21</f>
        <v>WC-PropName</v>
      </c>
      <c r="D15" s="208"/>
      <c r="E15" s="209">
        <f>VLOOKUP($B15,'2017'!$A$5:$Q$1425,COUNTA(Upload!$E$3:E$3)+2,FALSE)</f>
        <v>0</v>
      </c>
      <c r="F15" s="209">
        <f>VLOOKUP($B15,'2017'!$A$5:$Q$1425,COUNTA(Upload!$E$3:F$3)+2,FALSE)</f>
        <v>0</v>
      </c>
      <c r="G15" s="209">
        <f>VLOOKUP($B15,'2017'!$A$5:$Q$1425,COUNTA(Upload!$E$3:G$3)+2,FALSE)</f>
        <v>0</v>
      </c>
      <c r="H15" s="209">
        <f>VLOOKUP($B15,'2017'!$A$5:$Q$1425,COUNTA(Upload!$E$3:H$3)+2,FALSE)</f>
        <v>0</v>
      </c>
      <c r="I15" s="209">
        <f>VLOOKUP($B15,'2017'!$A$5:$Q$1425,COUNTA(Upload!$E$3:I$3)+2,FALSE)</f>
        <v>0</v>
      </c>
      <c r="J15" s="209">
        <f>VLOOKUP($B15,'2017'!$A$5:$Q$1425,COUNTA(Upload!$E$3:J$3)+2,FALSE)</f>
        <v>0</v>
      </c>
      <c r="K15" s="209">
        <f>VLOOKUP($B15,'2017'!$A$5:$Q$1425,COUNTA(Upload!$E$3:K$3)+2,FALSE)</f>
        <v>0</v>
      </c>
      <c r="L15" s="209">
        <f>VLOOKUP($B15,'2017'!$A$5:$Q$1425,COUNTA(Upload!$E$3:L$3)+2,FALSE)</f>
        <v>0</v>
      </c>
      <c r="M15" s="209">
        <f>VLOOKUP($B15,'2017'!$A$5:$Q$1425,COUNTA(Upload!$E$3:M$3)+2,FALSE)</f>
        <v>0</v>
      </c>
      <c r="N15" s="209">
        <f>VLOOKUP($B15,'2017'!$A$5:$Q$1425,COUNTA(Upload!$E$3:N$3)+2,FALSE)</f>
        <v>0</v>
      </c>
      <c r="O15" s="209">
        <f>VLOOKUP($B15,'2017'!$A$5:$Q$1425,COUNTA(Upload!$E$3:O$3)+2,FALSE)</f>
        <v>0</v>
      </c>
      <c r="P15" s="209">
        <f>VLOOKUP($B15,'2017'!$A$5:$Q$1425,COUNTA(Upload!$E$3:P$3)+2,FALSE)</f>
        <v>0</v>
      </c>
      <c r="T15" s="161"/>
    </row>
    <row r="16" spans="1:20" s="118" customFormat="1" ht="10.5" customHeight="1">
      <c r="A16" s="207" t="s">
        <v>70</v>
      </c>
      <c r="B16" s="412" t="s">
        <v>1137</v>
      </c>
      <c r="C16" s="208" t="str">
        <f>+Setup!$B$21</f>
        <v>WC-PropName</v>
      </c>
      <c r="D16" s="208"/>
      <c r="E16" s="209">
        <f>VLOOKUP($B16,'2017'!$A$5:$Q$1425,COUNTA(Upload!$E$3:E$3)+2,FALSE)</f>
        <v>3656.4166666666665</v>
      </c>
      <c r="F16" s="209">
        <f>VLOOKUP($B16,'2017'!$A$5:$Q$1425,COUNTA(Upload!$E$3:F$3)+2,FALSE)</f>
        <v>3656.4166666666665</v>
      </c>
      <c r="G16" s="209">
        <f>VLOOKUP($B16,'2017'!$A$5:$Q$1425,COUNTA(Upload!$E$3:G$3)+2,FALSE)</f>
        <v>3656.4166666666665</v>
      </c>
      <c r="H16" s="209">
        <f>VLOOKUP($B16,'2017'!$A$5:$Q$1425,COUNTA(Upload!$E$3:H$3)+2,FALSE)</f>
        <v>3656.4166666666665</v>
      </c>
      <c r="I16" s="209">
        <f>VLOOKUP($B16,'2017'!$A$5:$Q$1425,COUNTA(Upload!$E$3:I$3)+2,FALSE)</f>
        <v>3656.4166666666665</v>
      </c>
      <c r="J16" s="209">
        <f>VLOOKUP($B16,'2017'!$A$5:$Q$1425,COUNTA(Upload!$E$3:J$3)+2,FALSE)</f>
        <v>3656.4166666666665</v>
      </c>
      <c r="K16" s="209">
        <f>VLOOKUP($B16,'2017'!$A$5:$Q$1425,COUNTA(Upload!$E$3:K$3)+2,FALSE)</f>
        <v>3656.4166666666665</v>
      </c>
      <c r="L16" s="209">
        <f>VLOOKUP($B16,'2017'!$A$5:$Q$1425,COUNTA(Upload!$E$3:L$3)+2,FALSE)</f>
        <v>3656.4166666666665</v>
      </c>
      <c r="M16" s="209">
        <f>VLOOKUP($B16,'2017'!$A$5:$Q$1425,COUNTA(Upload!$E$3:M$3)+2,FALSE)</f>
        <v>3656.4166666666665</v>
      </c>
      <c r="N16" s="209">
        <f>VLOOKUP($B16,'2017'!$A$5:$Q$1425,COUNTA(Upload!$E$3:N$3)+2,FALSE)</f>
        <v>3656.4166666666665</v>
      </c>
      <c r="O16" s="209">
        <f>VLOOKUP($B16,'2017'!$A$5:$Q$1425,COUNTA(Upload!$E$3:O$3)+2,FALSE)</f>
        <v>3656.4166666666665</v>
      </c>
      <c r="P16" s="209">
        <f>VLOOKUP($B16,'2017'!$A$5:$Q$1425,COUNTA(Upload!$E$3:P$3)+2,FALSE)</f>
        <v>3656.4166666666665</v>
      </c>
      <c r="T16" s="161"/>
    </row>
    <row r="17" spans="1:20" s="118" customFormat="1" ht="10.5" customHeight="1">
      <c r="A17" s="207" t="s">
        <v>70</v>
      </c>
      <c r="B17" s="412" t="s">
        <v>1139</v>
      </c>
      <c r="C17" s="208" t="str">
        <f>+Setup!$B$21</f>
        <v>WC-PropName</v>
      </c>
      <c r="D17" s="208"/>
      <c r="E17" s="209">
        <f>VLOOKUP($B17,'2017'!$A$5:$Q$1425,COUNTA(Upload!$E$3:E$3)+2,FALSE)</f>
        <v>13145.75</v>
      </c>
      <c r="F17" s="209">
        <f>VLOOKUP($B17,'2017'!$A$5:$Q$1425,COUNTA(Upload!$E$3:F$3)+2,FALSE)</f>
        <v>13145.75</v>
      </c>
      <c r="G17" s="209">
        <f>VLOOKUP($B17,'2017'!$A$5:$Q$1425,COUNTA(Upload!$E$3:G$3)+2,FALSE)</f>
        <v>13145.75</v>
      </c>
      <c r="H17" s="209">
        <f>VLOOKUP($B17,'2017'!$A$5:$Q$1425,COUNTA(Upload!$E$3:H$3)+2,FALSE)</f>
        <v>13145.75</v>
      </c>
      <c r="I17" s="209">
        <f>VLOOKUP($B17,'2017'!$A$5:$Q$1425,COUNTA(Upload!$E$3:I$3)+2,FALSE)</f>
        <v>13145.75</v>
      </c>
      <c r="J17" s="209">
        <f>VLOOKUP($B17,'2017'!$A$5:$Q$1425,COUNTA(Upload!$E$3:J$3)+2,FALSE)</f>
        <v>13145.75</v>
      </c>
      <c r="K17" s="209">
        <f>VLOOKUP($B17,'2017'!$A$5:$Q$1425,COUNTA(Upload!$E$3:K$3)+2,FALSE)</f>
        <v>13145.75</v>
      </c>
      <c r="L17" s="209">
        <f>VLOOKUP($B17,'2017'!$A$5:$Q$1425,COUNTA(Upload!$E$3:L$3)+2,FALSE)</f>
        <v>13145.75</v>
      </c>
      <c r="M17" s="209">
        <f>VLOOKUP($B17,'2017'!$A$5:$Q$1425,COUNTA(Upload!$E$3:M$3)+2,FALSE)</f>
        <v>13145.75</v>
      </c>
      <c r="N17" s="209">
        <f>VLOOKUP($B17,'2017'!$A$5:$Q$1425,COUNTA(Upload!$E$3:N$3)+2,FALSE)</f>
        <v>13145.75</v>
      </c>
      <c r="O17" s="209">
        <f>VLOOKUP($B17,'2017'!$A$5:$Q$1425,COUNTA(Upload!$E$3:O$3)+2,FALSE)</f>
        <v>13145.75</v>
      </c>
      <c r="P17" s="209">
        <f>VLOOKUP($B17,'2017'!$A$5:$Q$1425,COUNTA(Upload!$E$3:P$3)+2,FALSE)</f>
        <v>13145.75</v>
      </c>
      <c r="T17" s="161"/>
    </row>
    <row r="18" spans="1:20" s="118" customFormat="1" ht="10.5" customHeight="1">
      <c r="A18" s="207" t="s">
        <v>70</v>
      </c>
      <c r="B18" s="412" t="s">
        <v>1141</v>
      </c>
      <c r="C18" s="208" t="str">
        <f>+Setup!$B$21</f>
        <v>WC-PropName</v>
      </c>
      <c r="D18" s="208"/>
      <c r="E18" s="209">
        <f>VLOOKUP($B18,'2017'!$A$5:$Q$1425,COUNTA(Upload!$E$3:E$3)+2,FALSE)</f>
        <v>0</v>
      </c>
      <c r="F18" s="209">
        <f>VLOOKUP($B18,'2017'!$A$5:$Q$1425,COUNTA(Upload!$E$3:F$3)+2,FALSE)</f>
        <v>0</v>
      </c>
      <c r="G18" s="209">
        <f>VLOOKUP($B18,'2017'!$A$5:$Q$1425,COUNTA(Upload!$E$3:G$3)+2,FALSE)</f>
        <v>0</v>
      </c>
      <c r="H18" s="209">
        <f>VLOOKUP($B18,'2017'!$A$5:$Q$1425,COUNTA(Upload!$E$3:H$3)+2,FALSE)</f>
        <v>0</v>
      </c>
      <c r="I18" s="209">
        <f>VLOOKUP($B18,'2017'!$A$5:$Q$1425,COUNTA(Upload!$E$3:I$3)+2,FALSE)</f>
        <v>0</v>
      </c>
      <c r="J18" s="209">
        <f>VLOOKUP($B18,'2017'!$A$5:$Q$1425,COUNTA(Upload!$E$3:J$3)+2,FALSE)</f>
        <v>0</v>
      </c>
      <c r="K18" s="209">
        <f>VLOOKUP($B18,'2017'!$A$5:$Q$1425,COUNTA(Upload!$E$3:K$3)+2,FALSE)</f>
        <v>0</v>
      </c>
      <c r="L18" s="209">
        <f>VLOOKUP($B18,'2017'!$A$5:$Q$1425,COUNTA(Upload!$E$3:L$3)+2,FALSE)</f>
        <v>0</v>
      </c>
      <c r="M18" s="209">
        <f>VLOOKUP($B18,'2017'!$A$5:$Q$1425,COUNTA(Upload!$E$3:M$3)+2,FALSE)</f>
        <v>0</v>
      </c>
      <c r="N18" s="209">
        <f>VLOOKUP($B18,'2017'!$A$5:$Q$1425,COUNTA(Upload!$E$3:N$3)+2,FALSE)</f>
        <v>0</v>
      </c>
      <c r="O18" s="209">
        <f>VLOOKUP($B18,'2017'!$A$5:$Q$1425,COUNTA(Upload!$E$3:O$3)+2,FALSE)</f>
        <v>0</v>
      </c>
      <c r="P18" s="209">
        <f>VLOOKUP($B18,'2017'!$A$5:$Q$1425,COUNTA(Upload!$E$3:P$3)+2,FALSE)</f>
        <v>0</v>
      </c>
      <c r="T18" s="161"/>
    </row>
    <row r="19" spans="1:20" s="118" customFormat="1" ht="10.5" customHeight="1">
      <c r="A19" s="207" t="s">
        <v>70</v>
      </c>
      <c r="B19" s="412" t="s">
        <v>1142</v>
      </c>
      <c r="C19" s="208" t="str">
        <f>+Setup!$B$21</f>
        <v>WC-PropName</v>
      </c>
      <c r="D19" s="208"/>
      <c r="E19" s="209">
        <f>VLOOKUP($B19,'2017'!$A$5:$Q$1425,COUNTA(Upload!$E$3:E$3)+2,FALSE)</f>
        <v>0</v>
      </c>
      <c r="F19" s="209">
        <f>VLOOKUP($B19,'2017'!$A$5:$Q$1425,COUNTA(Upload!$E$3:F$3)+2,FALSE)</f>
        <v>0</v>
      </c>
      <c r="G19" s="209">
        <f>VLOOKUP($B19,'2017'!$A$5:$Q$1425,COUNTA(Upload!$E$3:G$3)+2,FALSE)</f>
        <v>0</v>
      </c>
      <c r="H19" s="209">
        <f>VLOOKUP($B19,'2017'!$A$5:$Q$1425,COUNTA(Upload!$E$3:H$3)+2,FALSE)</f>
        <v>0</v>
      </c>
      <c r="I19" s="209">
        <f>VLOOKUP($B19,'2017'!$A$5:$Q$1425,COUNTA(Upload!$E$3:I$3)+2,FALSE)</f>
        <v>0</v>
      </c>
      <c r="J19" s="209">
        <f>VLOOKUP($B19,'2017'!$A$5:$Q$1425,COUNTA(Upload!$E$3:J$3)+2,FALSE)</f>
        <v>0</v>
      </c>
      <c r="K19" s="209">
        <f>VLOOKUP($B19,'2017'!$A$5:$Q$1425,COUNTA(Upload!$E$3:K$3)+2,FALSE)</f>
        <v>0</v>
      </c>
      <c r="L19" s="209">
        <f>VLOOKUP($B19,'2017'!$A$5:$Q$1425,COUNTA(Upload!$E$3:L$3)+2,FALSE)</f>
        <v>0</v>
      </c>
      <c r="M19" s="209">
        <f>VLOOKUP($B19,'2017'!$A$5:$Q$1425,COUNTA(Upload!$E$3:M$3)+2,FALSE)</f>
        <v>0</v>
      </c>
      <c r="N19" s="209">
        <f>VLOOKUP($B19,'2017'!$A$5:$Q$1425,COUNTA(Upload!$E$3:N$3)+2,FALSE)</f>
        <v>0</v>
      </c>
      <c r="O19" s="209">
        <f>VLOOKUP($B19,'2017'!$A$5:$Q$1425,COUNTA(Upload!$E$3:O$3)+2,FALSE)</f>
        <v>0</v>
      </c>
      <c r="P19" s="209">
        <f>VLOOKUP($B19,'2017'!$A$5:$Q$1425,COUNTA(Upload!$E$3:P$3)+2,FALSE)</f>
        <v>0</v>
      </c>
      <c r="T19" s="161"/>
    </row>
    <row r="20" spans="1:20" s="118" customFormat="1" ht="10.5" customHeight="1">
      <c r="A20" s="207" t="s">
        <v>70</v>
      </c>
      <c r="B20" s="412" t="s">
        <v>1143</v>
      </c>
      <c r="C20" s="208" t="str">
        <f>+Setup!$B$21</f>
        <v>WC-PropName</v>
      </c>
      <c r="D20" s="208"/>
      <c r="E20" s="209">
        <f>VLOOKUP($B20,'2017'!$A$5:$Q$1425,COUNTA(Upload!$E$3:E$3)+2,FALSE)</f>
        <v>0</v>
      </c>
      <c r="F20" s="209">
        <f>VLOOKUP($B20,'2017'!$A$5:$Q$1425,COUNTA(Upload!$E$3:F$3)+2,FALSE)</f>
        <v>0</v>
      </c>
      <c r="G20" s="209">
        <f>VLOOKUP($B20,'2017'!$A$5:$Q$1425,COUNTA(Upload!$E$3:G$3)+2,FALSE)</f>
        <v>0</v>
      </c>
      <c r="H20" s="209">
        <f>VLOOKUP($B20,'2017'!$A$5:$Q$1425,COUNTA(Upload!$E$3:H$3)+2,FALSE)</f>
        <v>0</v>
      </c>
      <c r="I20" s="209">
        <f>VLOOKUP($B20,'2017'!$A$5:$Q$1425,COUNTA(Upload!$E$3:I$3)+2,FALSE)</f>
        <v>0</v>
      </c>
      <c r="J20" s="209">
        <f>VLOOKUP($B20,'2017'!$A$5:$Q$1425,COUNTA(Upload!$E$3:J$3)+2,FALSE)</f>
        <v>0</v>
      </c>
      <c r="K20" s="209">
        <f>VLOOKUP($B20,'2017'!$A$5:$Q$1425,COUNTA(Upload!$E$3:K$3)+2,FALSE)</f>
        <v>0</v>
      </c>
      <c r="L20" s="209">
        <f>VLOOKUP($B20,'2017'!$A$5:$Q$1425,COUNTA(Upload!$E$3:L$3)+2,FALSE)</f>
        <v>0</v>
      </c>
      <c r="M20" s="209">
        <f>VLOOKUP($B20,'2017'!$A$5:$Q$1425,COUNTA(Upload!$E$3:M$3)+2,FALSE)</f>
        <v>0</v>
      </c>
      <c r="N20" s="209">
        <f>VLOOKUP($B20,'2017'!$A$5:$Q$1425,COUNTA(Upload!$E$3:N$3)+2,FALSE)</f>
        <v>0</v>
      </c>
      <c r="O20" s="209">
        <f>VLOOKUP($B20,'2017'!$A$5:$Q$1425,COUNTA(Upload!$E$3:O$3)+2,FALSE)</f>
        <v>0</v>
      </c>
      <c r="P20" s="209">
        <f>VLOOKUP($B20,'2017'!$A$5:$Q$1425,COUNTA(Upload!$E$3:P$3)+2,FALSE)</f>
        <v>0</v>
      </c>
      <c r="T20" s="161"/>
    </row>
    <row r="21" spans="1:20" s="118" customFormat="1" ht="10.5" customHeight="1">
      <c r="A21" s="207" t="s">
        <v>70</v>
      </c>
      <c r="B21" s="412" t="s">
        <v>1144</v>
      </c>
      <c r="C21" s="208" t="str">
        <f>+Setup!$B$21</f>
        <v>WC-PropName</v>
      </c>
      <c r="D21" s="208"/>
      <c r="E21" s="209">
        <f>VLOOKUP($B21,'2017'!$A$5:$Q$1425,COUNTA(Upload!$E$3:E$3)+2,FALSE)</f>
        <v>0</v>
      </c>
      <c r="F21" s="209">
        <f>VLOOKUP($B21,'2017'!$A$5:$Q$1425,COUNTA(Upload!$E$3:F$3)+2,FALSE)</f>
        <v>0</v>
      </c>
      <c r="G21" s="209">
        <f>VLOOKUP($B21,'2017'!$A$5:$Q$1425,COUNTA(Upload!$E$3:G$3)+2,FALSE)</f>
        <v>0</v>
      </c>
      <c r="H21" s="209">
        <f>VLOOKUP($B21,'2017'!$A$5:$Q$1425,COUNTA(Upload!$E$3:H$3)+2,FALSE)</f>
        <v>0</v>
      </c>
      <c r="I21" s="209">
        <f>VLOOKUP($B21,'2017'!$A$5:$Q$1425,COUNTA(Upload!$E$3:I$3)+2,FALSE)</f>
        <v>0</v>
      </c>
      <c r="J21" s="209">
        <f>VLOOKUP($B21,'2017'!$A$5:$Q$1425,COUNTA(Upload!$E$3:J$3)+2,FALSE)</f>
        <v>0</v>
      </c>
      <c r="K21" s="209">
        <f>VLOOKUP($B21,'2017'!$A$5:$Q$1425,COUNTA(Upload!$E$3:K$3)+2,FALSE)</f>
        <v>0</v>
      </c>
      <c r="L21" s="209">
        <f>VLOOKUP($B21,'2017'!$A$5:$Q$1425,COUNTA(Upload!$E$3:L$3)+2,FALSE)</f>
        <v>0</v>
      </c>
      <c r="M21" s="209">
        <f>VLOOKUP($B21,'2017'!$A$5:$Q$1425,COUNTA(Upload!$E$3:M$3)+2,FALSE)</f>
        <v>0</v>
      </c>
      <c r="N21" s="209">
        <f>VLOOKUP($B21,'2017'!$A$5:$Q$1425,COUNTA(Upload!$E$3:N$3)+2,FALSE)</f>
        <v>0</v>
      </c>
      <c r="O21" s="209">
        <f>VLOOKUP($B21,'2017'!$A$5:$Q$1425,COUNTA(Upload!$E$3:O$3)+2,FALSE)</f>
        <v>0</v>
      </c>
      <c r="P21" s="209">
        <f>VLOOKUP($B21,'2017'!$A$5:$Q$1425,COUNTA(Upload!$E$3:P$3)+2,FALSE)</f>
        <v>0</v>
      </c>
      <c r="T21" s="161"/>
    </row>
    <row r="22" spans="1:20" s="118" customFormat="1" ht="10.5" customHeight="1">
      <c r="A22" s="207" t="s">
        <v>70</v>
      </c>
      <c r="B22" s="412" t="s">
        <v>1145</v>
      </c>
      <c r="C22" s="208" t="str">
        <f>+Setup!$B$21</f>
        <v>WC-PropName</v>
      </c>
      <c r="D22" s="208"/>
      <c r="E22" s="209">
        <f>VLOOKUP($B22,'2017'!$A$5:$Q$1425,COUNTA(Upload!$E$3:E$3)+2,FALSE)</f>
        <v>0</v>
      </c>
      <c r="F22" s="209">
        <f>VLOOKUP($B22,'2017'!$A$5:$Q$1425,COUNTA(Upload!$E$3:F$3)+2,FALSE)</f>
        <v>0</v>
      </c>
      <c r="G22" s="209">
        <f>VLOOKUP($B22,'2017'!$A$5:$Q$1425,COUNTA(Upload!$E$3:G$3)+2,FALSE)</f>
        <v>0</v>
      </c>
      <c r="H22" s="209">
        <f>VLOOKUP($B22,'2017'!$A$5:$Q$1425,COUNTA(Upload!$E$3:H$3)+2,FALSE)</f>
        <v>0</v>
      </c>
      <c r="I22" s="209">
        <f>VLOOKUP($B22,'2017'!$A$5:$Q$1425,COUNTA(Upload!$E$3:I$3)+2,FALSE)</f>
        <v>0</v>
      </c>
      <c r="J22" s="209">
        <f>VLOOKUP($B22,'2017'!$A$5:$Q$1425,COUNTA(Upload!$E$3:J$3)+2,FALSE)</f>
        <v>0</v>
      </c>
      <c r="K22" s="209">
        <f>VLOOKUP($B22,'2017'!$A$5:$Q$1425,COUNTA(Upload!$E$3:K$3)+2,FALSE)</f>
        <v>0</v>
      </c>
      <c r="L22" s="209">
        <f>VLOOKUP($B22,'2017'!$A$5:$Q$1425,COUNTA(Upload!$E$3:L$3)+2,FALSE)</f>
        <v>0</v>
      </c>
      <c r="M22" s="209">
        <f>VLOOKUP($B22,'2017'!$A$5:$Q$1425,COUNTA(Upload!$E$3:M$3)+2,FALSE)</f>
        <v>0</v>
      </c>
      <c r="N22" s="209">
        <f>VLOOKUP($B22,'2017'!$A$5:$Q$1425,COUNTA(Upload!$E$3:N$3)+2,FALSE)</f>
        <v>0</v>
      </c>
      <c r="O22" s="209">
        <f>VLOOKUP($B22,'2017'!$A$5:$Q$1425,COUNTA(Upload!$E$3:O$3)+2,FALSE)</f>
        <v>0</v>
      </c>
      <c r="P22" s="209">
        <f>VLOOKUP($B22,'2017'!$A$5:$Q$1425,COUNTA(Upload!$E$3:P$3)+2,FALSE)</f>
        <v>0</v>
      </c>
      <c r="T22" s="161"/>
    </row>
    <row r="23" spans="1:20" s="118" customFormat="1" ht="10.5" customHeight="1">
      <c r="A23" s="207" t="s">
        <v>70</v>
      </c>
      <c r="B23" s="412" t="s">
        <v>1146</v>
      </c>
      <c r="C23" s="208" t="str">
        <f>+Setup!$B$21</f>
        <v>WC-PropName</v>
      </c>
      <c r="D23" s="208"/>
      <c r="E23" s="209">
        <f>VLOOKUP($B23,'2017'!$A$5:$Q$1425,COUNTA(Upload!$E$3:E$3)+2,FALSE)</f>
        <v>0</v>
      </c>
      <c r="F23" s="209">
        <f>VLOOKUP($B23,'2017'!$A$5:$Q$1425,COUNTA(Upload!$E$3:F$3)+2,FALSE)</f>
        <v>0</v>
      </c>
      <c r="G23" s="209">
        <f>VLOOKUP($B23,'2017'!$A$5:$Q$1425,COUNTA(Upload!$E$3:G$3)+2,FALSE)</f>
        <v>0</v>
      </c>
      <c r="H23" s="209">
        <f>VLOOKUP($B23,'2017'!$A$5:$Q$1425,COUNTA(Upload!$E$3:H$3)+2,FALSE)</f>
        <v>0</v>
      </c>
      <c r="I23" s="209">
        <f>VLOOKUP($B23,'2017'!$A$5:$Q$1425,COUNTA(Upload!$E$3:I$3)+2,FALSE)</f>
        <v>0</v>
      </c>
      <c r="J23" s="209">
        <f>VLOOKUP($B23,'2017'!$A$5:$Q$1425,COUNTA(Upload!$E$3:J$3)+2,FALSE)</f>
        <v>0</v>
      </c>
      <c r="K23" s="209">
        <f>VLOOKUP($B23,'2017'!$A$5:$Q$1425,COUNTA(Upload!$E$3:K$3)+2,FALSE)</f>
        <v>0</v>
      </c>
      <c r="L23" s="209">
        <f>VLOOKUP($B23,'2017'!$A$5:$Q$1425,COUNTA(Upload!$E$3:L$3)+2,FALSE)</f>
        <v>0</v>
      </c>
      <c r="M23" s="209">
        <f>VLOOKUP($B23,'2017'!$A$5:$Q$1425,COUNTA(Upload!$E$3:M$3)+2,FALSE)</f>
        <v>0</v>
      </c>
      <c r="N23" s="209">
        <f>VLOOKUP($B23,'2017'!$A$5:$Q$1425,COUNTA(Upload!$E$3:N$3)+2,FALSE)</f>
        <v>0</v>
      </c>
      <c r="O23" s="209">
        <f>VLOOKUP($B23,'2017'!$A$5:$Q$1425,COUNTA(Upload!$E$3:O$3)+2,FALSE)</f>
        <v>0</v>
      </c>
      <c r="P23" s="209">
        <f>VLOOKUP($B23,'2017'!$A$5:$Q$1425,COUNTA(Upload!$E$3:P$3)+2,FALSE)</f>
        <v>0</v>
      </c>
      <c r="T23" s="161"/>
    </row>
    <row r="24" spans="1:20" s="118" customFormat="1" ht="10.5" customHeight="1">
      <c r="A24" s="207" t="s">
        <v>70</v>
      </c>
      <c r="B24" s="412" t="s">
        <v>1147</v>
      </c>
      <c r="C24" s="208" t="str">
        <f>+Setup!$B$21</f>
        <v>WC-PropName</v>
      </c>
      <c r="D24" s="208"/>
      <c r="E24" s="209">
        <f>VLOOKUP($B24,'2017'!$A$5:$Q$1425,COUNTA(Upload!$E$3:E$3)+2,FALSE)</f>
        <v>0</v>
      </c>
      <c r="F24" s="209">
        <f>VLOOKUP($B24,'2017'!$A$5:$Q$1425,COUNTA(Upload!$E$3:F$3)+2,FALSE)</f>
        <v>0</v>
      </c>
      <c r="G24" s="209">
        <f>VLOOKUP($B24,'2017'!$A$5:$Q$1425,COUNTA(Upload!$E$3:G$3)+2,FALSE)</f>
        <v>0</v>
      </c>
      <c r="H24" s="209">
        <f>VLOOKUP($B24,'2017'!$A$5:$Q$1425,COUNTA(Upload!$E$3:H$3)+2,FALSE)</f>
        <v>0</v>
      </c>
      <c r="I24" s="209">
        <f>VLOOKUP($B24,'2017'!$A$5:$Q$1425,COUNTA(Upload!$E$3:I$3)+2,FALSE)</f>
        <v>0</v>
      </c>
      <c r="J24" s="209">
        <f>VLOOKUP($B24,'2017'!$A$5:$Q$1425,COUNTA(Upload!$E$3:J$3)+2,FALSE)</f>
        <v>0</v>
      </c>
      <c r="K24" s="209">
        <f>VLOOKUP($B24,'2017'!$A$5:$Q$1425,COUNTA(Upload!$E$3:K$3)+2,FALSE)</f>
        <v>0</v>
      </c>
      <c r="L24" s="209">
        <f>VLOOKUP($B24,'2017'!$A$5:$Q$1425,COUNTA(Upload!$E$3:L$3)+2,FALSE)</f>
        <v>0</v>
      </c>
      <c r="M24" s="209">
        <f>VLOOKUP($B24,'2017'!$A$5:$Q$1425,COUNTA(Upload!$E$3:M$3)+2,FALSE)</f>
        <v>0</v>
      </c>
      <c r="N24" s="209">
        <f>VLOOKUP($B24,'2017'!$A$5:$Q$1425,COUNTA(Upload!$E$3:N$3)+2,FALSE)</f>
        <v>0</v>
      </c>
      <c r="O24" s="209">
        <f>VLOOKUP($B24,'2017'!$A$5:$Q$1425,COUNTA(Upload!$E$3:O$3)+2,FALSE)</f>
        <v>0</v>
      </c>
      <c r="P24" s="209">
        <f>VLOOKUP($B24,'2017'!$A$5:$Q$1425,COUNTA(Upload!$E$3:P$3)+2,FALSE)</f>
        <v>0</v>
      </c>
      <c r="T24" s="161"/>
    </row>
    <row r="25" spans="1:20" s="118" customFormat="1" ht="10.5" customHeight="1">
      <c r="A25" s="207" t="s">
        <v>70</v>
      </c>
      <c r="B25" s="412" t="s">
        <v>1148</v>
      </c>
      <c r="C25" s="208" t="str">
        <f>+Setup!$B$21</f>
        <v>WC-PropName</v>
      </c>
      <c r="D25" s="208"/>
      <c r="E25" s="209">
        <f>VLOOKUP($B25,'2017'!$A$5:$Q$1425,COUNTA(Upload!$E$3:E$3)+2,FALSE)</f>
        <v>0</v>
      </c>
      <c r="F25" s="209">
        <f>VLOOKUP($B25,'2017'!$A$5:$Q$1425,COUNTA(Upload!$E$3:F$3)+2,FALSE)</f>
        <v>0</v>
      </c>
      <c r="G25" s="209">
        <f>VLOOKUP($B25,'2017'!$A$5:$Q$1425,COUNTA(Upload!$E$3:G$3)+2,FALSE)</f>
        <v>0</v>
      </c>
      <c r="H25" s="209">
        <f>VLOOKUP($B25,'2017'!$A$5:$Q$1425,COUNTA(Upload!$E$3:H$3)+2,FALSE)</f>
        <v>0</v>
      </c>
      <c r="I25" s="209">
        <f>VLOOKUP($B25,'2017'!$A$5:$Q$1425,COUNTA(Upload!$E$3:I$3)+2,FALSE)</f>
        <v>0</v>
      </c>
      <c r="J25" s="209">
        <f>VLOOKUP($B25,'2017'!$A$5:$Q$1425,COUNTA(Upload!$E$3:J$3)+2,FALSE)</f>
        <v>0</v>
      </c>
      <c r="K25" s="209">
        <f>VLOOKUP($B25,'2017'!$A$5:$Q$1425,COUNTA(Upload!$E$3:K$3)+2,FALSE)</f>
        <v>0</v>
      </c>
      <c r="L25" s="209">
        <f>VLOOKUP($B25,'2017'!$A$5:$Q$1425,COUNTA(Upload!$E$3:L$3)+2,FALSE)</f>
        <v>0</v>
      </c>
      <c r="M25" s="209">
        <f>VLOOKUP($B25,'2017'!$A$5:$Q$1425,COUNTA(Upload!$E$3:M$3)+2,FALSE)</f>
        <v>0</v>
      </c>
      <c r="N25" s="209">
        <f>VLOOKUP($B25,'2017'!$A$5:$Q$1425,COUNTA(Upload!$E$3:N$3)+2,FALSE)</f>
        <v>0</v>
      </c>
      <c r="O25" s="209">
        <f>VLOOKUP($B25,'2017'!$A$5:$Q$1425,COUNTA(Upload!$E$3:O$3)+2,FALSE)</f>
        <v>0</v>
      </c>
      <c r="P25" s="209">
        <f>VLOOKUP($B25,'2017'!$A$5:$Q$1425,COUNTA(Upload!$E$3:P$3)+2,FALSE)</f>
        <v>0</v>
      </c>
      <c r="T25" s="161"/>
    </row>
    <row r="26" spans="1:20" s="118" customFormat="1" ht="10.5" customHeight="1">
      <c r="A26" s="207" t="s">
        <v>70</v>
      </c>
      <c r="B26" s="412" t="s">
        <v>1149</v>
      </c>
      <c r="C26" s="208" t="str">
        <f>+Setup!$B$21</f>
        <v>WC-PropName</v>
      </c>
      <c r="D26" s="208"/>
      <c r="E26" s="209">
        <f>VLOOKUP($B26,'2017'!$A$5:$Q$1425,COUNTA(Upload!$E$3:E$3)+2,FALSE)</f>
        <v>0</v>
      </c>
      <c r="F26" s="209">
        <f>VLOOKUP($B26,'2017'!$A$5:$Q$1425,COUNTA(Upload!$E$3:F$3)+2,FALSE)</f>
        <v>0</v>
      </c>
      <c r="G26" s="209">
        <f>VLOOKUP($B26,'2017'!$A$5:$Q$1425,COUNTA(Upload!$E$3:G$3)+2,FALSE)</f>
        <v>0</v>
      </c>
      <c r="H26" s="209">
        <f>VLOOKUP($B26,'2017'!$A$5:$Q$1425,COUNTA(Upload!$E$3:H$3)+2,FALSE)</f>
        <v>0</v>
      </c>
      <c r="I26" s="209">
        <f>VLOOKUP($B26,'2017'!$A$5:$Q$1425,COUNTA(Upload!$E$3:I$3)+2,FALSE)</f>
        <v>0</v>
      </c>
      <c r="J26" s="209">
        <f>VLOOKUP($B26,'2017'!$A$5:$Q$1425,COUNTA(Upload!$E$3:J$3)+2,FALSE)</f>
        <v>0</v>
      </c>
      <c r="K26" s="209">
        <f>VLOOKUP($B26,'2017'!$A$5:$Q$1425,COUNTA(Upload!$E$3:K$3)+2,FALSE)</f>
        <v>0</v>
      </c>
      <c r="L26" s="209">
        <f>VLOOKUP($B26,'2017'!$A$5:$Q$1425,COUNTA(Upload!$E$3:L$3)+2,FALSE)</f>
        <v>0</v>
      </c>
      <c r="M26" s="209">
        <f>VLOOKUP($B26,'2017'!$A$5:$Q$1425,COUNTA(Upload!$E$3:M$3)+2,FALSE)</f>
        <v>0</v>
      </c>
      <c r="N26" s="209">
        <f>VLOOKUP($B26,'2017'!$A$5:$Q$1425,COUNTA(Upload!$E$3:N$3)+2,FALSE)</f>
        <v>0</v>
      </c>
      <c r="O26" s="209">
        <f>VLOOKUP($B26,'2017'!$A$5:$Q$1425,COUNTA(Upload!$E$3:O$3)+2,FALSE)</f>
        <v>0</v>
      </c>
      <c r="P26" s="209">
        <f>VLOOKUP($B26,'2017'!$A$5:$Q$1425,COUNTA(Upload!$E$3:P$3)+2,FALSE)</f>
        <v>0</v>
      </c>
      <c r="T26" s="161"/>
    </row>
    <row r="27" spans="1:20" s="118" customFormat="1" ht="10.5" customHeight="1">
      <c r="A27" s="207" t="s">
        <v>70</v>
      </c>
      <c r="B27" s="412" t="s">
        <v>1150</v>
      </c>
      <c r="C27" s="208" t="str">
        <f>+Setup!$B$21</f>
        <v>WC-PropName</v>
      </c>
      <c r="D27" s="208"/>
      <c r="E27" s="209">
        <f>VLOOKUP($B27,'2017'!$A$5:$Q$1425,COUNTA(Upload!$E$3:E$3)+2,FALSE)</f>
        <v>0</v>
      </c>
      <c r="F27" s="209">
        <f>VLOOKUP($B27,'2017'!$A$5:$Q$1425,COUNTA(Upload!$E$3:F$3)+2,FALSE)</f>
        <v>0</v>
      </c>
      <c r="G27" s="209">
        <f>VLOOKUP($B27,'2017'!$A$5:$Q$1425,COUNTA(Upload!$E$3:G$3)+2,FALSE)</f>
        <v>0</v>
      </c>
      <c r="H27" s="209">
        <f>VLOOKUP($B27,'2017'!$A$5:$Q$1425,COUNTA(Upload!$E$3:H$3)+2,FALSE)</f>
        <v>0</v>
      </c>
      <c r="I27" s="209">
        <f>VLOOKUP($B27,'2017'!$A$5:$Q$1425,COUNTA(Upload!$E$3:I$3)+2,FALSE)</f>
        <v>0</v>
      </c>
      <c r="J27" s="209">
        <f>VLOOKUP($B27,'2017'!$A$5:$Q$1425,COUNTA(Upload!$E$3:J$3)+2,FALSE)</f>
        <v>0</v>
      </c>
      <c r="K27" s="209">
        <f>VLOOKUP($B27,'2017'!$A$5:$Q$1425,COUNTA(Upload!$E$3:K$3)+2,FALSE)</f>
        <v>0</v>
      </c>
      <c r="L27" s="209">
        <f>VLOOKUP($B27,'2017'!$A$5:$Q$1425,COUNTA(Upload!$E$3:L$3)+2,FALSE)</f>
        <v>0</v>
      </c>
      <c r="M27" s="209">
        <f>VLOOKUP($B27,'2017'!$A$5:$Q$1425,COUNTA(Upload!$E$3:M$3)+2,FALSE)</f>
        <v>0</v>
      </c>
      <c r="N27" s="209">
        <f>VLOOKUP($B27,'2017'!$A$5:$Q$1425,COUNTA(Upload!$E$3:N$3)+2,FALSE)</f>
        <v>0</v>
      </c>
      <c r="O27" s="209">
        <f>VLOOKUP($B27,'2017'!$A$5:$Q$1425,COUNTA(Upload!$E$3:O$3)+2,FALSE)</f>
        <v>0</v>
      </c>
      <c r="P27" s="209">
        <f>VLOOKUP($B27,'2017'!$A$5:$Q$1425,COUNTA(Upload!$E$3:P$3)+2,FALSE)</f>
        <v>0</v>
      </c>
      <c r="T27" s="161"/>
    </row>
    <row r="28" spans="1:20" s="118" customFormat="1" ht="10.5" customHeight="1">
      <c r="A28" s="207" t="s">
        <v>70</v>
      </c>
      <c r="B28" s="412" t="s">
        <v>1151</v>
      </c>
      <c r="C28" s="208" t="str">
        <f>+Setup!$B$21</f>
        <v>WC-PropName</v>
      </c>
      <c r="D28" s="208"/>
      <c r="E28" s="209">
        <f>VLOOKUP($B28,'2017'!$A$5:$Q$1425,COUNTA(Upload!$E$3:E$3)+2,FALSE)</f>
        <v>0</v>
      </c>
      <c r="F28" s="209">
        <f>VLOOKUP($B28,'2017'!$A$5:$Q$1425,COUNTA(Upload!$E$3:F$3)+2,FALSE)</f>
        <v>0</v>
      </c>
      <c r="G28" s="209">
        <f>VLOOKUP($B28,'2017'!$A$5:$Q$1425,COUNTA(Upload!$E$3:G$3)+2,FALSE)</f>
        <v>0</v>
      </c>
      <c r="H28" s="209">
        <f>VLOOKUP($B28,'2017'!$A$5:$Q$1425,COUNTA(Upload!$E$3:H$3)+2,FALSE)</f>
        <v>0</v>
      </c>
      <c r="I28" s="209">
        <f>VLOOKUP($B28,'2017'!$A$5:$Q$1425,COUNTA(Upload!$E$3:I$3)+2,FALSE)</f>
        <v>0</v>
      </c>
      <c r="J28" s="209">
        <f>VLOOKUP($B28,'2017'!$A$5:$Q$1425,COUNTA(Upload!$E$3:J$3)+2,FALSE)</f>
        <v>0</v>
      </c>
      <c r="K28" s="209">
        <f>VLOOKUP($B28,'2017'!$A$5:$Q$1425,COUNTA(Upload!$E$3:K$3)+2,FALSE)</f>
        <v>0</v>
      </c>
      <c r="L28" s="209">
        <f>VLOOKUP($B28,'2017'!$A$5:$Q$1425,COUNTA(Upload!$E$3:L$3)+2,FALSE)</f>
        <v>0</v>
      </c>
      <c r="M28" s="209">
        <f>VLOOKUP($B28,'2017'!$A$5:$Q$1425,COUNTA(Upload!$E$3:M$3)+2,FALSE)</f>
        <v>0</v>
      </c>
      <c r="N28" s="209">
        <f>VLOOKUP($B28,'2017'!$A$5:$Q$1425,COUNTA(Upload!$E$3:N$3)+2,FALSE)</f>
        <v>0</v>
      </c>
      <c r="O28" s="209">
        <f>VLOOKUP($B28,'2017'!$A$5:$Q$1425,COUNTA(Upload!$E$3:O$3)+2,FALSE)</f>
        <v>0</v>
      </c>
      <c r="P28" s="209">
        <f>VLOOKUP($B28,'2017'!$A$5:$Q$1425,COUNTA(Upload!$E$3:P$3)+2,FALSE)</f>
        <v>0</v>
      </c>
      <c r="S28" s="5"/>
      <c r="T28" s="161"/>
    </row>
    <row r="29" spans="1:20" s="118" customFormat="1" ht="10.5" customHeight="1">
      <c r="A29" s="207" t="s">
        <v>70</v>
      </c>
      <c r="B29" s="412" t="s">
        <v>1152</v>
      </c>
      <c r="C29" s="208" t="str">
        <f>+Setup!$B$21</f>
        <v>WC-PropName</v>
      </c>
      <c r="D29" s="208"/>
      <c r="E29" s="209">
        <f>VLOOKUP($B29,'2017'!$A$5:$Q$1425,COUNTA(Upload!$E$3:E$3)+2,FALSE)</f>
        <v>0</v>
      </c>
      <c r="F29" s="209">
        <f>VLOOKUP($B29,'2017'!$A$5:$Q$1425,COUNTA(Upload!$E$3:F$3)+2,FALSE)</f>
        <v>0</v>
      </c>
      <c r="G29" s="209">
        <f>VLOOKUP($B29,'2017'!$A$5:$Q$1425,COUNTA(Upload!$E$3:G$3)+2,FALSE)</f>
        <v>0</v>
      </c>
      <c r="H29" s="209">
        <f>VLOOKUP($B29,'2017'!$A$5:$Q$1425,COUNTA(Upload!$E$3:H$3)+2,FALSE)</f>
        <v>0</v>
      </c>
      <c r="I29" s="209">
        <f>VLOOKUP($B29,'2017'!$A$5:$Q$1425,COUNTA(Upload!$E$3:I$3)+2,FALSE)</f>
        <v>0</v>
      </c>
      <c r="J29" s="209">
        <f>VLOOKUP($B29,'2017'!$A$5:$Q$1425,COUNTA(Upload!$E$3:J$3)+2,FALSE)</f>
        <v>0</v>
      </c>
      <c r="K29" s="209">
        <f>VLOOKUP($B29,'2017'!$A$5:$Q$1425,COUNTA(Upload!$E$3:K$3)+2,FALSE)</f>
        <v>0</v>
      </c>
      <c r="L29" s="209">
        <f>VLOOKUP($B29,'2017'!$A$5:$Q$1425,COUNTA(Upload!$E$3:L$3)+2,FALSE)</f>
        <v>0</v>
      </c>
      <c r="M29" s="209">
        <f>VLOOKUP($B29,'2017'!$A$5:$Q$1425,COUNTA(Upload!$E$3:M$3)+2,FALSE)</f>
        <v>0</v>
      </c>
      <c r="N29" s="209">
        <f>VLOOKUP($B29,'2017'!$A$5:$Q$1425,COUNTA(Upload!$E$3:N$3)+2,FALSE)</f>
        <v>0</v>
      </c>
      <c r="O29" s="209">
        <f>VLOOKUP($B29,'2017'!$A$5:$Q$1425,COUNTA(Upload!$E$3:O$3)+2,FALSE)</f>
        <v>0</v>
      </c>
      <c r="P29" s="209">
        <f>VLOOKUP($B29,'2017'!$A$5:$Q$1425,COUNTA(Upload!$E$3:P$3)+2,FALSE)</f>
        <v>0</v>
      </c>
      <c r="S29" s="5"/>
      <c r="T29" s="161"/>
    </row>
    <row r="30" spans="1:20" s="118" customFormat="1" ht="10.5" customHeight="1">
      <c r="A30" s="207" t="s">
        <v>70</v>
      </c>
      <c r="B30" s="412" t="s">
        <v>1153</v>
      </c>
      <c r="C30" s="208" t="str">
        <f>+Setup!$B$21</f>
        <v>WC-PropName</v>
      </c>
      <c r="D30" s="208"/>
      <c r="E30" s="209">
        <f>VLOOKUP($B30,'2017'!$A$5:$Q$1425,COUNTA(Upload!$E$3:E$3)+2,FALSE)</f>
        <v>0</v>
      </c>
      <c r="F30" s="209">
        <f>VLOOKUP($B30,'2017'!$A$5:$Q$1425,COUNTA(Upload!$E$3:F$3)+2,FALSE)</f>
        <v>0</v>
      </c>
      <c r="G30" s="209">
        <f>VLOOKUP($B30,'2017'!$A$5:$Q$1425,COUNTA(Upload!$E$3:G$3)+2,FALSE)</f>
        <v>0</v>
      </c>
      <c r="H30" s="209">
        <f>VLOOKUP($B30,'2017'!$A$5:$Q$1425,COUNTA(Upload!$E$3:H$3)+2,FALSE)</f>
        <v>0</v>
      </c>
      <c r="I30" s="209">
        <f>VLOOKUP($B30,'2017'!$A$5:$Q$1425,COUNTA(Upload!$E$3:I$3)+2,FALSE)</f>
        <v>0</v>
      </c>
      <c r="J30" s="209">
        <f>VLOOKUP($B30,'2017'!$A$5:$Q$1425,COUNTA(Upload!$E$3:J$3)+2,FALSE)</f>
        <v>0</v>
      </c>
      <c r="K30" s="209">
        <f>VLOOKUP($B30,'2017'!$A$5:$Q$1425,COUNTA(Upload!$E$3:K$3)+2,FALSE)</f>
        <v>0</v>
      </c>
      <c r="L30" s="209">
        <f>VLOOKUP($B30,'2017'!$A$5:$Q$1425,COUNTA(Upload!$E$3:L$3)+2,FALSE)</f>
        <v>0</v>
      </c>
      <c r="M30" s="209">
        <f>VLOOKUP($B30,'2017'!$A$5:$Q$1425,COUNTA(Upload!$E$3:M$3)+2,FALSE)</f>
        <v>0</v>
      </c>
      <c r="N30" s="209">
        <f>VLOOKUP($B30,'2017'!$A$5:$Q$1425,COUNTA(Upload!$E$3:N$3)+2,FALSE)</f>
        <v>0</v>
      </c>
      <c r="O30" s="209">
        <f>VLOOKUP($B30,'2017'!$A$5:$Q$1425,COUNTA(Upload!$E$3:O$3)+2,FALSE)</f>
        <v>0</v>
      </c>
      <c r="P30" s="209">
        <f>VLOOKUP($B30,'2017'!$A$5:$Q$1425,COUNTA(Upload!$E$3:P$3)+2,FALSE)</f>
        <v>0</v>
      </c>
      <c r="S30" s="5"/>
      <c r="T30" s="161"/>
    </row>
    <row r="31" spans="1:20" s="118" customFormat="1" ht="10.5" customHeight="1">
      <c r="A31" s="207" t="s">
        <v>70</v>
      </c>
      <c r="B31" s="412" t="s">
        <v>1154</v>
      </c>
      <c r="C31" s="208" t="str">
        <f>+Setup!$B$21</f>
        <v>WC-PropName</v>
      </c>
      <c r="D31" s="208"/>
      <c r="E31" s="209">
        <f>VLOOKUP($B31,'2017'!$A$5:$Q$1425,COUNTA(Upload!$E$3:E$3)+2,FALSE)</f>
        <v>0</v>
      </c>
      <c r="F31" s="209">
        <f>VLOOKUP($B31,'2017'!$A$5:$Q$1425,COUNTA(Upload!$E$3:F$3)+2,FALSE)</f>
        <v>0</v>
      </c>
      <c r="G31" s="209">
        <f>VLOOKUP($B31,'2017'!$A$5:$Q$1425,COUNTA(Upload!$E$3:G$3)+2,FALSE)</f>
        <v>0</v>
      </c>
      <c r="H31" s="209">
        <f>VLOOKUP($B31,'2017'!$A$5:$Q$1425,COUNTA(Upload!$E$3:H$3)+2,FALSE)</f>
        <v>0</v>
      </c>
      <c r="I31" s="209">
        <f>VLOOKUP($B31,'2017'!$A$5:$Q$1425,COUNTA(Upload!$E$3:I$3)+2,FALSE)</f>
        <v>0</v>
      </c>
      <c r="J31" s="209">
        <f>VLOOKUP($B31,'2017'!$A$5:$Q$1425,COUNTA(Upload!$E$3:J$3)+2,FALSE)</f>
        <v>0</v>
      </c>
      <c r="K31" s="209">
        <f>VLOOKUP($B31,'2017'!$A$5:$Q$1425,COUNTA(Upload!$E$3:K$3)+2,FALSE)</f>
        <v>0</v>
      </c>
      <c r="L31" s="209">
        <f>VLOOKUP($B31,'2017'!$A$5:$Q$1425,COUNTA(Upload!$E$3:L$3)+2,FALSE)</f>
        <v>0</v>
      </c>
      <c r="M31" s="209">
        <f>VLOOKUP($B31,'2017'!$A$5:$Q$1425,COUNTA(Upload!$E$3:M$3)+2,FALSE)</f>
        <v>0</v>
      </c>
      <c r="N31" s="209">
        <f>VLOOKUP($B31,'2017'!$A$5:$Q$1425,COUNTA(Upload!$E$3:N$3)+2,FALSE)</f>
        <v>0</v>
      </c>
      <c r="O31" s="209">
        <f>VLOOKUP($B31,'2017'!$A$5:$Q$1425,COUNTA(Upload!$E$3:O$3)+2,FALSE)</f>
        <v>0</v>
      </c>
      <c r="P31" s="209">
        <f>VLOOKUP($B31,'2017'!$A$5:$Q$1425,COUNTA(Upload!$E$3:P$3)+2,FALSE)</f>
        <v>0</v>
      </c>
      <c r="S31" s="5"/>
      <c r="T31" s="161"/>
    </row>
    <row r="32" spans="1:20" s="118" customFormat="1" ht="10.5" customHeight="1">
      <c r="A32" s="207" t="s">
        <v>70</v>
      </c>
      <c r="B32" s="412" t="s">
        <v>1155</v>
      </c>
      <c r="C32" s="208" t="str">
        <f>+Setup!$B$21</f>
        <v>WC-PropName</v>
      </c>
      <c r="D32" s="208"/>
      <c r="E32" s="209">
        <f>VLOOKUP($B32,'2017'!$A$5:$Q$1425,COUNTA(Upload!$E$3:E$3)+2,FALSE)</f>
        <v>0</v>
      </c>
      <c r="F32" s="209">
        <f>VLOOKUP($B32,'2017'!$A$5:$Q$1425,COUNTA(Upload!$E$3:F$3)+2,FALSE)</f>
        <v>0</v>
      </c>
      <c r="G32" s="209">
        <f>VLOOKUP($B32,'2017'!$A$5:$Q$1425,COUNTA(Upload!$E$3:G$3)+2,FALSE)</f>
        <v>0</v>
      </c>
      <c r="H32" s="209">
        <f>VLOOKUP($B32,'2017'!$A$5:$Q$1425,COUNTA(Upload!$E$3:H$3)+2,FALSE)</f>
        <v>0</v>
      </c>
      <c r="I32" s="209">
        <f>VLOOKUP($B32,'2017'!$A$5:$Q$1425,COUNTA(Upload!$E$3:I$3)+2,FALSE)</f>
        <v>0</v>
      </c>
      <c r="J32" s="209">
        <f>VLOOKUP($B32,'2017'!$A$5:$Q$1425,COUNTA(Upload!$E$3:J$3)+2,FALSE)</f>
        <v>0</v>
      </c>
      <c r="K32" s="209">
        <f>VLOOKUP($B32,'2017'!$A$5:$Q$1425,COUNTA(Upload!$E$3:K$3)+2,FALSE)</f>
        <v>0</v>
      </c>
      <c r="L32" s="209">
        <f>VLOOKUP($B32,'2017'!$A$5:$Q$1425,COUNTA(Upload!$E$3:L$3)+2,FALSE)</f>
        <v>0</v>
      </c>
      <c r="M32" s="209">
        <f>VLOOKUP($B32,'2017'!$A$5:$Q$1425,COUNTA(Upload!$E$3:M$3)+2,FALSE)</f>
        <v>0</v>
      </c>
      <c r="N32" s="209">
        <f>VLOOKUP($B32,'2017'!$A$5:$Q$1425,COUNTA(Upload!$E$3:N$3)+2,FALSE)</f>
        <v>0</v>
      </c>
      <c r="O32" s="209">
        <f>VLOOKUP($B32,'2017'!$A$5:$Q$1425,COUNTA(Upload!$E$3:O$3)+2,FALSE)</f>
        <v>0</v>
      </c>
      <c r="P32" s="209">
        <f>VLOOKUP($B32,'2017'!$A$5:$Q$1425,COUNTA(Upload!$E$3:P$3)+2,FALSE)</f>
        <v>0</v>
      </c>
      <c r="S32" s="5"/>
      <c r="T32" s="161"/>
    </row>
    <row r="33" spans="1:20" s="118" customFormat="1" ht="10.5" customHeight="1">
      <c r="A33" s="207" t="s">
        <v>70</v>
      </c>
      <c r="B33" s="412" t="s">
        <v>1156</v>
      </c>
      <c r="C33" s="208" t="str">
        <f>+Setup!$B$21</f>
        <v>WC-PropName</v>
      </c>
      <c r="D33" s="208"/>
      <c r="E33" s="209">
        <f>VLOOKUP($B33,'2017'!$A$5:$Q$1425,COUNTA(Upload!$E$3:E$3)+2,FALSE)</f>
        <v>0</v>
      </c>
      <c r="F33" s="209">
        <f>VLOOKUP($B33,'2017'!$A$5:$Q$1425,COUNTA(Upload!$E$3:F$3)+2,FALSE)</f>
        <v>0</v>
      </c>
      <c r="G33" s="209">
        <f>VLOOKUP($B33,'2017'!$A$5:$Q$1425,COUNTA(Upload!$E$3:G$3)+2,FALSE)</f>
        <v>0</v>
      </c>
      <c r="H33" s="209">
        <f>VLOOKUP($B33,'2017'!$A$5:$Q$1425,COUNTA(Upload!$E$3:H$3)+2,FALSE)</f>
        <v>0</v>
      </c>
      <c r="I33" s="209">
        <f>VLOOKUP($B33,'2017'!$A$5:$Q$1425,COUNTA(Upload!$E$3:I$3)+2,FALSE)</f>
        <v>0</v>
      </c>
      <c r="J33" s="209">
        <f>VLOOKUP($B33,'2017'!$A$5:$Q$1425,COUNTA(Upload!$E$3:J$3)+2,FALSE)</f>
        <v>0</v>
      </c>
      <c r="K33" s="209">
        <f>VLOOKUP($B33,'2017'!$A$5:$Q$1425,COUNTA(Upload!$E$3:K$3)+2,FALSE)</f>
        <v>0</v>
      </c>
      <c r="L33" s="209">
        <f>VLOOKUP($B33,'2017'!$A$5:$Q$1425,COUNTA(Upload!$E$3:L$3)+2,FALSE)</f>
        <v>0</v>
      </c>
      <c r="M33" s="209">
        <f>VLOOKUP($B33,'2017'!$A$5:$Q$1425,COUNTA(Upload!$E$3:M$3)+2,FALSE)</f>
        <v>0</v>
      </c>
      <c r="N33" s="209">
        <f>VLOOKUP($B33,'2017'!$A$5:$Q$1425,COUNTA(Upload!$E$3:N$3)+2,FALSE)</f>
        <v>0</v>
      </c>
      <c r="O33" s="209">
        <f>VLOOKUP($B33,'2017'!$A$5:$Q$1425,COUNTA(Upload!$E$3:O$3)+2,FALSE)</f>
        <v>0</v>
      </c>
      <c r="P33" s="209">
        <f>VLOOKUP($B33,'2017'!$A$5:$Q$1425,COUNTA(Upload!$E$3:P$3)+2,FALSE)</f>
        <v>0</v>
      </c>
      <c r="S33" s="5"/>
      <c r="T33" s="161"/>
    </row>
    <row r="34" spans="1:20" s="118" customFormat="1" ht="10.5" customHeight="1">
      <c r="A34" s="207" t="s">
        <v>70</v>
      </c>
      <c r="B34" s="412" t="s">
        <v>1157</v>
      </c>
      <c r="C34" s="208" t="str">
        <f>+Setup!$B$21</f>
        <v>WC-PropName</v>
      </c>
      <c r="D34" s="208"/>
      <c r="E34" s="209">
        <f>VLOOKUP($B34,'2017'!$A$5:$Q$1425,COUNTA(Upload!$E$3:E$3)+2,FALSE)</f>
        <v>0</v>
      </c>
      <c r="F34" s="209">
        <f>VLOOKUP($B34,'2017'!$A$5:$Q$1425,COUNTA(Upload!$E$3:F$3)+2,FALSE)</f>
        <v>0</v>
      </c>
      <c r="G34" s="209">
        <f>VLOOKUP($B34,'2017'!$A$5:$Q$1425,COUNTA(Upload!$E$3:G$3)+2,FALSE)</f>
        <v>0</v>
      </c>
      <c r="H34" s="209">
        <f>VLOOKUP($B34,'2017'!$A$5:$Q$1425,COUNTA(Upload!$E$3:H$3)+2,FALSE)</f>
        <v>0</v>
      </c>
      <c r="I34" s="209">
        <f>VLOOKUP($B34,'2017'!$A$5:$Q$1425,COUNTA(Upload!$E$3:I$3)+2,FALSE)</f>
        <v>0</v>
      </c>
      <c r="J34" s="209">
        <f>VLOOKUP($B34,'2017'!$A$5:$Q$1425,COUNTA(Upload!$E$3:J$3)+2,FALSE)</f>
        <v>0</v>
      </c>
      <c r="K34" s="209">
        <f>VLOOKUP($B34,'2017'!$A$5:$Q$1425,COUNTA(Upload!$E$3:K$3)+2,FALSE)</f>
        <v>0</v>
      </c>
      <c r="L34" s="209">
        <f>VLOOKUP($B34,'2017'!$A$5:$Q$1425,COUNTA(Upload!$E$3:L$3)+2,FALSE)</f>
        <v>0</v>
      </c>
      <c r="M34" s="209">
        <f>VLOOKUP($B34,'2017'!$A$5:$Q$1425,COUNTA(Upload!$E$3:M$3)+2,FALSE)</f>
        <v>0</v>
      </c>
      <c r="N34" s="209">
        <f>VLOOKUP($B34,'2017'!$A$5:$Q$1425,COUNTA(Upload!$E$3:N$3)+2,FALSE)</f>
        <v>0</v>
      </c>
      <c r="O34" s="209">
        <f>VLOOKUP($B34,'2017'!$A$5:$Q$1425,COUNTA(Upload!$E$3:O$3)+2,FALSE)</f>
        <v>0</v>
      </c>
      <c r="P34" s="209">
        <f>VLOOKUP($B34,'2017'!$A$5:$Q$1425,COUNTA(Upload!$E$3:P$3)+2,FALSE)</f>
        <v>0</v>
      </c>
      <c r="S34" s="5"/>
      <c r="T34" s="161"/>
    </row>
    <row r="35" spans="1:20" s="118" customFormat="1" ht="10.5" customHeight="1">
      <c r="A35" s="207" t="s">
        <v>70</v>
      </c>
      <c r="B35" s="412" t="s">
        <v>1158</v>
      </c>
      <c r="C35" s="208" t="str">
        <f>+Setup!$B$21</f>
        <v>WC-PropName</v>
      </c>
      <c r="D35" s="208"/>
      <c r="E35" s="209">
        <f>VLOOKUP($B35,'2017'!$A$5:$Q$1425,COUNTA(Upload!$E$3:E$3)+2,FALSE)</f>
        <v>0</v>
      </c>
      <c r="F35" s="209">
        <f>VLOOKUP($B35,'2017'!$A$5:$Q$1425,COUNTA(Upload!$E$3:F$3)+2,FALSE)</f>
        <v>0</v>
      </c>
      <c r="G35" s="209">
        <f>VLOOKUP($B35,'2017'!$A$5:$Q$1425,COUNTA(Upload!$E$3:G$3)+2,FALSE)</f>
        <v>0</v>
      </c>
      <c r="H35" s="209">
        <f>VLOOKUP($B35,'2017'!$A$5:$Q$1425,COUNTA(Upload!$E$3:H$3)+2,FALSE)</f>
        <v>0</v>
      </c>
      <c r="I35" s="209">
        <f>VLOOKUP($B35,'2017'!$A$5:$Q$1425,COUNTA(Upload!$E$3:I$3)+2,FALSE)</f>
        <v>0</v>
      </c>
      <c r="J35" s="209">
        <f>VLOOKUP($B35,'2017'!$A$5:$Q$1425,COUNTA(Upload!$E$3:J$3)+2,FALSE)</f>
        <v>0</v>
      </c>
      <c r="K35" s="209">
        <f>VLOOKUP($B35,'2017'!$A$5:$Q$1425,COUNTA(Upload!$E$3:K$3)+2,FALSE)</f>
        <v>0</v>
      </c>
      <c r="L35" s="209">
        <f>VLOOKUP($B35,'2017'!$A$5:$Q$1425,COUNTA(Upload!$E$3:L$3)+2,FALSE)</f>
        <v>0</v>
      </c>
      <c r="M35" s="209">
        <f>VLOOKUP($B35,'2017'!$A$5:$Q$1425,COUNTA(Upload!$E$3:M$3)+2,FALSE)</f>
        <v>0</v>
      </c>
      <c r="N35" s="209">
        <f>VLOOKUP($B35,'2017'!$A$5:$Q$1425,COUNTA(Upload!$E$3:N$3)+2,FALSE)</f>
        <v>0</v>
      </c>
      <c r="O35" s="209">
        <f>VLOOKUP($B35,'2017'!$A$5:$Q$1425,COUNTA(Upload!$E$3:O$3)+2,FALSE)</f>
        <v>0</v>
      </c>
      <c r="P35" s="209">
        <f>VLOOKUP($B35,'2017'!$A$5:$Q$1425,COUNTA(Upload!$E$3:P$3)+2,FALSE)</f>
        <v>0</v>
      </c>
      <c r="S35" s="5"/>
      <c r="T35" s="161"/>
    </row>
    <row r="36" spans="1:20" s="118" customFormat="1" ht="10.5" customHeight="1">
      <c r="A36" s="207" t="s">
        <v>70</v>
      </c>
      <c r="B36" s="412" t="s">
        <v>1159</v>
      </c>
      <c r="C36" s="208" t="str">
        <f>+Setup!$B$21</f>
        <v>WC-PropName</v>
      </c>
      <c r="D36" s="208"/>
      <c r="E36" s="209">
        <f>VLOOKUP($B36,'2017'!$A$5:$Q$1425,COUNTA(Upload!$E$3:E$3)+2,FALSE)</f>
        <v>0</v>
      </c>
      <c r="F36" s="209">
        <f>VLOOKUP($B36,'2017'!$A$5:$Q$1425,COUNTA(Upload!$E$3:F$3)+2,FALSE)</f>
        <v>0</v>
      </c>
      <c r="G36" s="209">
        <f>VLOOKUP($B36,'2017'!$A$5:$Q$1425,COUNTA(Upload!$E$3:G$3)+2,FALSE)</f>
        <v>0</v>
      </c>
      <c r="H36" s="209">
        <f>VLOOKUP($B36,'2017'!$A$5:$Q$1425,COUNTA(Upload!$E$3:H$3)+2,FALSE)</f>
        <v>0</v>
      </c>
      <c r="I36" s="209">
        <f>VLOOKUP($B36,'2017'!$A$5:$Q$1425,COUNTA(Upload!$E$3:I$3)+2,FALSE)</f>
        <v>0</v>
      </c>
      <c r="J36" s="209">
        <f>VLOOKUP($B36,'2017'!$A$5:$Q$1425,COUNTA(Upload!$E$3:J$3)+2,FALSE)</f>
        <v>0</v>
      </c>
      <c r="K36" s="209">
        <f>VLOOKUP($B36,'2017'!$A$5:$Q$1425,COUNTA(Upload!$E$3:K$3)+2,FALSE)</f>
        <v>0</v>
      </c>
      <c r="L36" s="209">
        <f>VLOOKUP($B36,'2017'!$A$5:$Q$1425,COUNTA(Upload!$E$3:L$3)+2,FALSE)</f>
        <v>0</v>
      </c>
      <c r="M36" s="209">
        <f>VLOOKUP($B36,'2017'!$A$5:$Q$1425,COUNTA(Upload!$E$3:M$3)+2,FALSE)</f>
        <v>0</v>
      </c>
      <c r="N36" s="209">
        <f>VLOOKUP($B36,'2017'!$A$5:$Q$1425,COUNTA(Upload!$E$3:N$3)+2,FALSE)</f>
        <v>0</v>
      </c>
      <c r="O36" s="209">
        <f>VLOOKUP($B36,'2017'!$A$5:$Q$1425,COUNTA(Upload!$E$3:O$3)+2,FALSE)</f>
        <v>0</v>
      </c>
      <c r="P36" s="209">
        <f>VLOOKUP($B36,'2017'!$A$5:$Q$1425,COUNTA(Upload!$E$3:P$3)+2,FALSE)</f>
        <v>0</v>
      </c>
      <c r="S36" s="5"/>
      <c r="T36" s="161"/>
    </row>
    <row r="37" spans="1:20" s="118" customFormat="1" ht="10.5" customHeight="1">
      <c r="A37" s="207" t="s">
        <v>70</v>
      </c>
      <c r="B37" s="412" t="s">
        <v>1160</v>
      </c>
      <c r="C37" s="208" t="str">
        <f>+Setup!$B$21</f>
        <v>WC-PropName</v>
      </c>
      <c r="D37" s="208"/>
      <c r="E37" s="209">
        <f>VLOOKUP($B37,'2017'!$A$5:$Q$1425,COUNTA(Upload!$E$3:E$3)+2,FALSE)</f>
        <v>0</v>
      </c>
      <c r="F37" s="209">
        <f>VLOOKUP($B37,'2017'!$A$5:$Q$1425,COUNTA(Upload!$E$3:F$3)+2,FALSE)</f>
        <v>0</v>
      </c>
      <c r="G37" s="209">
        <f>VLOOKUP($B37,'2017'!$A$5:$Q$1425,COUNTA(Upload!$E$3:G$3)+2,FALSE)</f>
        <v>0</v>
      </c>
      <c r="H37" s="209">
        <f>VLOOKUP($B37,'2017'!$A$5:$Q$1425,COUNTA(Upload!$E$3:H$3)+2,FALSE)</f>
        <v>0</v>
      </c>
      <c r="I37" s="209">
        <f>VLOOKUP($B37,'2017'!$A$5:$Q$1425,COUNTA(Upload!$E$3:I$3)+2,FALSE)</f>
        <v>0</v>
      </c>
      <c r="J37" s="209">
        <f>VLOOKUP($B37,'2017'!$A$5:$Q$1425,COUNTA(Upload!$E$3:J$3)+2,FALSE)</f>
        <v>0</v>
      </c>
      <c r="K37" s="209">
        <f>VLOOKUP($B37,'2017'!$A$5:$Q$1425,COUNTA(Upload!$E$3:K$3)+2,FALSE)</f>
        <v>0</v>
      </c>
      <c r="L37" s="209">
        <f>VLOOKUP($B37,'2017'!$A$5:$Q$1425,COUNTA(Upload!$E$3:L$3)+2,FALSE)</f>
        <v>0</v>
      </c>
      <c r="M37" s="209">
        <f>VLOOKUP($B37,'2017'!$A$5:$Q$1425,COUNTA(Upload!$E$3:M$3)+2,FALSE)</f>
        <v>0</v>
      </c>
      <c r="N37" s="209">
        <f>VLOOKUP($B37,'2017'!$A$5:$Q$1425,COUNTA(Upload!$E$3:N$3)+2,FALSE)</f>
        <v>0</v>
      </c>
      <c r="O37" s="209">
        <f>VLOOKUP($B37,'2017'!$A$5:$Q$1425,COUNTA(Upload!$E$3:O$3)+2,FALSE)</f>
        <v>0</v>
      </c>
      <c r="P37" s="209">
        <f>VLOOKUP($B37,'2017'!$A$5:$Q$1425,COUNTA(Upload!$E$3:P$3)+2,FALSE)</f>
        <v>0</v>
      </c>
      <c r="S37" s="5"/>
      <c r="T37" s="161"/>
    </row>
    <row r="38" spans="1:20" s="118" customFormat="1" ht="10.5" customHeight="1">
      <c r="A38" s="207" t="s">
        <v>70</v>
      </c>
      <c r="B38" s="412" t="s">
        <v>1161</v>
      </c>
      <c r="C38" s="208" t="str">
        <f>+Setup!$B$21</f>
        <v>WC-PropName</v>
      </c>
      <c r="D38" s="208"/>
      <c r="E38" s="209">
        <f>VLOOKUP($B38,'2017'!$A$5:$Q$1425,COUNTA(Upload!$E$3:E$3)+2,FALSE)</f>
        <v>0</v>
      </c>
      <c r="F38" s="209">
        <f>VLOOKUP($B38,'2017'!$A$5:$Q$1425,COUNTA(Upload!$E$3:F$3)+2,FALSE)</f>
        <v>0</v>
      </c>
      <c r="G38" s="209">
        <f>VLOOKUP($B38,'2017'!$A$5:$Q$1425,COUNTA(Upload!$E$3:G$3)+2,FALSE)</f>
        <v>0</v>
      </c>
      <c r="H38" s="209">
        <f>VLOOKUP($B38,'2017'!$A$5:$Q$1425,COUNTA(Upload!$E$3:H$3)+2,FALSE)</f>
        <v>0</v>
      </c>
      <c r="I38" s="209">
        <f>VLOOKUP($B38,'2017'!$A$5:$Q$1425,COUNTA(Upload!$E$3:I$3)+2,FALSE)</f>
        <v>0</v>
      </c>
      <c r="J38" s="209">
        <f>VLOOKUP($B38,'2017'!$A$5:$Q$1425,COUNTA(Upload!$E$3:J$3)+2,FALSE)</f>
        <v>0</v>
      </c>
      <c r="K38" s="209">
        <f>VLOOKUP($B38,'2017'!$A$5:$Q$1425,COUNTA(Upload!$E$3:K$3)+2,FALSE)</f>
        <v>0</v>
      </c>
      <c r="L38" s="209">
        <f>VLOOKUP($B38,'2017'!$A$5:$Q$1425,COUNTA(Upload!$E$3:L$3)+2,FALSE)</f>
        <v>0</v>
      </c>
      <c r="M38" s="209">
        <f>VLOOKUP($B38,'2017'!$A$5:$Q$1425,COUNTA(Upload!$E$3:M$3)+2,FALSE)</f>
        <v>0</v>
      </c>
      <c r="N38" s="209">
        <f>VLOOKUP($B38,'2017'!$A$5:$Q$1425,COUNTA(Upload!$E$3:N$3)+2,FALSE)</f>
        <v>0</v>
      </c>
      <c r="O38" s="209">
        <f>VLOOKUP($B38,'2017'!$A$5:$Q$1425,COUNTA(Upload!$E$3:O$3)+2,FALSE)</f>
        <v>0</v>
      </c>
      <c r="P38" s="209">
        <f>VLOOKUP($B38,'2017'!$A$5:$Q$1425,COUNTA(Upload!$E$3:P$3)+2,FALSE)</f>
        <v>0</v>
      </c>
      <c r="S38" s="5"/>
      <c r="T38" s="161"/>
    </row>
    <row r="39" spans="1:20" s="118" customFormat="1" ht="10.5" customHeight="1">
      <c r="A39" s="207" t="s">
        <v>70</v>
      </c>
      <c r="B39" s="412" t="s">
        <v>1162</v>
      </c>
      <c r="C39" s="208" t="str">
        <f>+Setup!$B$21</f>
        <v>WC-PropName</v>
      </c>
      <c r="D39" s="208"/>
      <c r="E39" s="209">
        <f>VLOOKUP($B39,'2017'!$A$5:$Q$1425,COUNTA(Upload!$E$3:E$3)+2,FALSE)</f>
        <v>0</v>
      </c>
      <c r="F39" s="209">
        <f>VLOOKUP($B39,'2017'!$A$5:$Q$1425,COUNTA(Upload!$E$3:F$3)+2,FALSE)</f>
        <v>0</v>
      </c>
      <c r="G39" s="209">
        <f>VLOOKUP($B39,'2017'!$A$5:$Q$1425,COUNTA(Upload!$E$3:G$3)+2,FALSE)</f>
        <v>0</v>
      </c>
      <c r="H39" s="209">
        <f>VLOOKUP($B39,'2017'!$A$5:$Q$1425,COUNTA(Upload!$E$3:H$3)+2,FALSE)</f>
        <v>0</v>
      </c>
      <c r="I39" s="209">
        <f>VLOOKUP($B39,'2017'!$A$5:$Q$1425,COUNTA(Upload!$E$3:I$3)+2,FALSE)</f>
        <v>0</v>
      </c>
      <c r="J39" s="209">
        <f>VLOOKUP($B39,'2017'!$A$5:$Q$1425,COUNTA(Upload!$E$3:J$3)+2,FALSE)</f>
        <v>0</v>
      </c>
      <c r="K39" s="209">
        <f>VLOOKUP($B39,'2017'!$A$5:$Q$1425,COUNTA(Upload!$E$3:K$3)+2,FALSE)</f>
        <v>0</v>
      </c>
      <c r="L39" s="209">
        <f>VLOOKUP($B39,'2017'!$A$5:$Q$1425,COUNTA(Upload!$E$3:L$3)+2,FALSE)</f>
        <v>0</v>
      </c>
      <c r="M39" s="209">
        <f>VLOOKUP($B39,'2017'!$A$5:$Q$1425,COUNTA(Upload!$E$3:M$3)+2,FALSE)</f>
        <v>0</v>
      </c>
      <c r="N39" s="209">
        <f>VLOOKUP($B39,'2017'!$A$5:$Q$1425,COUNTA(Upload!$E$3:N$3)+2,FALSE)</f>
        <v>0</v>
      </c>
      <c r="O39" s="209">
        <f>VLOOKUP($B39,'2017'!$A$5:$Q$1425,COUNTA(Upload!$E$3:O$3)+2,FALSE)</f>
        <v>0</v>
      </c>
      <c r="P39" s="209">
        <f>VLOOKUP($B39,'2017'!$A$5:$Q$1425,COUNTA(Upload!$E$3:P$3)+2,FALSE)</f>
        <v>0</v>
      </c>
      <c r="S39" s="5"/>
      <c r="T39" s="161"/>
    </row>
    <row r="40" spans="1:20" s="118" customFormat="1" ht="10.5" customHeight="1">
      <c r="A40" s="207" t="s">
        <v>70</v>
      </c>
      <c r="B40" s="412" t="s">
        <v>1163</v>
      </c>
      <c r="C40" s="208" t="str">
        <f>+Setup!$B$21</f>
        <v>WC-PropName</v>
      </c>
      <c r="D40" s="208"/>
      <c r="E40" s="209">
        <f>VLOOKUP($B40,'2017'!$A$5:$Q$1425,COUNTA(Upload!$E$3:E$3)+2,FALSE)</f>
        <v>0</v>
      </c>
      <c r="F40" s="209">
        <f>VLOOKUP($B40,'2017'!$A$5:$Q$1425,COUNTA(Upload!$E$3:F$3)+2,FALSE)</f>
        <v>0</v>
      </c>
      <c r="G40" s="209">
        <f>VLOOKUP($B40,'2017'!$A$5:$Q$1425,COUNTA(Upload!$E$3:G$3)+2,FALSE)</f>
        <v>0</v>
      </c>
      <c r="H40" s="209">
        <f>VLOOKUP($B40,'2017'!$A$5:$Q$1425,COUNTA(Upload!$E$3:H$3)+2,FALSE)</f>
        <v>0</v>
      </c>
      <c r="I40" s="209">
        <f>VLOOKUP($B40,'2017'!$A$5:$Q$1425,COUNTA(Upload!$E$3:I$3)+2,FALSE)</f>
        <v>0</v>
      </c>
      <c r="J40" s="209">
        <f>VLOOKUP($B40,'2017'!$A$5:$Q$1425,COUNTA(Upload!$E$3:J$3)+2,FALSE)</f>
        <v>0</v>
      </c>
      <c r="K40" s="209">
        <f>VLOOKUP($B40,'2017'!$A$5:$Q$1425,COUNTA(Upload!$E$3:K$3)+2,FALSE)</f>
        <v>0</v>
      </c>
      <c r="L40" s="209">
        <f>VLOOKUP($B40,'2017'!$A$5:$Q$1425,COUNTA(Upload!$E$3:L$3)+2,FALSE)</f>
        <v>0</v>
      </c>
      <c r="M40" s="209">
        <f>VLOOKUP($B40,'2017'!$A$5:$Q$1425,COUNTA(Upload!$E$3:M$3)+2,FALSE)</f>
        <v>0</v>
      </c>
      <c r="N40" s="209">
        <f>VLOOKUP($B40,'2017'!$A$5:$Q$1425,COUNTA(Upload!$E$3:N$3)+2,FALSE)</f>
        <v>0</v>
      </c>
      <c r="O40" s="209">
        <f>VLOOKUP($B40,'2017'!$A$5:$Q$1425,COUNTA(Upload!$E$3:O$3)+2,FALSE)</f>
        <v>0</v>
      </c>
      <c r="P40" s="209">
        <f>VLOOKUP($B40,'2017'!$A$5:$Q$1425,COUNTA(Upload!$E$3:P$3)+2,FALSE)</f>
        <v>0</v>
      </c>
      <c r="S40" s="5"/>
      <c r="T40" s="161"/>
    </row>
    <row r="41" spans="1:20" s="118" customFormat="1" ht="10.5" customHeight="1">
      <c r="A41" s="207" t="s">
        <v>70</v>
      </c>
      <c r="B41" s="412" t="s">
        <v>1164</v>
      </c>
      <c r="C41" s="208" t="str">
        <f>+Setup!$B$21</f>
        <v>WC-PropName</v>
      </c>
      <c r="D41" s="208"/>
      <c r="E41" s="209">
        <f>VLOOKUP($B41,'2017'!$A$5:$Q$1425,COUNTA(Upload!$E$3:E$3)+2,FALSE)</f>
        <v>0</v>
      </c>
      <c r="F41" s="209">
        <f>VLOOKUP($B41,'2017'!$A$5:$Q$1425,COUNTA(Upload!$E$3:F$3)+2,FALSE)</f>
        <v>0</v>
      </c>
      <c r="G41" s="209">
        <f>VLOOKUP($B41,'2017'!$A$5:$Q$1425,COUNTA(Upload!$E$3:G$3)+2,FALSE)</f>
        <v>0</v>
      </c>
      <c r="H41" s="209">
        <f>VLOOKUP($B41,'2017'!$A$5:$Q$1425,COUNTA(Upload!$E$3:H$3)+2,FALSE)</f>
        <v>0</v>
      </c>
      <c r="I41" s="209">
        <f>VLOOKUP($B41,'2017'!$A$5:$Q$1425,COUNTA(Upload!$E$3:I$3)+2,FALSE)</f>
        <v>0</v>
      </c>
      <c r="J41" s="209">
        <f>VLOOKUP($B41,'2017'!$A$5:$Q$1425,COUNTA(Upload!$E$3:J$3)+2,FALSE)</f>
        <v>0</v>
      </c>
      <c r="K41" s="209">
        <f>VLOOKUP($B41,'2017'!$A$5:$Q$1425,COUNTA(Upload!$E$3:K$3)+2,FALSE)</f>
        <v>0</v>
      </c>
      <c r="L41" s="209">
        <f>VLOOKUP($B41,'2017'!$A$5:$Q$1425,COUNTA(Upload!$E$3:L$3)+2,FALSE)</f>
        <v>0</v>
      </c>
      <c r="M41" s="209">
        <f>VLOOKUP($B41,'2017'!$A$5:$Q$1425,COUNTA(Upload!$E$3:M$3)+2,FALSE)</f>
        <v>0</v>
      </c>
      <c r="N41" s="209">
        <f>VLOOKUP($B41,'2017'!$A$5:$Q$1425,COUNTA(Upload!$E$3:N$3)+2,FALSE)</f>
        <v>0</v>
      </c>
      <c r="O41" s="209">
        <f>VLOOKUP($B41,'2017'!$A$5:$Q$1425,COUNTA(Upload!$E$3:O$3)+2,FALSE)</f>
        <v>0</v>
      </c>
      <c r="P41" s="209">
        <f>VLOOKUP($B41,'2017'!$A$5:$Q$1425,COUNTA(Upload!$E$3:P$3)+2,FALSE)</f>
        <v>0</v>
      </c>
      <c r="S41" s="5"/>
      <c r="T41" s="161"/>
    </row>
    <row r="42" spans="1:20" s="118" customFormat="1" ht="10.5" customHeight="1">
      <c r="A42" s="207" t="s">
        <v>70</v>
      </c>
      <c r="B42" s="412" t="s">
        <v>1165</v>
      </c>
      <c r="C42" s="208" t="str">
        <f>+Setup!$B$21</f>
        <v>WC-PropName</v>
      </c>
      <c r="D42" s="208"/>
      <c r="E42" s="209">
        <f>VLOOKUP($B42,'2017'!$A$5:$Q$1425,COUNTA(Upload!$E$3:E$3)+2,FALSE)</f>
        <v>1680.6666666666667</v>
      </c>
      <c r="F42" s="209">
        <f>VLOOKUP($B42,'2017'!$A$5:$Q$1425,COUNTA(Upload!$E$3:F$3)+2,FALSE)</f>
        <v>1680.6666666666667</v>
      </c>
      <c r="G42" s="209">
        <f>VLOOKUP($B42,'2017'!$A$5:$Q$1425,COUNTA(Upload!$E$3:G$3)+2,FALSE)</f>
        <v>1680.6666666666667</v>
      </c>
      <c r="H42" s="209">
        <f>VLOOKUP($B42,'2017'!$A$5:$Q$1425,COUNTA(Upload!$E$3:H$3)+2,FALSE)</f>
        <v>1680.6666666666667</v>
      </c>
      <c r="I42" s="209">
        <f>VLOOKUP($B42,'2017'!$A$5:$Q$1425,COUNTA(Upload!$E$3:I$3)+2,FALSE)</f>
        <v>1680.6666666666667</v>
      </c>
      <c r="J42" s="209">
        <f>VLOOKUP($B42,'2017'!$A$5:$Q$1425,COUNTA(Upload!$E$3:J$3)+2,FALSE)</f>
        <v>1680.6666666666667</v>
      </c>
      <c r="K42" s="209">
        <f>VLOOKUP($B42,'2017'!$A$5:$Q$1425,COUNTA(Upload!$E$3:K$3)+2,FALSE)</f>
        <v>1680.6666666666667</v>
      </c>
      <c r="L42" s="209">
        <f>VLOOKUP($B42,'2017'!$A$5:$Q$1425,COUNTA(Upload!$E$3:L$3)+2,FALSE)</f>
        <v>1680.6666666666667</v>
      </c>
      <c r="M42" s="209">
        <f>VLOOKUP($B42,'2017'!$A$5:$Q$1425,COUNTA(Upload!$E$3:M$3)+2,FALSE)</f>
        <v>1680.6666666666667</v>
      </c>
      <c r="N42" s="209">
        <f>VLOOKUP($B42,'2017'!$A$5:$Q$1425,COUNTA(Upload!$E$3:N$3)+2,FALSE)</f>
        <v>1680.6666666666667</v>
      </c>
      <c r="O42" s="209">
        <f>VLOOKUP($B42,'2017'!$A$5:$Q$1425,COUNTA(Upload!$E$3:O$3)+2,FALSE)</f>
        <v>1680.6666666666667</v>
      </c>
      <c r="P42" s="209">
        <f>VLOOKUP($B42,'2017'!$A$5:$Q$1425,COUNTA(Upload!$E$3:P$3)+2,FALSE)</f>
        <v>1680.6666666666667</v>
      </c>
      <c r="S42" s="5"/>
      <c r="T42" s="161"/>
    </row>
    <row r="43" spans="1:20" s="118" customFormat="1" ht="10.5" customHeight="1">
      <c r="A43" s="207" t="s">
        <v>70</v>
      </c>
      <c r="B43" s="412" t="s">
        <v>1167</v>
      </c>
      <c r="C43" s="208" t="str">
        <f>+Setup!$B$21</f>
        <v>WC-PropName</v>
      </c>
      <c r="D43" s="208"/>
      <c r="E43" s="209">
        <f>VLOOKUP($B43,'2017'!$A$5:$Q$1425,COUNTA(Upload!$E$3:E$3)+2,FALSE)</f>
        <v>0</v>
      </c>
      <c r="F43" s="209">
        <f>VLOOKUP($B43,'2017'!$A$5:$Q$1425,COUNTA(Upload!$E$3:F$3)+2,FALSE)</f>
        <v>0</v>
      </c>
      <c r="G43" s="209">
        <f>VLOOKUP($B43,'2017'!$A$5:$Q$1425,COUNTA(Upload!$E$3:G$3)+2,FALSE)</f>
        <v>0</v>
      </c>
      <c r="H43" s="209">
        <f>VLOOKUP($B43,'2017'!$A$5:$Q$1425,COUNTA(Upload!$E$3:H$3)+2,FALSE)</f>
        <v>0</v>
      </c>
      <c r="I43" s="209">
        <f>VLOOKUP($B43,'2017'!$A$5:$Q$1425,COUNTA(Upload!$E$3:I$3)+2,FALSE)</f>
        <v>0</v>
      </c>
      <c r="J43" s="209">
        <f>VLOOKUP($B43,'2017'!$A$5:$Q$1425,COUNTA(Upload!$E$3:J$3)+2,FALSE)</f>
        <v>0</v>
      </c>
      <c r="K43" s="209">
        <f>VLOOKUP($B43,'2017'!$A$5:$Q$1425,COUNTA(Upload!$E$3:K$3)+2,FALSE)</f>
        <v>0</v>
      </c>
      <c r="L43" s="209">
        <f>VLOOKUP($B43,'2017'!$A$5:$Q$1425,COUNTA(Upload!$E$3:L$3)+2,FALSE)</f>
        <v>0</v>
      </c>
      <c r="M43" s="209">
        <f>VLOOKUP($B43,'2017'!$A$5:$Q$1425,COUNTA(Upload!$E$3:M$3)+2,FALSE)</f>
        <v>0</v>
      </c>
      <c r="N43" s="209">
        <f>VLOOKUP($B43,'2017'!$A$5:$Q$1425,COUNTA(Upload!$E$3:N$3)+2,FALSE)</f>
        <v>0</v>
      </c>
      <c r="O43" s="209">
        <f>VLOOKUP($B43,'2017'!$A$5:$Q$1425,COUNTA(Upload!$E$3:O$3)+2,FALSE)</f>
        <v>0</v>
      </c>
      <c r="P43" s="209">
        <f>VLOOKUP($B43,'2017'!$A$5:$Q$1425,COUNTA(Upload!$E$3:P$3)+2,FALSE)</f>
        <v>0</v>
      </c>
      <c r="S43" s="5"/>
      <c r="T43" s="161"/>
    </row>
    <row r="44" spans="1:20" s="118" customFormat="1" ht="10.5" customHeight="1">
      <c r="A44" s="207" t="s">
        <v>70</v>
      </c>
      <c r="B44" s="412" t="s">
        <v>1168</v>
      </c>
      <c r="C44" s="208" t="str">
        <f>+Setup!$B$21</f>
        <v>WC-PropName</v>
      </c>
      <c r="D44" s="208"/>
      <c r="E44" s="209">
        <f>VLOOKUP($B44,'2017'!$A$5:$Q$1425,COUNTA(Upload!$E$3:E$3)+2,FALSE)</f>
        <v>979.41666666666663</v>
      </c>
      <c r="F44" s="209">
        <f>VLOOKUP($B44,'2017'!$A$5:$Q$1425,COUNTA(Upload!$E$3:F$3)+2,FALSE)</f>
        <v>979.41666666666663</v>
      </c>
      <c r="G44" s="209">
        <f>VLOOKUP($B44,'2017'!$A$5:$Q$1425,COUNTA(Upload!$E$3:G$3)+2,FALSE)</f>
        <v>979.41666666666663</v>
      </c>
      <c r="H44" s="209">
        <f>VLOOKUP($B44,'2017'!$A$5:$Q$1425,COUNTA(Upload!$E$3:H$3)+2,FALSE)</f>
        <v>979.41666666666663</v>
      </c>
      <c r="I44" s="209">
        <f>VLOOKUP($B44,'2017'!$A$5:$Q$1425,COUNTA(Upload!$E$3:I$3)+2,FALSE)</f>
        <v>979.41666666666663</v>
      </c>
      <c r="J44" s="209">
        <f>VLOOKUP($B44,'2017'!$A$5:$Q$1425,COUNTA(Upload!$E$3:J$3)+2,FALSE)</f>
        <v>979.41666666666663</v>
      </c>
      <c r="K44" s="209">
        <f>VLOOKUP($B44,'2017'!$A$5:$Q$1425,COUNTA(Upload!$E$3:K$3)+2,FALSE)</f>
        <v>979.41666666666663</v>
      </c>
      <c r="L44" s="209">
        <f>VLOOKUP($B44,'2017'!$A$5:$Q$1425,COUNTA(Upload!$E$3:L$3)+2,FALSE)</f>
        <v>979.41666666666663</v>
      </c>
      <c r="M44" s="209">
        <f>VLOOKUP($B44,'2017'!$A$5:$Q$1425,COUNTA(Upload!$E$3:M$3)+2,FALSE)</f>
        <v>979.41666666666663</v>
      </c>
      <c r="N44" s="209">
        <f>VLOOKUP($B44,'2017'!$A$5:$Q$1425,COUNTA(Upload!$E$3:N$3)+2,FALSE)</f>
        <v>979.41666666666663</v>
      </c>
      <c r="O44" s="209">
        <f>VLOOKUP($B44,'2017'!$A$5:$Q$1425,COUNTA(Upload!$E$3:O$3)+2,FALSE)</f>
        <v>979.41666666666663</v>
      </c>
      <c r="P44" s="209">
        <f>VLOOKUP($B44,'2017'!$A$5:$Q$1425,COUNTA(Upload!$E$3:P$3)+2,FALSE)</f>
        <v>979.41666666666663</v>
      </c>
      <c r="S44" s="5"/>
      <c r="T44" s="161"/>
    </row>
    <row r="45" spans="1:20" s="118" customFormat="1" ht="10.5" customHeight="1">
      <c r="A45" s="207" t="s">
        <v>70</v>
      </c>
      <c r="B45" s="412" t="s">
        <v>1170</v>
      </c>
      <c r="C45" s="208" t="str">
        <f>+Setup!$B$21</f>
        <v>WC-PropName</v>
      </c>
      <c r="D45" s="208"/>
      <c r="E45" s="209">
        <f>VLOOKUP($B45,'2017'!$A$5:$Q$1425,COUNTA(Upload!$E$3:E$3)+2,FALSE)</f>
        <v>189.5</v>
      </c>
      <c r="F45" s="209">
        <f>VLOOKUP($B45,'2017'!$A$5:$Q$1425,COUNTA(Upload!$E$3:F$3)+2,FALSE)</f>
        <v>189.5</v>
      </c>
      <c r="G45" s="209">
        <f>VLOOKUP($B45,'2017'!$A$5:$Q$1425,COUNTA(Upload!$E$3:G$3)+2,FALSE)</f>
        <v>189.5</v>
      </c>
      <c r="H45" s="209">
        <f>VLOOKUP($B45,'2017'!$A$5:$Q$1425,COUNTA(Upload!$E$3:H$3)+2,FALSE)</f>
        <v>189.5</v>
      </c>
      <c r="I45" s="209">
        <f>VLOOKUP($B45,'2017'!$A$5:$Q$1425,COUNTA(Upload!$E$3:I$3)+2,FALSE)</f>
        <v>189.5</v>
      </c>
      <c r="J45" s="209">
        <f>VLOOKUP($B45,'2017'!$A$5:$Q$1425,COUNTA(Upload!$E$3:J$3)+2,FALSE)</f>
        <v>189.5</v>
      </c>
      <c r="K45" s="209">
        <f>VLOOKUP($B45,'2017'!$A$5:$Q$1425,COUNTA(Upload!$E$3:K$3)+2,FALSE)</f>
        <v>189.5</v>
      </c>
      <c r="L45" s="209">
        <f>VLOOKUP($B45,'2017'!$A$5:$Q$1425,COUNTA(Upload!$E$3:L$3)+2,FALSE)</f>
        <v>189.5</v>
      </c>
      <c r="M45" s="209">
        <f>VLOOKUP($B45,'2017'!$A$5:$Q$1425,COUNTA(Upload!$E$3:M$3)+2,FALSE)</f>
        <v>189.5</v>
      </c>
      <c r="N45" s="209">
        <f>VLOOKUP($B45,'2017'!$A$5:$Q$1425,COUNTA(Upload!$E$3:N$3)+2,FALSE)</f>
        <v>189.5</v>
      </c>
      <c r="O45" s="209">
        <f>VLOOKUP($B45,'2017'!$A$5:$Q$1425,COUNTA(Upload!$E$3:O$3)+2,FALSE)</f>
        <v>189.5</v>
      </c>
      <c r="P45" s="209">
        <f>VLOOKUP($B45,'2017'!$A$5:$Q$1425,COUNTA(Upload!$E$3:P$3)+2,FALSE)</f>
        <v>189.5</v>
      </c>
      <c r="S45" s="5"/>
      <c r="T45" s="161"/>
    </row>
    <row r="46" spans="1:20" s="118" customFormat="1" ht="10.5" customHeight="1">
      <c r="A46" s="207" t="s">
        <v>70</v>
      </c>
      <c r="B46" s="412" t="s">
        <v>1172</v>
      </c>
      <c r="C46" s="208" t="str">
        <f>+Setup!$B$21</f>
        <v>WC-PropName</v>
      </c>
      <c r="D46" s="208"/>
      <c r="E46" s="209">
        <f>VLOOKUP($B46,'2017'!$A$5:$Q$1425,COUNTA(Upload!$E$3:E$3)+2,FALSE)</f>
        <v>0</v>
      </c>
      <c r="F46" s="209">
        <f>VLOOKUP($B46,'2017'!$A$5:$Q$1425,COUNTA(Upload!$E$3:F$3)+2,FALSE)</f>
        <v>0</v>
      </c>
      <c r="G46" s="209">
        <f>VLOOKUP($B46,'2017'!$A$5:$Q$1425,COUNTA(Upload!$E$3:G$3)+2,FALSE)</f>
        <v>0</v>
      </c>
      <c r="H46" s="209">
        <f>VLOOKUP($B46,'2017'!$A$5:$Q$1425,COUNTA(Upload!$E$3:H$3)+2,FALSE)</f>
        <v>0</v>
      </c>
      <c r="I46" s="209">
        <f>VLOOKUP($B46,'2017'!$A$5:$Q$1425,COUNTA(Upload!$E$3:I$3)+2,FALSE)</f>
        <v>0</v>
      </c>
      <c r="J46" s="209">
        <f>VLOOKUP($B46,'2017'!$A$5:$Q$1425,COUNTA(Upload!$E$3:J$3)+2,FALSE)</f>
        <v>0</v>
      </c>
      <c r="K46" s="209">
        <f>VLOOKUP($B46,'2017'!$A$5:$Q$1425,COUNTA(Upload!$E$3:K$3)+2,FALSE)</f>
        <v>0</v>
      </c>
      <c r="L46" s="209">
        <f>VLOOKUP($B46,'2017'!$A$5:$Q$1425,COUNTA(Upload!$E$3:L$3)+2,FALSE)</f>
        <v>0</v>
      </c>
      <c r="M46" s="209">
        <f>VLOOKUP($B46,'2017'!$A$5:$Q$1425,COUNTA(Upload!$E$3:M$3)+2,FALSE)</f>
        <v>0</v>
      </c>
      <c r="N46" s="209">
        <f>VLOOKUP($B46,'2017'!$A$5:$Q$1425,COUNTA(Upload!$E$3:N$3)+2,FALSE)</f>
        <v>0</v>
      </c>
      <c r="O46" s="209">
        <f>VLOOKUP($B46,'2017'!$A$5:$Q$1425,COUNTA(Upload!$E$3:O$3)+2,FALSE)</f>
        <v>0</v>
      </c>
      <c r="P46" s="209">
        <f>VLOOKUP($B46,'2017'!$A$5:$Q$1425,COUNTA(Upload!$E$3:P$3)+2,FALSE)</f>
        <v>0</v>
      </c>
      <c r="S46" s="5"/>
      <c r="T46" s="161"/>
    </row>
    <row r="47" spans="1:20" s="118" customFormat="1" ht="10.5" customHeight="1">
      <c r="A47" s="207" t="s">
        <v>70</v>
      </c>
      <c r="B47" s="412" t="s">
        <v>1173</v>
      </c>
      <c r="C47" s="208" t="str">
        <f>+Setup!$B$21</f>
        <v>WC-PropName</v>
      </c>
      <c r="D47" s="208"/>
      <c r="E47" s="209">
        <f>VLOOKUP($B47,'2017'!$A$5:$Q$1425,COUNTA(Upload!$E$3:E$3)+2,FALSE)</f>
        <v>0</v>
      </c>
      <c r="F47" s="209">
        <f>VLOOKUP($B47,'2017'!$A$5:$Q$1425,COUNTA(Upload!$E$3:F$3)+2,FALSE)</f>
        <v>0</v>
      </c>
      <c r="G47" s="209">
        <f>VLOOKUP($B47,'2017'!$A$5:$Q$1425,COUNTA(Upload!$E$3:G$3)+2,FALSE)</f>
        <v>0</v>
      </c>
      <c r="H47" s="209">
        <f>VLOOKUP($B47,'2017'!$A$5:$Q$1425,COUNTA(Upload!$E$3:H$3)+2,FALSE)</f>
        <v>0</v>
      </c>
      <c r="I47" s="209">
        <f>VLOOKUP($B47,'2017'!$A$5:$Q$1425,COUNTA(Upload!$E$3:I$3)+2,FALSE)</f>
        <v>0</v>
      </c>
      <c r="J47" s="209">
        <f>VLOOKUP($B47,'2017'!$A$5:$Q$1425,COUNTA(Upload!$E$3:J$3)+2,FALSE)</f>
        <v>0</v>
      </c>
      <c r="K47" s="209">
        <f>VLOOKUP($B47,'2017'!$A$5:$Q$1425,COUNTA(Upload!$E$3:K$3)+2,FALSE)</f>
        <v>0</v>
      </c>
      <c r="L47" s="209">
        <f>VLOOKUP($B47,'2017'!$A$5:$Q$1425,COUNTA(Upload!$E$3:L$3)+2,FALSE)</f>
        <v>0</v>
      </c>
      <c r="M47" s="209">
        <f>VLOOKUP($B47,'2017'!$A$5:$Q$1425,COUNTA(Upload!$E$3:M$3)+2,FALSE)</f>
        <v>0</v>
      </c>
      <c r="N47" s="209">
        <f>VLOOKUP($B47,'2017'!$A$5:$Q$1425,COUNTA(Upload!$E$3:N$3)+2,FALSE)</f>
        <v>0</v>
      </c>
      <c r="O47" s="209">
        <f>VLOOKUP($B47,'2017'!$A$5:$Q$1425,COUNTA(Upload!$E$3:O$3)+2,FALSE)</f>
        <v>0</v>
      </c>
      <c r="P47" s="209">
        <f>VLOOKUP($B47,'2017'!$A$5:$Q$1425,COUNTA(Upload!$E$3:P$3)+2,FALSE)</f>
        <v>0</v>
      </c>
      <c r="S47" s="5"/>
      <c r="T47" s="161"/>
    </row>
    <row r="48" spans="1:20" s="118" customFormat="1" ht="10.5" customHeight="1">
      <c r="A48" s="207" t="s">
        <v>70</v>
      </c>
      <c r="B48" s="412" t="s">
        <v>1174</v>
      </c>
      <c r="C48" s="208" t="str">
        <f>+Setup!$B$21</f>
        <v>WC-PropName</v>
      </c>
      <c r="D48" s="208"/>
      <c r="E48" s="209">
        <f>VLOOKUP($B48,'2017'!$A$5:$Q$1425,COUNTA(Upload!$E$3:E$3)+2,FALSE)</f>
        <v>0</v>
      </c>
      <c r="F48" s="209">
        <f>VLOOKUP($B48,'2017'!$A$5:$Q$1425,COUNTA(Upload!$E$3:F$3)+2,FALSE)</f>
        <v>0</v>
      </c>
      <c r="G48" s="209">
        <f>VLOOKUP($B48,'2017'!$A$5:$Q$1425,COUNTA(Upload!$E$3:G$3)+2,FALSE)</f>
        <v>0</v>
      </c>
      <c r="H48" s="209">
        <f>VLOOKUP($B48,'2017'!$A$5:$Q$1425,COUNTA(Upload!$E$3:H$3)+2,FALSE)</f>
        <v>0</v>
      </c>
      <c r="I48" s="209">
        <f>VLOOKUP($B48,'2017'!$A$5:$Q$1425,COUNTA(Upload!$E$3:I$3)+2,FALSE)</f>
        <v>0</v>
      </c>
      <c r="J48" s="209">
        <f>VLOOKUP($B48,'2017'!$A$5:$Q$1425,COUNTA(Upload!$E$3:J$3)+2,FALSE)</f>
        <v>0</v>
      </c>
      <c r="K48" s="209">
        <f>VLOOKUP($B48,'2017'!$A$5:$Q$1425,COUNTA(Upload!$E$3:K$3)+2,FALSE)</f>
        <v>0</v>
      </c>
      <c r="L48" s="209">
        <f>VLOOKUP($B48,'2017'!$A$5:$Q$1425,COUNTA(Upload!$E$3:L$3)+2,FALSE)</f>
        <v>0</v>
      </c>
      <c r="M48" s="209">
        <f>VLOOKUP($B48,'2017'!$A$5:$Q$1425,COUNTA(Upload!$E$3:M$3)+2,FALSE)</f>
        <v>0</v>
      </c>
      <c r="N48" s="209">
        <f>VLOOKUP($B48,'2017'!$A$5:$Q$1425,COUNTA(Upload!$E$3:N$3)+2,FALSE)</f>
        <v>0</v>
      </c>
      <c r="O48" s="209">
        <f>VLOOKUP($B48,'2017'!$A$5:$Q$1425,COUNTA(Upload!$E$3:O$3)+2,FALSE)</f>
        <v>0</v>
      </c>
      <c r="P48" s="209">
        <f>VLOOKUP($B48,'2017'!$A$5:$Q$1425,COUNTA(Upload!$E$3:P$3)+2,FALSE)</f>
        <v>0</v>
      </c>
      <c r="S48" s="5"/>
      <c r="T48" s="161"/>
    </row>
    <row r="49" spans="1:20" s="118" customFormat="1" ht="10.5" customHeight="1">
      <c r="A49" s="207" t="s">
        <v>70</v>
      </c>
      <c r="B49" s="412" t="s">
        <v>1175</v>
      </c>
      <c r="C49" s="208" t="str">
        <f>+Setup!$B$21</f>
        <v>WC-PropName</v>
      </c>
      <c r="D49" s="208"/>
      <c r="E49" s="209">
        <f>VLOOKUP($B49,'2017'!$A$5:$Q$1425,COUNTA(Upload!$E$3:E$3)+2,FALSE)</f>
        <v>2279.3333333333335</v>
      </c>
      <c r="F49" s="209">
        <f>VLOOKUP($B49,'2017'!$A$5:$Q$1425,COUNTA(Upload!$E$3:F$3)+2,FALSE)</f>
        <v>2279.3333333333335</v>
      </c>
      <c r="G49" s="209">
        <f>VLOOKUP($B49,'2017'!$A$5:$Q$1425,COUNTA(Upload!$E$3:G$3)+2,FALSE)</f>
        <v>2279.3333333333335</v>
      </c>
      <c r="H49" s="209">
        <f>VLOOKUP($B49,'2017'!$A$5:$Q$1425,COUNTA(Upload!$E$3:H$3)+2,FALSE)</f>
        <v>2279.3333333333335</v>
      </c>
      <c r="I49" s="209">
        <f>VLOOKUP($B49,'2017'!$A$5:$Q$1425,COUNTA(Upload!$E$3:I$3)+2,FALSE)</f>
        <v>2279.3333333333335</v>
      </c>
      <c r="J49" s="209">
        <f>VLOOKUP($B49,'2017'!$A$5:$Q$1425,COUNTA(Upload!$E$3:J$3)+2,FALSE)</f>
        <v>2279.3333333333335</v>
      </c>
      <c r="K49" s="209">
        <f>VLOOKUP($B49,'2017'!$A$5:$Q$1425,COUNTA(Upload!$E$3:K$3)+2,FALSE)</f>
        <v>2279.3333333333335</v>
      </c>
      <c r="L49" s="209">
        <f>VLOOKUP($B49,'2017'!$A$5:$Q$1425,COUNTA(Upload!$E$3:L$3)+2,FALSE)</f>
        <v>2279.3333333333335</v>
      </c>
      <c r="M49" s="209">
        <f>VLOOKUP($B49,'2017'!$A$5:$Q$1425,COUNTA(Upload!$E$3:M$3)+2,FALSE)</f>
        <v>2279.3333333333335</v>
      </c>
      <c r="N49" s="209">
        <f>VLOOKUP($B49,'2017'!$A$5:$Q$1425,COUNTA(Upload!$E$3:N$3)+2,FALSE)</f>
        <v>2279.3333333333335</v>
      </c>
      <c r="O49" s="209">
        <f>VLOOKUP($B49,'2017'!$A$5:$Q$1425,COUNTA(Upload!$E$3:O$3)+2,FALSE)</f>
        <v>2279.3333333333335</v>
      </c>
      <c r="P49" s="209">
        <f>VLOOKUP($B49,'2017'!$A$5:$Q$1425,COUNTA(Upload!$E$3:P$3)+2,FALSE)</f>
        <v>2279.3333333333335</v>
      </c>
      <c r="S49" s="5"/>
      <c r="T49" s="161"/>
    </row>
    <row r="50" spans="1:20" s="118" customFormat="1" ht="10.5" customHeight="1">
      <c r="A50" s="207" t="s">
        <v>70</v>
      </c>
      <c r="B50" s="412" t="s">
        <v>1177</v>
      </c>
      <c r="C50" s="208" t="str">
        <f>+Setup!$B$21</f>
        <v>WC-PropName</v>
      </c>
      <c r="D50" s="208"/>
      <c r="E50" s="209">
        <f>VLOOKUP($B50,'2017'!$A$5:$Q$1425,COUNTA(Upload!$E$3:E$3)+2,FALSE)</f>
        <v>0</v>
      </c>
      <c r="F50" s="209">
        <f>VLOOKUP($B50,'2017'!$A$5:$Q$1425,COUNTA(Upload!$E$3:F$3)+2,FALSE)</f>
        <v>0</v>
      </c>
      <c r="G50" s="209">
        <f>VLOOKUP($B50,'2017'!$A$5:$Q$1425,COUNTA(Upload!$E$3:G$3)+2,FALSE)</f>
        <v>0</v>
      </c>
      <c r="H50" s="209">
        <f>VLOOKUP($B50,'2017'!$A$5:$Q$1425,COUNTA(Upload!$E$3:H$3)+2,FALSE)</f>
        <v>0</v>
      </c>
      <c r="I50" s="209">
        <f>VLOOKUP($B50,'2017'!$A$5:$Q$1425,COUNTA(Upload!$E$3:I$3)+2,FALSE)</f>
        <v>0</v>
      </c>
      <c r="J50" s="209">
        <f>VLOOKUP($B50,'2017'!$A$5:$Q$1425,COUNTA(Upload!$E$3:J$3)+2,FALSE)</f>
        <v>0</v>
      </c>
      <c r="K50" s="209">
        <f>VLOOKUP($B50,'2017'!$A$5:$Q$1425,COUNTA(Upload!$E$3:K$3)+2,FALSE)</f>
        <v>0</v>
      </c>
      <c r="L50" s="209">
        <f>VLOOKUP($B50,'2017'!$A$5:$Q$1425,COUNTA(Upload!$E$3:L$3)+2,FALSE)</f>
        <v>0</v>
      </c>
      <c r="M50" s="209">
        <f>VLOOKUP($B50,'2017'!$A$5:$Q$1425,COUNTA(Upload!$E$3:M$3)+2,FALSE)</f>
        <v>0</v>
      </c>
      <c r="N50" s="209">
        <f>VLOOKUP($B50,'2017'!$A$5:$Q$1425,COUNTA(Upload!$E$3:N$3)+2,FALSE)</f>
        <v>0</v>
      </c>
      <c r="O50" s="209">
        <f>VLOOKUP($B50,'2017'!$A$5:$Q$1425,COUNTA(Upload!$E$3:O$3)+2,FALSE)</f>
        <v>0</v>
      </c>
      <c r="P50" s="209">
        <f>VLOOKUP($B50,'2017'!$A$5:$Q$1425,COUNTA(Upload!$E$3:P$3)+2,FALSE)</f>
        <v>0</v>
      </c>
      <c r="S50" s="5"/>
      <c r="T50" s="161"/>
    </row>
    <row r="51" spans="1:20" s="118" customFormat="1" ht="10.5" customHeight="1">
      <c r="A51" s="207" t="s">
        <v>70</v>
      </c>
      <c r="B51" s="412" t="s">
        <v>1178</v>
      </c>
      <c r="C51" s="208" t="str">
        <f>+Setup!$B$21</f>
        <v>WC-PropName</v>
      </c>
      <c r="D51" s="208"/>
      <c r="E51" s="209">
        <f>VLOOKUP($B51,'2017'!$A$5:$Q$1425,COUNTA(Upload!$E$3:E$3)+2,FALSE)</f>
        <v>0</v>
      </c>
      <c r="F51" s="209">
        <f>VLOOKUP($B51,'2017'!$A$5:$Q$1425,COUNTA(Upload!$E$3:F$3)+2,FALSE)</f>
        <v>0</v>
      </c>
      <c r="G51" s="209">
        <f>VLOOKUP($B51,'2017'!$A$5:$Q$1425,COUNTA(Upload!$E$3:G$3)+2,FALSE)</f>
        <v>0</v>
      </c>
      <c r="H51" s="209">
        <f>VLOOKUP($B51,'2017'!$A$5:$Q$1425,COUNTA(Upload!$E$3:H$3)+2,FALSE)</f>
        <v>0</v>
      </c>
      <c r="I51" s="209">
        <f>VLOOKUP($B51,'2017'!$A$5:$Q$1425,COUNTA(Upload!$E$3:I$3)+2,FALSE)</f>
        <v>0</v>
      </c>
      <c r="J51" s="209">
        <f>VLOOKUP($B51,'2017'!$A$5:$Q$1425,COUNTA(Upload!$E$3:J$3)+2,FALSE)</f>
        <v>0</v>
      </c>
      <c r="K51" s="209">
        <f>VLOOKUP($B51,'2017'!$A$5:$Q$1425,COUNTA(Upload!$E$3:K$3)+2,FALSE)</f>
        <v>0</v>
      </c>
      <c r="L51" s="209">
        <f>VLOOKUP($B51,'2017'!$A$5:$Q$1425,COUNTA(Upload!$E$3:L$3)+2,FALSE)</f>
        <v>0</v>
      </c>
      <c r="M51" s="209">
        <f>VLOOKUP($B51,'2017'!$A$5:$Q$1425,COUNTA(Upload!$E$3:M$3)+2,FALSE)</f>
        <v>0</v>
      </c>
      <c r="N51" s="209">
        <f>VLOOKUP($B51,'2017'!$A$5:$Q$1425,COUNTA(Upload!$E$3:N$3)+2,FALSE)</f>
        <v>0</v>
      </c>
      <c r="O51" s="209">
        <f>VLOOKUP($B51,'2017'!$A$5:$Q$1425,COUNTA(Upload!$E$3:O$3)+2,FALSE)</f>
        <v>0</v>
      </c>
      <c r="P51" s="209">
        <f>VLOOKUP($B51,'2017'!$A$5:$Q$1425,COUNTA(Upload!$E$3:P$3)+2,FALSE)</f>
        <v>0</v>
      </c>
      <c r="S51" s="5"/>
      <c r="T51" s="161"/>
    </row>
    <row r="52" spans="1:20" s="118" customFormat="1" ht="10.5" customHeight="1">
      <c r="A52" s="207" t="s">
        <v>70</v>
      </c>
      <c r="B52" s="412" t="s">
        <v>1179</v>
      </c>
      <c r="C52" s="208" t="str">
        <f>+Setup!$B$21</f>
        <v>WC-PropName</v>
      </c>
      <c r="D52" s="208"/>
      <c r="E52" s="209">
        <f>VLOOKUP($B52,'2017'!$A$5:$Q$1425,COUNTA(Upload!$E$3:E$3)+2,FALSE)</f>
        <v>0</v>
      </c>
      <c r="F52" s="209">
        <f>VLOOKUP($B52,'2017'!$A$5:$Q$1425,COUNTA(Upload!$E$3:F$3)+2,FALSE)</f>
        <v>0</v>
      </c>
      <c r="G52" s="209">
        <f>VLOOKUP($B52,'2017'!$A$5:$Q$1425,COUNTA(Upload!$E$3:G$3)+2,FALSE)</f>
        <v>0</v>
      </c>
      <c r="H52" s="209">
        <f>VLOOKUP($B52,'2017'!$A$5:$Q$1425,COUNTA(Upload!$E$3:H$3)+2,FALSE)</f>
        <v>0</v>
      </c>
      <c r="I52" s="209">
        <f>VLOOKUP($B52,'2017'!$A$5:$Q$1425,COUNTA(Upload!$E$3:I$3)+2,FALSE)</f>
        <v>0</v>
      </c>
      <c r="J52" s="209">
        <f>VLOOKUP($B52,'2017'!$A$5:$Q$1425,COUNTA(Upload!$E$3:J$3)+2,FALSE)</f>
        <v>0</v>
      </c>
      <c r="K52" s="209">
        <f>VLOOKUP($B52,'2017'!$A$5:$Q$1425,COUNTA(Upload!$E$3:K$3)+2,FALSE)</f>
        <v>0</v>
      </c>
      <c r="L52" s="209">
        <f>VLOOKUP($B52,'2017'!$A$5:$Q$1425,COUNTA(Upload!$E$3:L$3)+2,FALSE)</f>
        <v>0</v>
      </c>
      <c r="M52" s="209">
        <f>VLOOKUP($B52,'2017'!$A$5:$Q$1425,COUNTA(Upload!$E$3:M$3)+2,FALSE)</f>
        <v>0</v>
      </c>
      <c r="N52" s="209">
        <f>VLOOKUP($B52,'2017'!$A$5:$Q$1425,COUNTA(Upload!$E$3:N$3)+2,FALSE)</f>
        <v>0</v>
      </c>
      <c r="O52" s="209">
        <f>VLOOKUP($B52,'2017'!$A$5:$Q$1425,COUNTA(Upload!$E$3:O$3)+2,FALSE)</f>
        <v>0</v>
      </c>
      <c r="P52" s="209">
        <f>VLOOKUP($B52,'2017'!$A$5:$Q$1425,COUNTA(Upload!$E$3:P$3)+2,FALSE)</f>
        <v>0</v>
      </c>
      <c r="S52" s="5"/>
      <c r="T52" s="161"/>
    </row>
    <row r="53" spans="1:20" s="118" customFormat="1" ht="10.5" customHeight="1">
      <c r="A53" s="207" t="s">
        <v>70</v>
      </c>
      <c r="B53" s="412" t="s">
        <v>1180</v>
      </c>
      <c r="C53" s="208" t="str">
        <f>+Setup!$B$21</f>
        <v>WC-PropName</v>
      </c>
      <c r="D53" s="208"/>
      <c r="E53" s="209">
        <f>VLOOKUP($B53,'2017'!$A$5:$Q$1425,COUNTA(Upload!$E$3:E$3)+2,FALSE)</f>
        <v>0</v>
      </c>
      <c r="F53" s="209">
        <f>VLOOKUP($B53,'2017'!$A$5:$Q$1425,COUNTA(Upload!$E$3:F$3)+2,FALSE)</f>
        <v>0</v>
      </c>
      <c r="G53" s="209">
        <f>VLOOKUP($B53,'2017'!$A$5:$Q$1425,COUNTA(Upload!$E$3:G$3)+2,FALSE)</f>
        <v>0</v>
      </c>
      <c r="H53" s="209">
        <f>VLOOKUP($B53,'2017'!$A$5:$Q$1425,COUNTA(Upload!$E$3:H$3)+2,FALSE)</f>
        <v>0</v>
      </c>
      <c r="I53" s="209">
        <f>VLOOKUP($B53,'2017'!$A$5:$Q$1425,COUNTA(Upload!$E$3:I$3)+2,FALSE)</f>
        <v>0</v>
      </c>
      <c r="J53" s="209">
        <f>VLOOKUP($B53,'2017'!$A$5:$Q$1425,COUNTA(Upload!$E$3:J$3)+2,FALSE)</f>
        <v>0</v>
      </c>
      <c r="K53" s="209">
        <f>VLOOKUP($B53,'2017'!$A$5:$Q$1425,COUNTA(Upload!$E$3:K$3)+2,FALSE)</f>
        <v>0</v>
      </c>
      <c r="L53" s="209">
        <f>VLOOKUP($B53,'2017'!$A$5:$Q$1425,COUNTA(Upload!$E$3:L$3)+2,FALSE)</f>
        <v>0</v>
      </c>
      <c r="M53" s="209">
        <f>VLOOKUP($B53,'2017'!$A$5:$Q$1425,COUNTA(Upload!$E$3:M$3)+2,FALSE)</f>
        <v>0</v>
      </c>
      <c r="N53" s="209">
        <f>VLOOKUP($B53,'2017'!$A$5:$Q$1425,COUNTA(Upload!$E$3:N$3)+2,FALSE)</f>
        <v>0</v>
      </c>
      <c r="O53" s="209">
        <f>VLOOKUP($B53,'2017'!$A$5:$Q$1425,COUNTA(Upload!$E$3:O$3)+2,FALSE)</f>
        <v>0</v>
      </c>
      <c r="P53" s="209">
        <f>VLOOKUP($B53,'2017'!$A$5:$Q$1425,COUNTA(Upload!$E$3:P$3)+2,FALSE)</f>
        <v>0</v>
      </c>
      <c r="S53" s="5"/>
      <c r="T53" s="161"/>
    </row>
    <row r="54" spans="1:20" s="118" customFormat="1" ht="10.5" customHeight="1">
      <c r="A54" s="207" t="s">
        <v>70</v>
      </c>
      <c r="B54" s="412" t="s">
        <v>1181</v>
      </c>
      <c r="C54" s="208" t="str">
        <f>+Setup!$B$21</f>
        <v>WC-PropName</v>
      </c>
      <c r="D54" s="208"/>
      <c r="E54" s="209">
        <f>VLOOKUP($B54,'2017'!$A$5:$Q$1425,COUNTA(Upload!$E$3:E$3)+2,FALSE)</f>
        <v>7974.333333333333</v>
      </c>
      <c r="F54" s="209">
        <f>VLOOKUP($B54,'2017'!$A$5:$Q$1425,COUNTA(Upload!$E$3:F$3)+2,FALSE)</f>
        <v>7974.333333333333</v>
      </c>
      <c r="G54" s="209">
        <f>VLOOKUP($B54,'2017'!$A$5:$Q$1425,COUNTA(Upload!$E$3:G$3)+2,FALSE)</f>
        <v>7974.333333333333</v>
      </c>
      <c r="H54" s="209">
        <f>VLOOKUP($B54,'2017'!$A$5:$Q$1425,COUNTA(Upload!$E$3:H$3)+2,FALSE)</f>
        <v>7974.333333333333</v>
      </c>
      <c r="I54" s="209">
        <f>VLOOKUP($B54,'2017'!$A$5:$Q$1425,COUNTA(Upload!$E$3:I$3)+2,FALSE)</f>
        <v>7974.333333333333</v>
      </c>
      <c r="J54" s="209">
        <f>VLOOKUP($B54,'2017'!$A$5:$Q$1425,COUNTA(Upload!$E$3:J$3)+2,FALSE)</f>
        <v>7974.333333333333</v>
      </c>
      <c r="K54" s="209">
        <f>VLOOKUP($B54,'2017'!$A$5:$Q$1425,COUNTA(Upload!$E$3:K$3)+2,FALSE)</f>
        <v>7974.333333333333</v>
      </c>
      <c r="L54" s="209">
        <f>VLOOKUP($B54,'2017'!$A$5:$Q$1425,COUNTA(Upload!$E$3:L$3)+2,FALSE)</f>
        <v>7974.333333333333</v>
      </c>
      <c r="M54" s="209">
        <f>VLOOKUP($B54,'2017'!$A$5:$Q$1425,COUNTA(Upload!$E$3:M$3)+2,FALSE)</f>
        <v>7974.333333333333</v>
      </c>
      <c r="N54" s="209">
        <f>VLOOKUP($B54,'2017'!$A$5:$Q$1425,COUNTA(Upload!$E$3:N$3)+2,FALSE)</f>
        <v>7974.333333333333</v>
      </c>
      <c r="O54" s="209">
        <f>VLOOKUP($B54,'2017'!$A$5:$Q$1425,COUNTA(Upload!$E$3:O$3)+2,FALSE)</f>
        <v>7974.333333333333</v>
      </c>
      <c r="P54" s="209">
        <f>VLOOKUP($B54,'2017'!$A$5:$Q$1425,COUNTA(Upload!$E$3:P$3)+2,FALSE)</f>
        <v>7974.333333333333</v>
      </c>
      <c r="S54" s="5"/>
      <c r="T54" s="161"/>
    </row>
    <row r="55" spans="1:20" s="118" customFormat="1" ht="10.5" customHeight="1">
      <c r="A55" s="207" t="s">
        <v>70</v>
      </c>
      <c r="B55" s="412" t="s">
        <v>1183</v>
      </c>
      <c r="C55" s="208" t="str">
        <f>+Setup!$B$21</f>
        <v>WC-PropName</v>
      </c>
      <c r="D55" s="208"/>
      <c r="E55" s="209">
        <f>VLOOKUP($B55,'2017'!$A$5:$Q$1425,COUNTA(Upload!$E$3:E$3)+2,FALSE)</f>
        <v>0</v>
      </c>
      <c r="F55" s="209">
        <f>VLOOKUP($B55,'2017'!$A$5:$Q$1425,COUNTA(Upload!$E$3:F$3)+2,FALSE)</f>
        <v>0</v>
      </c>
      <c r="G55" s="209">
        <f>VLOOKUP($B55,'2017'!$A$5:$Q$1425,COUNTA(Upload!$E$3:G$3)+2,FALSE)</f>
        <v>0</v>
      </c>
      <c r="H55" s="209">
        <f>VLOOKUP($B55,'2017'!$A$5:$Q$1425,COUNTA(Upload!$E$3:H$3)+2,FALSE)</f>
        <v>0</v>
      </c>
      <c r="I55" s="209">
        <f>VLOOKUP($B55,'2017'!$A$5:$Q$1425,COUNTA(Upload!$E$3:I$3)+2,FALSE)</f>
        <v>0</v>
      </c>
      <c r="J55" s="209">
        <f>VLOOKUP($B55,'2017'!$A$5:$Q$1425,COUNTA(Upload!$E$3:J$3)+2,FALSE)</f>
        <v>0</v>
      </c>
      <c r="K55" s="209">
        <f>VLOOKUP($B55,'2017'!$A$5:$Q$1425,COUNTA(Upload!$E$3:K$3)+2,FALSE)</f>
        <v>0</v>
      </c>
      <c r="L55" s="209">
        <f>VLOOKUP($B55,'2017'!$A$5:$Q$1425,COUNTA(Upload!$E$3:L$3)+2,FALSE)</f>
        <v>0</v>
      </c>
      <c r="M55" s="209">
        <f>VLOOKUP($B55,'2017'!$A$5:$Q$1425,COUNTA(Upload!$E$3:M$3)+2,FALSE)</f>
        <v>0</v>
      </c>
      <c r="N55" s="209">
        <f>VLOOKUP($B55,'2017'!$A$5:$Q$1425,COUNTA(Upload!$E$3:N$3)+2,FALSE)</f>
        <v>0</v>
      </c>
      <c r="O55" s="209">
        <f>VLOOKUP($B55,'2017'!$A$5:$Q$1425,COUNTA(Upload!$E$3:O$3)+2,FALSE)</f>
        <v>0</v>
      </c>
      <c r="P55" s="209">
        <f>VLOOKUP($B55,'2017'!$A$5:$Q$1425,COUNTA(Upload!$E$3:P$3)+2,FALSE)</f>
        <v>0</v>
      </c>
      <c r="S55" s="5"/>
      <c r="T55" s="161"/>
    </row>
    <row r="56" spans="1:20" s="118" customFormat="1" ht="10.5" customHeight="1">
      <c r="A56" s="207" t="s">
        <v>70</v>
      </c>
      <c r="B56" s="412" t="s">
        <v>1184</v>
      </c>
      <c r="C56" s="208" t="str">
        <f>+Setup!$B$21</f>
        <v>WC-PropName</v>
      </c>
      <c r="D56" s="208"/>
      <c r="E56" s="209">
        <f>VLOOKUP($B56,'2017'!$A$5:$Q$1425,COUNTA(Upload!$E$3:E$3)+2,FALSE)</f>
        <v>7226.75</v>
      </c>
      <c r="F56" s="209">
        <f>VLOOKUP($B56,'2017'!$A$5:$Q$1425,COUNTA(Upload!$E$3:F$3)+2,FALSE)</f>
        <v>7226.75</v>
      </c>
      <c r="G56" s="209">
        <f>VLOOKUP($B56,'2017'!$A$5:$Q$1425,COUNTA(Upload!$E$3:G$3)+2,FALSE)</f>
        <v>7226.75</v>
      </c>
      <c r="H56" s="209">
        <f>VLOOKUP($B56,'2017'!$A$5:$Q$1425,COUNTA(Upload!$E$3:H$3)+2,FALSE)</f>
        <v>7226.75</v>
      </c>
      <c r="I56" s="209">
        <f>VLOOKUP($B56,'2017'!$A$5:$Q$1425,COUNTA(Upload!$E$3:I$3)+2,FALSE)</f>
        <v>7226.75</v>
      </c>
      <c r="J56" s="209">
        <f>VLOOKUP($B56,'2017'!$A$5:$Q$1425,COUNTA(Upload!$E$3:J$3)+2,FALSE)</f>
        <v>7226.75</v>
      </c>
      <c r="K56" s="209">
        <f>VLOOKUP($B56,'2017'!$A$5:$Q$1425,COUNTA(Upload!$E$3:K$3)+2,FALSE)</f>
        <v>7226.75</v>
      </c>
      <c r="L56" s="209">
        <f>VLOOKUP($B56,'2017'!$A$5:$Q$1425,COUNTA(Upload!$E$3:L$3)+2,FALSE)</f>
        <v>7226.75</v>
      </c>
      <c r="M56" s="209">
        <f>VLOOKUP($B56,'2017'!$A$5:$Q$1425,COUNTA(Upload!$E$3:M$3)+2,FALSE)</f>
        <v>7226.75</v>
      </c>
      <c r="N56" s="209">
        <f>VLOOKUP($B56,'2017'!$A$5:$Q$1425,COUNTA(Upload!$E$3:N$3)+2,FALSE)</f>
        <v>7226.75</v>
      </c>
      <c r="O56" s="209">
        <f>VLOOKUP($B56,'2017'!$A$5:$Q$1425,COUNTA(Upload!$E$3:O$3)+2,FALSE)</f>
        <v>7226.75</v>
      </c>
      <c r="P56" s="209">
        <f>VLOOKUP($B56,'2017'!$A$5:$Q$1425,COUNTA(Upload!$E$3:P$3)+2,FALSE)</f>
        <v>7226.75</v>
      </c>
      <c r="S56" s="5"/>
      <c r="T56" s="161"/>
    </row>
    <row r="57" spans="1:20" s="118" customFormat="1" ht="10.5" customHeight="1">
      <c r="A57" s="207" t="s">
        <v>70</v>
      </c>
      <c r="B57" s="412" t="s">
        <v>1186</v>
      </c>
      <c r="C57" s="208" t="str">
        <f>+Setup!$B$21</f>
        <v>WC-PropName</v>
      </c>
      <c r="D57" s="208"/>
      <c r="E57" s="209">
        <f>VLOOKUP($B57,'2017'!$A$5:$Q$1425,COUNTA(Upload!$E$3:E$3)+2,FALSE)</f>
        <v>0</v>
      </c>
      <c r="F57" s="209">
        <f>VLOOKUP($B57,'2017'!$A$5:$Q$1425,COUNTA(Upload!$E$3:F$3)+2,FALSE)</f>
        <v>0</v>
      </c>
      <c r="G57" s="209">
        <f>VLOOKUP($B57,'2017'!$A$5:$Q$1425,COUNTA(Upload!$E$3:G$3)+2,FALSE)</f>
        <v>0</v>
      </c>
      <c r="H57" s="209">
        <f>VLOOKUP($B57,'2017'!$A$5:$Q$1425,COUNTA(Upload!$E$3:H$3)+2,FALSE)</f>
        <v>0</v>
      </c>
      <c r="I57" s="209">
        <f>VLOOKUP($B57,'2017'!$A$5:$Q$1425,COUNTA(Upload!$E$3:I$3)+2,FALSE)</f>
        <v>0</v>
      </c>
      <c r="J57" s="209">
        <f>VLOOKUP($B57,'2017'!$A$5:$Q$1425,COUNTA(Upload!$E$3:J$3)+2,FALSE)</f>
        <v>0</v>
      </c>
      <c r="K57" s="209">
        <f>VLOOKUP($B57,'2017'!$A$5:$Q$1425,COUNTA(Upload!$E$3:K$3)+2,FALSE)</f>
        <v>0</v>
      </c>
      <c r="L57" s="209">
        <f>VLOOKUP($B57,'2017'!$A$5:$Q$1425,COUNTA(Upload!$E$3:L$3)+2,FALSE)</f>
        <v>0</v>
      </c>
      <c r="M57" s="209">
        <f>VLOOKUP($B57,'2017'!$A$5:$Q$1425,COUNTA(Upload!$E$3:M$3)+2,FALSE)</f>
        <v>0</v>
      </c>
      <c r="N57" s="209">
        <f>VLOOKUP($B57,'2017'!$A$5:$Q$1425,COUNTA(Upload!$E$3:N$3)+2,FALSE)</f>
        <v>0</v>
      </c>
      <c r="O57" s="209">
        <f>VLOOKUP($B57,'2017'!$A$5:$Q$1425,COUNTA(Upload!$E$3:O$3)+2,FALSE)</f>
        <v>0</v>
      </c>
      <c r="P57" s="209">
        <f>VLOOKUP($B57,'2017'!$A$5:$Q$1425,COUNTA(Upload!$E$3:P$3)+2,FALSE)</f>
        <v>0</v>
      </c>
      <c r="S57" s="5"/>
      <c r="T57" s="161"/>
    </row>
    <row r="58" spans="1:20" s="118" customFormat="1" ht="10.5" customHeight="1">
      <c r="A58" s="207" t="s">
        <v>70</v>
      </c>
      <c r="B58" s="412" t="s">
        <v>1187</v>
      </c>
      <c r="C58" s="208" t="str">
        <f>+Setup!$B$21</f>
        <v>WC-PropName</v>
      </c>
      <c r="D58" s="208"/>
      <c r="E58" s="209">
        <f>VLOOKUP($B58,'2017'!$A$5:$Q$1425,COUNTA(Upload!$E$3:E$3)+2,FALSE)</f>
        <v>0</v>
      </c>
      <c r="F58" s="209">
        <f>VLOOKUP($B58,'2017'!$A$5:$Q$1425,COUNTA(Upload!$E$3:F$3)+2,FALSE)</f>
        <v>0</v>
      </c>
      <c r="G58" s="209">
        <f>VLOOKUP($B58,'2017'!$A$5:$Q$1425,COUNTA(Upload!$E$3:G$3)+2,FALSE)</f>
        <v>0</v>
      </c>
      <c r="H58" s="209">
        <f>VLOOKUP($B58,'2017'!$A$5:$Q$1425,COUNTA(Upload!$E$3:H$3)+2,FALSE)</f>
        <v>0</v>
      </c>
      <c r="I58" s="209">
        <f>VLOOKUP($B58,'2017'!$A$5:$Q$1425,COUNTA(Upload!$E$3:I$3)+2,FALSE)</f>
        <v>0</v>
      </c>
      <c r="J58" s="209">
        <f>VLOOKUP($B58,'2017'!$A$5:$Q$1425,COUNTA(Upload!$E$3:J$3)+2,FALSE)</f>
        <v>0</v>
      </c>
      <c r="K58" s="209">
        <f>VLOOKUP($B58,'2017'!$A$5:$Q$1425,COUNTA(Upload!$E$3:K$3)+2,FALSE)</f>
        <v>0</v>
      </c>
      <c r="L58" s="209">
        <f>VLOOKUP($B58,'2017'!$A$5:$Q$1425,COUNTA(Upload!$E$3:L$3)+2,FALSE)</f>
        <v>0</v>
      </c>
      <c r="M58" s="209">
        <f>VLOOKUP($B58,'2017'!$A$5:$Q$1425,COUNTA(Upload!$E$3:M$3)+2,FALSE)</f>
        <v>0</v>
      </c>
      <c r="N58" s="209">
        <f>VLOOKUP($B58,'2017'!$A$5:$Q$1425,COUNTA(Upload!$E$3:N$3)+2,FALSE)</f>
        <v>0</v>
      </c>
      <c r="O58" s="209">
        <f>VLOOKUP($B58,'2017'!$A$5:$Q$1425,COUNTA(Upload!$E$3:O$3)+2,FALSE)</f>
        <v>0</v>
      </c>
      <c r="P58" s="209">
        <f>VLOOKUP($B58,'2017'!$A$5:$Q$1425,COUNTA(Upload!$E$3:P$3)+2,FALSE)</f>
        <v>0</v>
      </c>
      <c r="S58" s="5"/>
      <c r="T58" s="161"/>
    </row>
    <row r="59" spans="1:20" s="118" customFormat="1" ht="10.5" customHeight="1">
      <c r="A59" s="207" t="s">
        <v>70</v>
      </c>
      <c r="B59" s="412" t="s">
        <v>1188</v>
      </c>
      <c r="C59" s="208" t="str">
        <f>+Setup!$B$21</f>
        <v>WC-PropName</v>
      </c>
      <c r="D59" s="208"/>
      <c r="E59" s="209">
        <f>VLOOKUP($B59,'2017'!$A$5:$Q$1425,COUNTA(Upload!$E$3:E$3)+2,FALSE)</f>
        <v>0</v>
      </c>
      <c r="F59" s="209">
        <f>VLOOKUP($B59,'2017'!$A$5:$Q$1425,COUNTA(Upload!$E$3:F$3)+2,FALSE)</f>
        <v>0</v>
      </c>
      <c r="G59" s="209">
        <f>VLOOKUP($B59,'2017'!$A$5:$Q$1425,COUNTA(Upload!$E$3:G$3)+2,FALSE)</f>
        <v>0</v>
      </c>
      <c r="H59" s="209">
        <f>VLOOKUP($B59,'2017'!$A$5:$Q$1425,COUNTA(Upload!$E$3:H$3)+2,FALSE)</f>
        <v>0</v>
      </c>
      <c r="I59" s="209">
        <f>VLOOKUP($B59,'2017'!$A$5:$Q$1425,COUNTA(Upload!$E$3:I$3)+2,FALSE)</f>
        <v>0</v>
      </c>
      <c r="J59" s="209">
        <f>VLOOKUP($B59,'2017'!$A$5:$Q$1425,COUNTA(Upload!$E$3:J$3)+2,FALSE)</f>
        <v>0</v>
      </c>
      <c r="K59" s="209">
        <f>VLOOKUP($B59,'2017'!$A$5:$Q$1425,COUNTA(Upload!$E$3:K$3)+2,FALSE)</f>
        <v>0</v>
      </c>
      <c r="L59" s="209">
        <f>VLOOKUP($B59,'2017'!$A$5:$Q$1425,COUNTA(Upload!$E$3:L$3)+2,FALSE)</f>
        <v>0</v>
      </c>
      <c r="M59" s="209">
        <f>VLOOKUP($B59,'2017'!$A$5:$Q$1425,COUNTA(Upload!$E$3:M$3)+2,FALSE)</f>
        <v>0</v>
      </c>
      <c r="N59" s="209">
        <f>VLOOKUP($B59,'2017'!$A$5:$Q$1425,COUNTA(Upload!$E$3:N$3)+2,FALSE)</f>
        <v>0</v>
      </c>
      <c r="O59" s="209">
        <f>VLOOKUP($B59,'2017'!$A$5:$Q$1425,COUNTA(Upload!$E$3:O$3)+2,FALSE)</f>
        <v>0</v>
      </c>
      <c r="P59" s="209">
        <f>VLOOKUP($B59,'2017'!$A$5:$Q$1425,COUNTA(Upload!$E$3:P$3)+2,FALSE)</f>
        <v>0</v>
      </c>
      <c r="S59" s="5"/>
      <c r="T59" s="161"/>
    </row>
    <row r="60" spans="1:20" s="118" customFormat="1" ht="10.5" customHeight="1">
      <c r="A60" s="207" t="s">
        <v>70</v>
      </c>
      <c r="B60" s="412" t="s">
        <v>1189</v>
      </c>
      <c r="C60" s="208" t="str">
        <f>+Setup!$B$21</f>
        <v>WC-PropName</v>
      </c>
      <c r="D60" s="208"/>
      <c r="E60" s="209">
        <f>VLOOKUP($B60,'2017'!$A$5:$Q$1425,COUNTA(Upload!$E$3:E$3)+2,FALSE)</f>
        <v>0</v>
      </c>
      <c r="F60" s="209">
        <f>VLOOKUP($B60,'2017'!$A$5:$Q$1425,COUNTA(Upload!$E$3:F$3)+2,FALSE)</f>
        <v>0</v>
      </c>
      <c r="G60" s="209">
        <f>VLOOKUP($B60,'2017'!$A$5:$Q$1425,COUNTA(Upload!$E$3:G$3)+2,FALSE)</f>
        <v>0</v>
      </c>
      <c r="H60" s="209">
        <f>VLOOKUP($B60,'2017'!$A$5:$Q$1425,COUNTA(Upload!$E$3:H$3)+2,FALSE)</f>
        <v>0</v>
      </c>
      <c r="I60" s="209">
        <f>VLOOKUP($B60,'2017'!$A$5:$Q$1425,COUNTA(Upload!$E$3:I$3)+2,FALSE)</f>
        <v>0</v>
      </c>
      <c r="J60" s="209">
        <f>VLOOKUP($B60,'2017'!$A$5:$Q$1425,COUNTA(Upload!$E$3:J$3)+2,FALSE)</f>
        <v>0</v>
      </c>
      <c r="K60" s="209">
        <f>VLOOKUP($B60,'2017'!$A$5:$Q$1425,COUNTA(Upload!$E$3:K$3)+2,FALSE)</f>
        <v>0</v>
      </c>
      <c r="L60" s="209">
        <f>VLOOKUP($B60,'2017'!$A$5:$Q$1425,COUNTA(Upload!$E$3:L$3)+2,FALSE)</f>
        <v>0</v>
      </c>
      <c r="M60" s="209">
        <f>VLOOKUP($B60,'2017'!$A$5:$Q$1425,COUNTA(Upload!$E$3:M$3)+2,FALSE)</f>
        <v>0</v>
      </c>
      <c r="N60" s="209">
        <f>VLOOKUP($B60,'2017'!$A$5:$Q$1425,COUNTA(Upload!$E$3:N$3)+2,FALSE)</f>
        <v>0</v>
      </c>
      <c r="O60" s="209">
        <f>VLOOKUP($B60,'2017'!$A$5:$Q$1425,COUNTA(Upload!$E$3:O$3)+2,FALSE)</f>
        <v>0</v>
      </c>
      <c r="P60" s="209">
        <f>VLOOKUP($B60,'2017'!$A$5:$Q$1425,COUNTA(Upload!$E$3:P$3)+2,FALSE)</f>
        <v>0</v>
      </c>
      <c r="S60" s="5"/>
      <c r="T60" s="161"/>
    </row>
    <row r="61" spans="1:20" s="118" customFormat="1" ht="10.5" customHeight="1">
      <c r="A61" s="207" t="s">
        <v>70</v>
      </c>
      <c r="B61" s="412" t="s">
        <v>1190</v>
      </c>
      <c r="C61" s="208" t="str">
        <f>+Setup!$B$21</f>
        <v>WC-PropName</v>
      </c>
      <c r="D61" s="208"/>
      <c r="E61" s="209">
        <f>VLOOKUP($B61,'2017'!$A$5:$Q$1425,COUNTA(Upload!$E$3:E$3)+2,FALSE)</f>
        <v>0</v>
      </c>
      <c r="F61" s="209">
        <f>VLOOKUP($B61,'2017'!$A$5:$Q$1425,COUNTA(Upload!$E$3:F$3)+2,FALSE)</f>
        <v>0</v>
      </c>
      <c r="G61" s="209">
        <f>VLOOKUP($B61,'2017'!$A$5:$Q$1425,COUNTA(Upload!$E$3:G$3)+2,FALSE)</f>
        <v>0</v>
      </c>
      <c r="H61" s="209">
        <f>VLOOKUP($B61,'2017'!$A$5:$Q$1425,COUNTA(Upload!$E$3:H$3)+2,FALSE)</f>
        <v>0</v>
      </c>
      <c r="I61" s="209">
        <f>VLOOKUP($B61,'2017'!$A$5:$Q$1425,COUNTA(Upload!$E$3:I$3)+2,FALSE)</f>
        <v>0</v>
      </c>
      <c r="J61" s="209">
        <f>VLOOKUP($B61,'2017'!$A$5:$Q$1425,COUNTA(Upload!$E$3:J$3)+2,FALSE)</f>
        <v>0</v>
      </c>
      <c r="K61" s="209">
        <f>VLOOKUP($B61,'2017'!$A$5:$Q$1425,COUNTA(Upload!$E$3:K$3)+2,FALSE)</f>
        <v>0</v>
      </c>
      <c r="L61" s="209">
        <f>VLOOKUP($B61,'2017'!$A$5:$Q$1425,COUNTA(Upload!$E$3:L$3)+2,FALSE)</f>
        <v>0</v>
      </c>
      <c r="M61" s="209">
        <f>VLOOKUP($B61,'2017'!$A$5:$Q$1425,COUNTA(Upload!$E$3:M$3)+2,FALSE)</f>
        <v>0</v>
      </c>
      <c r="N61" s="209">
        <f>VLOOKUP($B61,'2017'!$A$5:$Q$1425,COUNTA(Upload!$E$3:N$3)+2,FALSE)</f>
        <v>0</v>
      </c>
      <c r="O61" s="209">
        <f>VLOOKUP($B61,'2017'!$A$5:$Q$1425,COUNTA(Upload!$E$3:O$3)+2,FALSE)</f>
        <v>0</v>
      </c>
      <c r="P61" s="209">
        <f>VLOOKUP($B61,'2017'!$A$5:$Q$1425,COUNTA(Upload!$E$3:P$3)+2,FALSE)</f>
        <v>0</v>
      </c>
      <c r="S61" s="5"/>
      <c r="T61" s="161"/>
    </row>
    <row r="62" spans="1:20" s="118" customFormat="1" ht="10.5" customHeight="1">
      <c r="A62" s="207" t="s">
        <v>70</v>
      </c>
      <c r="B62" s="412" t="s">
        <v>1191</v>
      </c>
      <c r="C62" s="208" t="str">
        <f>+Setup!$B$21</f>
        <v>WC-PropName</v>
      </c>
      <c r="D62" s="208"/>
      <c r="E62" s="209">
        <f>VLOOKUP($B62,'2017'!$A$5:$Q$1425,COUNTA(Upload!$E$3:E$3)+2,FALSE)</f>
        <v>0</v>
      </c>
      <c r="F62" s="209">
        <f>VLOOKUP($B62,'2017'!$A$5:$Q$1425,COUNTA(Upload!$E$3:F$3)+2,FALSE)</f>
        <v>0</v>
      </c>
      <c r="G62" s="209">
        <f>VLOOKUP($B62,'2017'!$A$5:$Q$1425,COUNTA(Upload!$E$3:G$3)+2,FALSE)</f>
        <v>0</v>
      </c>
      <c r="H62" s="209">
        <f>VLOOKUP($B62,'2017'!$A$5:$Q$1425,COUNTA(Upload!$E$3:H$3)+2,FALSE)</f>
        <v>0</v>
      </c>
      <c r="I62" s="209">
        <f>VLOOKUP($B62,'2017'!$A$5:$Q$1425,COUNTA(Upload!$E$3:I$3)+2,FALSE)</f>
        <v>0</v>
      </c>
      <c r="J62" s="209">
        <f>VLOOKUP($B62,'2017'!$A$5:$Q$1425,COUNTA(Upload!$E$3:J$3)+2,FALSE)</f>
        <v>0</v>
      </c>
      <c r="K62" s="209">
        <f>VLOOKUP($B62,'2017'!$A$5:$Q$1425,COUNTA(Upload!$E$3:K$3)+2,FALSE)</f>
        <v>0</v>
      </c>
      <c r="L62" s="209">
        <f>VLOOKUP($B62,'2017'!$A$5:$Q$1425,COUNTA(Upload!$E$3:L$3)+2,FALSE)</f>
        <v>0</v>
      </c>
      <c r="M62" s="209">
        <f>VLOOKUP($B62,'2017'!$A$5:$Q$1425,COUNTA(Upload!$E$3:M$3)+2,FALSE)</f>
        <v>0</v>
      </c>
      <c r="N62" s="209">
        <f>VLOOKUP($B62,'2017'!$A$5:$Q$1425,COUNTA(Upload!$E$3:N$3)+2,FALSE)</f>
        <v>0</v>
      </c>
      <c r="O62" s="209">
        <f>VLOOKUP($B62,'2017'!$A$5:$Q$1425,COUNTA(Upload!$E$3:O$3)+2,FALSE)</f>
        <v>0</v>
      </c>
      <c r="P62" s="209">
        <f>VLOOKUP($B62,'2017'!$A$5:$Q$1425,COUNTA(Upload!$E$3:P$3)+2,FALSE)</f>
        <v>0</v>
      </c>
      <c r="S62" s="5"/>
      <c r="T62" s="161"/>
    </row>
    <row r="63" spans="1:20" s="118" customFormat="1" ht="10.5" customHeight="1">
      <c r="A63" s="207" t="s">
        <v>70</v>
      </c>
      <c r="B63" s="412" t="s">
        <v>1192</v>
      </c>
      <c r="C63" s="208" t="str">
        <f>+Setup!$B$21</f>
        <v>WC-PropName</v>
      </c>
      <c r="D63" s="208"/>
      <c r="E63" s="209">
        <f>VLOOKUP($B63,'2017'!$A$5:$Q$1425,COUNTA(Upload!$E$3:E$3)+2,FALSE)</f>
        <v>0</v>
      </c>
      <c r="F63" s="209">
        <f>VLOOKUP($B63,'2017'!$A$5:$Q$1425,COUNTA(Upload!$E$3:F$3)+2,FALSE)</f>
        <v>0</v>
      </c>
      <c r="G63" s="209">
        <f>VLOOKUP($B63,'2017'!$A$5:$Q$1425,COUNTA(Upload!$E$3:G$3)+2,FALSE)</f>
        <v>0</v>
      </c>
      <c r="H63" s="209">
        <f>VLOOKUP($B63,'2017'!$A$5:$Q$1425,COUNTA(Upload!$E$3:H$3)+2,FALSE)</f>
        <v>0</v>
      </c>
      <c r="I63" s="209">
        <f>VLOOKUP($B63,'2017'!$A$5:$Q$1425,COUNTA(Upload!$E$3:I$3)+2,FALSE)</f>
        <v>0</v>
      </c>
      <c r="J63" s="209">
        <f>VLOOKUP($B63,'2017'!$A$5:$Q$1425,COUNTA(Upload!$E$3:J$3)+2,FALSE)</f>
        <v>0</v>
      </c>
      <c r="K63" s="209">
        <f>VLOOKUP($B63,'2017'!$A$5:$Q$1425,COUNTA(Upload!$E$3:K$3)+2,FALSE)</f>
        <v>0</v>
      </c>
      <c r="L63" s="209">
        <f>VLOOKUP($B63,'2017'!$A$5:$Q$1425,COUNTA(Upload!$E$3:L$3)+2,FALSE)</f>
        <v>0</v>
      </c>
      <c r="M63" s="209">
        <f>VLOOKUP($B63,'2017'!$A$5:$Q$1425,COUNTA(Upload!$E$3:M$3)+2,FALSE)</f>
        <v>0</v>
      </c>
      <c r="N63" s="209">
        <f>VLOOKUP($B63,'2017'!$A$5:$Q$1425,COUNTA(Upload!$E$3:N$3)+2,FALSE)</f>
        <v>0</v>
      </c>
      <c r="O63" s="209">
        <f>VLOOKUP($B63,'2017'!$A$5:$Q$1425,COUNTA(Upload!$E$3:O$3)+2,FALSE)</f>
        <v>0</v>
      </c>
      <c r="P63" s="209">
        <f>VLOOKUP($B63,'2017'!$A$5:$Q$1425,COUNTA(Upload!$E$3:P$3)+2,FALSE)</f>
        <v>0</v>
      </c>
      <c r="S63" s="5"/>
      <c r="T63" s="161"/>
    </row>
    <row r="64" spans="1:20" s="118" customFormat="1" ht="10.5" customHeight="1">
      <c r="A64" s="207" t="s">
        <v>70</v>
      </c>
      <c r="B64" s="412" t="s">
        <v>1193</v>
      </c>
      <c r="C64" s="208" t="str">
        <f>+Setup!$B$21</f>
        <v>WC-PropName</v>
      </c>
      <c r="D64" s="208"/>
      <c r="E64" s="209">
        <f>VLOOKUP($B64,'2017'!$A$5:$Q$1425,COUNTA(Upload!$E$3:E$3)+2,FALSE)</f>
        <v>0</v>
      </c>
      <c r="F64" s="209">
        <f>VLOOKUP($B64,'2017'!$A$5:$Q$1425,COUNTA(Upload!$E$3:F$3)+2,FALSE)</f>
        <v>0</v>
      </c>
      <c r="G64" s="209">
        <f>VLOOKUP($B64,'2017'!$A$5:$Q$1425,COUNTA(Upload!$E$3:G$3)+2,FALSE)</f>
        <v>0</v>
      </c>
      <c r="H64" s="209">
        <f>VLOOKUP($B64,'2017'!$A$5:$Q$1425,COUNTA(Upload!$E$3:H$3)+2,FALSE)</f>
        <v>0</v>
      </c>
      <c r="I64" s="209">
        <f>VLOOKUP($B64,'2017'!$A$5:$Q$1425,COUNTA(Upload!$E$3:I$3)+2,FALSE)</f>
        <v>0</v>
      </c>
      <c r="J64" s="209">
        <f>VLOOKUP($B64,'2017'!$A$5:$Q$1425,COUNTA(Upload!$E$3:J$3)+2,FALSE)</f>
        <v>0</v>
      </c>
      <c r="K64" s="209">
        <f>VLOOKUP($B64,'2017'!$A$5:$Q$1425,COUNTA(Upload!$E$3:K$3)+2,FALSE)</f>
        <v>0</v>
      </c>
      <c r="L64" s="209">
        <f>VLOOKUP($B64,'2017'!$A$5:$Q$1425,COUNTA(Upload!$E$3:L$3)+2,FALSE)</f>
        <v>0</v>
      </c>
      <c r="M64" s="209">
        <f>VLOOKUP($B64,'2017'!$A$5:$Q$1425,COUNTA(Upload!$E$3:M$3)+2,FALSE)</f>
        <v>0</v>
      </c>
      <c r="N64" s="209">
        <f>VLOOKUP($B64,'2017'!$A$5:$Q$1425,COUNTA(Upload!$E$3:N$3)+2,FALSE)</f>
        <v>0</v>
      </c>
      <c r="O64" s="209">
        <f>VLOOKUP($B64,'2017'!$A$5:$Q$1425,COUNTA(Upload!$E$3:O$3)+2,FALSE)</f>
        <v>0</v>
      </c>
      <c r="P64" s="209">
        <f>VLOOKUP($B64,'2017'!$A$5:$Q$1425,COUNTA(Upload!$E$3:P$3)+2,FALSE)</f>
        <v>0</v>
      </c>
      <c r="S64" s="5"/>
      <c r="T64" s="161"/>
    </row>
    <row r="65" spans="1:20" s="118" customFormat="1" ht="10.5" customHeight="1">
      <c r="A65" s="207" t="s">
        <v>70</v>
      </c>
      <c r="B65" s="412" t="s">
        <v>1194</v>
      </c>
      <c r="C65" s="208" t="str">
        <f>+Setup!$B$21</f>
        <v>WC-PropName</v>
      </c>
      <c r="D65" s="208"/>
      <c r="E65" s="209">
        <f>VLOOKUP($B65,'2017'!$A$5:$Q$1425,COUNTA(Upload!$E$3:E$3)+2,FALSE)</f>
        <v>0</v>
      </c>
      <c r="F65" s="209">
        <f>VLOOKUP($B65,'2017'!$A$5:$Q$1425,COUNTA(Upload!$E$3:F$3)+2,FALSE)</f>
        <v>0</v>
      </c>
      <c r="G65" s="209">
        <f>VLOOKUP($B65,'2017'!$A$5:$Q$1425,COUNTA(Upload!$E$3:G$3)+2,FALSE)</f>
        <v>0</v>
      </c>
      <c r="H65" s="209">
        <f>VLOOKUP($B65,'2017'!$A$5:$Q$1425,COUNTA(Upload!$E$3:H$3)+2,FALSE)</f>
        <v>0</v>
      </c>
      <c r="I65" s="209">
        <f>VLOOKUP($B65,'2017'!$A$5:$Q$1425,COUNTA(Upload!$E$3:I$3)+2,FALSE)</f>
        <v>0</v>
      </c>
      <c r="J65" s="209">
        <f>VLOOKUP($B65,'2017'!$A$5:$Q$1425,COUNTA(Upload!$E$3:J$3)+2,FALSE)</f>
        <v>0</v>
      </c>
      <c r="K65" s="209">
        <f>VLOOKUP($B65,'2017'!$A$5:$Q$1425,COUNTA(Upload!$E$3:K$3)+2,FALSE)</f>
        <v>0</v>
      </c>
      <c r="L65" s="209">
        <f>VLOOKUP($B65,'2017'!$A$5:$Q$1425,COUNTA(Upload!$E$3:L$3)+2,FALSE)</f>
        <v>0</v>
      </c>
      <c r="M65" s="209">
        <f>VLOOKUP($B65,'2017'!$A$5:$Q$1425,COUNTA(Upload!$E$3:M$3)+2,FALSE)</f>
        <v>0</v>
      </c>
      <c r="N65" s="209">
        <f>VLOOKUP($B65,'2017'!$A$5:$Q$1425,COUNTA(Upload!$E$3:N$3)+2,FALSE)</f>
        <v>0</v>
      </c>
      <c r="O65" s="209">
        <f>VLOOKUP($B65,'2017'!$A$5:$Q$1425,COUNTA(Upload!$E$3:O$3)+2,FALSE)</f>
        <v>0</v>
      </c>
      <c r="P65" s="209">
        <f>VLOOKUP($B65,'2017'!$A$5:$Q$1425,COUNTA(Upload!$E$3:P$3)+2,FALSE)</f>
        <v>0</v>
      </c>
      <c r="S65" s="5"/>
      <c r="T65" s="161"/>
    </row>
    <row r="66" spans="1:20" s="118" customFormat="1" ht="10.5" customHeight="1">
      <c r="A66" s="207" t="s">
        <v>70</v>
      </c>
      <c r="B66" s="412" t="s">
        <v>1195</v>
      </c>
      <c r="C66" s="208" t="str">
        <f>+Setup!$B$21</f>
        <v>WC-PropName</v>
      </c>
      <c r="D66" s="208"/>
      <c r="E66" s="209">
        <f>VLOOKUP($B66,'2017'!$A$5:$Q$1425,COUNTA(Upload!$E$3:E$3)+2,FALSE)</f>
        <v>0</v>
      </c>
      <c r="F66" s="209">
        <f>VLOOKUP($B66,'2017'!$A$5:$Q$1425,COUNTA(Upload!$E$3:F$3)+2,FALSE)</f>
        <v>0</v>
      </c>
      <c r="G66" s="209">
        <f>VLOOKUP($B66,'2017'!$A$5:$Q$1425,COUNTA(Upload!$E$3:G$3)+2,FALSE)</f>
        <v>0</v>
      </c>
      <c r="H66" s="209">
        <f>VLOOKUP($B66,'2017'!$A$5:$Q$1425,COUNTA(Upload!$E$3:H$3)+2,FALSE)</f>
        <v>0</v>
      </c>
      <c r="I66" s="209">
        <f>VLOOKUP($B66,'2017'!$A$5:$Q$1425,COUNTA(Upload!$E$3:I$3)+2,FALSE)</f>
        <v>0</v>
      </c>
      <c r="J66" s="209">
        <f>VLOOKUP($B66,'2017'!$A$5:$Q$1425,COUNTA(Upload!$E$3:J$3)+2,FALSE)</f>
        <v>0</v>
      </c>
      <c r="K66" s="209">
        <f>VLOOKUP($B66,'2017'!$A$5:$Q$1425,COUNTA(Upload!$E$3:K$3)+2,FALSE)</f>
        <v>0</v>
      </c>
      <c r="L66" s="209">
        <f>VLOOKUP($B66,'2017'!$A$5:$Q$1425,COUNTA(Upload!$E$3:L$3)+2,FALSE)</f>
        <v>0</v>
      </c>
      <c r="M66" s="209">
        <f>VLOOKUP($B66,'2017'!$A$5:$Q$1425,COUNTA(Upload!$E$3:M$3)+2,FALSE)</f>
        <v>0</v>
      </c>
      <c r="N66" s="209">
        <f>VLOOKUP($B66,'2017'!$A$5:$Q$1425,COUNTA(Upload!$E$3:N$3)+2,FALSE)</f>
        <v>0</v>
      </c>
      <c r="O66" s="209">
        <f>VLOOKUP($B66,'2017'!$A$5:$Q$1425,COUNTA(Upload!$E$3:O$3)+2,FALSE)</f>
        <v>0</v>
      </c>
      <c r="P66" s="209">
        <f>VLOOKUP($B66,'2017'!$A$5:$Q$1425,COUNTA(Upload!$E$3:P$3)+2,FALSE)</f>
        <v>0</v>
      </c>
      <c r="S66" s="5"/>
      <c r="T66" s="161"/>
    </row>
    <row r="67" spans="1:20" s="118" customFormat="1" ht="10.5" customHeight="1">
      <c r="A67" s="207" t="s">
        <v>70</v>
      </c>
      <c r="B67" s="412" t="s">
        <v>1196</v>
      </c>
      <c r="C67" s="208" t="str">
        <f>+Setup!$B$21</f>
        <v>WC-PropName</v>
      </c>
      <c r="D67" s="208"/>
      <c r="E67" s="209">
        <f>VLOOKUP($B67,'2017'!$A$5:$Q$1425,COUNTA(Upload!$E$3:E$3)+2,FALSE)</f>
        <v>0</v>
      </c>
      <c r="F67" s="209">
        <f>VLOOKUP($B67,'2017'!$A$5:$Q$1425,COUNTA(Upload!$E$3:F$3)+2,FALSE)</f>
        <v>0</v>
      </c>
      <c r="G67" s="209">
        <f>VLOOKUP($B67,'2017'!$A$5:$Q$1425,COUNTA(Upload!$E$3:G$3)+2,FALSE)</f>
        <v>0</v>
      </c>
      <c r="H67" s="209">
        <f>VLOOKUP($B67,'2017'!$A$5:$Q$1425,COUNTA(Upload!$E$3:H$3)+2,FALSE)</f>
        <v>0</v>
      </c>
      <c r="I67" s="209">
        <f>VLOOKUP($B67,'2017'!$A$5:$Q$1425,COUNTA(Upload!$E$3:I$3)+2,FALSE)</f>
        <v>0</v>
      </c>
      <c r="J67" s="209">
        <f>VLOOKUP($B67,'2017'!$A$5:$Q$1425,COUNTA(Upload!$E$3:J$3)+2,FALSE)</f>
        <v>0</v>
      </c>
      <c r="K67" s="209">
        <f>VLOOKUP($B67,'2017'!$A$5:$Q$1425,COUNTA(Upload!$E$3:K$3)+2,FALSE)</f>
        <v>0</v>
      </c>
      <c r="L67" s="209">
        <f>VLOOKUP($B67,'2017'!$A$5:$Q$1425,COUNTA(Upload!$E$3:L$3)+2,FALSE)</f>
        <v>0</v>
      </c>
      <c r="M67" s="209">
        <f>VLOOKUP($B67,'2017'!$A$5:$Q$1425,COUNTA(Upload!$E$3:M$3)+2,FALSE)</f>
        <v>0</v>
      </c>
      <c r="N67" s="209">
        <f>VLOOKUP($B67,'2017'!$A$5:$Q$1425,COUNTA(Upload!$E$3:N$3)+2,FALSE)</f>
        <v>0</v>
      </c>
      <c r="O67" s="209">
        <f>VLOOKUP($B67,'2017'!$A$5:$Q$1425,COUNTA(Upload!$E$3:O$3)+2,FALSE)</f>
        <v>0</v>
      </c>
      <c r="P67" s="209">
        <f>VLOOKUP($B67,'2017'!$A$5:$Q$1425,COUNTA(Upload!$E$3:P$3)+2,FALSE)</f>
        <v>0</v>
      </c>
      <c r="S67" s="5"/>
      <c r="T67" s="161"/>
    </row>
    <row r="68" spans="1:20" s="118" customFormat="1" ht="10.5" customHeight="1">
      <c r="A68" s="207" t="s">
        <v>70</v>
      </c>
      <c r="B68" s="412" t="s">
        <v>1197</v>
      </c>
      <c r="C68" s="208" t="str">
        <f>+Setup!$B$21</f>
        <v>WC-PropName</v>
      </c>
      <c r="D68" s="208"/>
      <c r="E68" s="209">
        <f>VLOOKUP($B68,'2017'!$A$5:$Q$1425,COUNTA(Upload!$E$3:E$3)+2,FALSE)</f>
        <v>0</v>
      </c>
      <c r="F68" s="209">
        <f>VLOOKUP($B68,'2017'!$A$5:$Q$1425,COUNTA(Upload!$E$3:F$3)+2,FALSE)</f>
        <v>0</v>
      </c>
      <c r="G68" s="209">
        <f>VLOOKUP($B68,'2017'!$A$5:$Q$1425,COUNTA(Upload!$E$3:G$3)+2,FALSE)</f>
        <v>0</v>
      </c>
      <c r="H68" s="209">
        <f>VLOOKUP($B68,'2017'!$A$5:$Q$1425,COUNTA(Upload!$E$3:H$3)+2,FALSE)</f>
        <v>0</v>
      </c>
      <c r="I68" s="209">
        <f>VLOOKUP($B68,'2017'!$A$5:$Q$1425,COUNTA(Upload!$E$3:I$3)+2,FALSE)</f>
        <v>0</v>
      </c>
      <c r="J68" s="209">
        <f>VLOOKUP($B68,'2017'!$A$5:$Q$1425,COUNTA(Upload!$E$3:J$3)+2,FALSE)</f>
        <v>0</v>
      </c>
      <c r="K68" s="209">
        <f>VLOOKUP($B68,'2017'!$A$5:$Q$1425,COUNTA(Upload!$E$3:K$3)+2,FALSE)</f>
        <v>0</v>
      </c>
      <c r="L68" s="209">
        <f>VLOOKUP($B68,'2017'!$A$5:$Q$1425,COUNTA(Upload!$E$3:L$3)+2,FALSE)</f>
        <v>0</v>
      </c>
      <c r="M68" s="209">
        <f>VLOOKUP($B68,'2017'!$A$5:$Q$1425,COUNTA(Upload!$E$3:M$3)+2,FALSE)</f>
        <v>0</v>
      </c>
      <c r="N68" s="209">
        <f>VLOOKUP($B68,'2017'!$A$5:$Q$1425,COUNTA(Upload!$E$3:N$3)+2,FALSE)</f>
        <v>0</v>
      </c>
      <c r="O68" s="209">
        <f>VLOOKUP($B68,'2017'!$A$5:$Q$1425,COUNTA(Upload!$E$3:O$3)+2,FALSE)</f>
        <v>0</v>
      </c>
      <c r="P68" s="209">
        <f>VLOOKUP($B68,'2017'!$A$5:$Q$1425,COUNTA(Upload!$E$3:P$3)+2,FALSE)</f>
        <v>0</v>
      </c>
      <c r="S68" s="5"/>
      <c r="T68" s="161"/>
    </row>
    <row r="69" spans="1:20" s="118" customFormat="1" ht="10.5" customHeight="1">
      <c r="A69" s="207" t="s">
        <v>70</v>
      </c>
      <c r="B69" s="412" t="s">
        <v>1198</v>
      </c>
      <c r="C69" s="208" t="str">
        <f>+Setup!$B$21</f>
        <v>WC-PropName</v>
      </c>
      <c r="D69" s="208"/>
      <c r="E69" s="209">
        <f>VLOOKUP($B69,'2017'!$A$5:$Q$1425,COUNTA(Upload!$E$3:E$3)+2,FALSE)</f>
        <v>0</v>
      </c>
      <c r="F69" s="209">
        <f>VLOOKUP($B69,'2017'!$A$5:$Q$1425,COUNTA(Upload!$E$3:F$3)+2,FALSE)</f>
        <v>0</v>
      </c>
      <c r="G69" s="209">
        <f>VLOOKUP($B69,'2017'!$A$5:$Q$1425,COUNTA(Upload!$E$3:G$3)+2,FALSE)</f>
        <v>0</v>
      </c>
      <c r="H69" s="209">
        <f>VLOOKUP($B69,'2017'!$A$5:$Q$1425,COUNTA(Upload!$E$3:H$3)+2,FALSE)</f>
        <v>0</v>
      </c>
      <c r="I69" s="209">
        <f>VLOOKUP($B69,'2017'!$A$5:$Q$1425,COUNTA(Upload!$E$3:I$3)+2,FALSE)</f>
        <v>0</v>
      </c>
      <c r="J69" s="209">
        <f>VLOOKUP($B69,'2017'!$A$5:$Q$1425,COUNTA(Upload!$E$3:J$3)+2,FALSE)</f>
        <v>0</v>
      </c>
      <c r="K69" s="209">
        <f>VLOOKUP($B69,'2017'!$A$5:$Q$1425,COUNTA(Upload!$E$3:K$3)+2,FALSE)</f>
        <v>0</v>
      </c>
      <c r="L69" s="209">
        <f>VLOOKUP($B69,'2017'!$A$5:$Q$1425,COUNTA(Upload!$E$3:L$3)+2,FALSE)</f>
        <v>0</v>
      </c>
      <c r="M69" s="209">
        <f>VLOOKUP($B69,'2017'!$A$5:$Q$1425,COUNTA(Upload!$E$3:M$3)+2,FALSE)</f>
        <v>0</v>
      </c>
      <c r="N69" s="209">
        <f>VLOOKUP($B69,'2017'!$A$5:$Q$1425,COUNTA(Upload!$E$3:N$3)+2,FALSE)</f>
        <v>0</v>
      </c>
      <c r="O69" s="209">
        <f>VLOOKUP($B69,'2017'!$A$5:$Q$1425,COUNTA(Upload!$E$3:O$3)+2,FALSE)</f>
        <v>0</v>
      </c>
      <c r="P69" s="209">
        <f>VLOOKUP($B69,'2017'!$A$5:$Q$1425,COUNTA(Upload!$E$3:P$3)+2,FALSE)</f>
        <v>0</v>
      </c>
      <c r="S69" s="5"/>
      <c r="T69" s="161"/>
    </row>
    <row r="70" spans="1:20" s="118" customFormat="1" ht="10.5" customHeight="1">
      <c r="A70" s="207" t="s">
        <v>70</v>
      </c>
      <c r="B70" s="412" t="s">
        <v>1199</v>
      </c>
      <c r="C70" s="208" t="str">
        <f>+Setup!$B$21</f>
        <v>WC-PropName</v>
      </c>
      <c r="D70" s="208"/>
      <c r="E70" s="209">
        <f>VLOOKUP($B70,'2017'!$A$5:$Q$1425,COUNTA(Upload!$E$3:E$3)+2,FALSE)</f>
        <v>0</v>
      </c>
      <c r="F70" s="209">
        <f>VLOOKUP($B70,'2017'!$A$5:$Q$1425,COUNTA(Upload!$E$3:F$3)+2,FALSE)</f>
        <v>0</v>
      </c>
      <c r="G70" s="209">
        <f>VLOOKUP($B70,'2017'!$A$5:$Q$1425,COUNTA(Upload!$E$3:G$3)+2,FALSE)</f>
        <v>0</v>
      </c>
      <c r="H70" s="209">
        <f>VLOOKUP($B70,'2017'!$A$5:$Q$1425,COUNTA(Upload!$E$3:H$3)+2,FALSE)</f>
        <v>0</v>
      </c>
      <c r="I70" s="209">
        <f>VLOOKUP($B70,'2017'!$A$5:$Q$1425,COUNTA(Upload!$E$3:I$3)+2,FALSE)</f>
        <v>0</v>
      </c>
      <c r="J70" s="209">
        <f>VLOOKUP($B70,'2017'!$A$5:$Q$1425,COUNTA(Upload!$E$3:J$3)+2,FALSE)</f>
        <v>0</v>
      </c>
      <c r="K70" s="209">
        <f>VLOOKUP($B70,'2017'!$A$5:$Q$1425,COUNTA(Upload!$E$3:K$3)+2,FALSE)</f>
        <v>0</v>
      </c>
      <c r="L70" s="209">
        <f>VLOOKUP($B70,'2017'!$A$5:$Q$1425,COUNTA(Upload!$E$3:L$3)+2,FALSE)</f>
        <v>0</v>
      </c>
      <c r="M70" s="209">
        <f>VLOOKUP($B70,'2017'!$A$5:$Q$1425,COUNTA(Upload!$E$3:M$3)+2,FALSE)</f>
        <v>0</v>
      </c>
      <c r="N70" s="209">
        <f>VLOOKUP($B70,'2017'!$A$5:$Q$1425,COUNTA(Upload!$E$3:N$3)+2,FALSE)</f>
        <v>0</v>
      </c>
      <c r="O70" s="209">
        <f>VLOOKUP($B70,'2017'!$A$5:$Q$1425,COUNTA(Upload!$E$3:O$3)+2,FALSE)</f>
        <v>0</v>
      </c>
      <c r="P70" s="209">
        <f>VLOOKUP($B70,'2017'!$A$5:$Q$1425,COUNTA(Upload!$E$3:P$3)+2,FALSE)</f>
        <v>0</v>
      </c>
      <c r="S70" s="5"/>
      <c r="T70" s="161"/>
    </row>
    <row r="71" spans="1:20" s="118" customFormat="1" ht="10.5" customHeight="1">
      <c r="A71" s="207" t="s">
        <v>70</v>
      </c>
      <c r="B71" s="412" t="s">
        <v>1200</v>
      </c>
      <c r="C71" s="208" t="str">
        <f>+Setup!$B$21</f>
        <v>WC-PropName</v>
      </c>
      <c r="D71" s="208"/>
      <c r="E71" s="209">
        <f>VLOOKUP($B71,'2017'!$A$5:$Q$1425,COUNTA(Upload!$E$3:E$3)+2,FALSE)</f>
        <v>4712.25</v>
      </c>
      <c r="F71" s="209">
        <f>VLOOKUP($B71,'2017'!$A$5:$Q$1425,COUNTA(Upload!$E$3:F$3)+2,FALSE)</f>
        <v>4712.25</v>
      </c>
      <c r="G71" s="209">
        <f>VLOOKUP($B71,'2017'!$A$5:$Q$1425,COUNTA(Upload!$E$3:G$3)+2,FALSE)</f>
        <v>4712.25</v>
      </c>
      <c r="H71" s="209">
        <f>VLOOKUP($B71,'2017'!$A$5:$Q$1425,COUNTA(Upload!$E$3:H$3)+2,FALSE)</f>
        <v>4712.25</v>
      </c>
      <c r="I71" s="209">
        <f>VLOOKUP($B71,'2017'!$A$5:$Q$1425,COUNTA(Upload!$E$3:I$3)+2,FALSE)</f>
        <v>4712.25</v>
      </c>
      <c r="J71" s="209">
        <f>VLOOKUP($B71,'2017'!$A$5:$Q$1425,COUNTA(Upload!$E$3:J$3)+2,FALSE)</f>
        <v>4712.25</v>
      </c>
      <c r="K71" s="209">
        <f>VLOOKUP($B71,'2017'!$A$5:$Q$1425,COUNTA(Upload!$E$3:K$3)+2,FALSE)</f>
        <v>4712.25</v>
      </c>
      <c r="L71" s="209">
        <f>VLOOKUP($B71,'2017'!$A$5:$Q$1425,COUNTA(Upload!$E$3:L$3)+2,FALSE)</f>
        <v>4712.25</v>
      </c>
      <c r="M71" s="209">
        <f>VLOOKUP($B71,'2017'!$A$5:$Q$1425,COUNTA(Upload!$E$3:M$3)+2,FALSE)</f>
        <v>4712.25</v>
      </c>
      <c r="N71" s="209">
        <f>VLOOKUP($B71,'2017'!$A$5:$Q$1425,COUNTA(Upload!$E$3:N$3)+2,FALSE)</f>
        <v>4712.25</v>
      </c>
      <c r="O71" s="209">
        <f>VLOOKUP($B71,'2017'!$A$5:$Q$1425,COUNTA(Upload!$E$3:O$3)+2,FALSE)</f>
        <v>4712.25</v>
      </c>
      <c r="P71" s="209">
        <f>VLOOKUP($B71,'2017'!$A$5:$Q$1425,COUNTA(Upload!$E$3:P$3)+2,FALSE)</f>
        <v>4712.25</v>
      </c>
      <c r="S71" s="5"/>
      <c r="T71" s="161"/>
    </row>
    <row r="72" spans="1:20" s="118" customFormat="1" ht="10.5" customHeight="1">
      <c r="A72" s="207" t="s">
        <v>70</v>
      </c>
      <c r="B72" s="412" t="s">
        <v>1202</v>
      </c>
      <c r="C72" s="208" t="str">
        <f>+Setup!$B$21</f>
        <v>WC-PropName</v>
      </c>
      <c r="D72" s="208"/>
      <c r="E72" s="209">
        <f>VLOOKUP($B72,'2017'!$A$5:$Q$1425,COUNTA(Upload!$E$3:E$3)+2,FALSE)</f>
        <v>0</v>
      </c>
      <c r="F72" s="209">
        <f>VLOOKUP($B72,'2017'!$A$5:$Q$1425,COUNTA(Upload!$E$3:F$3)+2,FALSE)</f>
        <v>0</v>
      </c>
      <c r="G72" s="209">
        <f>VLOOKUP($B72,'2017'!$A$5:$Q$1425,COUNTA(Upload!$E$3:G$3)+2,FALSE)</f>
        <v>0</v>
      </c>
      <c r="H72" s="209">
        <f>VLOOKUP($B72,'2017'!$A$5:$Q$1425,COUNTA(Upload!$E$3:H$3)+2,FALSE)</f>
        <v>0</v>
      </c>
      <c r="I72" s="209">
        <f>VLOOKUP($B72,'2017'!$A$5:$Q$1425,COUNTA(Upload!$E$3:I$3)+2,FALSE)</f>
        <v>0</v>
      </c>
      <c r="J72" s="209">
        <f>VLOOKUP($B72,'2017'!$A$5:$Q$1425,COUNTA(Upload!$E$3:J$3)+2,FALSE)</f>
        <v>0</v>
      </c>
      <c r="K72" s="209">
        <f>VLOOKUP($B72,'2017'!$A$5:$Q$1425,COUNTA(Upload!$E$3:K$3)+2,FALSE)</f>
        <v>0</v>
      </c>
      <c r="L72" s="209">
        <f>VLOOKUP($B72,'2017'!$A$5:$Q$1425,COUNTA(Upload!$E$3:L$3)+2,FALSE)</f>
        <v>0</v>
      </c>
      <c r="M72" s="209">
        <f>VLOOKUP($B72,'2017'!$A$5:$Q$1425,COUNTA(Upload!$E$3:M$3)+2,FALSE)</f>
        <v>0</v>
      </c>
      <c r="N72" s="209">
        <f>VLOOKUP($B72,'2017'!$A$5:$Q$1425,COUNTA(Upload!$E$3:N$3)+2,FALSE)</f>
        <v>0</v>
      </c>
      <c r="O72" s="209">
        <f>VLOOKUP($B72,'2017'!$A$5:$Q$1425,COUNTA(Upload!$E$3:O$3)+2,FALSE)</f>
        <v>0</v>
      </c>
      <c r="P72" s="209">
        <f>VLOOKUP($B72,'2017'!$A$5:$Q$1425,COUNTA(Upload!$E$3:P$3)+2,FALSE)</f>
        <v>0</v>
      </c>
      <c r="S72" s="5"/>
      <c r="T72" s="161"/>
    </row>
    <row r="73" spans="1:20" s="118" customFormat="1" ht="10.5" customHeight="1">
      <c r="A73" s="207" t="s">
        <v>70</v>
      </c>
      <c r="B73" s="412" t="s">
        <v>1203</v>
      </c>
      <c r="C73" s="208" t="str">
        <f>+Setup!$B$21</f>
        <v>WC-PropName</v>
      </c>
      <c r="D73" s="208"/>
      <c r="E73" s="209">
        <f>VLOOKUP($B73,'2017'!$A$5:$Q$1425,COUNTA(Upload!$E$3:E$3)+2,FALSE)</f>
        <v>0</v>
      </c>
      <c r="F73" s="209">
        <f>VLOOKUP($B73,'2017'!$A$5:$Q$1425,COUNTA(Upload!$E$3:F$3)+2,FALSE)</f>
        <v>0</v>
      </c>
      <c r="G73" s="209">
        <f>VLOOKUP($B73,'2017'!$A$5:$Q$1425,COUNTA(Upload!$E$3:G$3)+2,FALSE)</f>
        <v>0</v>
      </c>
      <c r="H73" s="209">
        <f>VLOOKUP($B73,'2017'!$A$5:$Q$1425,COUNTA(Upload!$E$3:H$3)+2,FALSE)</f>
        <v>0</v>
      </c>
      <c r="I73" s="209">
        <f>VLOOKUP($B73,'2017'!$A$5:$Q$1425,COUNTA(Upload!$E$3:I$3)+2,FALSE)</f>
        <v>0</v>
      </c>
      <c r="J73" s="209">
        <f>VLOOKUP($B73,'2017'!$A$5:$Q$1425,COUNTA(Upload!$E$3:J$3)+2,FALSE)</f>
        <v>0</v>
      </c>
      <c r="K73" s="209">
        <f>VLOOKUP($B73,'2017'!$A$5:$Q$1425,COUNTA(Upload!$E$3:K$3)+2,FALSE)</f>
        <v>0</v>
      </c>
      <c r="L73" s="209">
        <f>VLOOKUP($B73,'2017'!$A$5:$Q$1425,COUNTA(Upload!$E$3:L$3)+2,FALSE)</f>
        <v>0</v>
      </c>
      <c r="M73" s="209">
        <f>VLOOKUP($B73,'2017'!$A$5:$Q$1425,COUNTA(Upload!$E$3:M$3)+2,FALSE)</f>
        <v>0</v>
      </c>
      <c r="N73" s="209">
        <f>VLOOKUP($B73,'2017'!$A$5:$Q$1425,COUNTA(Upload!$E$3:N$3)+2,FALSE)</f>
        <v>0</v>
      </c>
      <c r="O73" s="209">
        <f>VLOOKUP($B73,'2017'!$A$5:$Q$1425,COUNTA(Upload!$E$3:O$3)+2,FALSE)</f>
        <v>0</v>
      </c>
      <c r="P73" s="209">
        <f>VLOOKUP($B73,'2017'!$A$5:$Q$1425,COUNTA(Upload!$E$3:P$3)+2,FALSE)</f>
        <v>0</v>
      </c>
      <c r="S73" s="5"/>
      <c r="T73" s="161"/>
    </row>
    <row r="74" spans="1:20" s="118" customFormat="1" ht="10.5" customHeight="1">
      <c r="A74" s="207" t="s">
        <v>70</v>
      </c>
      <c r="B74" s="412" t="s">
        <v>1204</v>
      </c>
      <c r="C74" s="208" t="str">
        <f>+Setup!$B$21</f>
        <v>WC-PropName</v>
      </c>
      <c r="D74" s="208"/>
      <c r="E74" s="209">
        <f>VLOOKUP($B74,'2017'!$A$5:$Q$1425,COUNTA(Upload!$E$3:E$3)+2,FALSE)</f>
        <v>0</v>
      </c>
      <c r="F74" s="209">
        <f>VLOOKUP($B74,'2017'!$A$5:$Q$1425,COUNTA(Upload!$E$3:F$3)+2,FALSE)</f>
        <v>0</v>
      </c>
      <c r="G74" s="209">
        <f>VLOOKUP($B74,'2017'!$A$5:$Q$1425,COUNTA(Upload!$E$3:G$3)+2,FALSE)</f>
        <v>0</v>
      </c>
      <c r="H74" s="209">
        <f>VLOOKUP($B74,'2017'!$A$5:$Q$1425,COUNTA(Upload!$E$3:H$3)+2,FALSE)</f>
        <v>0</v>
      </c>
      <c r="I74" s="209">
        <f>VLOOKUP($B74,'2017'!$A$5:$Q$1425,COUNTA(Upload!$E$3:I$3)+2,FALSE)</f>
        <v>0</v>
      </c>
      <c r="J74" s="209">
        <f>VLOOKUP($B74,'2017'!$A$5:$Q$1425,COUNTA(Upload!$E$3:J$3)+2,FALSE)</f>
        <v>0</v>
      </c>
      <c r="K74" s="209">
        <f>VLOOKUP($B74,'2017'!$A$5:$Q$1425,COUNTA(Upload!$E$3:K$3)+2,FALSE)</f>
        <v>0</v>
      </c>
      <c r="L74" s="209">
        <f>VLOOKUP($B74,'2017'!$A$5:$Q$1425,COUNTA(Upload!$E$3:L$3)+2,FALSE)</f>
        <v>0</v>
      </c>
      <c r="M74" s="209">
        <f>VLOOKUP($B74,'2017'!$A$5:$Q$1425,COUNTA(Upload!$E$3:M$3)+2,FALSE)</f>
        <v>0</v>
      </c>
      <c r="N74" s="209">
        <f>VLOOKUP($B74,'2017'!$A$5:$Q$1425,COUNTA(Upload!$E$3:N$3)+2,FALSE)</f>
        <v>0</v>
      </c>
      <c r="O74" s="209">
        <f>VLOOKUP($B74,'2017'!$A$5:$Q$1425,COUNTA(Upload!$E$3:O$3)+2,FALSE)</f>
        <v>0</v>
      </c>
      <c r="P74" s="209">
        <f>VLOOKUP($B74,'2017'!$A$5:$Q$1425,COUNTA(Upload!$E$3:P$3)+2,FALSE)</f>
        <v>0</v>
      </c>
      <c r="S74" s="5"/>
      <c r="T74" s="161"/>
    </row>
    <row r="75" spans="1:20" s="118" customFormat="1" ht="10.5" customHeight="1">
      <c r="A75" s="207" t="s">
        <v>70</v>
      </c>
      <c r="B75" s="412" t="s">
        <v>1205</v>
      </c>
      <c r="C75" s="208" t="str">
        <f>+Setup!$B$21</f>
        <v>WC-PropName</v>
      </c>
      <c r="D75" s="208"/>
      <c r="E75" s="209">
        <f>VLOOKUP($B75,'2017'!$A$5:$Q$1425,COUNTA(Upload!$E$3:E$3)+2,FALSE)</f>
        <v>0</v>
      </c>
      <c r="F75" s="209">
        <f>VLOOKUP($B75,'2017'!$A$5:$Q$1425,COUNTA(Upload!$E$3:F$3)+2,FALSE)</f>
        <v>0</v>
      </c>
      <c r="G75" s="209">
        <f>VLOOKUP($B75,'2017'!$A$5:$Q$1425,COUNTA(Upload!$E$3:G$3)+2,FALSE)</f>
        <v>0</v>
      </c>
      <c r="H75" s="209">
        <f>VLOOKUP($B75,'2017'!$A$5:$Q$1425,COUNTA(Upload!$E$3:H$3)+2,FALSE)</f>
        <v>0</v>
      </c>
      <c r="I75" s="209">
        <f>VLOOKUP($B75,'2017'!$A$5:$Q$1425,COUNTA(Upload!$E$3:I$3)+2,FALSE)</f>
        <v>0</v>
      </c>
      <c r="J75" s="209">
        <f>VLOOKUP($B75,'2017'!$A$5:$Q$1425,COUNTA(Upload!$E$3:J$3)+2,FALSE)</f>
        <v>0</v>
      </c>
      <c r="K75" s="209">
        <f>VLOOKUP($B75,'2017'!$A$5:$Q$1425,COUNTA(Upload!$E$3:K$3)+2,FALSE)</f>
        <v>0</v>
      </c>
      <c r="L75" s="209">
        <f>VLOOKUP($B75,'2017'!$A$5:$Q$1425,COUNTA(Upload!$E$3:L$3)+2,FALSE)</f>
        <v>0</v>
      </c>
      <c r="M75" s="209">
        <f>VLOOKUP($B75,'2017'!$A$5:$Q$1425,COUNTA(Upload!$E$3:M$3)+2,FALSE)</f>
        <v>0</v>
      </c>
      <c r="N75" s="209">
        <f>VLOOKUP($B75,'2017'!$A$5:$Q$1425,COUNTA(Upload!$E$3:N$3)+2,FALSE)</f>
        <v>0</v>
      </c>
      <c r="O75" s="209">
        <f>VLOOKUP($B75,'2017'!$A$5:$Q$1425,COUNTA(Upload!$E$3:O$3)+2,FALSE)</f>
        <v>0</v>
      </c>
      <c r="P75" s="209">
        <f>VLOOKUP($B75,'2017'!$A$5:$Q$1425,COUNTA(Upload!$E$3:P$3)+2,FALSE)</f>
        <v>0</v>
      </c>
      <c r="S75" s="5"/>
      <c r="T75" s="161"/>
    </row>
    <row r="76" spans="1:20" s="118" customFormat="1" ht="10.5" customHeight="1">
      <c r="A76" s="207" t="s">
        <v>70</v>
      </c>
      <c r="B76" s="412" t="s">
        <v>1206</v>
      </c>
      <c r="C76" s="208" t="str">
        <f>+Setup!$B$21</f>
        <v>WC-PropName</v>
      </c>
      <c r="D76" s="208"/>
      <c r="E76" s="209">
        <f>VLOOKUP($B76,'2017'!$A$5:$Q$1425,COUNTA(Upload!$E$3:E$3)+2,FALSE)</f>
        <v>0</v>
      </c>
      <c r="F76" s="209">
        <f>VLOOKUP($B76,'2017'!$A$5:$Q$1425,COUNTA(Upload!$E$3:F$3)+2,FALSE)</f>
        <v>0</v>
      </c>
      <c r="G76" s="209">
        <f>VLOOKUP($B76,'2017'!$A$5:$Q$1425,COUNTA(Upload!$E$3:G$3)+2,FALSE)</f>
        <v>0</v>
      </c>
      <c r="H76" s="209">
        <f>VLOOKUP($B76,'2017'!$A$5:$Q$1425,COUNTA(Upload!$E$3:H$3)+2,FALSE)</f>
        <v>0</v>
      </c>
      <c r="I76" s="209">
        <f>VLOOKUP($B76,'2017'!$A$5:$Q$1425,COUNTA(Upload!$E$3:I$3)+2,FALSE)</f>
        <v>0</v>
      </c>
      <c r="J76" s="209">
        <f>VLOOKUP($B76,'2017'!$A$5:$Q$1425,COUNTA(Upload!$E$3:J$3)+2,FALSE)</f>
        <v>0</v>
      </c>
      <c r="K76" s="209">
        <f>VLOOKUP($B76,'2017'!$A$5:$Q$1425,COUNTA(Upload!$E$3:K$3)+2,FALSE)</f>
        <v>0</v>
      </c>
      <c r="L76" s="209">
        <f>VLOOKUP($B76,'2017'!$A$5:$Q$1425,COUNTA(Upload!$E$3:L$3)+2,FALSE)</f>
        <v>0</v>
      </c>
      <c r="M76" s="209">
        <f>VLOOKUP($B76,'2017'!$A$5:$Q$1425,COUNTA(Upload!$E$3:M$3)+2,FALSE)</f>
        <v>0</v>
      </c>
      <c r="N76" s="209">
        <f>VLOOKUP($B76,'2017'!$A$5:$Q$1425,COUNTA(Upload!$E$3:N$3)+2,FALSE)</f>
        <v>0</v>
      </c>
      <c r="O76" s="209">
        <f>VLOOKUP($B76,'2017'!$A$5:$Q$1425,COUNTA(Upload!$E$3:O$3)+2,FALSE)</f>
        <v>0</v>
      </c>
      <c r="P76" s="209">
        <f>VLOOKUP($B76,'2017'!$A$5:$Q$1425,COUNTA(Upload!$E$3:P$3)+2,FALSE)</f>
        <v>0</v>
      </c>
      <c r="S76" s="5"/>
      <c r="T76" s="161"/>
    </row>
    <row r="77" spans="1:20" s="118" customFormat="1" ht="10.5" customHeight="1">
      <c r="A77" s="207" t="s">
        <v>70</v>
      </c>
      <c r="B77" s="412" t="s">
        <v>1207</v>
      </c>
      <c r="C77" s="208" t="str">
        <f>+Setup!$B$21</f>
        <v>WC-PropName</v>
      </c>
      <c r="D77" s="208"/>
      <c r="E77" s="209">
        <f>VLOOKUP($B77,'2017'!$A$5:$Q$1425,COUNTA(Upload!$E$3:E$3)+2,FALSE)</f>
        <v>0</v>
      </c>
      <c r="F77" s="209">
        <f>VLOOKUP($B77,'2017'!$A$5:$Q$1425,COUNTA(Upload!$E$3:F$3)+2,FALSE)</f>
        <v>0</v>
      </c>
      <c r="G77" s="209">
        <f>VLOOKUP($B77,'2017'!$A$5:$Q$1425,COUNTA(Upload!$E$3:G$3)+2,FALSE)</f>
        <v>0</v>
      </c>
      <c r="H77" s="209">
        <f>VLOOKUP($B77,'2017'!$A$5:$Q$1425,COUNTA(Upload!$E$3:H$3)+2,FALSE)</f>
        <v>0</v>
      </c>
      <c r="I77" s="209">
        <f>VLOOKUP($B77,'2017'!$A$5:$Q$1425,COUNTA(Upload!$E$3:I$3)+2,FALSE)</f>
        <v>0</v>
      </c>
      <c r="J77" s="209">
        <f>VLOOKUP($B77,'2017'!$A$5:$Q$1425,COUNTA(Upload!$E$3:J$3)+2,FALSE)</f>
        <v>0</v>
      </c>
      <c r="K77" s="209">
        <f>VLOOKUP($B77,'2017'!$A$5:$Q$1425,COUNTA(Upload!$E$3:K$3)+2,FALSE)</f>
        <v>0</v>
      </c>
      <c r="L77" s="209">
        <f>VLOOKUP($B77,'2017'!$A$5:$Q$1425,COUNTA(Upload!$E$3:L$3)+2,FALSE)</f>
        <v>0</v>
      </c>
      <c r="M77" s="209">
        <f>VLOOKUP($B77,'2017'!$A$5:$Q$1425,COUNTA(Upload!$E$3:M$3)+2,FALSE)</f>
        <v>0</v>
      </c>
      <c r="N77" s="209">
        <f>VLOOKUP($B77,'2017'!$A$5:$Q$1425,COUNTA(Upload!$E$3:N$3)+2,FALSE)</f>
        <v>0</v>
      </c>
      <c r="O77" s="209">
        <f>VLOOKUP($B77,'2017'!$A$5:$Q$1425,COUNTA(Upload!$E$3:O$3)+2,FALSE)</f>
        <v>0</v>
      </c>
      <c r="P77" s="209">
        <f>VLOOKUP($B77,'2017'!$A$5:$Q$1425,COUNTA(Upload!$E$3:P$3)+2,FALSE)</f>
        <v>0</v>
      </c>
      <c r="S77" s="5"/>
      <c r="T77" s="161"/>
    </row>
    <row r="78" spans="1:20" s="118" customFormat="1" ht="10.5" customHeight="1">
      <c r="A78" s="207" t="s">
        <v>70</v>
      </c>
      <c r="B78" s="412" t="s">
        <v>1208</v>
      </c>
      <c r="C78" s="208" t="str">
        <f>+Setup!$B$21</f>
        <v>WC-PropName</v>
      </c>
      <c r="D78" s="208"/>
      <c r="E78" s="209">
        <f>VLOOKUP($B78,'2017'!$A$5:$Q$1425,COUNTA(Upload!$E$3:E$3)+2,FALSE)</f>
        <v>33680.666666666664</v>
      </c>
      <c r="F78" s="209">
        <f>VLOOKUP($B78,'2017'!$A$5:$Q$1425,COUNTA(Upload!$E$3:F$3)+2,FALSE)</f>
        <v>33680.666666666664</v>
      </c>
      <c r="G78" s="209">
        <f>VLOOKUP($B78,'2017'!$A$5:$Q$1425,COUNTA(Upload!$E$3:G$3)+2,FALSE)</f>
        <v>33680.666666666664</v>
      </c>
      <c r="H78" s="209">
        <f>VLOOKUP($B78,'2017'!$A$5:$Q$1425,COUNTA(Upload!$E$3:H$3)+2,FALSE)</f>
        <v>33680.666666666664</v>
      </c>
      <c r="I78" s="209">
        <f>VLOOKUP($B78,'2017'!$A$5:$Q$1425,COUNTA(Upload!$E$3:I$3)+2,FALSE)</f>
        <v>33680.666666666664</v>
      </c>
      <c r="J78" s="209">
        <f>VLOOKUP($B78,'2017'!$A$5:$Q$1425,COUNTA(Upload!$E$3:J$3)+2,FALSE)</f>
        <v>33680.666666666664</v>
      </c>
      <c r="K78" s="209">
        <f>VLOOKUP($B78,'2017'!$A$5:$Q$1425,COUNTA(Upload!$E$3:K$3)+2,FALSE)</f>
        <v>33680.666666666664</v>
      </c>
      <c r="L78" s="209">
        <f>VLOOKUP($B78,'2017'!$A$5:$Q$1425,COUNTA(Upload!$E$3:L$3)+2,FALSE)</f>
        <v>33680.666666666664</v>
      </c>
      <c r="M78" s="209">
        <f>VLOOKUP($B78,'2017'!$A$5:$Q$1425,COUNTA(Upload!$E$3:M$3)+2,FALSE)</f>
        <v>33680.666666666664</v>
      </c>
      <c r="N78" s="209">
        <f>VLOOKUP($B78,'2017'!$A$5:$Q$1425,COUNTA(Upload!$E$3:N$3)+2,FALSE)</f>
        <v>33680.666666666664</v>
      </c>
      <c r="O78" s="209">
        <f>VLOOKUP($B78,'2017'!$A$5:$Q$1425,COUNTA(Upload!$E$3:O$3)+2,FALSE)</f>
        <v>33680.666666666664</v>
      </c>
      <c r="P78" s="209">
        <f>VLOOKUP($B78,'2017'!$A$5:$Q$1425,COUNTA(Upload!$E$3:P$3)+2,FALSE)</f>
        <v>33680.666666666664</v>
      </c>
      <c r="S78" s="5"/>
      <c r="T78" s="161"/>
    </row>
    <row r="79" spans="1:20" s="118" customFormat="1" ht="10.5" customHeight="1">
      <c r="A79" s="207" t="s">
        <v>70</v>
      </c>
      <c r="B79" s="412" t="s">
        <v>1210</v>
      </c>
      <c r="C79" s="208" t="str">
        <f>+Setup!$B$21</f>
        <v>WC-PropName</v>
      </c>
      <c r="D79" s="208"/>
      <c r="E79" s="209">
        <f>VLOOKUP($B79,'2017'!$A$5:$Q$1425,COUNTA(Upload!$E$3:E$3)+2,FALSE)</f>
        <v>0</v>
      </c>
      <c r="F79" s="209">
        <f>VLOOKUP($B79,'2017'!$A$5:$Q$1425,COUNTA(Upload!$E$3:F$3)+2,FALSE)</f>
        <v>0</v>
      </c>
      <c r="G79" s="209">
        <f>VLOOKUP($B79,'2017'!$A$5:$Q$1425,COUNTA(Upload!$E$3:G$3)+2,FALSE)</f>
        <v>0</v>
      </c>
      <c r="H79" s="209">
        <f>VLOOKUP($B79,'2017'!$A$5:$Q$1425,COUNTA(Upload!$E$3:H$3)+2,FALSE)</f>
        <v>0</v>
      </c>
      <c r="I79" s="209">
        <f>VLOOKUP($B79,'2017'!$A$5:$Q$1425,COUNTA(Upload!$E$3:I$3)+2,FALSE)</f>
        <v>0</v>
      </c>
      <c r="J79" s="209">
        <f>VLOOKUP($B79,'2017'!$A$5:$Q$1425,COUNTA(Upload!$E$3:J$3)+2,FALSE)</f>
        <v>0</v>
      </c>
      <c r="K79" s="209">
        <f>VLOOKUP($B79,'2017'!$A$5:$Q$1425,COUNTA(Upload!$E$3:K$3)+2,FALSE)</f>
        <v>0</v>
      </c>
      <c r="L79" s="209">
        <f>VLOOKUP($B79,'2017'!$A$5:$Q$1425,COUNTA(Upload!$E$3:L$3)+2,FALSE)</f>
        <v>0</v>
      </c>
      <c r="M79" s="209">
        <f>VLOOKUP($B79,'2017'!$A$5:$Q$1425,COUNTA(Upload!$E$3:M$3)+2,FALSE)</f>
        <v>0</v>
      </c>
      <c r="N79" s="209">
        <f>VLOOKUP($B79,'2017'!$A$5:$Q$1425,COUNTA(Upload!$E$3:N$3)+2,FALSE)</f>
        <v>0</v>
      </c>
      <c r="O79" s="209">
        <f>VLOOKUP($B79,'2017'!$A$5:$Q$1425,COUNTA(Upload!$E$3:O$3)+2,FALSE)</f>
        <v>0</v>
      </c>
      <c r="P79" s="209">
        <f>VLOOKUP($B79,'2017'!$A$5:$Q$1425,COUNTA(Upload!$E$3:P$3)+2,FALSE)</f>
        <v>0</v>
      </c>
      <c r="S79" s="5"/>
      <c r="T79" s="161"/>
    </row>
    <row r="80" spans="1:20" s="118" customFormat="1" ht="10.5" customHeight="1">
      <c r="A80" s="207" t="s">
        <v>70</v>
      </c>
      <c r="B80" s="412" t="s">
        <v>1224</v>
      </c>
      <c r="C80" s="208" t="str">
        <f>+Setup!$B$21</f>
        <v>WC-PropName</v>
      </c>
      <c r="D80" s="208"/>
      <c r="E80" s="209">
        <f>VLOOKUP($B80,'2017'!$A$5:$Q$1425,COUNTA(Upload!$E$3:E$3)+2,FALSE)</f>
        <v>0</v>
      </c>
      <c r="F80" s="209">
        <f>VLOOKUP($B80,'2017'!$A$5:$Q$1425,COUNTA(Upload!$E$3:F$3)+2,FALSE)</f>
        <v>0</v>
      </c>
      <c r="G80" s="209">
        <f>VLOOKUP($B80,'2017'!$A$5:$Q$1425,COUNTA(Upload!$E$3:G$3)+2,FALSE)</f>
        <v>0</v>
      </c>
      <c r="H80" s="209">
        <f>VLOOKUP($B80,'2017'!$A$5:$Q$1425,COUNTA(Upload!$E$3:H$3)+2,FALSE)</f>
        <v>0</v>
      </c>
      <c r="I80" s="209">
        <f>VLOOKUP($B80,'2017'!$A$5:$Q$1425,COUNTA(Upload!$E$3:I$3)+2,FALSE)</f>
        <v>0</v>
      </c>
      <c r="J80" s="209">
        <f>VLOOKUP($B80,'2017'!$A$5:$Q$1425,COUNTA(Upload!$E$3:J$3)+2,FALSE)</f>
        <v>0</v>
      </c>
      <c r="K80" s="209">
        <f>VLOOKUP($B80,'2017'!$A$5:$Q$1425,COUNTA(Upload!$E$3:K$3)+2,FALSE)</f>
        <v>0</v>
      </c>
      <c r="L80" s="209">
        <f>VLOOKUP($B80,'2017'!$A$5:$Q$1425,COUNTA(Upload!$E$3:L$3)+2,FALSE)</f>
        <v>0</v>
      </c>
      <c r="M80" s="209">
        <f>VLOOKUP($B80,'2017'!$A$5:$Q$1425,COUNTA(Upload!$E$3:M$3)+2,FALSE)</f>
        <v>0</v>
      </c>
      <c r="N80" s="209">
        <f>VLOOKUP($B80,'2017'!$A$5:$Q$1425,COUNTA(Upload!$E$3:N$3)+2,FALSE)</f>
        <v>0</v>
      </c>
      <c r="O80" s="209">
        <f>VLOOKUP($B80,'2017'!$A$5:$Q$1425,COUNTA(Upload!$E$3:O$3)+2,FALSE)</f>
        <v>0</v>
      </c>
      <c r="P80" s="209">
        <f>VLOOKUP($B80,'2017'!$A$5:$Q$1425,COUNTA(Upload!$E$3:P$3)+2,FALSE)</f>
        <v>0</v>
      </c>
      <c r="S80" s="5"/>
      <c r="T80" s="161"/>
    </row>
    <row r="81" spans="1:20" s="118" customFormat="1" ht="10.5" customHeight="1">
      <c r="A81" s="207" t="s">
        <v>70</v>
      </c>
      <c r="B81" s="412" t="s">
        <v>1226</v>
      </c>
      <c r="C81" s="208" t="str">
        <f>+Setup!$B$21</f>
        <v>WC-PropName</v>
      </c>
      <c r="D81" s="208"/>
      <c r="E81" s="209">
        <f>VLOOKUP($B81,'2017'!$A$5:$Q$1425,COUNTA(Upload!$E$3:E$3)+2,FALSE)</f>
        <v>0</v>
      </c>
      <c r="F81" s="209">
        <f>VLOOKUP($B81,'2017'!$A$5:$Q$1425,COUNTA(Upload!$E$3:F$3)+2,FALSE)</f>
        <v>0</v>
      </c>
      <c r="G81" s="209">
        <f>VLOOKUP($B81,'2017'!$A$5:$Q$1425,COUNTA(Upload!$E$3:G$3)+2,FALSE)</f>
        <v>0</v>
      </c>
      <c r="H81" s="209">
        <f>VLOOKUP($B81,'2017'!$A$5:$Q$1425,COUNTA(Upload!$E$3:H$3)+2,FALSE)</f>
        <v>0</v>
      </c>
      <c r="I81" s="209">
        <f>VLOOKUP($B81,'2017'!$A$5:$Q$1425,COUNTA(Upload!$E$3:I$3)+2,FALSE)</f>
        <v>0</v>
      </c>
      <c r="J81" s="209">
        <f>VLOOKUP($B81,'2017'!$A$5:$Q$1425,COUNTA(Upload!$E$3:J$3)+2,FALSE)</f>
        <v>0</v>
      </c>
      <c r="K81" s="209">
        <f>VLOOKUP($B81,'2017'!$A$5:$Q$1425,COUNTA(Upload!$E$3:K$3)+2,FALSE)</f>
        <v>0</v>
      </c>
      <c r="L81" s="209">
        <f>VLOOKUP($B81,'2017'!$A$5:$Q$1425,COUNTA(Upload!$E$3:L$3)+2,FALSE)</f>
        <v>0</v>
      </c>
      <c r="M81" s="209">
        <f>VLOOKUP($B81,'2017'!$A$5:$Q$1425,COUNTA(Upload!$E$3:M$3)+2,FALSE)</f>
        <v>0</v>
      </c>
      <c r="N81" s="209">
        <f>VLOOKUP($B81,'2017'!$A$5:$Q$1425,COUNTA(Upload!$E$3:N$3)+2,FALSE)</f>
        <v>0</v>
      </c>
      <c r="O81" s="209">
        <f>VLOOKUP($B81,'2017'!$A$5:$Q$1425,COUNTA(Upload!$E$3:O$3)+2,FALSE)</f>
        <v>0</v>
      </c>
      <c r="P81" s="209">
        <f>VLOOKUP($B81,'2017'!$A$5:$Q$1425,COUNTA(Upload!$E$3:P$3)+2,FALSE)</f>
        <v>0</v>
      </c>
      <c r="S81" s="5"/>
      <c r="T81" s="161"/>
    </row>
    <row r="82" spans="1:20" s="118" customFormat="1" ht="10.5" customHeight="1">
      <c r="A82" s="207" t="s">
        <v>70</v>
      </c>
      <c r="B82" s="412" t="s">
        <v>1228</v>
      </c>
      <c r="C82" s="208" t="str">
        <f>+Setup!$B$21</f>
        <v>WC-PropName</v>
      </c>
      <c r="D82" s="208"/>
      <c r="E82" s="209">
        <f>VLOOKUP($B82,'2017'!$A$5:$Q$1425,COUNTA(Upload!$E$3:E$3)+2,FALSE)</f>
        <v>0</v>
      </c>
      <c r="F82" s="209">
        <f>VLOOKUP($B82,'2017'!$A$5:$Q$1425,COUNTA(Upload!$E$3:F$3)+2,FALSE)</f>
        <v>0</v>
      </c>
      <c r="G82" s="209">
        <f>VLOOKUP($B82,'2017'!$A$5:$Q$1425,COUNTA(Upload!$E$3:G$3)+2,FALSE)</f>
        <v>0</v>
      </c>
      <c r="H82" s="209">
        <f>VLOOKUP($B82,'2017'!$A$5:$Q$1425,COUNTA(Upload!$E$3:H$3)+2,FALSE)</f>
        <v>0</v>
      </c>
      <c r="I82" s="209">
        <f>VLOOKUP($B82,'2017'!$A$5:$Q$1425,COUNTA(Upload!$E$3:I$3)+2,FALSE)</f>
        <v>0</v>
      </c>
      <c r="J82" s="209">
        <f>VLOOKUP($B82,'2017'!$A$5:$Q$1425,COUNTA(Upload!$E$3:J$3)+2,FALSE)</f>
        <v>0</v>
      </c>
      <c r="K82" s="209">
        <f>VLOOKUP($B82,'2017'!$A$5:$Q$1425,COUNTA(Upload!$E$3:K$3)+2,FALSE)</f>
        <v>0</v>
      </c>
      <c r="L82" s="209">
        <f>VLOOKUP($B82,'2017'!$A$5:$Q$1425,COUNTA(Upload!$E$3:L$3)+2,FALSE)</f>
        <v>0</v>
      </c>
      <c r="M82" s="209">
        <f>VLOOKUP($B82,'2017'!$A$5:$Q$1425,COUNTA(Upload!$E$3:M$3)+2,FALSE)</f>
        <v>0</v>
      </c>
      <c r="N82" s="209">
        <f>VLOOKUP($B82,'2017'!$A$5:$Q$1425,COUNTA(Upload!$E$3:N$3)+2,FALSE)</f>
        <v>0</v>
      </c>
      <c r="O82" s="209">
        <f>VLOOKUP($B82,'2017'!$A$5:$Q$1425,COUNTA(Upload!$E$3:O$3)+2,FALSE)</f>
        <v>0</v>
      </c>
      <c r="P82" s="209">
        <f>VLOOKUP($B82,'2017'!$A$5:$Q$1425,COUNTA(Upload!$E$3:P$3)+2,FALSE)</f>
        <v>0</v>
      </c>
      <c r="S82" s="5"/>
      <c r="T82" s="161"/>
    </row>
    <row r="83" spans="1:20" s="118" customFormat="1" ht="10.5" customHeight="1">
      <c r="A83" s="207" t="s">
        <v>70</v>
      </c>
      <c r="B83" s="412" t="s">
        <v>1229</v>
      </c>
      <c r="C83" s="208" t="str">
        <f>+Setup!$B$21</f>
        <v>WC-PropName</v>
      </c>
      <c r="D83" s="208"/>
      <c r="E83" s="209">
        <f>VLOOKUP($B83,'2017'!$A$5:$Q$1425,COUNTA(Upload!$E$3:E$3)+2,FALSE)</f>
        <v>0</v>
      </c>
      <c r="F83" s="209">
        <f>VLOOKUP($B83,'2017'!$A$5:$Q$1425,COUNTA(Upload!$E$3:F$3)+2,FALSE)</f>
        <v>0</v>
      </c>
      <c r="G83" s="209">
        <f>VLOOKUP($B83,'2017'!$A$5:$Q$1425,COUNTA(Upload!$E$3:G$3)+2,FALSE)</f>
        <v>0</v>
      </c>
      <c r="H83" s="209">
        <f>VLOOKUP($B83,'2017'!$A$5:$Q$1425,COUNTA(Upload!$E$3:H$3)+2,FALSE)</f>
        <v>0</v>
      </c>
      <c r="I83" s="209">
        <f>VLOOKUP($B83,'2017'!$A$5:$Q$1425,COUNTA(Upload!$E$3:I$3)+2,FALSE)</f>
        <v>0</v>
      </c>
      <c r="J83" s="209">
        <f>VLOOKUP($B83,'2017'!$A$5:$Q$1425,COUNTA(Upload!$E$3:J$3)+2,FALSE)</f>
        <v>0</v>
      </c>
      <c r="K83" s="209">
        <f>VLOOKUP($B83,'2017'!$A$5:$Q$1425,COUNTA(Upload!$E$3:K$3)+2,FALSE)</f>
        <v>0</v>
      </c>
      <c r="L83" s="209">
        <f>VLOOKUP($B83,'2017'!$A$5:$Q$1425,COUNTA(Upload!$E$3:L$3)+2,FALSE)</f>
        <v>0</v>
      </c>
      <c r="M83" s="209">
        <f>VLOOKUP($B83,'2017'!$A$5:$Q$1425,COUNTA(Upload!$E$3:M$3)+2,FALSE)</f>
        <v>0</v>
      </c>
      <c r="N83" s="209">
        <f>VLOOKUP($B83,'2017'!$A$5:$Q$1425,COUNTA(Upload!$E$3:N$3)+2,FALSE)</f>
        <v>0</v>
      </c>
      <c r="O83" s="209">
        <f>VLOOKUP($B83,'2017'!$A$5:$Q$1425,COUNTA(Upload!$E$3:O$3)+2,FALSE)</f>
        <v>0</v>
      </c>
      <c r="P83" s="209">
        <f>VLOOKUP($B83,'2017'!$A$5:$Q$1425,COUNTA(Upload!$E$3:P$3)+2,FALSE)</f>
        <v>0</v>
      </c>
      <c r="S83" s="5"/>
      <c r="T83" s="161"/>
    </row>
    <row r="84" spans="1:20" s="118" customFormat="1" ht="10.5" customHeight="1">
      <c r="A84" s="207" t="s">
        <v>70</v>
      </c>
      <c r="B84" s="412" t="s">
        <v>1231</v>
      </c>
      <c r="C84" s="208" t="str">
        <f>+Setup!$B$21</f>
        <v>WC-PropName</v>
      </c>
      <c r="D84" s="208"/>
      <c r="E84" s="209">
        <f>VLOOKUP($B84,'2017'!$A$5:$Q$1425,COUNTA(Upload!$E$3:E$3)+2,FALSE)</f>
        <v>0</v>
      </c>
      <c r="F84" s="209">
        <f>VLOOKUP($B84,'2017'!$A$5:$Q$1425,COUNTA(Upload!$E$3:F$3)+2,FALSE)</f>
        <v>0</v>
      </c>
      <c r="G84" s="209">
        <f>VLOOKUP($B84,'2017'!$A$5:$Q$1425,COUNTA(Upload!$E$3:G$3)+2,FALSE)</f>
        <v>0</v>
      </c>
      <c r="H84" s="209">
        <f>VLOOKUP($B84,'2017'!$A$5:$Q$1425,COUNTA(Upload!$E$3:H$3)+2,FALSE)</f>
        <v>0</v>
      </c>
      <c r="I84" s="209">
        <f>VLOOKUP($B84,'2017'!$A$5:$Q$1425,COUNTA(Upload!$E$3:I$3)+2,FALSE)</f>
        <v>0</v>
      </c>
      <c r="J84" s="209">
        <f>VLOOKUP($B84,'2017'!$A$5:$Q$1425,COUNTA(Upload!$E$3:J$3)+2,FALSE)</f>
        <v>0</v>
      </c>
      <c r="K84" s="209">
        <f>VLOOKUP($B84,'2017'!$A$5:$Q$1425,COUNTA(Upload!$E$3:K$3)+2,FALSE)</f>
        <v>0</v>
      </c>
      <c r="L84" s="209">
        <f>VLOOKUP($B84,'2017'!$A$5:$Q$1425,COUNTA(Upload!$E$3:L$3)+2,FALSE)</f>
        <v>0</v>
      </c>
      <c r="M84" s="209">
        <f>VLOOKUP($B84,'2017'!$A$5:$Q$1425,COUNTA(Upload!$E$3:M$3)+2,FALSE)</f>
        <v>0</v>
      </c>
      <c r="N84" s="209">
        <f>VLOOKUP($B84,'2017'!$A$5:$Q$1425,COUNTA(Upload!$E$3:N$3)+2,FALSE)</f>
        <v>0</v>
      </c>
      <c r="O84" s="209">
        <f>VLOOKUP($B84,'2017'!$A$5:$Q$1425,COUNTA(Upload!$E$3:O$3)+2,FALSE)</f>
        <v>0</v>
      </c>
      <c r="P84" s="209">
        <f>VLOOKUP($B84,'2017'!$A$5:$Q$1425,COUNTA(Upload!$E$3:P$3)+2,FALSE)</f>
        <v>0</v>
      </c>
      <c r="S84" s="5"/>
      <c r="T84" s="161"/>
    </row>
    <row r="85" spans="1:20" s="118" customFormat="1" ht="10.5" customHeight="1">
      <c r="A85" s="207" t="s">
        <v>70</v>
      </c>
      <c r="B85" s="412" t="s">
        <v>1232</v>
      </c>
      <c r="C85" s="208" t="str">
        <f>+Setup!$B$21</f>
        <v>WC-PropName</v>
      </c>
      <c r="D85" s="208"/>
      <c r="E85" s="209">
        <f>VLOOKUP($B85,'2017'!$A$5:$Q$1425,COUNTA(Upload!$E$3:E$3)+2,FALSE)</f>
        <v>0</v>
      </c>
      <c r="F85" s="209">
        <f>VLOOKUP($B85,'2017'!$A$5:$Q$1425,COUNTA(Upload!$E$3:F$3)+2,FALSE)</f>
        <v>0</v>
      </c>
      <c r="G85" s="209">
        <f>VLOOKUP($B85,'2017'!$A$5:$Q$1425,COUNTA(Upload!$E$3:G$3)+2,FALSE)</f>
        <v>0</v>
      </c>
      <c r="H85" s="209">
        <f>VLOOKUP($B85,'2017'!$A$5:$Q$1425,COUNTA(Upload!$E$3:H$3)+2,FALSE)</f>
        <v>0</v>
      </c>
      <c r="I85" s="209">
        <f>VLOOKUP($B85,'2017'!$A$5:$Q$1425,COUNTA(Upload!$E$3:I$3)+2,FALSE)</f>
        <v>0</v>
      </c>
      <c r="J85" s="209">
        <f>VLOOKUP($B85,'2017'!$A$5:$Q$1425,COUNTA(Upload!$E$3:J$3)+2,FALSE)</f>
        <v>0</v>
      </c>
      <c r="K85" s="209">
        <f>VLOOKUP($B85,'2017'!$A$5:$Q$1425,COUNTA(Upload!$E$3:K$3)+2,FALSE)</f>
        <v>0</v>
      </c>
      <c r="L85" s="209">
        <f>VLOOKUP($B85,'2017'!$A$5:$Q$1425,COUNTA(Upload!$E$3:L$3)+2,FALSE)</f>
        <v>0</v>
      </c>
      <c r="M85" s="209">
        <f>VLOOKUP($B85,'2017'!$A$5:$Q$1425,COUNTA(Upload!$E$3:M$3)+2,FALSE)</f>
        <v>0</v>
      </c>
      <c r="N85" s="209">
        <f>VLOOKUP($B85,'2017'!$A$5:$Q$1425,COUNTA(Upload!$E$3:N$3)+2,FALSE)</f>
        <v>0</v>
      </c>
      <c r="O85" s="209">
        <f>VLOOKUP($B85,'2017'!$A$5:$Q$1425,COUNTA(Upload!$E$3:O$3)+2,FALSE)</f>
        <v>0</v>
      </c>
      <c r="P85" s="209">
        <f>VLOOKUP($B85,'2017'!$A$5:$Q$1425,COUNTA(Upload!$E$3:P$3)+2,FALSE)</f>
        <v>0</v>
      </c>
      <c r="S85" s="5"/>
      <c r="T85" s="161"/>
    </row>
    <row r="86" spans="1:20" s="118" customFormat="1" ht="10.5" customHeight="1">
      <c r="A86" s="207" t="s">
        <v>70</v>
      </c>
      <c r="B86" s="412" t="s">
        <v>1233</v>
      </c>
      <c r="C86" s="208" t="str">
        <f>+Setup!$B$21</f>
        <v>WC-PropName</v>
      </c>
      <c r="D86" s="208"/>
      <c r="E86" s="209">
        <f>VLOOKUP($B86,'2017'!$A$5:$Q$1425,COUNTA(Upload!$E$3:E$3)+2,FALSE)</f>
        <v>0</v>
      </c>
      <c r="F86" s="209">
        <f>VLOOKUP($B86,'2017'!$A$5:$Q$1425,COUNTA(Upload!$E$3:F$3)+2,FALSE)</f>
        <v>0</v>
      </c>
      <c r="G86" s="209">
        <f>VLOOKUP($B86,'2017'!$A$5:$Q$1425,COUNTA(Upload!$E$3:G$3)+2,FALSE)</f>
        <v>0</v>
      </c>
      <c r="H86" s="209">
        <f>VLOOKUP($B86,'2017'!$A$5:$Q$1425,COUNTA(Upload!$E$3:H$3)+2,FALSE)</f>
        <v>0</v>
      </c>
      <c r="I86" s="209">
        <f>VLOOKUP($B86,'2017'!$A$5:$Q$1425,COUNTA(Upload!$E$3:I$3)+2,FALSE)</f>
        <v>0</v>
      </c>
      <c r="J86" s="209">
        <f>VLOOKUP($B86,'2017'!$A$5:$Q$1425,COUNTA(Upload!$E$3:J$3)+2,FALSE)</f>
        <v>0</v>
      </c>
      <c r="K86" s="209">
        <f>VLOOKUP($B86,'2017'!$A$5:$Q$1425,COUNTA(Upload!$E$3:K$3)+2,FALSE)</f>
        <v>0</v>
      </c>
      <c r="L86" s="209">
        <f>VLOOKUP($B86,'2017'!$A$5:$Q$1425,COUNTA(Upload!$E$3:L$3)+2,FALSE)</f>
        <v>0</v>
      </c>
      <c r="M86" s="209">
        <f>VLOOKUP($B86,'2017'!$A$5:$Q$1425,COUNTA(Upload!$E$3:M$3)+2,FALSE)</f>
        <v>0</v>
      </c>
      <c r="N86" s="209">
        <f>VLOOKUP($B86,'2017'!$A$5:$Q$1425,COUNTA(Upload!$E$3:N$3)+2,FALSE)</f>
        <v>0</v>
      </c>
      <c r="O86" s="209">
        <f>VLOOKUP($B86,'2017'!$A$5:$Q$1425,COUNTA(Upload!$E$3:O$3)+2,FALSE)</f>
        <v>0</v>
      </c>
      <c r="P86" s="209">
        <f>VLOOKUP($B86,'2017'!$A$5:$Q$1425,COUNTA(Upload!$E$3:P$3)+2,FALSE)</f>
        <v>0</v>
      </c>
      <c r="S86" s="5"/>
      <c r="T86" s="161"/>
    </row>
    <row r="87" spans="1:20" s="118" customFormat="1" ht="10.5" customHeight="1">
      <c r="A87" s="207" t="s">
        <v>70</v>
      </c>
      <c r="B87" s="412" t="s">
        <v>1234</v>
      </c>
      <c r="C87" s="208" t="str">
        <f>+Setup!$B$21</f>
        <v>WC-PropName</v>
      </c>
      <c r="D87" s="208"/>
      <c r="E87" s="209">
        <f>VLOOKUP($B87,'2017'!$A$5:$Q$1425,COUNTA(Upload!$E$3:E$3)+2,FALSE)</f>
        <v>0</v>
      </c>
      <c r="F87" s="209">
        <f>VLOOKUP($B87,'2017'!$A$5:$Q$1425,COUNTA(Upload!$E$3:F$3)+2,FALSE)</f>
        <v>0</v>
      </c>
      <c r="G87" s="209">
        <f>VLOOKUP($B87,'2017'!$A$5:$Q$1425,COUNTA(Upload!$E$3:G$3)+2,FALSE)</f>
        <v>0</v>
      </c>
      <c r="H87" s="209">
        <f>VLOOKUP($B87,'2017'!$A$5:$Q$1425,COUNTA(Upload!$E$3:H$3)+2,FALSE)</f>
        <v>0</v>
      </c>
      <c r="I87" s="209">
        <f>VLOOKUP($B87,'2017'!$A$5:$Q$1425,COUNTA(Upload!$E$3:I$3)+2,FALSE)</f>
        <v>0</v>
      </c>
      <c r="J87" s="209">
        <f>VLOOKUP($B87,'2017'!$A$5:$Q$1425,COUNTA(Upload!$E$3:J$3)+2,FALSE)</f>
        <v>0</v>
      </c>
      <c r="K87" s="209">
        <f>VLOOKUP($B87,'2017'!$A$5:$Q$1425,COUNTA(Upload!$E$3:K$3)+2,FALSE)</f>
        <v>0</v>
      </c>
      <c r="L87" s="209">
        <f>VLOOKUP($B87,'2017'!$A$5:$Q$1425,COUNTA(Upload!$E$3:L$3)+2,FALSE)</f>
        <v>0</v>
      </c>
      <c r="M87" s="209">
        <f>VLOOKUP($B87,'2017'!$A$5:$Q$1425,COUNTA(Upload!$E$3:M$3)+2,FALSE)</f>
        <v>0</v>
      </c>
      <c r="N87" s="209">
        <f>VLOOKUP($B87,'2017'!$A$5:$Q$1425,COUNTA(Upload!$E$3:N$3)+2,FALSE)</f>
        <v>0</v>
      </c>
      <c r="O87" s="209">
        <f>VLOOKUP($B87,'2017'!$A$5:$Q$1425,COUNTA(Upload!$E$3:O$3)+2,FALSE)</f>
        <v>0</v>
      </c>
      <c r="P87" s="209">
        <f>VLOOKUP($B87,'2017'!$A$5:$Q$1425,COUNTA(Upload!$E$3:P$3)+2,FALSE)</f>
        <v>0</v>
      </c>
      <c r="S87" s="5"/>
      <c r="T87" s="161"/>
    </row>
    <row r="88" spans="1:20" s="118" customFormat="1" ht="10.5" customHeight="1">
      <c r="A88" s="207" t="s">
        <v>70</v>
      </c>
      <c r="B88" s="412" t="s">
        <v>1235</v>
      </c>
      <c r="C88" s="208" t="str">
        <f>+Setup!$B$21</f>
        <v>WC-PropName</v>
      </c>
      <c r="D88" s="208"/>
      <c r="E88" s="209">
        <f>VLOOKUP($B88,'2017'!$A$5:$Q$1425,COUNTA(Upload!$E$3:E$3)+2,FALSE)</f>
        <v>0</v>
      </c>
      <c r="F88" s="209">
        <f>VLOOKUP($B88,'2017'!$A$5:$Q$1425,COUNTA(Upload!$E$3:F$3)+2,FALSE)</f>
        <v>0</v>
      </c>
      <c r="G88" s="209">
        <f>VLOOKUP($B88,'2017'!$A$5:$Q$1425,COUNTA(Upload!$E$3:G$3)+2,FALSE)</f>
        <v>0</v>
      </c>
      <c r="H88" s="209">
        <f>VLOOKUP($B88,'2017'!$A$5:$Q$1425,COUNTA(Upload!$E$3:H$3)+2,FALSE)</f>
        <v>0</v>
      </c>
      <c r="I88" s="209">
        <f>VLOOKUP($B88,'2017'!$A$5:$Q$1425,COUNTA(Upload!$E$3:I$3)+2,FALSE)</f>
        <v>0</v>
      </c>
      <c r="J88" s="209">
        <f>VLOOKUP($B88,'2017'!$A$5:$Q$1425,COUNTA(Upload!$E$3:J$3)+2,FALSE)</f>
        <v>0</v>
      </c>
      <c r="K88" s="209">
        <f>VLOOKUP($B88,'2017'!$A$5:$Q$1425,COUNTA(Upload!$E$3:K$3)+2,FALSE)</f>
        <v>0</v>
      </c>
      <c r="L88" s="209">
        <f>VLOOKUP($B88,'2017'!$A$5:$Q$1425,COUNTA(Upload!$E$3:L$3)+2,FALSE)</f>
        <v>0</v>
      </c>
      <c r="M88" s="209">
        <f>VLOOKUP($B88,'2017'!$A$5:$Q$1425,COUNTA(Upload!$E$3:M$3)+2,FALSE)</f>
        <v>0</v>
      </c>
      <c r="N88" s="209">
        <f>VLOOKUP($B88,'2017'!$A$5:$Q$1425,COUNTA(Upload!$E$3:N$3)+2,FALSE)</f>
        <v>0</v>
      </c>
      <c r="O88" s="209">
        <f>VLOOKUP($B88,'2017'!$A$5:$Q$1425,COUNTA(Upload!$E$3:O$3)+2,FALSE)</f>
        <v>0</v>
      </c>
      <c r="P88" s="209">
        <f>VLOOKUP($B88,'2017'!$A$5:$Q$1425,COUNTA(Upload!$E$3:P$3)+2,FALSE)</f>
        <v>0</v>
      </c>
      <c r="S88" s="5"/>
      <c r="T88" s="161"/>
    </row>
    <row r="89" spans="1:20" s="118" customFormat="1" ht="10.5" customHeight="1">
      <c r="A89" s="207" t="s">
        <v>70</v>
      </c>
      <c r="B89" s="412" t="s">
        <v>1236</v>
      </c>
      <c r="C89" s="208" t="str">
        <f>+Setup!$B$21</f>
        <v>WC-PropName</v>
      </c>
      <c r="D89" s="208"/>
      <c r="E89" s="209">
        <f>VLOOKUP($B89,'2017'!$A$5:$Q$1425,COUNTA(Upload!$E$3:E$3)+2,FALSE)</f>
        <v>0</v>
      </c>
      <c r="F89" s="209">
        <f>VLOOKUP($B89,'2017'!$A$5:$Q$1425,COUNTA(Upload!$E$3:F$3)+2,FALSE)</f>
        <v>0</v>
      </c>
      <c r="G89" s="209">
        <f>VLOOKUP($B89,'2017'!$A$5:$Q$1425,COUNTA(Upload!$E$3:G$3)+2,FALSE)</f>
        <v>0</v>
      </c>
      <c r="H89" s="209">
        <f>VLOOKUP($B89,'2017'!$A$5:$Q$1425,COUNTA(Upload!$E$3:H$3)+2,FALSE)</f>
        <v>0</v>
      </c>
      <c r="I89" s="209">
        <f>VLOOKUP($B89,'2017'!$A$5:$Q$1425,COUNTA(Upload!$E$3:I$3)+2,FALSE)</f>
        <v>0</v>
      </c>
      <c r="J89" s="209">
        <f>VLOOKUP($B89,'2017'!$A$5:$Q$1425,COUNTA(Upload!$E$3:J$3)+2,FALSE)</f>
        <v>0</v>
      </c>
      <c r="K89" s="209">
        <f>VLOOKUP($B89,'2017'!$A$5:$Q$1425,COUNTA(Upload!$E$3:K$3)+2,FALSE)</f>
        <v>0</v>
      </c>
      <c r="L89" s="209">
        <f>VLOOKUP($B89,'2017'!$A$5:$Q$1425,COUNTA(Upload!$E$3:L$3)+2,FALSE)</f>
        <v>0</v>
      </c>
      <c r="M89" s="209">
        <f>VLOOKUP($B89,'2017'!$A$5:$Q$1425,COUNTA(Upload!$E$3:M$3)+2,FALSE)</f>
        <v>0</v>
      </c>
      <c r="N89" s="209">
        <f>VLOOKUP($B89,'2017'!$A$5:$Q$1425,COUNTA(Upload!$E$3:N$3)+2,FALSE)</f>
        <v>0</v>
      </c>
      <c r="O89" s="209">
        <f>VLOOKUP($B89,'2017'!$A$5:$Q$1425,COUNTA(Upload!$E$3:O$3)+2,FALSE)</f>
        <v>0</v>
      </c>
      <c r="P89" s="209">
        <f>VLOOKUP($B89,'2017'!$A$5:$Q$1425,COUNTA(Upload!$E$3:P$3)+2,FALSE)</f>
        <v>0</v>
      </c>
      <c r="S89" s="5"/>
      <c r="T89" s="161"/>
    </row>
    <row r="90" spans="1:20" s="118" customFormat="1" ht="10.5" customHeight="1">
      <c r="A90" s="207" t="s">
        <v>70</v>
      </c>
      <c r="B90" s="412" t="s">
        <v>1237</v>
      </c>
      <c r="C90" s="208" t="str">
        <f>+Setup!$B$21</f>
        <v>WC-PropName</v>
      </c>
      <c r="D90" s="208"/>
      <c r="E90" s="209">
        <f>VLOOKUP($B90,'2017'!$A$5:$Q$1425,COUNTA(Upload!$E$3:E$3)+2,FALSE)</f>
        <v>0</v>
      </c>
      <c r="F90" s="209">
        <f>VLOOKUP($B90,'2017'!$A$5:$Q$1425,COUNTA(Upload!$E$3:F$3)+2,FALSE)</f>
        <v>0</v>
      </c>
      <c r="G90" s="209">
        <f>VLOOKUP($B90,'2017'!$A$5:$Q$1425,COUNTA(Upload!$E$3:G$3)+2,FALSE)</f>
        <v>0</v>
      </c>
      <c r="H90" s="209">
        <f>VLOOKUP($B90,'2017'!$A$5:$Q$1425,COUNTA(Upload!$E$3:H$3)+2,FALSE)</f>
        <v>0</v>
      </c>
      <c r="I90" s="209">
        <f>VLOOKUP($B90,'2017'!$A$5:$Q$1425,COUNTA(Upload!$E$3:I$3)+2,FALSE)</f>
        <v>0</v>
      </c>
      <c r="J90" s="209">
        <f>VLOOKUP($B90,'2017'!$A$5:$Q$1425,COUNTA(Upload!$E$3:J$3)+2,FALSE)</f>
        <v>0</v>
      </c>
      <c r="K90" s="209">
        <f>VLOOKUP($B90,'2017'!$A$5:$Q$1425,COUNTA(Upload!$E$3:K$3)+2,FALSE)</f>
        <v>0</v>
      </c>
      <c r="L90" s="209">
        <f>VLOOKUP($B90,'2017'!$A$5:$Q$1425,COUNTA(Upload!$E$3:L$3)+2,FALSE)</f>
        <v>0</v>
      </c>
      <c r="M90" s="209">
        <f>VLOOKUP($B90,'2017'!$A$5:$Q$1425,COUNTA(Upload!$E$3:M$3)+2,FALSE)</f>
        <v>0</v>
      </c>
      <c r="N90" s="209">
        <f>VLOOKUP($B90,'2017'!$A$5:$Q$1425,COUNTA(Upload!$E$3:N$3)+2,FALSE)</f>
        <v>0</v>
      </c>
      <c r="O90" s="209">
        <f>VLOOKUP($B90,'2017'!$A$5:$Q$1425,COUNTA(Upload!$E$3:O$3)+2,FALSE)</f>
        <v>0</v>
      </c>
      <c r="P90" s="209">
        <f>VLOOKUP($B90,'2017'!$A$5:$Q$1425,COUNTA(Upload!$E$3:P$3)+2,FALSE)</f>
        <v>0</v>
      </c>
      <c r="S90" s="5"/>
      <c r="T90" s="161"/>
    </row>
    <row r="91" spans="1:20" s="118" customFormat="1" ht="10.5" customHeight="1">
      <c r="A91" s="207" t="s">
        <v>70</v>
      </c>
      <c r="B91" s="412" t="s">
        <v>1238</v>
      </c>
      <c r="C91" s="208" t="str">
        <f>+Setup!$B$21</f>
        <v>WC-PropName</v>
      </c>
      <c r="D91" s="208"/>
      <c r="E91" s="209">
        <f>VLOOKUP($B91,'2017'!$A$5:$Q$1425,COUNTA(Upload!$E$3:E$3)+2,FALSE)</f>
        <v>0</v>
      </c>
      <c r="F91" s="209">
        <f>VLOOKUP($B91,'2017'!$A$5:$Q$1425,COUNTA(Upload!$E$3:F$3)+2,FALSE)</f>
        <v>0</v>
      </c>
      <c r="G91" s="209">
        <f>VLOOKUP($B91,'2017'!$A$5:$Q$1425,COUNTA(Upload!$E$3:G$3)+2,FALSE)</f>
        <v>0</v>
      </c>
      <c r="H91" s="209">
        <f>VLOOKUP($B91,'2017'!$A$5:$Q$1425,COUNTA(Upload!$E$3:H$3)+2,FALSE)</f>
        <v>0</v>
      </c>
      <c r="I91" s="209">
        <f>VLOOKUP($B91,'2017'!$A$5:$Q$1425,COUNTA(Upload!$E$3:I$3)+2,FALSE)</f>
        <v>0</v>
      </c>
      <c r="J91" s="209">
        <f>VLOOKUP($B91,'2017'!$A$5:$Q$1425,COUNTA(Upload!$E$3:J$3)+2,FALSE)</f>
        <v>0</v>
      </c>
      <c r="K91" s="209">
        <f>VLOOKUP($B91,'2017'!$A$5:$Q$1425,COUNTA(Upload!$E$3:K$3)+2,FALSE)</f>
        <v>0</v>
      </c>
      <c r="L91" s="209">
        <f>VLOOKUP($B91,'2017'!$A$5:$Q$1425,COUNTA(Upload!$E$3:L$3)+2,FALSE)</f>
        <v>0</v>
      </c>
      <c r="M91" s="209">
        <f>VLOOKUP($B91,'2017'!$A$5:$Q$1425,COUNTA(Upload!$E$3:M$3)+2,FALSE)</f>
        <v>0</v>
      </c>
      <c r="N91" s="209">
        <f>VLOOKUP($B91,'2017'!$A$5:$Q$1425,COUNTA(Upload!$E$3:N$3)+2,FALSE)</f>
        <v>0</v>
      </c>
      <c r="O91" s="209">
        <f>VLOOKUP($B91,'2017'!$A$5:$Q$1425,COUNTA(Upload!$E$3:O$3)+2,FALSE)</f>
        <v>0</v>
      </c>
      <c r="P91" s="209">
        <f>VLOOKUP($B91,'2017'!$A$5:$Q$1425,COUNTA(Upload!$E$3:P$3)+2,FALSE)</f>
        <v>0</v>
      </c>
      <c r="S91" s="5"/>
      <c r="T91" s="161"/>
    </row>
    <row r="92" spans="1:20" s="118" customFormat="1" ht="10.5" customHeight="1">
      <c r="A92" s="207" t="s">
        <v>70</v>
      </c>
      <c r="B92" s="412" t="s">
        <v>1239</v>
      </c>
      <c r="C92" s="208" t="str">
        <f>+Setup!$B$21</f>
        <v>WC-PropName</v>
      </c>
      <c r="D92" s="208"/>
      <c r="E92" s="209">
        <f>VLOOKUP($B92,'2017'!$A$5:$Q$1425,COUNTA(Upload!$E$3:E$3)+2,FALSE)</f>
        <v>0</v>
      </c>
      <c r="F92" s="209">
        <f>VLOOKUP($B92,'2017'!$A$5:$Q$1425,COUNTA(Upload!$E$3:F$3)+2,FALSE)</f>
        <v>0</v>
      </c>
      <c r="G92" s="209">
        <f>VLOOKUP($B92,'2017'!$A$5:$Q$1425,COUNTA(Upload!$E$3:G$3)+2,FALSE)</f>
        <v>0</v>
      </c>
      <c r="H92" s="209">
        <f>VLOOKUP($B92,'2017'!$A$5:$Q$1425,COUNTA(Upload!$E$3:H$3)+2,FALSE)</f>
        <v>0</v>
      </c>
      <c r="I92" s="209">
        <f>VLOOKUP($B92,'2017'!$A$5:$Q$1425,COUNTA(Upload!$E$3:I$3)+2,FALSE)</f>
        <v>0</v>
      </c>
      <c r="J92" s="209">
        <f>VLOOKUP($B92,'2017'!$A$5:$Q$1425,COUNTA(Upload!$E$3:J$3)+2,FALSE)</f>
        <v>0</v>
      </c>
      <c r="K92" s="209">
        <f>VLOOKUP($B92,'2017'!$A$5:$Q$1425,COUNTA(Upload!$E$3:K$3)+2,FALSE)</f>
        <v>0</v>
      </c>
      <c r="L92" s="209">
        <f>VLOOKUP($B92,'2017'!$A$5:$Q$1425,COUNTA(Upload!$E$3:L$3)+2,FALSE)</f>
        <v>0</v>
      </c>
      <c r="M92" s="209">
        <f>VLOOKUP($B92,'2017'!$A$5:$Q$1425,COUNTA(Upload!$E$3:M$3)+2,FALSE)</f>
        <v>0</v>
      </c>
      <c r="N92" s="209">
        <f>VLOOKUP($B92,'2017'!$A$5:$Q$1425,COUNTA(Upload!$E$3:N$3)+2,FALSE)</f>
        <v>0</v>
      </c>
      <c r="O92" s="209">
        <f>VLOOKUP($B92,'2017'!$A$5:$Q$1425,COUNTA(Upload!$E$3:O$3)+2,FALSE)</f>
        <v>0</v>
      </c>
      <c r="P92" s="209">
        <f>VLOOKUP($B92,'2017'!$A$5:$Q$1425,COUNTA(Upload!$E$3:P$3)+2,FALSE)</f>
        <v>0</v>
      </c>
      <c r="S92" s="5"/>
      <c r="T92" s="161"/>
    </row>
    <row r="93" spans="1:20" s="118" customFormat="1" ht="10.5" customHeight="1">
      <c r="A93" s="207" t="s">
        <v>70</v>
      </c>
      <c r="B93" s="412" t="s">
        <v>1240</v>
      </c>
      <c r="C93" s="208" t="str">
        <f>+Setup!$B$21</f>
        <v>WC-PropName</v>
      </c>
      <c r="D93" s="208"/>
      <c r="E93" s="209">
        <f>VLOOKUP($B93,'2017'!$A$5:$Q$1425,COUNTA(Upload!$E$3:E$3)+2,FALSE)</f>
        <v>0</v>
      </c>
      <c r="F93" s="209">
        <f>VLOOKUP($B93,'2017'!$A$5:$Q$1425,COUNTA(Upload!$E$3:F$3)+2,FALSE)</f>
        <v>0</v>
      </c>
      <c r="G93" s="209">
        <f>VLOOKUP($B93,'2017'!$A$5:$Q$1425,COUNTA(Upload!$E$3:G$3)+2,FALSE)</f>
        <v>0</v>
      </c>
      <c r="H93" s="209">
        <f>VLOOKUP($B93,'2017'!$A$5:$Q$1425,COUNTA(Upload!$E$3:H$3)+2,FALSE)</f>
        <v>0</v>
      </c>
      <c r="I93" s="209">
        <f>VLOOKUP($B93,'2017'!$A$5:$Q$1425,COUNTA(Upload!$E$3:I$3)+2,FALSE)</f>
        <v>0</v>
      </c>
      <c r="J93" s="209">
        <f>VLOOKUP($B93,'2017'!$A$5:$Q$1425,COUNTA(Upload!$E$3:J$3)+2,FALSE)</f>
        <v>0</v>
      </c>
      <c r="K93" s="209">
        <f>VLOOKUP($B93,'2017'!$A$5:$Q$1425,COUNTA(Upload!$E$3:K$3)+2,FALSE)</f>
        <v>0</v>
      </c>
      <c r="L93" s="209">
        <f>VLOOKUP($B93,'2017'!$A$5:$Q$1425,COUNTA(Upload!$E$3:L$3)+2,FALSE)</f>
        <v>0</v>
      </c>
      <c r="M93" s="209">
        <f>VLOOKUP($B93,'2017'!$A$5:$Q$1425,COUNTA(Upload!$E$3:M$3)+2,FALSE)</f>
        <v>0</v>
      </c>
      <c r="N93" s="209">
        <f>VLOOKUP($B93,'2017'!$A$5:$Q$1425,COUNTA(Upload!$E$3:N$3)+2,FALSE)</f>
        <v>0</v>
      </c>
      <c r="O93" s="209">
        <f>VLOOKUP($B93,'2017'!$A$5:$Q$1425,COUNTA(Upload!$E$3:O$3)+2,FALSE)</f>
        <v>0</v>
      </c>
      <c r="P93" s="209">
        <f>VLOOKUP($B93,'2017'!$A$5:$Q$1425,COUNTA(Upload!$E$3:P$3)+2,FALSE)</f>
        <v>0</v>
      </c>
      <c r="S93" s="5"/>
      <c r="T93" s="161"/>
    </row>
    <row r="94" spans="1:20" s="118" customFormat="1" ht="10.5" customHeight="1">
      <c r="A94" s="207" t="s">
        <v>70</v>
      </c>
      <c r="B94" s="412" t="s">
        <v>743</v>
      </c>
      <c r="C94" s="208" t="str">
        <f>+Setup!$B$21</f>
        <v>WC-PropName</v>
      </c>
      <c r="D94" s="208"/>
      <c r="E94" s="209">
        <f>VLOOKUP($B94,'2017'!$A$5:$Q$1425,COUNTA(Upload!$E$3:E$3)+2,FALSE)</f>
        <v>234200</v>
      </c>
      <c r="F94" s="209">
        <f>VLOOKUP($B94,'2017'!$A$5:$Q$1425,COUNTA(Upload!$E$3:F$3)+2,FALSE)</f>
        <v>234200</v>
      </c>
      <c r="G94" s="209">
        <f>VLOOKUP($B94,'2017'!$A$5:$Q$1425,COUNTA(Upload!$E$3:G$3)+2,FALSE)</f>
        <v>234200</v>
      </c>
      <c r="H94" s="209">
        <f>VLOOKUP($B94,'2017'!$A$5:$Q$1425,COUNTA(Upload!$E$3:H$3)+2,FALSE)</f>
        <v>239700</v>
      </c>
      <c r="I94" s="209">
        <f>VLOOKUP($B94,'2017'!$A$5:$Q$1425,COUNTA(Upload!$E$3:I$3)+2,FALSE)</f>
        <v>239700</v>
      </c>
      <c r="J94" s="209">
        <f>VLOOKUP($B94,'2017'!$A$5:$Q$1425,COUNTA(Upload!$E$3:J$3)+2,FALSE)</f>
        <v>239700</v>
      </c>
      <c r="K94" s="209">
        <f>VLOOKUP($B94,'2017'!$A$5:$Q$1425,COUNTA(Upload!$E$3:K$3)+2,FALSE)</f>
        <v>239700</v>
      </c>
      <c r="L94" s="209">
        <f>VLOOKUP($B94,'2017'!$A$5:$Q$1425,COUNTA(Upload!$E$3:L$3)+2,FALSE)</f>
        <v>239700</v>
      </c>
      <c r="M94" s="209">
        <f>VLOOKUP($B94,'2017'!$A$5:$Q$1425,COUNTA(Upload!$E$3:M$3)+2,FALSE)</f>
        <v>250700</v>
      </c>
      <c r="N94" s="209">
        <f>VLOOKUP($B94,'2017'!$A$5:$Q$1425,COUNTA(Upload!$E$3:N$3)+2,FALSE)</f>
        <v>250700</v>
      </c>
      <c r="O94" s="209">
        <f>VLOOKUP($B94,'2017'!$A$5:$Q$1425,COUNTA(Upload!$E$3:O$3)+2,FALSE)</f>
        <v>250700</v>
      </c>
      <c r="P94" s="209">
        <f>VLOOKUP($B94,'2017'!$A$5:$Q$1425,COUNTA(Upload!$E$3:P$3)+2,FALSE)</f>
        <v>250700</v>
      </c>
      <c r="T94" s="161"/>
    </row>
    <row r="95" spans="1:20" s="118" customFormat="1" ht="10.5" customHeight="1">
      <c r="A95" s="207" t="s">
        <v>70</v>
      </c>
      <c r="B95" s="412" t="s">
        <v>745</v>
      </c>
      <c r="C95" s="208" t="str">
        <f>+Setup!$B$21</f>
        <v>WC-PropName</v>
      </c>
      <c r="D95" s="208"/>
      <c r="E95" s="209">
        <f>VLOOKUP($B95,'2017'!$A$5:$Q$1425,COUNTA(Upload!$E$3:E$3)+2,FALSE)</f>
        <v>1244</v>
      </c>
      <c r="F95" s="209">
        <f>VLOOKUP($B95,'2017'!$A$5:$Q$1425,COUNTA(Upload!$E$3:F$3)+2,FALSE)</f>
        <v>2544</v>
      </c>
      <c r="G95" s="209">
        <f>VLOOKUP($B95,'2017'!$A$5:$Q$1425,COUNTA(Upload!$E$3:G$3)+2,FALSE)</f>
        <v>3844</v>
      </c>
      <c r="H95" s="209">
        <f>VLOOKUP($B95,'2017'!$A$5:$Q$1425,COUNTA(Upload!$E$3:H$3)+2,FALSE)</f>
        <v>-31</v>
      </c>
      <c r="I95" s="209">
        <f>VLOOKUP($B95,'2017'!$A$5:$Q$1425,COUNTA(Upload!$E$3:I$3)+2,FALSE)</f>
        <v>1594</v>
      </c>
      <c r="J95" s="209">
        <f>VLOOKUP($B95,'2017'!$A$5:$Q$1425,COUNTA(Upload!$E$3:J$3)+2,FALSE)</f>
        <v>3219</v>
      </c>
      <c r="K95" s="209">
        <f>VLOOKUP($B95,'2017'!$A$5:$Q$1425,COUNTA(Upload!$E$3:K$3)+2,FALSE)</f>
        <v>4769</v>
      </c>
      <c r="L95" s="209">
        <f>VLOOKUP($B95,'2017'!$A$5:$Q$1425,COUNTA(Upload!$E$3:L$3)+2,FALSE)</f>
        <v>6319</v>
      </c>
      <c r="M95" s="209">
        <f>VLOOKUP($B95,'2017'!$A$5:$Q$1425,COUNTA(Upload!$E$3:M$3)+2,FALSE)</f>
        <v>-3631</v>
      </c>
      <c r="N95" s="209">
        <f>VLOOKUP($B95,'2017'!$A$5:$Q$1425,COUNTA(Upload!$E$3:N$3)+2,FALSE)</f>
        <v>-2656</v>
      </c>
      <c r="O95" s="209">
        <f>VLOOKUP($B95,'2017'!$A$5:$Q$1425,COUNTA(Upload!$E$3:O$3)+2,FALSE)</f>
        <v>-1681</v>
      </c>
      <c r="P95" s="209">
        <f>VLOOKUP($B95,'2017'!$A$5:$Q$1425,COUNTA(Upload!$E$3:P$3)+2,FALSE)</f>
        <v>-781</v>
      </c>
      <c r="T95" s="161"/>
    </row>
    <row r="96" spans="1:20" s="118" customFormat="1" ht="10.5" customHeight="1">
      <c r="A96" s="207" t="s">
        <v>70</v>
      </c>
      <c r="B96" s="412" t="s">
        <v>751</v>
      </c>
      <c r="C96" s="208" t="str">
        <f>+Setup!$B$21</f>
        <v>WC-PropName</v>
      </c>
      <c r="D96" s="208"/>
      <c r="E96" s="209">
        <f>VLOOKUP($B96,'2017'!$A$5:$Q$1425,COUNTA(Upload!$E$3:E$3)+2,FALSE)</f>
        <v>0</v>
      </c>
      <c r="F96" s="209">
        <f>VLOOKUP($B96,'2017'!$A$5:$Q$1425,COUNTA(Upload!$E$3:F$3)+2,FALSE)</f>
        <v>0</v>
      </c>
      <c r="G96" s="209">
        <f>VLOOKUP($B96,'2017'!$A$5:$Q$1425,COUNTA(Upload!$E$3:G$3)+2,FALSE)</f>
        <v>0</v>
      </c>
      <c r="H96" s="209">
        <f>VLOOKUP($B96,'2017'!$A$5:$Q$1425,COUNTA(Upload!$E$3:H$3)+2,FALSE)</f>
        <v>0</v>
      </c>
      <c r="I96" s="209">
        <f>VLOOKUP($B96,'2017'!$A$5:$Q$1425,COUNTA(Upload!$E$3:I$3)+2,FALSE)</f>
        <v>0</v>
      </c>
      <c r="J96" s="209">
        <f>VLOOKUP($B96,'2017'!$A$5:$Q$1425,COUNTA(Upload!$E$3:J$3)+2,FALSE)</f>
        <v>0</v>
      </c>
      <c r="K96" s="209">
        <f>VLOOKUP($B96,'2017'!$A$5:$Q$1425,COUNTA(Upload!$E$3:K$3)+2,FALSE)</f>
        <v>0</v>
      </c>
      <c r="L96" s="209">
        <f>VLOOKUP($B96,'2017'!$A$5:$Q$1425,COUNTA(Upload!$E$3:L$3)+2,FALSE)</f>
        <v>0</v>
      </c>
      <c r="M96" s="209">
        <f>VLOOKUP($B96,'2017'!$A$5:$Q$1425,COUNTA(Upload!$E$3:M$3)+2,FALSE)</f>
        <v>0</v>
      </c>
      <c r="N96" s="209">
        <f>VLOOKUP($B96,'2017'!$A$5:$Q$1425,COUNTA(Upload!$E$3:N$3)+2,FALSE)</f>
        <v>0</v>
      </c>
      <c r="O96" s="209">
        <f>VLOOKUP($B96,'2017'!$A$5:$Q$1425,COUNTA(Upload!$E$3:O$3)+2,FALSE)</f>
        <v>0</v>
      </c>
      <c r="P96" s="209">
        <f>VLOOKUP($B96,'2017'!$A$5:$Q$1425,COUNTA(Upload!$E$3:P$3)+2,FALSE)</f>
        <v>0</v>
      </c>
      <c r="T96" s="161"/>
    </row>
    <row r="97" spans="1:20" s="118" customFormat="1" ht="10.5" customHeight="1">
      <c r="A97" s="207" t="s">
        <v>70</v>
      </c>
      <c r="B97" s="412" t="s">
        <v>753</v>
      </c>
      <c r="C97" s="208" t="str">
        <f>+Setup!$B$21</f>
        <v>WC-PropName</v>
      </c>
      <c r="D97" s="208"/>
      <c r="E97" s="209">
        <f>VLOOKUP($B97,'2017'!$A$5:$Q$1425,COUNTA(Upload!$E$3:E$3)+2,FALSE)</f>
        <v>0</v>
      </c>
      <c r="F97" s="209">
        <f>VLOOKUP($B97,'2017'!$A$5:$Q$1425,COUNTA(Upload!$E$3:F$3)+2,FALSE)</f>
        <v>0</v>
      </c>
      <c r="G97" s="209">
        <f>VLOOKUP($B97,'2017'!$A$5:$Q$1425,COUNTA(Upload!$E$3:G$3)+2,FALSE)</f>
        <v>0</v>
      </c>
      <c r="H97" s="209">
        <f>VLOOKUP($B97,'2017'!$A$5:$Q$1425,COUNTA(Upload!$E$3:H$3)+2,FALSE)</f>
        <v>0</v>
      </c>
      <c r="I97" s="209">
        <f>VLOOKUP($B97,'2017'!$A$5:$Q$1425,COUNTA(Upload!$E$3:I$3)+2,FALSE)</f>
        <v>0</v>
      </c>
      <c r="J97" s="209">
        <f>VLOOKUP($B97,'2017'!$A$5:$Q$1425,COUNTA(Upload!$E$3:J$3)+2,FALSE)</f>
        <v>0</v>
      </c>
      <c r="K97" s="209">
        <f>VLOOKUP($B97,'2017'!$A$5:$Q$1425,COUNTA(Upload!$E$3:K$3)+2,FALSE)</f>
        <v>0</v>
      </c>
      <c r="L97" s="209">
        <f>VLOOKUP($B97,'2017'!$A$5:$Q$1425,COUNTA(Upload!$E$3:L$3)+2,FALSE)</f>
        <v>0</v>
      </c>
      <c r="M97" s="209">
        <f>VLOOKUP($B97,'2017'!$A$5:$Q$1425,COUNTA(Upload!$E$3:M$3)+2,FALSE)</f>
        <v>0</v>
      </c>
      <c r="N97" s="209">
        <f>VLOOKUP($B97,'2017'!$A$5:$Q$1425,COUNTA(Upload!$E$3:N$3)+2,FALSE)</f>
        <v>0</v>
      </c>
      <c r="O97" s="209">
        <f>VLOOKUP($B97,'2017'!$A$5:$Q$1425,COUNTA(Upload!$E$3:O$3)+2,FALSE)</f>
        <v>0</v>
      </c>
      <c r="P97" s="209">
        <f>VLOOKUP($B97,'2017'!$A$5:$Q$1425,COUNTA(Upload!$E$3:P$3)+2,FALSE)</f>
        <v>0</v>
      </c>
      <c r="T97" s="161"/>
    </row>
    <row r="98" spans="1:20" s="118" customFormat="1" ht="10.5" customHeight="1">
      <c r="A98" s="207" t="s">
        <v>70</v>
      </c>
      <c r="B98" s="412" t="s">
        <v>755</v>
      </c>
      <c r="C98" s="208" t="str">
        <f>+Setup!$B$21</f>
        <v>WC-PropName</v>
      </c>
      <c r="D98" s="208"/>
      <c r="E98" s="209">
        <f>VLOOKUP($B98,'2017'!$A$5:$Q$1425,COUNTA(Upload!$E$3:E$3)+2,FALSE)</f>
        <v>0</v>
      </c>
      <c r="F98" s="209">
        <f>VLOOKUP($B98,'2017'!$A$5:$Q$1425,COUNTA(Upload!$E$3:F$3)+2,FALSE)</f>
        <v>0</v>
      </c>
      <c r="G98" s="209">
        <f>VLOOKUP($B98,'2017'!$A$5:$Q$1425,COUNTA(Upload!$E$3:G$3)+2,FALSE)</f>
        <v>0</v>
      </c>
      <c r="H98" s="209">
        <f>VLOOKUP($B98,'2017'!$A$5:$Q$1425,COUNTA(Upload!$E$3:H$3)+2,FALSE)</f>
        <v>0</v>
      </c>
      <c r="I98" s="209">
        <f>VLOOKUP($B98,'2017'!$A$5:$Q$1425,COUNTA(Upload!$E$3:I$3)+2,FALSE)</f>
        <v>0</v>
      </c>
      <c r="J98" s="209">
        <f>VLOOKUP($B98,'2017'!$A$5:$Q$1425,COUNTA(Upload!$E$3:J$3)+2,FALSE)</f>
        <v>0</v>
      </c>
      <c r="K98" s="209">
        <f>VLOOKUP($B98,'2017'!$A$5:$Q$1425,COUNTA(Upload!$E$3:K$3)+2,FALSE)</f>
        <v>0</v>
      </c>
      <c r="L98" s="209">
        <f>VLOOKUP($B98,'2017'!$A$5:$Q$1425,COUNTA(Upload!$E$3:L$3)+2,FALSE)</f>
        <v>0</v>
      </c>
      <c r="M98" s="209">
        <f>VLOOKUP($B98,'2017'!$A$5:$Q$1425,COUNTA(Upload!$E$3:M$3)+2,FALSE)</f>
        <v>0</v>
      </c>
      <c r="N98" s="209">
        <f>VLOOKUP($B98,'2017'!$A$5:$Q$1425,COUNTA(Upload!$E$3:N$3)+2,FALSE)</f>
        <v>0</v>
      </c>
      <c r="O98" s="209">
        <f>VLOOKUP($B98,'2017'!$A$5:$Q$1425,COUNTA(Upload!$E$3:O$3)+2,FALSE)</f>
        <v>0</v>
      </c>
      <c r="P98" s="209">
        <f>VLOOKUP($B98,'2017'!$A$5:$Q$1425,COUNTA(Upload!$E$3:P$3)+2,FALSE)</f>
        <v>0</v>
      </c>
      <c r="T98" s="161"/>
    </row>
    <row r="99" spans="1:20" s="118" customFormat="1" ht="10.5" customHeight="1">
      <c r="A99" s="207" t="s">
        <v>70</v>
      </c>
      <c r="B99" s="412" t="s">
        <v>757</v>
      </c>
      <c r="C99" s="208" t="str">
        <f>+Setup!$B$21</f>
        <v>WC-PropName</v>
      </c>
      <c r="D99" s="208"/>
      <c r="E99" s="209">
        <f>VLOOKUP($B99,'2017'!$A$5:$Q$1425,COUNTA(Upload!$E$3:E$3)+2,FALSE)</f>
        <v>0</v>
      </c>
      <c r="F99" s="209">
        <f>VLOOKUP($B99,'2017'!$A$5:$Q$1425,COUNTA(Upload!$E$3:F$3)+2,FALSE)</f>
        <v>0</v>
      </c>
      <c r="G99" s="209">
        <f>VLOOKUP($B99,'2017'!$A$5:$Q$1425,COUNTA(Upload!$E$3:G$3)+2,FALSE)</f>
        <v>0</v>
      </c>
      <c r="H99" s="209">
        <f>VLOOKUP($B99,'2017'!$A$5:$Q$1425,COUNTA(Upload!$E$3:H$3)+2,FALSE)</f>
        <v>0</v>
      </c>
      <c r="I99" s="209">
        <f>VLOOKUP($B99,'2017'!$A$5:$Q$1425,COUNTA(Upload!$E$3:I$3)+2,FALSE)</f>
        <v>0</v>
      </c>
      <c r="J99" s="209">
        <f>VLOOKUP($B99,'2017'!$A$5:$Q$1425,COUNTA(Upload!$E$3:J$3)+2,FALSE)</f>
        <v>0</v>
      </c>
      <c r="K99" s="209">
        <f>VLOOKUP($B99,'2017'!$A$5:$Q$1425,COUNTA(Upload!$E$3:K$3)+2,FALSE)</f>
        <v>0</v>
      </c>
      <c r="L99" s="209">
        <f>VLOOKUP($B99,'2017'!$A$5:$Q$1425,COUNTA(Upload!$E$3:L$3)+2,FALSE)</f>
        <v>0</v>
      </c>
      <c r="M99" s="209">
        <f>VLOOKUP($B99,'2017'!$A$5:$Q$1425,COUNTA(Upload!$E$3:M$3)+2,FALSE)</f>
        <v>0</v>
      </c>
      <c r="N99" s="209">
        <f>VLOOKUP($B99,'2017'!$A$5:$Q$1425,COUNTA(Upload!$E$3:N$3)+2,FALSE)</f>
        <v>0</v>
      </c>
      <c r="O99" s="209">
        <f>VLOOKUP($B99,'2017'!$A$5:$Q$1425,COUNTA(Upload!$E$3:O$3)+2,FALSE)</f>
        <v>0</v>
      </c>
      <c r="P99" s="209">
        <f>VLOOKUP($B99,'2017'!$A$5:$Q$1425,COUNTA(Upload!$E$3:P$3)+2,FALSE)</f>
        <v>0</v>
      </c>
      <c r="T99" s="161"/>
    </row>
    <row r="100" spans="1:20" s="118" customFormat="1" ht="10.5" customHeight="1">
      <c r="A100" s="207" t="s">
        <v>70</v>
      </c>
      <c r="B100" s="412" t="s">
        <v>759</v>
      </c>
      <c r="C100" s="208" t="str">
        <f>+Setup!$B$21</f>
        <v>WC-PropName</v>
      </c>
      <c r="D100" s="208"/>
      <c r="E100" s="209">
        <f>VLOOKUP($B100,'2017'!$A$5:$Q$1425,COUNTA(Upload!$E$3:E$3)+2,FALSE)</f>
        <v>2000</v>
      </c>
      <c r="F100" s="209">
        <f>VLOOKUP($B100,'2017'!$A$5:$Q$1425,COUNTA(Upload!$E$3:F$3)+2,FALSE)</f>
        <v>2000</v>
      </c>
      <c r="G100" s="209">
        <f>VLOOKUP($B100,'2017'!$A$5:$Q$1425,COUNTA(Upload!$E$3:G$3)+2,FALSE)</f>
        <v>2000</v>
      </c>
      <c r="H100" s="209">
        <f>VLOOKUP($B100,'2017'!$A$5:$Q$1425,COUNTA(Upload!$E$3:H$3)+2,FALSE)</f>
        <v>2500</v>
      </c>
      <c r="I100" s="209">
        <f>VLOOKUP($B100,'2017'!$A$5:$Q$1425,COUNTA(Upload!$E$3:I$3)+2,FALSE)</f>
        <v>2500</v>
      </c>
      <c r="J100" s="209">
        <f>VLOOKUP($B100,'2017'!$A$5:$Q$1425,COUNTA(Upload!$E$3:J$3)+2,FALSE)</f>
        <v>2500</v>
      </c>
      <c r="K100" s="209">
        <f>VLOOKUP($B100,'2017'!$A$5:$Q$1425,COUNTA(Upload!$E$3:K$3)+2,FALSE)</f>
        <v>2500</v>
      </c>
      <c r="L100" s="209">
        <f>VLOOKUP($B100,'2017'!$A$5:$Q$1425,COUNTA(Upload!$E$3:L$3)+2,FALSE)</f>
        <v>2500</v>
      </c>
      <c r="M100" s="209">
        <f>VLOOKUP($B100,'2017'!$A$5:$Q$1425,COUNTA(Upload!$E$3:M$3)+2,FALSE)</f>
        <v>1500</v>
      </c>
      <c r="N100" s="209">
        <f>VLOOKUP($B100,'2017'!$A$5:$Q$1425,COUNTA(Upload!$E$3:N$3)+2,FALSE)</f>
        <v>1500</v>
      </c>
      <c r="O100" s="209">
        <f>VLOOKUP($B100,'2017'!$A$5:$Q$1425,COUNTA(Upload!$E$3:O$3)+2,FALSE)</f>
        <v>1500</v>
      </c>
      <c r="P100" s="209">
        <f>VLOOKUP($B100,'2017'!$A$5:$Q$1425,COUNTA(Upload!$E$3:P$3)+2,FALSE)</f>
        <v>1500</v>
      </c>
      <c r="T100" s="161"/>
    </row>
    <row r="101" spans="1:20" s="118" customFormat="1" ht="10.5" customHeight="1">
      <c r="A101" s="207" t="s">
        <v>70</v>
      </c>
      <c r="B101" s="412" t="s">
        <v>761</v>
      </c>
      <c r="C101" s="208" t="str">
        <f>+Setup!$B$21</f>
        <v>WC-PropName</v>
      </c>
      <c r="D101" s="208"/>
      <c r="E101" s="209">
        <f>VLOOKUP($B101,'2017'!$A$5:$Q$1425,COUNTA(Upload!$E$3:E$3)+2,FALSE)</f>
        <v>0</v>
      </c>
      <c r="F101" s="209">
        <f>VLOOKUP($B101,'2017'!$A$5:$Q$1425,COUNTA(Upload!$E$3:F$3)+2,FALSE)</f>
        <v>0</v>
      </c>
      <c r="G101" s="209">
        <f>VLOOKUP($B101,'2017'!$A$5:$Q$1425,COUNTA(Upload!$E$3:G$3)+2,FALSE)</f>
        <v>0</v>
      </c>
      <c r="H101" s="209">
        <f>VLOOKUP($B101,'2017'!$A$5:$Q$1425,COUNTA(Upload!$E$3:H$3)+2,FALSE)</f>
        <v>0</v>
      </c>
      <c r="I101" s="209">
        <f>VLOOKUP($B101,'2017'!$A$5:$Q$1425,COUNTA(Upload!$E$3:I$3)+2,FALSE)</f>
        <v>0</v>
      </c>
      <c r="J101" s="209">
        <f>VLOOKUP($B101,'2017'!$A$5:$Q$1425,COUNTA(Upload!$E$3:J$3)+2,FALSE)</f>
        <v>0</v>
      </c>
      <c r="K101" s="209">
        <f>VLOOKUP($B101,'2017'!$A$5:$Q$1425,COUNTA(Upload!$E$3:K$3)+2,FALSE)</f>
        <v>0</v>
      </c>
      <c r="L101" s="209">
        <f>VLOOKUP($B101,'2017'!$A$5:$Q$1425,COUNTA(Upload!$E$3:L$3)+2,FALSE)</f>
        <v>0</v>
      </c>
      <c r="M101" s="209">
        <f>VLOOKUP($B101,'2017'!$A$5:$Q$1425,COUNTA(Upload!$E$3:M$3)+2,FALSE)</f>
        <v>0</v>
      </c>
      <c r="N101" s="209">
        <f>VLOOKUP($B101,'2017'!$A$5:$Q$1425,COUNTA(Upload!$E$3:N$3)+2,FALSE)</f>
        <v>0</v>
      </c>
      <c r="O101" s="209">
        <f>VLOOKUP($B101,'2017'!$A$5:$Q$1425,COUNTA(Upload!$E$3:O$3)+2,FALSE)</f>
        <v>0</v>
      </c>
      <c r="P101" s="209">
        <f>VLOOKUP($B101,'2017'!$A$5:$Q$1425,COUNTA(Upload!$E$3:P$3)+2,FALSE)</f>
        <v>0</v>
      </c>
      <c r="T101" s="161"/>
    </row>
    <row r="102" spans="1:20" s="118" customFormat="1" ht="10.5" customHeight="1">
      <c r="A102" s="207" t="s">
        <v>70</v>
      </c>
      <c r="B102" s="412" t="s">
        <v>748</v>
      </c>
      <c r="C102" s="208" t="str">
        <f>+Setup!$B$21</f>
        <v>WC-PropName</v>
      </c>
      <c r="D102" s="208"/>
      <c r="E102" s="209">
        <f>VLOOKUP($B102,'2017'!$A$5:$Q$1425,COUNTA(Upload!$E$3:E$3)+2,FALSE)</f>
        <v>-11710.000000000011</v>
      </c>
      <c r="F102" s="209">
        <f>VLOOKUP($B102,'2017'!$A$5:$Q$1425,COUNTA(Upload!$E$3:F$3)+2,FALSE)</f>
        <v>-11710.000000000011</v>
      </c>
      <c r="G102" s="209">
        <f>VLOOKUP($B102,'2017'!$A$5:$Q$1425,COUNTA(Upload!$E$3:G$3)+2,FALSE)</f>
        <v>-11710.000000000011</v>
      </c>
      <c r="H102" s="209">
        <f>VLOOKUP($B102,'2017'!$A$5:$Q$1425,COUNTA(Upload!$E$3:H$3)+2,FALSE)</f>
        <v>-13074.54545454546</v>
      </c>
      <c r="I102" s="209">
        <f>VLOOKUP($B102,'2017'!$A$5:$Q$1425,COUNTA(Upload!$E$3:I$3)+2,FALSE)</f>
        <v>-14164.090909090906</v>
      </c>
      <c r="J102" s="209">
        <f>VLOOKUP($B102,'2017'!$A$5:$Q$1425,COUNTA(Upload!$E$3:J$3)+2,FALSE)</f>
        <v>-13074.54545454546</v>
      </c>
      <c r="K102" s="209">
        <f>VLOOKUP($B102,'2017'!$A$5:$Q$1425,COUNTA(Upload!$E$3:K$3)+2,FALSE)</f>
        <v>-11440.227272727274</v>
      </c>
      <c r="L102" s="209">
        <f>VLOOKUP($B102,'2017'!$A$5:$Q$1425,COUNTA(Upload!$E$3:L$3)+2,FALSE)</f>
        <v>-10350.681818181825</v>
      </c>
      <c r="M102" s="209">
        <f>VLOOKUP($B102,'2017'!$A$5:$Q$1425,COUNTA(Upload!$E$3:M$3)+2,FALSE)</f>
        <v>-11395.454545454535</v>
      </c>
      <c r="N102" s="209">
        <f>VLOOKUP($B102,'2017'!$A$5:$Q$1425,COUNTA(Upload!$E$3:N$3)+2,FALSE)</f>
        <v>-12535.000000000011</v>
      </c>
      <c r="O102" s="209">
        <f>VLOOKUP($B102,'2017'!$A$5:$Q$1425,COUNTA(Upload!$E$3:O$3)+2,FALSE)</f>
        <v>-13674.54545454546</v>
      </c>
      <c r="P102" s="209">
        <f>VLOOKUP($B102,'2017'!$A$5:$Q$1425,COUNTA(Upload!$E$3:P$3)+2,FALSE)</f>
        <v>-14814.090909090906</v>
      </c>
      <c r="T102" s="161"/>
    </row>
    <row r="103" spans="1:20" s="118" customFormat="1" ht="10.5" customHeight="1">
      <c r="A103" s="207" t="s">
        <v>70</v>
      </c>
      <c r="B103" s="412" t="s">
        <v>762</v>
      </c>
      <c r="C103" s="208" t="str">
        <f>+Setup!$B$21</f>
        <v>WC-PropName</v>
      </c>
      <c r="D103" s="208"/>
      <c r="E103" s="209">
        <f>VLOOKUP($B103,'2017'!$A$5:$Q$1425,COUNTA(Upload!$E$3:E$3)+2,FALSE)</f>
        <v>0</v>
      </c>
      <c r="F103" s="209">
        <f>VLOOKUP($B103,'2017'!$A$5:$Q$1425,COUNTA(Upload!$E$3:F$3)+2,FALSE)</f>
        <v>0</v>
      </c>
      <c r="G103" s="209">
        <f>VLOOKUP($B103,'2017'!$A$5:$Q$1425,COUNTA(Upload!$E$3:G$3)+2,FALSE)</f>
        <v>0</v>
      </c>
      <c r="H103" s="209">
        <f>VLOOKUP($B103,'2017'!$A$5:$Q$1425,COUNTA(Upload!$E$3:H$3)+2,FALSE)</f>
        <v>0</v>
      </c>
      <c r="I103" s="209">
        <f>VLOOKUP($B103,'2017'!$A$5:$Q$1425,COUNTA(Upload!$E$3:I$3)+2,FALSE)</f>
        <v>0</v>
      </c>
      <c r="J103" s="209">
        <f>VLOOKUP($B103,'2017'!$A$5:$Q$1425,COUNTA(Upload!$E$3:J$3)+2,FALSE)</f>
        <v>0</v>
      </c>
      <c r="K103" s="209">
        <f>VLOOKUP($B103,'2017'!$A$5:$Q$1425,COUNTA(Upload!$E$3:K$3)+2,FALSE)</f>
        <v>0</v>
      </c>
      <c r="L103" s="209">
        <f>VLOOKUP($B103,'2017'!$A$5:$Q$1425,COUNTA(Upload!$E$3:L$3)+2,FALSE)</f>
        <v>0</v>
      </c>
      <c r="M103" s="209">
        <f>VLOOKUP($B103,'2017'!$A$5:$Q$1425,COUNTA(Upload!$E$3:M$3)+2,FALSE)</f>
        <v>0</v>
      </c>
      <c r="N103" s="209">
        <f>VLOOKUP($B103,'2017'!$A$5:$Q$1425,COUNTA(Upload!$E$3:N$3)+2,FALSE)</f>
        <v>0</v>
      </c>
      <c r="O103" s="209">
        <f>VLOOKUP($B103,'2017'!$A$5:$Q$1425,COUNTA(Upload!$E$3:O$3)+2,FALSE)</f>
        <v>0</v>
      </c>
      <c r="P103" s="209">
        <f>VLOOKUP($B103,'2017'!$A$5:$Q$1425,COUNTA(Upload!$E$3:P$3)+2,FALSE)</f>
        <v>0</v>
      </c>
      <c r="T103" s="161"/>
    </row>
    <row r="104" spans="1:20" s="118" customFormat="1" ht="10.5" customHeight="1">
      <c r="A104" s="207" t="s">
        <v>70</v>
      </c>
      <c r="B104" s="412" t="s">
        <v>768</v>
      </c>
      <c r="C104" s="208" t="str">
        <f>+Setup!$B$21</f>
        <v>WC-PropName</v>
      </c>
      <c r="D104" s="208"/>
      <c r="E104" s="209">
        <f>VLOOKUP($B104,'2017'!$A$5:$Q$1425,COUNTA(Upload!$E$3:E$3)+2,FALSE)</f>
        <v>558.33333333333337</v>
      </c>
      <c r="F104" s="209">
        <f>VLOOKUP($B104,'2017'!$A$5:$Q$1425,COUNTA(Upload!$E$3:F$3)+2,FALSE)</f>
        <v>558.33333333333337</v>
      </c>
      <c r="G104" s="209">
        <f>VLOOKUP($B104,'2017'!$A$5:$Q$1425,COUNTA(Upload!$E$3:G$3)+2,FALSE)</f>
        <v>558.33333333333337</v>
      </c>
      <c r="H104" s="209">
        <f>VLOOKUP($B104,'2017'!$A$5:$Q$1425,COUNTA(Upload!$E$3:H$3)+2,FALSE)</f>
        <v>558.33333333333337</v>
      </c>
      <c r="I104" s="209">
        <f>VLOOKUP($B104,'2017'!$A$5:$Q$1425,COUNTA(Upload!$E$3:I$3)+2,FALSE)</f>
        <v>558.33333333333337</v>
      </c>
      <c r="J104" s="209">
        <f>VLOOKUP($B104,'2017'!$A$5:$Q$1425,COUNTA(Upload!$E$3:J$3)+2,FALSE)</f>
        <v>558.33333333333337</v>
      </c>
      <c r="K104" s="209">
        <f>VLOOKUP($B104,'2017'!$A$5:$Q$1425,COUNTA(Upload!$E$3:K$3)+2,FALSE)</f>
        <v>558.33333333333337</v>
      </c>
      <c r="L104" s="209">
        <f>VLOOKUP($B104,'2017'!$A$5:$Q$1425,COUNTA(Upload!$E$3:L$3)+2,FALSE)</f>
        <v>558.33333333333337</v>
      </c>
      <c r="M104" s="209">
        <f>VLOOKUP($B104,'2017'!$A$5:$Q$1425,COUNTA(Upload!$E$3:M$3)+2,FALSE)</f>
        <v>558.33333333333337</v>
      </c>
      <c r="N104" s="209">
        <f>VLOOKUP($B104,'2017'!$A$5:$Q$1425,COUNTA(Upload!$E$3:N$3)+2,FALSE)</f>
        <v>558.33333333333337</v>
      </c>
      <c r="O104" s="209">
        <f>VLOOKUP($B104,'2017'!$A$5:$Q$1425,COUNTA(Upload!$E$3:O$3)+2,FALSE)</f>
        <v>558.33333333333337</v>
      </c>
      <c r="P104" s="209">
        <f>VLOOKUP($B104,'2017'!$A$5:$Q$1425,COUNTA(Upload!$E$3:P$3)+2,FALSE)</f>
        <v>558.33333333333337</v>
      </c>
      <c r="T104" s="161"/>
    </row>
    <row r="105" spans="1:20" s="118" customFormat="1" ht="10.5" customHeight="1">
      <c r="A105" s="207" t="s">
        <v>70</v>
      </c>
      <c r="B105" s="412" t="s">
        <v>770</v>
      </c>
      <c r="C105" s="208" t="str">
        <f>+Setup!$B$21</f>
        <v>WC-PropName</v>
      </c>
      <c r="D105" s="208"/>
      <c r="E105" s="209">
        <f>VLOOKUP($B105,'2017'!$A$5:$Q$1425,COUNTA(Upload!$E$3:E$3)+2,FALSE)</f>
        <v>1460.9166666666667</v>
      </c>
      <c r="F105" s="209">
        <f>VLOOKUP($B105,'2017'!$A$5:$Q$1425,COUNTA(Upload!$E$3:F$3)+2,FALSE)</f>
        <v>1460.9166666666667</v>
      </c>
      <c r="G105" s="209">
        <f>VLOOKUP($B105,'2017'!$A$5:$Q$1425,COUNTA(Upload!$E$3:G$3)+2,FALSE)</f>
        <v>1460.9166666666667</v>
      </c>
      <c r="H105" s="209">
        <f>VLOOKUP($B105,'2017'!$A$5:$Q$1425,COUNTA(Upload!$E$3:H$3)+2,FALSE)</f>
        <v>1460.9166666666667</v>
      </c>
      <c r="I105" s="209">
        <f>VLOOKUP($B105,'2017'!$A$5:$Q$1425,COUNTA(Upload!$E$3:I$3)+2,FALSE)</f>
        <v>1460.9166666666667</v>
      </c>
      <c r="J105" s="209">
        <f>VLOOKUP($B105,'2017'!$A$5:$Q$1425,COUNTA(Upload!$E$3:J$3)+2,FALSE)</f>
        <v>1460.9166666666667</v>
      </c>
      <c r="K105" s="209">
        <f>VLOOKUP($B105,'2017'!$A$5:$Q$1425,COUNTA(Upload!$E$3:K$3)+2,FALSE)</f>
        <v>1460.9166666666667</v>
      </c>
      <c r="L105" s="209">
        <f>VLOOKUP($B105,'2017'!$A$5:$Q$1425,COUNTA(Upload!$E$3:L$3)+2,FALSE)</f>
        <v>1460.9166666666667</v>
      </c>
      <c r="M105" s="209">
        <f>VLOOKUP($B105,'2017'!$A$5:$Q$1425,COUNTA(Upload!$E$3:M$3)+2,FALSE)</f>
        <v>1460.9166666666667</v>
      </c>
      <c r="N105" s="209">
        <f>VLOOKUP($B105,'2017'!$A$5:$Q$1425,COUNTA(Upload!$E$3:N$3)+2,FALSE)</f>
        <v>1460.9166666666667</v>
      </c>
      <c r="O105" s="209">
        <f>VLOOKUP($B105,'2017'!$A$5:$Q$1425,COUNTA(Upload!$E$3:O$3)+2,FALSE)</f>
        <v>1460.9166666666667</v>
      </c>
      <c r="P105" s="209">
        <f>VLOOKUP($B105,'2017'!$A$5:$Q$1425,COUNTA(Upload!$E$3:P$3)+2,FALSE)</f>
        <v>1460.9166666666667</v>
      </c>
      <c r="T105" s="161"/>
    </row>
    <row r="106" spans="1:20" s="118" customFormat="1" ht="10.5" customHeight="1">
      <c r="A106" s="207" t="s">
        <v>70</v>
      </c>
      <c r="B106" s="412" t="s">
        <v>772</v>
      </c>
      <c r="C106" s="208" t="str">
        <f>+Setup!$B$21</f>
        <v>WC-PropName</v>
      </c>
      <c r="D106" s="208"/>
      <c r="E106" s="209">
        <f>VLOOKUP($B106,'2017'!$A$5:$Q$1425,COUNTA(Upload!$E$3:E$3)+2,FALSE)</f>
        <v>0</v>
      </c>
      <c r="F106" s="209">
        <f>VLOOKUP($B106,'2017'!$A$5:$Q$1425,COUNTA(Upload!$E$3:F$3)+2,FALSE)</f>
        <v>0</v>
      </c>
      <c r="G106" s="209">
        <f>VLOOKUP($B106,'2017'!$A$5:$Q$1425,COUNTA(Upload!$E$3:G$3)+2,FALSE)</f>
        <v>0</v>
      </c>
      <c r="H106" s="209">
        <f>VLOOKUP($B106,'2017'!$A$5:$Q$1425,COUNTA(Upload!$E$3:H$3)+2,FALSE)</f>
        <v>0</v>
      </c>
      <c r="I106" s="209">
        <f>VLOOKUP($B106,'2017'!$A$5:$Q$1425,COUNTA(Upload!$E$3:I$3)+2,FALSE)</f>
        <v>0</v>
      </c>
      <c r="J106" s="209">
        <f>VLOOKUP($B106,'2017'!$A$5:$Q$1425,COUNTA(Upload!$E$3:J$3)+2,FALSE)</f>
        <v>0</v>
      </c>
      <c r="K106" s="209">
        <f>VLOOKUP($B106,'2017'!$A$5:$Q$1425,COUNTA(Upload!$E$3:K$3)+2,FALSE)</f>
        <v>0</v>
      </c>
      <c r="L106" s="209">
        <f>VLOOKUP($B106,'2017'!$A$5:$Q$1425,COUNTA(Upload!$E$3:L$3)+2,FALSE)</f>
        <v>0</v>
      </c>
      <c r="M106" s="209">
        <f>VLOOKUP($B106,'2017'!$A$5:$Q$1425,COUNTA(Upload!$E$3:M$3)+2,FALSE)</f>
        <v>0</v>
      </c>
      <c r="N106" s="209">
        <f>VLOOKUP($B106,'2017'!$A$5:$Q$1425,COUNTA(Upload!$E$3:N$3)+2,FALSE)</f>
        <v>0</v>
      </c>
      <c r="O106" s="209">
        <f>VLOOKUP($B106,'2017'!$A$5:$Q$1425,COUNTA(Upload!$E$3:O$3)+2,FALSE)</f>
        <v>0</v>
      </c>
      <c r="P106" s="209">
        <f>VLOOKUP($B106,'2017'!$A$5:$Q$1425,COUNTA(Upload!$E$3:P$3)+2,FALSE)</f>
        <v>0</v>
      </c>
      <c r="T106" s="161"/>
    </row>
    <row r="107" spans="1:20" s="118" customFormat="1" ht="10.5" customHeight="1">
      <c r="A107" s="207" t="s">
        <v>70</v>
      </c>
      <c r="B107" s="412" t="s">
        <v>773</v>
      </c>
      <c r="C107" s="208" t="str">
        <f>+Setup!$B$21</f>
        <v>WC-PropName</v>
      </c>
      <c r="D107" s="208"/>
      <c r="E107" s="209">
        <f>VLOOKUP($B107,'2017'!$A$5:$Q$1425,COUNTA(Upload!$E$3:E$3)+2,FALSE)</f>
        <v>233.08333333333334</v>
      </c>
      <c r="F107" s="209">
        <f>VLOOKUP($B107,'2017'!$A$5:$Q$1425,COUNTA(Upload!$E$3:F$3)+2,FALSE)</f>
        <v>233.08333333333334</v>
      </c>
      <c r="G107" s="209">
        <f>VLOOKUP($B107,'2017'!$A$5:$Q$1425,COUNTA(Upload!$E$3:G$3)+2,FALSE)</f>
        <v>233.08333333333334</v>
      </c>
      <c r="H107" s="209">
        <f>VLOOKUP($B107,'2017'!$A$5:$Q$1425,COUNTA(Upload!$E$3:H$3)+2,FALSE)</f>
        <v>233.08333333333334</v>
      </c>
      <c r="I107" s="209">
        <f>VLOOKUP($B107,'2017'!$A$5:$Q$1425,COUNTA(Upload!$E$3:I$3)+2,FALSE)</f>
        <v>233.08333333333334</v>
      </c>
      <c r="J107" s="209">
        <f>VLOOKUP($B107,'2017'!$A$5:$Q$1425,COUNTA(Upload!$E$3:J$3)+2,FALSE)</f>
        <v>233.08333333333334</v>
      </c>
      <c r="K107" s="209">
        <f>VLOOKUP($B107,'2017'!$A$5:$Q$1425,COUNTA(Upload!$E$3:K$3)+2,FALSE)</f>
        <v>233.08333333333334</v>
      </c>
      <c r="L107" s="209">
        <f>VLOOKUP($B107,'2017'!$A$5:$Q$1425,COUNTA(Upload!$E$3:L$3)+2,FALSE)</f>
        <v>233.08333333333334</v>
      </c>
      <c r="M107" s="209">
        <f>VLOOKUP($B107,'2017'!$A$5:$Q$1425,COUNTA(Upload!$E$3:M$3)+2,FALSE)</f>
        <v>233.08333333333334</v>
      </c>
      <c r="N107" s="209">
        <f>VLOOKUP($B107,'2017'!$A$5:$Q$1425,COUNTA(Upload!$E$3:N$3)+2,FALSE)</f>
        <v>233.08333333333334</v>
      </c>
      <c r="O107" s="209">
        <f>VLOOKUP($B107,'2017'!$A$5:$Q$1425,COUNTA(Upload!$E$3:O$3)+2,FALSE)</f>
        <v>233.08333333333334</v>
      </c>
      <c r="P107" s="209">
        <f>VLOOKUP($B107,'2017'!$A$5:$Q$1425,COUNTA(Upload!$E$3:P$3)+2,FALSE)</f>
        <v>233.08333333333334</v>
      </c>
      <c r="T107" s="161"/>
    </row>
    <row r="108" spans="1:20" s="118" customFormat="1" ht="10.5" customHeight="1">
      <c r="A108" s="207" t="s">
        <v>70</v>
      </c>
      <c r="B108" s="412" t="s">
        <v>775</v>
      </c>
      <c r="C108" s="208" t="str">
        <f>+Setup!$B$21</f>
        <v>WC-PropName</v>
      </c>
      <c r="D108" s="208"/>
      <c r="E108" s="209">
        <f>VLOOKUP($B108,'2017'!$A$5:$Q$1425,COUNTA(Upload!$E$3:E$3)+2,FALSE)</f>
        <v>0</v>
      </c>
      <c r="F108" s="209">
        <f>VLOOKUP($B108,'2017'!$A$5:$Q$1425,COUNTA(Upload!$E$3:F$3)+2,FALSE)</f>
        <v>0</v>
      </c>
      <c r="G108" s="209">
        <f>VLOOKUP($B108,'2017'!$A$5:$Q$1425,COUNTA(Upload!$E$3:G$3)+2,FALSE)</f>
        <v>0</v>
      </c>
      <c r="H108" s="209">
        <f>VLOOKUP($B108,'2017'!$A$5:$Q$1425,COUNTA(Upload!$E$3:H$3)+2,FALSE)</f>
        <v>0</v>
      </c>
      <c r="I108" s="209">
        <f>VLOOKUP($B108,'2017'!$A$5:$Q$1425,COUNTA(Upload!$E$3:I$3)+2,FALSE)</f>
        <v>0</v>
      </c>
      <c r="J108" s="209">
        <f>VLOOKUP($B108,'2017'!$A$5:$Q$1425,COUNTA(Upload!$E$3:J$3)+2,FALSE)</f>
        <v>0</v>
      </c>
      <c r="K108" s="209">
        <f>VLOOKUP($B108,'2017'!$A$5:$Q$1425,COUNTA(Upload!$E$3:K$3)+2,FALSE)</f>
        <v>0</v>
      </c>
      <c r="L108" s="209">
        <f>VLOOKUP($B108,'2017'!$A$5:$Q$1425,COUNTA(Upload!$E$3:L$3)+2,FALSE)</f>
        <v>0</v>
      </c>
      <c r="M108" s="209">
        <f>VLOOKUP($B108,'2017'!$A$5:$Q$1425,COUNTA(Upload!$E$3:M$3)+2,FALSE)</f>
        <v>0</v>
      </c>
      <c r="N108" s="209">
        <f>VLOOKUP($B108,'2017'!$A$5:$Q$1425,COUNTA(Upload!$E$3:N$3)+2,FALSE)</f>
        <v>0</v>
      </c>
      <c r="O108" s="209">
        <f>VLOOKUP($B108,'2017'!$A$5:$Q$1425,COUNTA(Upload!$E$3:O$3)+2,FALSE)</f>
        <v>0</v>
      </c>
      <c r="P108" s="209">
        <f>VLOOKUP($B108,'2017'!$A$5:$Q$1425,COUNTA(Upload!$E$3:P$3)+2,FALSE)</f>
        <v>0</v>
      </c>
      <c r="T108" s="161"/>
    </row>
    <row r="109" spans="1:20" s="118" customFormat="1" ht="10.5" customHeight="1">
      <c r="A109" s="207" t="s">
        <v>70</v>
      </c>
      <c r="B109" s="412" t="s">
        <v>776</v>
      </c>
      <c r="C109" s="208" t="str">
        <f>+Setup!$B$21</f>
        <v>WC-PropName</v>
      </c>
      <c r="D109" s="208"/>
      <c r="E109" s="209">
        <f>VLOOKUP($B109,'2017'!$A$5:$Q$1425,COUNTA(Upload!$E$3:E$3)+2,FALSE)</f>
        <v>27.916666666666668</v>
      </c>
      <c r="F109" s="209">
        <f>VLOOKUP($B109,'2017'!$A$5:$Q$1425,COUNTA(Upload!$E$3:F$3)+2,FALSE)</f>
        <v>27.916666666666668</v>
      </c>
      <c r="G109" s="209">
        <f>VLOOKUP($B109,'2017'!$A$5:$Q$1425,COUNTA(Upload!$E$3:G$3)+2,FALSE)</f>
        <v>27.916666666666668</v>
      </c>
      <c r="H109" s="209">
        <f>VLOOKUP($B109,'2017'!$A$5:$Q$1425,COUNTA(Upload!$E$3:H$3)+2,FALSE)</f>
        <v>27.916666666666668</v>
      </c>
      <c r="I109" s="209">
        <f>VLOOKUP($B109,'2017'!$A$5:$Q$1425,COUNTA(Upload!$E$3:I$3)+2,FALSE)</f>
        <v>27.916666666666668</v>
      </c>
      <c r="J109" s="209">
        <f>VLOOKUP($B109,'2017'!$A$5:$Q$1425,COUNTA(Upload!$E$3:J$3)+2,FALSE)</f>
        <v>27.916666666666668</v>
      </c>
      <c r="K109" s="209">
        <f>VLOOKUP($B109,'2017'!$A$5:$Q$1425,COUNTA(Upload!$E$3:K$3)+2,FALSE)</f>
        <v>27.916666666666668</v>
      </c>
      <c r="L109" s="209">
        <f>VLOOKUP($B109,'2017'!$A$5:$Q$1425,COUNTA(Upload!$E$3:L$3)+2,FALSE)</f>
        <v>27.916666666666668</v>
      </c>
      <c r="M109" s="209">
        <f>VLOOKUP($B109,'2017'!$A$5:$Q$1425,COUNTA(Upload!$E$3:M$3)+2,FALSE)</f>
        <v>27.916666666666668</v>
      </c>
      <c r="N109" s="209">
        <f>VLOOKUP($B109,'2017'!$A$5:$Q$1425,COUNTA(Upload!$E$3:N$3)+2,FALSE)</f>
        <v>27.916666666666668</v>
      </c>
      <c r="O109" s="209">
        <f>VLOOKUP($B109,'2017'!$A$5:$Q$1425,COUNTA(Upload!$E$3:O$3)+2,FALSE)</f>
        <v>27.916666666666668</v>
      </c>
      <c r="P109" s="209">
        <f>VLOOKUP($B109,'2017'!$A$5:$Q$1425,COUNTA(Upload!$E$3:P$3)+2,FALSE)</f>
        <v>27.916666666666668</v>
      </c>
      <c r="T109" s="161"/>
    </row>
    <row r="110" spans="1:20" s="118" customFormat="1" ht="10.5" customHeight="1">
      <c r="A110" s="207" t="s">
        <v>70</v>
      </c>
      <c r="B110" s="412" t="s">
        <v>778</v>
      </c>
      <c r="C110" s="208" t="str">
        <f>+Setup!$B$21</f>
        <v>WC-PropName</v>
      </c>
      <c r="D110" s="208"/>
      <c r="E110" s="209">
        <f>VLOOKUP($B110,'2017'!$A$5:$Q$1425,COUNTA(Upload!$E$3:E$3)+2,FALSE)</f>
        <v>1217.5</v>
      </c>
      <c r="F110" s="209">
        <f>VLOOKUP($B110,'2017'!$A$5:$Q$1425,COUNTA(Upload!$E$3:F$3)+2,FALSE)</f>
        <v>1217.5</v>
      </c>
      <c r="G110" s="209">
        <f>VLOOKUP($B110,'2017'!$A$5:$Q$1425,COUNTA(Upload!$E$3:G$3)+2,FALSE)</f>
        <v>1217.5</v>
      </c>
      <c r="H110" s="209">
        <f>VLOOKUP($B110,'2017'!$A$5:$Q$1425,COUNTA(Upload!$E$3:H$3)+2,FALSE)</f>
        <v>1217.5</v>
      </c>
      <c r="I110" s="209">
        <f>VLOOKUP($B110,'2017'!$A$5:$Q$1425,COUNTA(Upload!$E$3:I$3)+2,FALSE)</f>
        <v>1217.5</v>
      </c>
      <c r="J110" s="209">
        <f>VLOOKUP($B110,'2017'!$A$5:$Q$1425,COUNTA(Upload!$E$3:J$3)+2,FALSE)</f>
        <v>1217.5</v>
      </c>
      <c r="K110" s="209">
        <f>VLOOKUP($B110,'2017'!$A$5:$Q$1425,COUNTA(Upload!$E$3:K$3)+2,FALSE)</f>
        <v>1217.5</v>
      </c>
      <c r="L110" s="209">
        <f>VLOOKUP($B110,'2017'!$A$5:$Q$1425,COUNTA(Upload!$E$3:L$3)+2,FALSE)</f>
        <v>1217.5</v>
      </c>
      <c r="M110" s="209">
        <f>VLOOKUP($B110,'2017'!$A$5:$Q$1425,COUNTA(Upload!$E$3:M$3)+2,FALSE)</f>
        <v>1217.5</v>
      </c>
      <c r="N110" s="209">
        <f>VLOOKUP($B110,'2017'!$A$5:$Q$1425,COUNTA(Upload!$E$3:N$3)+2,FALSE)</f>
        <v>1217.5</v>
      </c>
      <c r="O110" s="209">
        <f>VLOOKUP($B110,'2017'!$A$5:$Q$1425,COUNTA(Upload!$E$3:O$3)+2,FALSE)</f>
        <v>1217.5</v>
      </c>
      <c r="P110" s="209">
        <f>VLOOKUP($B110,'2017'!$A$5:$Q$1425,COUNTA(Upload!$E$3:P$3)+2,FALSE)</f>
        <v>1217.5</v>
      </c>
      <c r="T110" s="161"/>
    </row>
    <row r="111" spans="1:20" s="118" customFormat="1" ht="10.5" customHeight="1">
      <c r="A111" s="207" t="s">
        <v>70</v>
      </c>
      <c r="B111" s="412" t="s">
        <v>780</v>
      </c>
      <c r="C111" s="208" t="str">
        <f>+Setup!$B$21</f>
        <v>WC-PropName</v>
      </c>
      <c r="D111" s="208"/>
      <c r="E111" s="209">
        <f>VLOOKUP($B111,'2017'!$A$5:$Q$1425,COUNTA(Upload!$E$3:E$3)+2,FALSE)</f>
        <v>14.583333333333334</v>
      </c>
      <c r="F111" s="209">
        <f>VLOOKUP($B111,'2017'!$A$5:$Q$1425,COUNTA(Upload!$E$3:F$3)+2,FALSE)</f>
        <v>14.583333333333334</v>
      </c>
      <c r="G111" s="209">
        <f>VLOOKUP($B111,'2017'!$A$5:$Q$1425,COUNTA(Upload!$E$3:G$3)+2,FALSE)</f>
        <v>14.583333333333334</v>
      </c>
      <c r="H111" s="209">
        <f>VLOOKUP($B111,'2017'!$A$5:$Q$1425,COUNTA(Upload!$E$3:H$3)+2,FALSE)</f>
        <v>14.583333333333334</v>
      </c>
      <c r="I111" s="209">
        <f>VLOOKUP($B111,'2017'!$A$5:$Q$1425,COUNTA(Upload!$E$3:I$3)+2,FALSE)</f>
        <v>14.583333333333334</v>
      </c>
      <c r="J111" s="209">
        <f>VLOOKUP($B111,'2017'!$A$5:$Q$1425,COUNTA(Upload!$E$3:J$3)+2,FALSE)</f>
        <v>14.583333333333334</v>
      </c>
      <c r="K111" s="209">
        <f>VLOOKUP($B111,'2017'!$A$5:$Q$1425,COUNTA(Upload!$E$3:K$3)+2,FALSE)</f>
        <v>14.583333333333334</v>
      </c>
      <c r="L111" s="209">
        <f>VLOOKUP($B111,'2017'!$A$5:$Q$1425,COUNTA(Upload!$E$3:L$3)+2,FALSE)</f>
        <v>14.583333333333334</v>
      </c>
      <c r="M111" s="209">
        <f>VLOOKUP($B111,'2017'!$A$5:$Q$1425,COUNTA(Upload!$E$3:M$3)+2,FALSE)</f>
        <v>14.583333333333334</v>
      </c>
      <c r="N111" s="209">
        <f>VLOOKUP($B111,'2017'!$A$5:$Q$1425,COUNTA(Upload!$E$3:N$3)+2,FALSE)</f>
        <v>14.583333333333334</v>
      </c>
      <c r="O111" s="209">
        <f>VLOOKUP($B111,'2017'!$A$5:$Q$1425,COUNTA(Upload!$E$3:O$3)+2,FALSE)</f>
        <v>14.583333333333334</v>
      </c>
      <c r="P111" s="209">
        <f>VLOOKUP($B111,'2017'!$A$5:$Q$1425,COUNTA(Upload!$E$3:P$3)+2,FALSE)</f>
        <v>14.583333333333334</v>
      </c>
      <c r="T111" s="161"/>
    </row>
    <row r="112" spans="1:20" s="118" customFormat="1" ht="10.5" customHeight="1">
      <c r="A112" s="207" t="s">
        <v>70</v>
      </c>
      <c r="B112" s="412" t="s">
        <v>782</v>
      </c>
      <c r="C112" s="208" t="str">
        <f>+Setup!$B$21</f>
        <v>WC-PropName</v>
      </c>
      <c r="D112" s="208"/>
      <c r="E112" s="209">
        <f>VLOOKUP($B112,'2017'!$A$5:$Q$1425,COUNTA(Upload!$E$3:E$3)+2,FALSE)</f>
        <v>2090</v>
      </c>
      <c r="F112" s="209">
        <f>VLOOKUP($B112,'2017'!$A$5:$Q$1425,COUNTA(Upload!$E$3:F$3)+2,FALSE)</f>
        <v>2090</v>
      </c>
      <c r="G112" s="209">
        <f>VLOOKUP($B112,'2017'!$A$5:$Q$1425,COUNTA(Upload!$E$3:G$3)+2,FALSE)</f>
        <v>2090</v>
      </c>
      <c r="H112" s="209">
        <f>VLOOKUP($B112,'2017'!$A$5:$Q$1425,COUNTA(Upload!$E$3:H$3)+2,FALSE)</f>
        <v>2090</v>
      </c>
      <c r="I112" s="209">
        <f>VLOOKUP($B112,'2017'!$A$5:$Q$1425,COUNTA(Upload!$E$3:I$3)+2,FALSE)</f>
        <v>2090</v>
      </c>
      <c r="J112" s="209">
        <f>VLOOKUP($B112,'2017'!$A$5:$Q$1425,COUNTA(Upload!$E$3:J$3)+2,FALSE)</f>
        <v>2090</v>
      </c>
      <c r="K112" s="209">
        <f>VLOOKUP($B112,'2017'!$A$5:$Q$1425,COUNTA(Upload!$E$3:K$3)+2,FALSE)</f>
        <v>2090</v>
      </c>
      <c r="L112" s="209">
        <f>VLOOKUP($B112,'2017'!$A$5:$Q$1425,COUNTA(Upload!$E$3:L$3)+2,FALSE)</f>
        <v>2090</v>
      </c>
      <c r="M112" s="209">
        <f>VLOOKUP($B112,'2017'!$A$5:$Q$1425,COUNTA(Upload!$E$3:M$3)+2,FALSE)</f>
        <v>2090</v>
      </c>
      <c r="N112" s="209">
        <f>VLOOKUP($B112,'2017'!$A$5:$Q$1425,COUNTA(Upload!$E$3:N$3)+2,FALSE)</f>
        <v>2090</v>
      </c>
      <c r="O112" s="209">
        <f>VLOOKUP($B112,'2017'!$A$5:$Q$1425,COUNTA(Upload!$E$3:O$3)+2,FALSE)</f>
        <v>2090</v>
      </c>
      <c r="P112" s="209">
        <f>VLOOKUP($B112,'2017'!$A$5:$Q$1425,COUNTA(Upload!$E$3:P$3)+2,FALSE)</f>
        <v>2090</v>
      </c>
      <c r="T112" s="161"/>
    </row>
    <row r="113" spans="1:20" s="118" customFormat="1" ht="10.5" customHeight="1">
      <c r="A113" s="207" t="s">
        <v>70</v>
      </c>
      <c r="B113" s="412" t="s">
        <v>784</v>
      </c>
      <c r="C113" s="208" t="str">
        <f>+Setup!$B$21</f>
        <v>WC-PropName</v>
      </c>
      <c r="D113" s="208"/>
      <c r="E113" s="209">
        <f>VLOOKUP($B113,'2017'!$A$5:$Q$1425,COUNTA(Upload!$E$3:E$3)+2,FALSE)</f>
        <v>393.25</v>
      </c>
      <c r="F113" s="209">
        <f>VLOOKUP($B113,'2017'!$A$5:$Q$1425,COUNTA(Upload!$E$3:F$3)+2,FALSE)</f>
        <v>393.25</v>
      </c>
      <c r="G113" s="209">
        <f>VLOOKUP($B113,'2017'!$A$5:$Q$1425,COUNTA(Upload!$E$3:G$3)+2,FALSE)</f>
        <v>393.25</v>
      </c>
      <c r="H113" s="209">
        <f>VLOOKUP($B113,'2017'!$A$5:$Q$1425,COUNTA(Upload!$E$3:H$3)+2,FALSE)</f>
        <v>393.25</v>
      </c>
      <c r="I113" s="209">
        <f>VLOOKUP($B113,'2017'!$A$5:$Q$1425,COUNTA(Upload!$E$3:I$3)+2,FALSE)</f>
        <v>393.25</v>
      </c>
      <c r="J113" s="209">
        <f>VLOOKUP($B113,'2017'!$A$5:$Q$1425,COUNTA(Upload!$E$3:J$3)+2,FALSE)</f>
        <v>393.25</v>
      </c>
      <c r="K113" s="209">
        <f>VLOOKUP($B113,'2017'!$A$5:$Q$1425,COUNTA(Upload!$E$3:K$3)+2,FALSE)</f>
        <v>393.25</v>
      </c>
      <c r="L113" s="209">
        <f>VLOOKUP($B113,'2017'!$A$5:$Q$1425,COUNTA(Upload!$E$3:L$3)+2,FALSE)</f>
        <v>393.25</v>
      </c>
      <c r="M113" s="209">
        <f>VLOOKUP($B113,'2017'!$A$5:$Q$1425,COUNTA(Upload!$E$3:M$3)+2,FALSE)</f>
        <v>393.25</v>
      </c>
      <c r="N113" s="209">
        <f>VLOOKUP($B113,'2017'!$A$5:$Q$1425,COUNTA(Upload!$E$3:N$3)+2,FALSE)</f>
        <v>393.25</v>
      </c>
      <c r="O113" s="209">
        <f>VLOOKUP($B113,'2017'!$A$5:$Q$1425,COUNTA(Upload!$E$3:O$3)+2,FALSE)</f>
        <v>393.25</v>
      </c>
      <c r="P113" s="209">
        <f>VLOOKUP($B113,'2017'!$A$5:$Q$1425,COUNTA(Upload!$E$3:P$3)+2,FALSE)</f>
        <v>393.25</v>
      </c>
      <c r="T113" s="161"/>
    </row>
    <row r="114" spans="1:20" s="118" customFormat="1" ht="10.5" customHeight="1">
      <c r="A114" s="207" t="s">
        <v>70</v>
      </c>
      <c r="B114" s="412" t="s">
        <v>786</v>
      </c>
      <c r="C114" s="208" t="str">
        <f>+Setup!$B$21</f>
        <v>WC-PropName</v>
      </c>
      <c r="D114" s="208"/>
      <c r="E114" s="209">
        <f>VLOOKUP($B114,'2017'!$A$5:$Q$1425,COUNTA(Upload!$E$3:E$3)+2,FALSE)</f>
        <v>999</v>
      </c>
      <c r="F114" s="209">
        <f>VLOOKUP($B114,'2017'!$A$5:$Q$1425,COUNTA(Upload!$E$3:F$3)+2,FALSE)</f>
        <v>999</v>
      </c>
      <c r="G114" s="209">
        <f>VLOOKUP($B114,'2017'!$A$5:$Q$1425,COUNTA(Upload!$E$3:G$3)+2,FALSE)</f>
        <v>999</v>
      </c>
      <c r="H114" s="209">
        <f>VLOOKUP($B114,'2017'!$A$5:$Q$1425,COUNTA(Upload!$E$3:H$3)+2,FALSE)</f>
        <v>999</v>
      </c>
      <c r="I114" s="209">
        <f>VLOOKUP($B114,'2017'!$A$5:$Q$1425,COUNTA(Upload!$E$3:I$3)+2,FALSE)</f>
        <v>999</v>
      </c>
      <c r="J114" s="209">
        <f>VLOOKUP($B114,'2017'!$A$5:$Q$1425,COUNTA(Upload!$E$3:J$3)+2,FALSE)</f>
        <v>999</v>
      </c>
      <c r="K114" s="209">
        <f>VLOOKUP($B114,'2017'!$A$5:$Q$1425,COUNTA(Upload!$E$3:K$3)+2,FALSE)</f>
        <v>999</v>
      </c>
      <c r="L114" s="209">
        <f>VLOOKUP($B114,'2017'!$A$5:$Q$1425,COUNTA(Upload!$E$3:L$3)+2,FALSE)</f>
        <v>999</v>
      </c>
      <c r="M114" s="209">
        <f>VLOOKUP($B114,'2017'!$A$5:$Q$1425,COUNTA(Upload!$E$3:M$3)+2,FALSE)</f>
        <v>999</v>
      </c>
      <c r="N114" s="209">
        <f>VLOOKUP($B114,'2017'!$A$5:$Q$1425,COUNTA(Upload!$E$3:N$3)+2,FALSE)</f>
        <v>999</v>
      </c>
      <c r="O114" s="209">
        <f>VLOOKUP($B114,'2017'!$A$5:$Q$1425,COUNTA(Upload!$E$3:O$3)+2,FALSE)</f>
        <v>999</v>
      </c>
      <c r="P114" s="209">
        <f>VLOOKUP($B114,'2017'!$A$5:$Q$1425,COUNTA(Upload!$E$3:P$3)+2,FALSE)</f>
        <v>999</v>
      </c>
      <c r="T114" s="161"/>
    </row>
    <row r="115" spans="1:20" s="118" customFormat="1" ht="10.5" customHeight="1">
      <c r="A115" s="207" t="s">
        <v>70</v>
      </c>
      <c r="B115" s="412" t="s">
        <v>788</v>
      </c>
      <c r="C115" s="208" t="str">
        <f>+Setup!$B$21</f>
        <v>WC-PropName</v>
      </c>
      <c r="D115" s="208"/>
      <c r="E115" s="209">
        <f>VLOOKUP($B115,'2017'!$A$5:$Q$1425,COUNTA(Upload!$E$3:E$3)+2,FALSE)</f>
        <v>0</v>
      </c>
      <c r="F115" s="209">
        <f>VLOOKUP($B115,'2017'!$A$5:$Q$1425,COUNTA(Upload!$E$3:F$3)+2,FALSE)</f>
        <v>0</v>
      </c>
      <c r="G115" s="209">
        <f>VLOOKUP($B115,'2017'!$A$5:$Q$1425,COUNTA(Upload!$E$3:G$3)+2,FALSE)</f>
        <v>0</v>
      </c>
      <c r="H115" s="209">
        <f>VLOOKUP($B115,'2017'!$A$5:$Q$1425,COUNTA(Upload!$E$3:H$3)+2,FALSE)</f>
        <v>0</v>
      </c>
      <c r="I115" s="209">
        <f>VLOOKUP($B115,'2017'!$A$5:$Q$1425,COUNTA(Upload!$E$3:I$3)+2,FALSE)</f>
        <v>0</v>
      </c>
      <c r="J115" s="209">
        <f>VLOOKUP($B115,'2017'!$A$5:$Q$1425,COUNTA(Upload!$E$3:J$3)+2,FALSE)</f>
        <v>0</v>
      </c>
      <c r="K115" s="209">
        <f>VLOOKUP($B115,'2017'!$A$5:$Q$1425,COUNTA(Upload!$E$3:K$3)+2,FALSE)</f>
        <v>0</v>
      </c>
      <c r="L115" s="209">
        <f>VLOOKUP($B115,'2017'!$A$5:$Q$1425,COUNTA(Upload!$E$3:L$3)+2,FALSE)</f>
        <v>0</v>
      </c>
      <c r="M115" s="209">
        <f>VLOOKUP($B115,'2017'!$A$5:$Q$1425,COUNTA(Upload!$E$3:M$3)+2,FALSE)</f>
        <v>0</v>
      </c>
      <c r="N115" s="209">
        <f>VLOOKUP($B115,'2017'!$A$5:$Q$1425,COUNTA(Upload!$E$3:N$3)+2,FALSE)</f>
        <v>0</v>
      </c>
      <c r="O115" s="209">
        <f>VLOOKUP($B115,'2017'!$A$5:$Q$1425,COUNTA(Upload!$E$3:O$3)+2,FALSE)</f>
        <v>0</v>
      </c>
      <c r="P115" s="209">
        <f>VLOOKUP($B115,'2017'!$A$5:$Q$1425,COUNTA(Upload!$E$3:P$3)+2,FALSE)</f>
        <v>0</v>
      </c>
      <c r="T115" s="161"/>
    </row>
    <row r="116" spans="1:20" s="118" customFormat="1" ht="10.5" customHeight="1">
      <c r="A116" s="207" t="s">
        <v>70</v>
      </c>
      <c r="B116" s="412" t="s">
        <v>790</v>
      </c>
      <c r="C116" s="208" t="str">
        <f>+Setup!$B$21</f>
        <v>WC-PropName</v>
      </c>
      <c r="D116" s="208"/>
      <c r="E116" s="209">
        <f>VLOOKUP($B116,'2017'!$A$5:$Q$1425,COUNTA(Upload!$E$3:E$3)+2,FALSE)</f>
        <v>0</v>
      </c>
      <c r="F116" s="209">
        <f>VLOOKUP($B116,'2017'!$A$5:$Q$1425,COUNTA(Upload!$E$3:F$3)+2,FALSE)</f>
        <v>0</v>
      </c>
      <c r="G116" s="209">
        <f>VLOOKUP($B116,'2017'!$A$5:$Q$1425,COUNTA(Upload!$E$3:G$3)+2,FALSE)</f>
        <v>0</v>
      </c>
      <c r="H116" s="209">
        <f>VLOOKUP($B116,'2017'!$A$5:$Q$1425,COUNTA(Upload!$E$3:H$3)+2,FALSE)</f>
        <v>0</v>
      </c>
      <c r="I116" s="209">
        <f>VLOOKUP($B116,'2017'!$A$5:$Q$1425,COUNTA(Upload!$E$3:I$3)+2,FALSE)</f>
        <v>0</v>
      </c>
      <c r="J116" s="209">
        <f>VLOOKUP($B116,'2017'!$A$5:$Q$1425,COUNTA(Upload!$E$3:J$3)+2,FALSE)</f>
        <v>0</v>
      </c>
      <c r="K116" s="209">
        <f>VLOOKUP($B116,'2017'!$A$5:$Q$1425,COUNTA(Upload!$E$3:K$3)+2,FALSE)</f>
        <v>0</v>
      </c>
      <c r="L116" s="209">
        <f>VLOOKUP($B116,'2017'!$A$5:$Q$1425,COUNTA(Upload!$E$3:L$3)+2,FALSE)</f>
        <v>0</v>
      </c>
      <c r="M116" s="209">
        <f>VLOOKUP($B116,'2017'!$A$5:$Q$1425,COUNTA(Upload!$E$3:M$3)+2,FALSE)</f>
        <v>0</v>
      </c>
      <c r="N116" s="209">
        <f>VLOOKUP($B116,'2017'!$A$5:$Q$1425,COUNTA(Upload!$E$3:N$3)+2,FALSE)</f>
        <v>0</v>
      </c>
      <c r="O116" s="209">
        <f>VLOOKUP($B116,'2017'!$A$5:$Q$1425,COUNTA(Upload!$E$3:O$3)+2,FALSE)</f>
        <v>0</v>
      </c>
      <c r="P116" s="209">
        <f>VLOOKUP($B116,'2017'!$A$5:$Q$1425,COUNTA(Upload!$E$3:P$3)+2,FALSE)</f>
        <v>0</v>
      </c>
      <c r="T116" s="161"/>
    </row>
    <row r="117" spans="1:20" s="118" customFormat="1" ht="10.5" customHeight="1">
      <c r="A117" s="207" t="s">
        <v>70</v>
      </c>
      <c r="B117" s="412" t="s">
        <v>791</v>
      </c>
      <c r="C117" s="208" t="str">
        <f>+Setup!$B$21</f>
        <v>WC-PropName</v>
      </c>
      <c r="D117" s="208"/>
      <c r="E117" s="209">
        <f>VLOOKUP($B117,'2017'!$A$5:$Q$1425,COUNTA(Upload!$E$3:E$3)+2,FALSE)</f>
        <v>0</v>
      </c>
      <c r="F117" s="209">
        <f>VLOOKUP($B117,'2017'!$A$5:$Q$1425,COUNTA(Upload!$E$3:F$3)+2,FALSE)</f>
        <v>0</v>
      </c>
      <c r="G117" s="209">
        <f>VLOOKUP($B117,'2017'!$A$5:$Q$1425,COUNTA(Upload!$E$3:G$3)+2,FALSE)</f>
        <v>0</v>
      </c>
      <c r="H117" s="209">
        <f>VLOOKUP($B117,'2017'!$A$5:$Q$1425,COUNTA(Upload!$E$3:H$3)+2,FALSE)</f>
        <v>0</v>
      </c>
      <c r="I117" s="209">
        <f>VLOOKUP($B117,'2017'!$A$5:$Q$1425,COUNTA(Upload!$E$3:I$3)+2,FALSE)</f>
        <v>0</v>
      </c>
      <c r="J117" s="209">
        <f>VLOOKUP($B117,'2017'!$A$5:$Q$1425,COUNTA(Upload!$E$3:J$3)+2,FALSE)</f>
        <v>0</v>
      </c>
      <c r="K117" s="209">
        <f>VLOOKUP($B117,'2017'!$A$5:$Q$1425,COUNTA(Upload!$E$3:K$3)+2,FALSE)</f>
        <v>0</v>
      </c>
      <c r="L117" s="209">
        <f>VLOOKUP($B117,'2017'!$A$5:$Q$1425,COUNTA(Upload!$E$3:L$3)+2,FALSE)</f>
        <v>0</v>
      </c>
      <c r="M117" s="209">
        <f>VLOOKUP($B117,'2017'!$A$5:$Q$1425,COUNTA(Upload!$E$3:M$3)+2,FALSE)</f>
        <v>0</v>
      </c>
      <c r="N117" s="209">
        <f>VLOOKUP($B117,'2017'!$A$5:$Q$1425,COUNTA(Upload!$E$3:N$3)+2,FALSE)</f>
        <v>0</v>
      </c>
      <c r="O117" s="209">
        <f>VLOOKUP($B117,'2017'!$A$5:$Q$1425,COUNTA(Upload!$E$3:O$3)+2,FALSE)</f>
        <v>0</v>
      </c>
      <c r="P117" s="209">
        <f>VLOOKUP($B117,'2017'!$A$5:$Q$1425,COUNTA(Upload!$E$3:P$3)+2,FALSE)</f>
        <v>0</v>
      </c>
      <c r="T117" s="161"/>
    </row>
    <row r="118" spans="1:20" s="118" customFormat="1" ht="10.5" customHeight="1">
      <c r="A118" s="207" t="s">
        <v>70</v>
      </c>
      <c r="B118" s="412" t="s">
        <v>792</v>
      </c>
      <c r="C118" s="208" t="str">
        <f>+Setup!$B$21</f>
        <v>WC-PropName</v>
      </c>
      <c r="D118" s="208"/>
      <c r="E118" s="209">
        <f>VLOOKUP($B118,'2017'!$A$5:$Q$1425,COUNTA(Upload!$E$3:E$3)+2,FALSE)</f>
        <v>0</v>
      </c>
      <c r="F118" s="209">
        <f>VLOOKUP($B118,'2017'!$A$5:$Q$1425,COUNTA(Upload!$E$3:F$3)+2,FALSE)</f>
        <v>0</v>
      </c>
      <c r="G118" s="209">
        <f>VLOOKUP($B118,'2017'!$A$5:$Q$1425,COUNTA(Upload!$E$3:G$3)+2,FALSE)</f>
        <v>0</v>
      </c>
      <c r="H118" s="209">
        <f>VLOOKUP($B118,'2017'!$A$5:$Q$1425,COUNTA(Upload!$E$3:H$3)+2,FALSE)</f>
        <v>0</v>
      </c>
      <c r="I118" s="209">
        <f>VLOOKUP($B118,'2017'!$A$5:$Q$1425,COUNTA(Upload!$E$3:I$3)+2,FALSE)</f>
        <v>0</v>
      </c>
      <c r="J118" s="209">
        <f>VLOOKUP($B118,'2017'!$A$5:$Q$1425,COUNTA(Upload!$E$3:J$3)+2,FALSE)</f>
        <v>0</v>
      </c>
      <c r="K118" s="209">
        <f>VLOOKUP($B118,'2017'!$A$5:$Q$1425,COUNTA(Upload!$E$3:K$3)+2,FALSE)</f>
        <v>0</v>
      </c>
      <c r="L118" s="209">
        <f>VLOOKUP($B118,'2017'!$A$5:$Q$1425,COUNTA(Upload!$E$3:L$3)+2,FALSE)</f>
        <v>0</v>
      </c>
      <c r="M118" s="209">
        <f>VLOOKUP($B118,'2017'!$A$5:$Q$1425,COUNTA(Upload!$E$3:M$3)+2,FALSE)</f>
        <v>0</v>
      </c>
      <c r="N118" s="209">
        <f>VLOOKUP($B118,'2017'!$A$5:$Q$1425,COUNTA(Upload!$E$3:N$3)+2,FALSE)</f>
        <v>0</v>
      </c>
      <c r="O118" s="209">
        <f>VLOOKUP($B118,'2017'!$A$5:$Q$1425,COUNTA(Upload!$E$3:O$3)+2,FALSE)</f>
        <v>0</v>
      </c>
      <c r="P118" s="209">
        <f>VLOOKUP($B118,'2017'!$A$5:$Q$1425,COUNTA(Upload!$E$3:P$3)+2,FALSE)</f>
        <v>0</v>
      </c>
      <c r="T118" s="161"/>
    </row>
    <row r="119" spans="1:20" s="118" customFormat="1" ht="10.5" customHeight="1">
      <c r="A119" s="207" t="s">
        <v>70</v>
      </c>
      <c r="B119" s="412" t="s">
        <v>793</v>
      </c>
      <c r="C119" s="208" t="str">
        <f>+Setup!$B$21</f>
        <v>WC-PropName</v>
      </c>
      <c r="D119" s="208"/>
      <c r="E119" s="209">
        <f>VLOOKUP($B119,'2017'!$A$5:$Q$1425,COUNTA(Upload!$E$3:E$3)+2,FALSE)</f>
        <v>0</v>
      </c>
      <c r="F119" s="209">
        <f>VLOOKUP($B119,'2017'!$A$5:$Q$1425,COUNTA(Upload!$E$3:F$3)+2,FALSE)</f>
        <v>0</v>
      </c>
      <c r="G119" s="209">
        <f>VLOOKUP($B119,'2017'!$A$5:$Q$1425,COUNTA(Upload!$E$3:G$3)+2,FALSE)</f>
        <v>0</v>
      </c>
      <c r="H119" s="209">
        <f>VLOOKUP($B119,'2017'!$A$5:$Q$1425,COUNTA(Upload!$E$3:H$3)+2,FALSE)</f>
        <v>0</v>
      </c>
      <c r="I119" s="209">
        <f>VLOOKUP($B119,'2017'!$A$5:$Q$1425,COUNTA(Upload!$E$3:I$3)+2,FALSE)</f>
        <v>0</v>
      </c>
      <c r="J119" s="209">
        <f>VLOOKUP($B119,'2017'!$A$5:$Q$1425,COUNTA(Upload!$E$3:J$3)+2,FALSE)</f>
        <v>0</v>
      </c>
      <c r="K119" s="209">
        <f>VLOOKUP($B119,'2017'!$A$5:$Q$1425,COUNTA(Upload!$E$3:K$3)+2,FALSE)</f>
        <v>0</v>
      </c>
      <c r="L119" s="209">
        <f>VLOOKUP($B119,'2017'!$A$5:$Q$1425,COUNTA(Upload!$E$3:L$3)+2,FALSE)</f>
        <v>0</v>
      </c>
      <c r="M119" s="209">
        <f>VLOOKUP($B119,'2017'!$A$5:$Q$1425,COUNTA(Upload!$E$3:M$3)+2,FALSE)</f>
        <v>0</v>
      </c>
      <c r="N119" s="209">
        <f>VLOOKUP($B119,'2017'!$A$5:$Q$1425,COUNTA(Upload!$E$3:N$3)+2,FALSE)</f>
        <v>0</v>
      </c>
      <c r="O119" s="209">
        <f>VLOOKUP($B119,'2017'!$A$5:$Q$1425,COUNTA(Upload!$E$3:O$3)+2,FALSE)</f>
        <v>0</v>
      </c>
      <c r="P119" s="209">
        <f>VLOOKUP($B119,'2017'!$A$5:$Q$1425,COUNTA(Upload!$E$3:P$3)+2,FALSE)</f>
        <v>0</v>
      </c>
      <c r="T119" s="161"/>
    </row>
    <row r="120" spans="1:20" s="118" customFormat="1" ht="10.5" customHeight="1">
      <c r="A120" s="207" t="s">
        <v>70</v>
      </c>
      <c r="B120" s="412" t="s">
        <v>794</v>
      </c>
      <c r="C120" s="208" t="str">
        <f>+Setup!$B$21</f>
        <v>WC-PropName</v>
      </c>
      <c r="D120" s="208"/>
      <c r="E120" s="209">
        <f>VLOOKUP($B120,'2017'!$A$5:$Q$1425,COUNTA(Upload!$E$3:E$3)+2,FALSE)</f>
        <v>0</v>
      </c>
      <c r="F120" s="209">
        <f>VLOOKUP($B120,'2017'!$A$5:$Q$1425,COUNTA(Upload!$E$3:F$3)+2,FALSE)</f>
        <v>0</v>
      </c>
      <c r="G120" s="209">
        <f>VLOOKUP($B120,'2017'!$A$5:$Q$1425,COUNTA(Upload!$E$3:G$3)+2,FALSE)</f>
        <v>0</v>
      </c>
      <c r="H120" s="209">
        <f>VLOOKUP($B120,'2017'!$A$5:$Q$1425,COUNTA(Upload!$E$3:H$3)+2,FALSE)</f>
        <v>0</v>
      </c>
      <c r="I120" s="209">
        <f>VLOOKUP($B120,'2017'!$A$5:$Q$1425,COUNTA(Upload!$E$3:I$3)+2,FALSE)</f>
        <v>0</v>
      </c>
      <c r="J120" s="209">
        <f>VLOOKUP($B120,'2017'!$A$5:$Q$1425,COUNTA(Upload!$E$3:J$3)+2,FALSE)</f>
        <v>0</v>
      </c>
      <c r="K120" s="209">
        <f>VLOOKUP($B120,'2017'!$A$5:$Q$1425,COUNTA(Upload!$E$3:K$3)+2,FALSE)</f>
        <v>0</v>
      </c>
      <c r="L120" s="209">
        <f>VLOOKUP($B120,'2017'!$A$5:$Q$1425,COUNTA(Upload!$E$3:L$3)+2,FALSE)</f>
        <v>0</v>
      </c>
      <c r="M120" s="209">
        <f>VLOOKUP($B120,'2017'!$A$5:$Q$1425,COUNTA(Upload!$E$3:M$3)+2,FALSE)</f>
        <v>0</v>
      </c>
      <c r="N120" s="209">
        <f>VLOOKUP($B120,'2017'!$A$5:$Q$1425,COUNTA(Upload!$E$3:N$3)+2,FALSE)</f>
        <v>0</v>
      </c>
      <c r="O120" s="209">
        <f>VLOOKUP($B120,'2017'!$A$5:$Q$1425,COUNTA(Upload!$E$3:O$3)+2,FALSE)</f>
        <v>0</v>
      </c>
      <c r="P120" s="209">
        <f>VLOOKUP($B120,'2017'!$A$5:$Q$1425,COUNTA(Upload!$E$3:P$3)+2,FALSE)</f>
        <v>0</v>
      </c>
      <c r="T120" s="161"/>
    </row>
    <row r="121" spans="1:20" s="118" customFormat="1" ht="10.5" customHeight="1">
      <c r="A121" s="207" t="s">
        <v>70</v>
      </c>
      <c r="B121" s="412" t="s">
        <v>795</v>
      </c>
      <c r="C121" s="208" t="str">
        <f>+Setup!$B$21</f>
        <v>WC-PropName</v>
      </c>
      <c r="D121" s="208"/>
      <c r="E121" s="209">
        <f>VLOOKUP($B121,'2017'!$A$5:$Q$1425,COUNTA(Upload!$E$3:E$3)+2,FALSE)</f>
        <v>0</v>
      </c>
      <c r="F121" s="209">
        <f>VLOOKUP($B121,'2017'!$A$5:$Q$1425,COUNTA(Upload!$E$3:F$3)+2,FALSE)</f>
        <v>0</v>
      </c>
      <c r="G121" s="209">
        <f>VLOOKUP($B121,'2017'!$A$5:$Q$1425,COUNTA(Upload!$E$3:G$3)+2,FALSE)</f>
        <v>0</v>
      </c>
      <c r="H121" s="209">
        <f>VLOOKUP($B121,'2017'!$A$5:$Q$1425,COUNTA(Upload!$E$3:H$3)+2,FALSE)</f>
        <v>0</v>
      </c>
      <c r="I121" s="209">
        <f>VLOOKUP($B121,'2017'!$A$5:$Q$1425,COUNTA(Upload!$E$3:I$3)+2,FALSE)</f>
        <v>0</v>
      </c>
      <c r="J121" s="209">
        <f>VLOOKUP($B121,'2017'!$A$5:$Q$1425,COUNTA(Upload!$E$3:J$3)+2,FALSE)</f>
        <v>0</v>
      </c>
      <c r="K121" s="209">
        <f>VLOOKUP($B121,'2017'!$A$5:$Q$1425,COUNTA(Upload!$E$3:K$3)+2,FALSE)</f>
        <v>0</v>
      </c>
      <c r="L121" s="209">
        <f>VLOOKUP($B121,'2017'!$A$5:$Q$1425,COUNTA(Upload!$E$3:L$3)+2,FALSE)</f>
        <v>0</v>
      </c>
      <c r="M121" s="209">
        <f>VLOOKUP($B121,'2017'!$A$5:$Q$1425,COUNTA(Upload!$E$3:M$3)+2,FALSE)</f>
        <v>0</v>
      </c>
      <c r="N121" s="209">
        <f>VLOOKUP($B121,'2017'!$A$5:$Q$1425,COUNTA(Upload!$E$3:N$3)+2,FALSE)</f>
        <v>0</v>
      </c>
      <c r="O121" s="209">
        <f>VLOOKUP($B121,'2017'!$A$5:$Q$1425,COUNTA(Upload!$E$3:O$3)+2,FALSE)</f>
        <v>0</v>
      </c>
      <c r="P121" s="209">
        <f>VLOOKUP($B121,'2017'!$A$5:$Q$1425,COUNTA(Upload!$E$3:P$3)+2,FALSE)</f>
        <v>0</v>
      </c>
      <c r="T121" s="161"/>
    </row>
    <row r="122" spans="1:20" s="118" customFormat="1" ht="10.5" customHeight="1">
      <c r="A122" s="207" t="s">
        <v>70</v>
      </c>
      <c r="B122" s="412" t="s">
        <v>796</v>
      </c>
      <c r="C122" s="208" t="str">
        <f>+Setup!$B$21</f>
        <v>WC-PropName</v>
      </c>
      <c r="D122" s="208"/>
      <c r="E122" s="209">
        <f>VLOOKUP($B122,'2017'!$A$5:$Q$1425,COUNTA(Upload!$E$3:E$3)+2,FALSE)</f>
        <v>0</v>
      </c>
      <c r="F122" s="209">
        <f>VLOOKUP($B122,'2017'!$A$5:$Q$1425,COUNTA(Upload!$E$3:F$3)+2,FALSE)</f>
        <v>0</v>
      </c>
      <c r="G122" s="209">
        <f>VLOOKUP($B122,'2017'!$A$5:$Q$1425,COUNTA(Upload!$E$3:G$3)+2,FALSE)</f>
        <v>0</v>
      </c>
      <c r="H122" s="209">
        <f>VLOOKUP($B122,'2017'!$A$5:$Q$1425,COUNTA(Upload!$E$3:H$3)+2,FALSE)</f>
        <v>0</v>
      </c>
      <c r="I122" s="209">
        <f>VLOOKUP($B122,'2017'!$A$5:$Q$1425,COUNTA(Upload!$E$3:I$3)+2,FALSE)</f>
        <v>0</v>
      </c>
      <c r="J122" s="209">
        <f>VLOOKUP($B122,'2017'!$A$5:$Q$1425,COUNTA(Upload!$E$3:J$3)+2,FALSE)</f>
        <v>0</v>
      </c>
      <c r="K122" s="209">
        <f>VLOOKUP($B122,'2017'!$A$5:$Q$1425,COUNTA(Upload!$E$3:K$3)+2,FALSE)</f>
        <v>0</v>
      </c>
      <c r="L122" s="209">
        <f>VLOOKUP($B122,'2017'!$A$5:$Q$1425,COUNTA(Upload!$E$3:L$3)+2,FALSE)</f>
        <v>0</v>
      </c>
      <c r="M122" s="209">
        <f>VLOOKUP($B122,'2017'!$A$5:$Q$1425,COUNTA(Upload!$E$3:M$3)+2,FALSE)</f>
        <v>0</v>
      </c>
      <c r="N122" s="209">
        <f>VLOOKUP($B122,'2017'!$A$5:$Q$1425,COUNTA(Upload!$E$3:N$3)+2,FALSE)</f>
        <v>0</v>
      </c>
      <c r="O122" s="209">
        <f>VLOOKUP($B122,'2017'!$A$5:$Q$1425,COUNTA(Upload!$E$3:O$3)+2,FALSE)</f>
        <v>0</v>
      </c>
      <c r="P122" s="209">
        <f>VLOOKUP($B122,'2017'!$A$5:$Q$1425,COUNTA(Upload!$E$3:P$3)+2,FALSE)</f>
        <v>0</v>
      </c>
      <c r="T122" s="161"/>
    </row>
    <row r="123" spans="1:20" s="118" customFormat="1" ht="10.5" customHeight="1">
      <c r="A123" s="207" t="s">
        <v>70</v>
      </c>
      <c r="B123" s="412" t="s">
        <v>798</v>
      </c>
      <c r="C123" s="208" t="str">
        <f>+Setup!$B$21</f>
        <v>WC-PropName</v>
      </c>
      <c r="D123" s="208"/>
      <c r="E123" s="209">
        <f>VLOOKUP($B123,'2017'!$A$5:$Q$1425,COUNTA(Upload!$E$3:E$3)+2,FALSE)</f>
        <v>0</v>
      </c>
      <c r="F123" s="209">
        <f>VLOOKUP($B123,'2017'!$A$5:$Q$1425,COUNTA(Upload!$E$3:F$3)+2,FALSE)</f>
        <v>0</v>
      </c>
      <c r="G123" s="209">
        <f>VLOOKUP($B123,'2017'!$A$5:$Q$1425,COUNTA(Upload!$E$3:G$3)+2,FALSE)</f>
        <v>0</v>
      </c>
      <c r="H123" s="209">
        <f>VLOOKUP($B123,'2017'!$A$5:$Q$1425,COUNTA(Upload!$E$3:H$3)+2,FALSE)</f>
        <v>0</v>
      </c>
      <c r="I123" s="209">
        <f>VLOOKUP($B123,'2017'!$A$5:$Q$1425,COUNTA(Upload!$E$3:I$3)+2,FALSE)</f>
        <v>0</v>
      </c>
      <c r="J123" s="209">
        <f>VLOOKUP($B123,'2017'!$A$5:$Q$1425,COUNTA(Upload!$E$3:J$3)+2,FALSE)</f>
        <v>0</v>
      </c>
      <c r="K123" s="209">
        <f>VLOOKUP($B123,'2017'!$A$5:$Q$1425,COUNTA(Upload!$E$3:K$3)+2,FALSE)</f>
        <v>0</v>
      </c>
      <c r="L123" s="209">
        <f>VLOOKUP($B123,'2017'!$A$5:$Q$1425,COUNTA(Upload!$E$3:L$3)+2,FALSE)</f>
        <v>0</v>
      </c>
      <c r="M123" s="209">
        <f>VLOOKUP($B123,'2017'!$A$5:$Q$1425,COUNTA(Upload!$E$3:M$3)+2,FALSE)</f>
        <v>0</v>
      </c>
      <c r="N123" s="209">
        <f>VLOOKUP($B123,'2017'!$A$5:$Q$1425,COUNTA(Upload!$E$3:N$3)+2,FALSE)</f>
        <v>0</v>
      </c>
      <c r="O123" s="209">
        <f>VLOOKUP($B123,'2017'!$A$5:$Q$1425,COUNTA(Upload!$E$3:O$3)+2,FALSE)</f>
        <v>0</v>
      </c>
      <c r="P123" s="209">
        <f>VLOOKUP($B123,'2017'!$A$5:$Q$1425,COUNTA(Upload!$E$3:P$3)+2,FALSE)</f>
        <v>0</v>
      </c>
      <c r="T123" s="161"/>
    </row>
    <row r="124" spans="1:20" s="118" customFormat="1" ht="10.5" customHeight="1">
      <c r="A124" s="207" t="s">
        <v>70</v>
      </c>
      <c r="B124" s="412" t="s">
        <v>799</v>
      </c>
      <c r="C124" s="208" t="str">
        <f>+Setup!$B$21</f>
        <v>WC-PropName</v>
      </c>
      <c r="D124" s="208"/>
      <c r="E124" s="209">
        <f>VLOOKUP($B124,'2017'!$A$5:$Q$1425,COUNTA(Upload!$E$3:E$3)+2,FALSE)</f>
        <v>0</v>
      </c>
      <c r="F124" s="209">
        <f>VLOOKUP($B124,'2017'!$A$5:$Q$1425,COUNTA(Upload!$E$3:F$3)+2,FALSE)</f>
        <v>0</v>
      </c>
      <c r="G124" s="209">
        <f>VLOOKUP($B124,'2017'!$A$5:$Q$1425,COUNTA(Upload!$E$3:G$3)+2,FALSE)</f>
        <v>0</v>
      </c>
      <c r="H124" s="209">
        <f>VLOOKUP($B124,'2017'!$A$5:$Q$1425,COUNTA(Upload!$E$3:H$3)+2,FALSE)</f>
        <v>0</v>
      </c>
      <c r="I124" s="209">
        <f>VLOOKUP($B124,'2017'!$A$5:$Q$1425,COUNTA(Upload!$E$3:I$3)+2,FALSE)</f>
        <v>0</v>
      </c>
      <c r="J124" s="209">
        <f>VLOOKUP($B124,'2017'!$A$5:$Q$1425,COUNTA(Upload!$E$3:J$3)+2,FALSE)</f>
        <v>0</v>
      </c>
      <c r="K124" s="209">
        <f>VLOOKUP($B124,'2017'!$A$5:$Q$1425,COUNTA(Upload!$E$3:K$3)+2,FALSE)</f>
        <v>0</v>
      </c>
      <c r="L124" s="209">
        <f>VLOOKUP($B124,'2017'!$A$5:$Q$1425,COUNTA(Upload!$E$3:L$3)+2,FALSE)</f>
        <v>0</v>
      </c>
      <c r="M124" s="209">
        <f>VLOOKUP($B124,'2017'!$A$5:$Q$1425,COUNTA(Upload!$E$3:M$3)+2,FALSE)</f>
        <v>0</v>
      </c>
      <c r="N124" s="209">
        <f>VLOOKUP($B124,'2017'!$A$5:$Q$1425,COUNTA(Upload!$E$3:N$3)+2,FALSE)</f>
        <v>0</v>
      </c>
      <c r="O124" s="209">
        <f>VLOOKUP($B124,'2017'!$A$5:$Q$1425,COUNTA(Upload!$E$3:O$3)+2,FALSE)</f>
        <v>0</v>
      </c>
      <c r="P124" s="209">
        <f>VLOOKUP($B124,'2017'!$A$5:$Q$1425,COUNTA(Upload!$E$3:P$3)+2,FALSE)</f>
        <v>0</v>
      </c>
      <c r="T124" s="161"/>
    </row>
    <row r="125" spans="1:20" s="118" customFormat="1" ht="10.5" customHeight="1">
      <c r="A125" s="207" t="s">
        <v>70</v>
      </c>
      <c r="B125" s="412" t="s">
        <v>801</v>
      </c>
      <c r="C125" s="208" t="str">
        <f>+Setup!$B$21</f>
        <v>WC-PropName</v>
      </c>
      <c r="D125" s="208"/>
      <c r="E125" s="209">
        <f>VLOOKUP($B125,'2017'!$A$5:$Q$1425,COUNTA(Upload!$E$3:E$3)+2,FALSE)</f>
        <v>0</v>
      </c>
      <c r="F125" s="209">
        <f>VLOOKUP($B125,'2017'!$A$5:$Q$1425,COUNTA(Upload!$E$3:F$3)+2,FALSE)</f>
        <v>0</v>
      </c>
      <c r="G125" s="209">
        <f>VLOOKUP($B125,'2017'!$A$5:$Q$1425,COUNTA(Upload!$E$3:G$3)+2,FALSE)</f>
        <v>0</v>
      </c>
      <c r="H125" s="209">
        <f>VLOOKUP($B125,'2017'!$A$5:$Q$1425,COUNTA(Upload!$E$3:H$3)+2,FALSE)</f>
        <v>0</v>
      </c>
      <c r="I125" s="209">
        <f>VLOOKUP($B125,'2017'!$A$5:$Q$1425,COUNTA(Upload!$E$3:I$3)+2,FALSE)</f>
        <v>0</v>
      </c>
      <c r="J125" s="209">
        <f>VLOOKUP($B125,'2017'!$A$5:$Q$1425,COUNTA(Upload!$E$3:J$3)+2,FALSE)</f>
        <v>0</v>
      </c>
      <c r="K125" s="209">
        <f>VLOOKUP($B125,'2017'!$A$5:$Q$1425,COUNTA(Upload!$E$3:K$3)+2,FALSE)</f>
        <v>0</v>
      </c>
      <c r="L125" s="209">
        <f>VLOOKUP($B125,'2017'!$A$5:$Q$1425,COUNTA(Upload!$E$3:L$3)+2,FALSE)</f>
        <v>0</v>
      </c>
      <c r="M125" s="209">
        <f>VLOOKUP($B125,'2017'!$A$5:$Q$1425,COUNTA(Upload!$E$3:M$3)+2,FALSE)</f>
        <v>0</v>
      </c>
      <c r="N125" s="209">
        <f>VLOOKUP($B125,'2017'!$A$5:$Q$1425,COUNTA(Upload!$E$3:N$3)+2,FALSE)</f>
        <v>0</v>
      </c>
      <c r="O125" s="209">
        <f>VLOOKUP($B125,'2017'!$A$5:$Q$1425,COUNTA(Upload!$E$3:O$3)+2,FALSE)</f>
        <v>0</v>
      </c>
      <c r="P125" s="209">
        <f>VLOOKUP($B125,'2017'!$A$5:$Q$1425,COUNTA(Upload!$E$3:P$3)+2,FALSE)</f>
        <v>0</v>
      </c>
      <c r="T125" s="161"/>
    </row>
    <row r="126" spans="1:20" s="118" customFormat="1" ht="10.5" customHeight="1">
      <c r="A126" s="207" t="s">
        <v>70</v>
      </c>
      <c r="B126" s="412" t="s">
        <v>805</v>
      </c>
      <c r="C126" s="208" t="str">
        <f>+Setup!$B$21</f>
        <v>WC-PropName</v>
      </c>
      <c r="D126" s="208"/>
      <c r="E126" s="209">
        <f>VLOOKUP($B126,'2017'!$A$5:$Q$1425,COUNTA(Upload!$E$3:E$3)+2,FALSE)</f>
        <v>0</v>
      </c>
      <c r="F126" s="209">
        <f>VLOOKUP($B126,'2017'!$A$5:$Q$1425,COUNTA(Upload!$E$3:F$3)+2,FALSE)</f>
        <v>0</v>
      </c>
      <c r="G126" s="209">
        <f>VLOOKUP($B126,'2017'!$A$5:$Q$1425,COUNTA(Upload!$E$3:G$3)+2,FALSE)</f>
        <v>0</v>
      </c>
      <c r="H126" s="209">
        <f>VLOOKUP($B126,'2017'!$A$5:$Q$1425,COUNTA(Upload!$E$3:H$3)+2,FALSE)</f>
        <v>0</v>
      </c>
      <c r="I126" s="209">
        <f>VLOOKUP($B126,'2017'!$A$5:$Q$1425,COUNTA(Upload!$E$3:I$3)+2,FALSE)</f>
        <v>0</v>
      </c>
      <c r="J126" s="209">
        <f>VLOOKUP($B126,'2017'!$A$5:$Q$1425,COUNTA(Upload!$E$3:J$3)+2,FALSE)</f>
        <v>0</v>
      </c>
      <c r="K126" s="209">
        <f>VLOOKUP($B126,'2017'!$A$5:$Q$1425,COUNTA(Upload!$E$3:K$3)+2,FALSE)</f>
        <v>0</v>
      </c>
      <c r="L126" s="209">
        <f>VLOOKUP($B126,'2017'!$A$5:$Q$1425,COUNTA(Upload!$E$3:L$3)+2,FALSE)</f>
        <v>0</v>
      </c>
      <c r="M126" s="209">
        <f>VLOOKUP($B126,'2017'!$A$5:$Q$1425,COUNTA(Upload!$E$3:M$3)+2,FALSE)</f>
        <v>0</v>
      </c>
      <c r="N126" s="209">
        <f>VLOOKUP($B126,'2017'!$A$5:$Q$1425,COUNTA(Upload!$E$3:N$3)+2,FALSE)</f>
        <v>0</v>
      </c>
      <c r="O126" s="209">
        <f>VLOOKUP($B126,'2017'!$A$5:$Q$1425,COUNTA(Upload!$E$3:O$3)+2,FALSE)</f>
        <v>0</v>
      </c>
      <c r="P126" s="209">
        <f>VLOOKUP($B126,'2017'!$A$5:$Q$1425,COUNTA(Upload!$E$3:P$3)+2,FALSE)</f>
        <v>0</v>
      </c>
      <c r="T126" s="161"/>
    </row>
    <row r="127" spans="1:20" s="118" customFormat="1" ht="10.5" customHeight="1">
      <c r="A127" s="207" t="s">
        <v>70</v>
      </c>
      <c r="B127" s="412" t="s">
        <v>807</v>
      </c>
      <c r="C127" s="208" t="str">
        <f>+Setup!$B$21</f>
        <v>WC-PropName</v>
      </c>
      <c r="D127" s="208"/>
      <c r="E127" s="209">
        <f>VLOOKUP($B127,'2017'!$A$5:$Q$1425,COUNTA(Upload!$E$3:E$3)+2,FALSE)</f>
        <v>0</v>
      </c>
      <c r="F127" s="209">
        <f>VLOOKUP($B127,'2017'!$A$5:$Q$1425,COUNTA(Upload!$E$3:F$3)+2,FALSE)</f>
        <v>0</v>
      </c>
      <c r="G127" s="209">
        <f>VLOOKUP($B127,'2017'!$A$5:$Q$1425,COUNTA(Upload!$E$3:G$3)+2,FALSE)</f>
        <v>0</v>
      </c>
      <c r="H127" s="209">
        <f>VLOOKUP($B127,'2017'!$A$5:$Q$1425,COUNTA(Upload!$E$3:H$3)+2,FALSE)</f>
        <v>0</v>
      </c>
      <c r="I127" s="209">
        <f>VLOOKUP($B127,'2017'!$A$5:$Q$1425,COUNTA(Upload!$E$3:I$3)+2,FALSE)</f>
        <v>0</v>
      </c>
      <c r="J127" s="209">
        <f>VLOOKUP($B127,'2017'!$A$5:$Q$1425,COUNTA(Upload!$E$3:J$3)+2,FALSE)</f>
        <v>0</v>
      </c>
      <c r="K127" s="209">
        <f>VLOOKUP($B127,'2017'!$A$5:$Q$1425,COUNTA(Upload!$E$3:K$3)+2,FALSE)</f>
        <v>0</v>
      </c>
      <c r="L127" s="209">
        <f>VLOOKUP($B127,'2017'!$A$5:$Q$1425,COUNTA(Upload!$E$3:L$3)+2,FALSE)</f>
        <v>0</v>
      </c>
      <c r="M127" s="209">
        <f>VLOOKUP($B127,'2017'!$A$5:$Q$1425,COUNTA(Upload!$E$3:M$3)+2,FALSE)</f>
        <v>0</v>
      </c>
      <c r="N127" s="209">
        <f>VLOOKUP($B127,'2017'!$A$5:$Q$1425,COUNTA(Upload!$E$3:N$3)+2,FALSE)</f>
        <v>0</v>
      </c>
      <c r="O127" s="209">
        <f>VLOOKUP($B127,'2017'!$A$5:$Q$1425,COUNTA(Upload!$E$3:O$3)+2,FALSE)</f>
        <v>0</v>
      </c>
      <c r="P127" s="209">
        <f>VLOOKUP($B127,'2017'!$A$5:$Q$1425,COUNTA(Upload!$E$3:P$3)+2,FALSE)</f>
        <v>0</v>
      </c>
      <c r="T127" s="161"/>
    </row>
    <row r="128" spans="1:20" s="118" customFormat="1" ht="10.5" customHeight="1">
      <c r="A128" s="207" t="s">
        <v>70</v>
      </c>
      <c r="B128" s="412" t="s">
        <v>808</v>
      </c>
      <c r="C128" s="208" t="str">
        <f>+Setup!$B$21</f>
        <v>WC-PropName</v>
      </c>
      <c r="D128" s="208"/>
      <c r="E128" s="209">
        <f>VLOOKUP($B128,'2017'!$A$5:$Q$1425,COUNTA(Upload!$E$3:E$3)+2,FALSE)</f>
        <v>0</v>
      </c>
      <c r="F128" s="209">
        <f>VLOOKUP($B128,'2017'!$A$5:$Q$1425,COUNTA(Upload!$E$3:F$3)+2,FALSE)</f>
        <v>0</v>
      </c>
      <c r="G128" s="209">
        <f>VLOOKUP($B128,'2017'!$A$5:$Q$1425,COUNTA(Upload!$E$3:G$3)+2,FALSE)</f>
        <v>0</v>
      </c>
      <c r="H128" s="209">
        <f>VLOOKUP($B128,'2017'!$A$5:$Q$1425,COUNTA(Upload!$E$3:H$3)+2,FALSE)</f>
        <v>0</v>
      </c>
      <c r="I128" s="209">
        <f>VLOOKUP($B128,'2017'!$A$5:$Q$1425,COUNTA(Upload!$E$3:I$3)+2,FALSE)</f>
        <v>0</v>
      </c>
      <c r="J128" s="209">
        <f>VLOOKUP($B128,'2017'!$A$5:$Q$1425,COUNTA(Upload!$E$3:J$3)+2,FALSE)</f>
        <v>0</v>
      </c>
      <c r="K128" s="209">
        <f>VLOOKUP($B128,'2017'!$A$5:$Q$1425,COUNTA(Upload!$E$3:K$3)+2,FALSE)</f>
        <v>0</v>
      </c>
      <c r="L128" s="209">
        <f>VLOOKUP($B128,'2017'!$A$5:$Q$1425,COUNTA(Upload!$E$3:L$3)+2,FALSE)</f>
        <v>0</v>
      </c>
      <c r="M128" s="209">
        <f>VLOOKUP($B128,'2017'!$A$5:$Q$1425,COUNTA(Upload!$E$3:M$3)+2,FALSE)</f>
        <v>0</v>
      </c>
      <c r="N128" s="209">
        <f>VLOOKUP($B128,'2017'!$A$5:$Q$1425,COUNTA(Upload!$E$3:N$3)+2,FALSE)</f>
        <v>0</v>
      </c>
      <c r="O128" s="209">
        <f>VLOOKUP($B128,'2017'!$A$5:$Q$1425,COUNTA(Upload!$E$3:O$3)+2,FALSE)</f>
        <v>0</v>
      </c>
      <c r="P128" s="209">
        <f>VLOOKUP($B128,'2017'!$A$5:$Q$1425,COUNTA(Upload!$E$3:P$3)+2,FALSE)</f>
        <v>0</v>
      </c>
      <c r="T128" s="161"/>
    </row>
    <row r="129" spans="1:20" s="118" customFormat="1" ht="10.5" customHeight="1">
      <c r="A129" s="207" t="s">
        <v>70</v>
      </c>
      <c r="B129" s="412" t="s">
        <v>809</v>
      </c>
      <c r="C129" s="208" t="str">
        <f>+Setup!$B$21</f>
        <v>WC-PropName</v>
      </c>
      <c r="D129" s="208"/>
      <c r="E129" s="209">
        <f>VLOOKUP($B129,'2017'!$A$5:$Q$1425,COUNTA(Upload!$E$3:E$3)+2,FALSE)</f>
        <v>6306.666666666667</v>
      </c>
      <c r="F129" s="209">
        <f>VLOOKUP($B129,'2017'!$A$5:$Q$1425,COUNTA(Upload!$E$3:F$3)+2,FALSE)</f>
        <v>6306.666666666667</v>
      </c>
      <c r="G129" s="209">
        <f>VLOOKUP($B129,'2017'!$A$5:$Q$1425,COUNTA(Upload!$E$3:G$3)+2,FALSE)</f>
        <v>6306.666666666667</v>
      </c>
      <c r="H129" s="209">
        <f>VLOOKUP($B129,'2017'!$A$5:$Q$1425,COUNTA(Upload!$E$3:H$3)+2,FALSE)</f>
        <v>6306.666666666667</v>
      </c>
      <c r="I129" s="209">
        <f>VLOOKUP($B129,'2017'!$A$5:$Q$1425,COUNTA(Upload!$E$3:I$3)+2,FALSE)</f>
        <v>6306.666666666667</v>
      </c>
      <c r="J129" s="209">
        <f>VLOOKUP($B129,'2017'!$A$5:$Q$1425,COUNTA(Upload!$E$3:J$3)+2,FALSE)</f>
        <v>6306.666666666667</v>
      </c>
      <c r="K129" s="209">
        <f>VLOOKUP($B129,'2017'!$A$5:$Q$1425,COUNTA(Upload!$E$3:K$3)+2,FALSE)</f>
        <v>6306.666666666667</v>
      </c>
      <c r="L129" s="209">
        <f>VLOOKUP($B129,'2017'!$A$5:$Q$1425,COUNTA(Upload!$E$3:L$3)+2,FALSE)</f>
        <v>6306.666666666667</v>
      </c>
      <c r="M129" s="209">
        <f>VLOOKUP($B129,'2017'!$A$5:$Q$1425,COUNTA(Upload!$E$3:M$3)+2,FALSE)</f>
        <v>6306.666666666667</v>
      </c>
      <c r="N129" s="209">
        <f>VLOOKUP($B129,'2017'!$A$5:$Q$1425,COUNTA(Upload!$E$3:N$3)+2,FALSE)</f>
        <v>6306.666666666667</v>
      </c>
      <c r="O129" s="209">
        <f>VLOOKUP($B129,'2017'!$A$5:$Q$1425,COUNTA(Upload!$E$3:O$3)+2,FALSE)</f>
        <v>6306.666666666667</v>
      </c>
      <c r="P129" s="209">
        <f>VLOOKUP($B129,'2017'!$A$5:$Q$1425,COUNTA(Upload!$E$3:P$3)+2,FALSE)</f>
        <v>6306.666666666667</v>
      </c>
      <c r="T129" s="161"/>
    </row>
    <row r="130" spans="1:20" s="118" customFormat="1" ht="10.5" customHeight="1">
      <c r="A130" s="207" t="s">
        <v>70</v>
      </c>
      <c r="B130" s="412" t="s">
        <v>816</v>
      </c>
      <c r="C130" s="208" t="str">
        <f>+Setup!$B$21</f>
        <v>WC-PropName</v>
      </c>
      <c r="D130" s="208"/>
      <c r="E130" s="209">
        <f>VLOOKUP($B130,'2017'!$A$5:$Q$1425,COUNTA(Upload!$E$3:E$3)+2,FALSE)</f>
        <v>7171.0874999999996</v>
      </c>
      <c r="F130" s="209">
        <f>VLOOKUP($B130,'2017'!$A$5:$Q$1425,COUNTA(Upload!$E$3:F$3)+2,FALSE)</f>
        <v>7210.0874999999996</v>
      </c>
      <c r="G130" s="209">
        <f>VLOOKUP($B130,'2017'!$A$5:$Q$1425,COUNTA(Upload!$E$3:G$3)+2,FALSE)</f>
        <v>7249.0874999999996</v>
      </c>
      <c r="H130" s="209">
        <f>VLOOKUP($B130,'2017'!$A$5:$Q$1425,COUNTA(Upload!$E$3:H$3)+2,FALSE)</f>
        <v>7271.9011363636355</v>
      </c>
      <c r="I130" s="209">
        <f>VLOOKUP($B130,'2017'!$A$5:$Q$1425,COUNTA(Upload!$E$3:I$3)+2,FALSE)</f>
        <v>7287.9647727272722</v>
      </c>
      <c r="J130" s="209">
        <f>VLOOKUP($B130,'2017'!$A$5:$Q$1425,COUNTA(Upload!$E$3:J$3)+2,FALSE)</f>
        <v>7369.4011363636355</v>
      </c>
      <c r="K130" s="209">
        <f>VLOOKUP($B130,'2017'!$A$5:$Q$1425,COUNTA(Upload!$E$3:K$3)+2,FALSE)</f>
        <v>7464.9306818181813</v>
      </c>
      <c r="L130" s="209">
        <f>VLOOKUP($B130,'2017'!$A$5:$Q$1425,COUNTA(Upload!$E$3:L$3)+2,FALSE)</f>
        <v>7544.1170454545445</v>
      </c>
      <c r="M130" s="209">
        <f>VLOOKUP($B130,'2017'!$A$5:$Q$1425,COUNTA(Upload!$E$3:M$3)+2,FALSE)</f>
        <v>7514.2738636363638</v>
      </c>
      <c r="N130" s="209">
        <f>VLOOKUP($B130,'2017'!$A$5:$Q$1425,COUNTA(Upload!$E$3:N$3)+2,FALSE)</f>
        <v>7509.3374999999996</v>
      </c>
      <c r="O130" s="209">
        <f>VLOOKUP($B130,'2017'!$A$5:$Q$1425,COUNTA(Upload!$E$3:O$3)+2,FALSE)</f>
        <v>7504.4011363636355</v>
      </c>
      <c r="P130" s="209">
        <f>VLOOKUP($B130,'2017'!$A$5:$Q$1425,COUNTA(Upload!$E$3:P$3)+2,FALSE)</f>
        <v>7497.2147727272722</v>
      </c>
      <c r="T130" s="161"/>
    </row>
    <row r="131" spans="1:20" s="118" customFormat="1" ht="10.5" customHeight="1">
      <c r="A131" s="207" t="s">
        <v>70</v>
      </c>
      <c r="B131" s="412" t="s">
        <v>821</v>
      </c>
      <c r="C131" s="208" t="str">
        <f>+Setup!$B$21</f>
        <v>WC-PropName</v>
      </c>
      <c r="D131" s="208"/>
      <c r="E131" s="209">
        <f>VLOOKUP($B131,'2017'!$A$5:$Q$1425,COUNTA(Upload!$E$3:E$3)+2,FALSE)</f>
        <v>1600</v>
      </c>
      <c r="F131" s="209">
        <f>VLOOKUP($B131,'2017'!$A$5:$Q$1425,COUNTA(Upload!$E$3:F$3)+2,FALSE)</f>
        <v>1600</v>
      </c>
      <c r="G131" s="209">
        <f>VLOOKUP($B131,'2017'!$A$5:$Q$1425,COUNTA(Upload!$E$3:G$3)+2,FALSE)</f>
        <v>1600</v>
      </c>
      <c r="H131" s="209">
        <f>VLOOKUP($B131,'2017'!$A$5:$Q$1425,COUNTA(Upload!$E$3:H$3)+2,FALSE)</f>
        <v>1600</v>
      </c>
      <c r="I131" s="209">
        <f>VLOOKUP($B131,'2017'!$A$5:$Q$1425,COUNTA(Upload!$E$3:I$3)+2,FALSE)</f>
        <v>1600</v>
      </c>
      <c r="J131" s="209">
        <f>VLOOKUP($B131,'2017'!$A$5:$Q$1425,COUNTA(Upload!$E$3:J$3)+2,FALSE)</f>
        <v>1600</v>
      </c>
      <c r="K131" s="209">
        <f>VLOOKUP($B131,'2017'!$A$5:$Q$1425,COUNTA(Upload!$E$3:K$3)+2,FALSE)</f>
        <v>1600</v>
      </c>
      <c r="L131" s="209">
        <f>VLOOKUP($B131,'2017'!$A$5:$Q$1425,COUNTA(Upload!$E$3:L$3)+2,FALSE)</f>
        <v>1600</v>
      </c>
      <c r="M131" s="209">
        <f>VLOOKUP($B131,'2017'!$A$5:$Q$1425,COUNTA(Upload!$E$3:M$3)+2,FALSE)</f>
        <v>1600</v>
      </c>
      <c r="N131" s="209">
        <f>VLOOKUP($B131,'2017'!$A$5:$Q$1425,COUNTA(Upload!$E$3:N$3)+2,FALSE)</f>
        <v>1600</v>
      </c>
      <c r="O131" s="209">
        <f>VLOOKUP($B131,'2017'!$A$5:$Q$1425,COUNTA(Upload!$E$3:O$3)+2,FALSE)</f>
        <v>1600</v>
      </c>
      <c r="P131" s="209">
        <f>VLOOKUP($B131,'2017'!$A$5:$Q$1425,COUNTA(Upload!$E$3:P$3)+2,FALSE)</f>
        <v>1600</v>
      </c>
      <c r="T131" s="161"/>
    </row>
    <row r="132" spans="1:20" s="118" customFormat="1" ht="10.5" customHeight="1">
      <c r="A132" s="207" t="s">
        <v>70</v>
      </c>
      <c r="B132" s="412" t="s">
        <v>823</v>
      </c>
      <c r="C132" s="208" t="str">
        <f>+Setup!$B$21</f>
        <v>WC-PropName</v>
      </c>
      <c r="D132" s="208"/>
      <c r="E132" s="209">
        <f>VLOOKUP($B132,'2017'!$A$5:$Q$1425,COUNTA(Upload!$E$3:E$3)+2,FALSE)</f>
        <v>400</v>
      </c>
      <c r="F132" s="209">
        <f>VLOOKUP($B132,'2017'!$A$5:$Q$1425,COUNTA(Upload!$E$3:F$3)+2,FALSE)</f>
        <v>400</v>
      </c>
      <c r="G132" s="209">
        <f>VLOOKUP($B132,'2017'!$A$5:$Q$1425,COUNTA(Upload!$E$3:G$3)+2,FALSE)</f>
        <v>400</v>
      </c>
      <c r="H132" s="209">
        <f>VLOOKUP($B132,'2017'!$A$5:$Q$1425,COUNTA(Upload!$E$3:H$3)+2,FALSE)</f>
        <v>400</v>
      </c>
      <c r="I132" s="209">
        <f>VLOOKUP($B132,'2017'!$A$5:$Q$1425,COUNTA(Upload!$E$3:I$3)+2,FALSE)</f>
        <v>400</v>
      </c>
      <c r="J132" s="209">
        <f>VLOOKUP($B132,'2017'!$A$5:$Q$1425,COUNTA(Upload!$E$3:J$3)+2,FALSE)</f>
        <v>400</v>
      </c>
      <c r="K132" s="209">
        <f>VLOOKUP($B132,'2017'!$A$5:$Q$1425,COUNTA(Upload!$E$3:K$3)+2,FALSE)</f>
        <v>400</v>
      </c>
      <c r="L132" s="209">
        <f>VLOOKUP($B132,'2017'!$A$5:$Q$1425,COUNTA(Upload!$E$3:L$3)+2,FALSE)</f>
        <v>400</v>
      </c>
      <c r="M132" s="209">
        <f>VLOOKUP($B132,'2017'!$A$5:$Q$1425,COUNTA(Upload!$E$3:M$3)+2,FALSE)</f>
        <v>400</v>
      </c>
      <c r="N132" s="209">
        <f>VLOOKUP($B132,'2017'!$A$5:$Q$1425,COUNTA(Upload!$E$3:N$3)+2,FALSE)</f>
        <v>400</v>
      </c>
      <c r="O132" s="209">
        <f>VLOOKUP($B132,'2017'!$A$5:$Q$1425,COUNTA(Upload!$E$3:O$3)+2,FALSE)</f>
        <v>400</v>
      </c>
      <c r="P132" s="209">
        <f>VLOOKUP($B132,'2017'!$A$5:$Q$1425,COUNTA(Upload!$E$3:P$3)+2,FALSE)</f>
        <v>400</v>
      </c>
      <c r="T132" s="161"/>
    </row>
    <row r="133" spans="1:20" s="118" customFormat="1" ht="10.5" customHeight="1">
      <c r="A133" s="207" t="s">
        <v>70</v>
      </c>
      <c r="B133" s="412" t="s">
        <v>825</v>
      </c>
      <c r="C133" s="208" t="str">
        <f>+Setup!$B$21</f>
        <v>WC-PropName</v>
      </c>
      <c r="D133" s="208"/>
      <c r="E133" s="209">
        <f>VLOOKUP($B133,'2017'!$A$5:$Q$1425,COUNTA(Upload!$E$3:E$3)+2,FALSE)</f>
        <v>0</v>
      </c>
      <c r="F133" s="209">
        <f>VLOOKUP($B133,'2017'!$A$5:$Q$1425,COUNTA(Upload!$E$3:F$3)+2,FALSE)</f>
        <v>0</v>
      </c>
      <c r="G133" s="209">
        <f>VLOOKUP($B133,'2017'!$A$5:$Q$1425,COUNTA(Upload!$E$3:G$3)+2,FALSE)</f>
        <v>0</v>
      </c>
      <c r="H133" s="209">
        <f>VLOOKUP($B133,'2017'!$A$5:$Q$1425,COUNTA(Upload!$E$3:H$3)+2,FALSE)</f>
        <v>0</v>
      </c>
      <c r="I133" s="209">
        <f>VLOOKUP($B133,'2017'!$A$5:$Q$1425,COUNTA(Upload!$E$3:I$3)+2,FALSE)</f>
        <v>0</v>
      </c>
      <c r="J133" s="209">
        <f>VLOOKUP($B133,'2017'!$A$5:$Q$1425,COUNTA(Upload!$E$3:J$3)+2,FALSE)</f>
        <v>0</v>
      </c>
      <c r="K133" s="209">
        <f>VLOOKUP($B133,'2017'!$A$5:$Q$1425,COUNTA(Upload!$E$3:K$3)+2,FALSE)</f>
        <v>0</v>
      </c>
      <c r="L133" s="209">
        <f>VLOOKUP($B133,'2017'!$A$5:$Q$1425,COUNTA(Upload!$E$3:L$3)+2,FALSE)</f>
        <v>0</v>
      </c>
      <c r="M133" s="209">
        <f>VLOOKUP($B133,'2017'!$A$5:$Q$1425,COUNTA(Upload!$E$3:M$3)+2,FALSE)</f>
        <v>0</v>
      </c>
      <c r="N133" s="209">
        <f>VLOOKUP($B133,'2017'!$A$5:$Q$1425,COUNTA(Upload!$E$3:N$3)+2,FALSE)</f>
        <v>0</v>
      </c>
      <c r="O133" s="209">
        <f>VLOOKUP($B133,'2017'!$A$5:$Q$1425,COUNTA(Upload!$E$3:O$3)+2,FALSE)</f>
        <v>0</v>
      </c>
      <c r="P133" s="209">
        <f>VLOOKUP($B133,'2017'!$A$5:$Q$1425,COUNTA(Upload!$E$3:P$3)+2,FALSE)</f>
        <v>0</v>
      </c>
      <c r="T133" s="161"/>
    </row>
    <row r="134" spans="1:20" s="118" customFormat="1" ht="10.5" customHeight="1">
      <c r="A134" s="207" t="s">
        <v>70</v>
      </c>
      <c r="B134" s="412" t="s">
        <v>827</v>
      </c>
      <c r="C134" s="208" t="str">
        <f>+Setup!$B$21</f>
        <v>WC-PropName</v>
      </c>
      <c r="D134" s="208"/>
      <c r="E134" s="209">
        <f>VLOOKUP($B134,'2017'!$A$5:$Q$1425,COUNTA(Upload!$E$3:E$3)+2,FALSE)</f>
        <v>0</v>
      </c>
      <c r="F134" s="209">
        <f>VLOOKUP($B134,'2017'!$A$5:$Q$1425,COUNTA(Upload!$E$3:F$3)+2,FALSE)</f>
        <v>0</v>
      </c>
      <c r="G134" s="209">
        <f>VLOOKUP($B134,'2017'!$A$5:$Q$1425,COUNTA(Upload!$E$3:G$3)+2,FALSE)</f>
        <v>0</v>
      </c>
      <c r="H134" s="209">
        <f>VLOOKUP($B134,'2017'!$A$5:$Q$1425,COUNTA(Upload!$E$3:H$3)+2,FALSE)</f>
        <v>0</v>
      </c>
      <c r="I134" s="209">
        <f>VLOOKUP($B134,'2017'!$A$5:$Q$1425,COUNTA(Upload!$E$3:I$3)+2,FALSE)</f>
        <v>0</v>
      </c>
      <c r="J134" s="209">
        <f>VLOOKUP($B134,'2017'!$A$5:$Q$1425,COUNTA(Upload!$E$3:J$3)+2,FALSE)</f>
        <v>0</v>
      </c>
      <c r="K134" s="209">
        <f>VLOOKUP($B134,'2017'!$A$5:$Q$1425,COUNTA(Upload!$E$3:K$3)+2,FALSE)</f>
        <v>0</v>
      </c>
      <c r="L134" s="209">
        <f>VLOOKUP($B134,'2017'!$A$5:$Q$1425,COUNTA(Upload!$E$3:L$3)+2,FALSE)</f>
        <v>0</v>
      </c>
      <c r="M134" s="209">
        <f>VLOOKUP($B134,'2017'!$A$5:$Q$1425,COUNTA(Upload!$E$3:M$3)+2,FALSE)</f>
        <v>0</v>
      </c>
      <c r="N134" s="209">
        <f>VLOOKUP($B134,'2017'!$A$5:$Q$1425,COUNTA(Upload!$E$3:N$3)+2,FALSE)</f>
        <v>0</v>
      </c>
      <c r="O134" s="209">
        <f>VLOOKUP($B134,'2017'!$A$5:$Q$1425,COUNTA(Upload!$E$3:O$3)+2,FALSE)</f>
        <v>0</v>
      </c>
      <c r="P134" s="209">
        <f>VLOOKUP($B134,'2017'!$A$5:$Q$1425,COUNTA(Upload!$E$3:P$3)+2,FALSE)</f>
        <v>0</v>
      </c>
      <c r="T134" s="161"/>
    </row>
    <row r="135" spans="1:20" s="118" customFormat="1" ht="10.5" customHeight="1">
      <c r="A135" s="207" t="s">
        <v>70</v>
      </c>
      <c r="B135" s="412" t="s">
        <v>829</v>
      </c>
      <c r="C135" s="208" t="str">
        <f>+Setup!$B$21</f>
        <v>WC-PropName</v>
      </c>
      <c r="D135" s="208"/>
      <c r="E135" s="209">
        <f>VLOOKUP($B135,'2017'!$A$5:$Q$1425,COUNTA(Upload!$E$3:E$3)+2,FALSE)</f>
        <v>8.3333333333333339</v>
      </c>
      <c r="F135" s="209">
        <f>VLOOKUP($B135,'2017'!$A$5:$Q$1425,COUNTA(Upload!$E$3:F$3)+2,FALSE)</f>
        <v>8.3333333333333339</v>
      </c>
      <c r="G135" s="209">
        <f>VLOOKUP($B135,'2017'!$A$5:$Q$1425,COUNTA(Upload!$E$3:G$3)+2,FALSE)</f>
        <v>8.3333333333333339</v>
      </c>
      <c r="H135" s="209">
        <f>VLOOKUP($B135,'2017'!$A$5:$Q$1425,COUNTA(Upload!$E$3:H$3)+2,FALSE)</f>
        <v>8.3333333333333339</v>
      </c>
      <c r="I135" s="209">
        <f>VLOOKUP($B135,'2017'!$A$5:$Q$1425,COUNTA(Upload!$E$3:I$3)+2,FALSE)</f>
        <v>8.3333333333333339</v>
      </c>
      <c r="J135" s="209">
        <f>VLOOKUP($B135,'2017'!$A$5:$Q$1425,COUNTA(Upload!$E$3:J$3)+2,FALSE)</f>
        <v>8.3333333333333339</v>
      </c>
      <c r="K135" s="209">
        <f>VLOOKUP($B135,'2017'!$A$5:$Q$1425,COUNTA(Upload!$E$3:K$3)+2,FALSE)</f>
        <v>8.3333333333333339</v>
      </c>
      <c r="L135" s="209">
        <f>VLOOKUP($B135,'2017'!$A$5:$Q$1425,COUNTA(Upload!$E$3:L$3)+2,FALSE)</f>
        <v>8.3333333333333339</v>
      </c>
      <c r="M135" s="209">
        <f>VLOOKUP($B135,'2017'!$A$5:$Q$1425,COUNTA(Upload!$E$3:M$3)+2,FALSE)</f>
        <v>8.3333333333333339</v>
      </c>
      <c r="N135" s="209">
        <f>VLOOKUP($B135,'2017'!$A$5:$Q$1425,COUNTA(Upload!$E$3:N$3)+2,FALSE)</f>
        <v>8.3333333333333339</v>
      </c>
      <c r="O135" s="209">
        <f>VLOOKUP($B135,'2017'!$A$5:$Q$1425,COUNTA(Upload!$E$3:O$3)+2,FALSE)</f>
        <v>8.3333333333333339</v>
      </c>
      <c r="P135" s="209">
        <f>VLOOKUP($B135,'2017'!$A$5:$Q$1425,COUNTA(Upload!$E$3:P$3)+2,FALSE)</f>
        <v>8.3333333333333339</v>
      </c>
      <c r="T135" s="161"/>
    </row>
    <row r="136" spans="1:20" s="118" customFormat="1" ht="10.5" customHeight="1">
      <c r="A136" s="207" t="s">
        <v>70</v>
      </c>
      <c r="B136" s="412" t="s">
        <v>834</v>
      </c>
      <c r="C136" s="208" t="str">
        <f>+Setup!$B$21</f>
        <v>WC-PropName</v>
      </c>
      <c r="D136" s="208"/>
      <c r="E136" s="209">
        <f>VLOOKUP($B136,'2017'!$A$5:$Q$1425,COUNTA(Upload!$E$3:E$3)+2,FALSE)</f>
        <v>0</v>
      </c>
      <c r="F136" s="209">
        <f>VLOOKUP($B136,'2017'!$A$5:$Q$1425,COUNTA(Upload!$E$3:F$3)+2,FALSE)</f>
        <v>0</v>
      </c>
      <c r="G136" s="209">
        <f>VLOOKUP($B136,'2017'!$A$5:$Q$1425,COUNTA(Upload!$E$3:G$3)+2,FALSE)</f>
        <v>0</v>
      </c>
      <c r="H136" s="209">
        <f>VLOOKUP($B136,'2017'!$A$5:$Q$1425,COUNTA(Upload!$E$3:H$3)+2,FALSE)</f>
        <v>0</v>
      </c>
      <c r="I136" s="209">
        <f>VLOOKUP($B136,'2017'!$A$5:$Q$1425,COUNTA(Upload!$E$3:I$3)+2,FALSE)</f>
        <v>0</v>
      </c>
      <c r="J136" s="209">
        <f>VLOOKUP($B136,'2017'!$A$5:$Q$1425,COUNTA(Upload!$E$3:J$3)+2,FALSE)</f>
        <v>0</v>
      </c>
      <c r="K136" s="209">
        <f>VLOOKUP($B136,'2017'!$A$5:$Q$1425,COUNTA(Upload!$E$3:K$3)+2,FALSE)</f>
        <v>0</v>
      </c>
      <c r="L136" s="209">
        <f>VLOOKUP($B136,'2017'!$A$5:$Q$1425,COUNTA(Upload!$E$3:L$3)+2,FALSE)</f>
        <v>0</v>
      </c>
      <c r="M136" s="209">
        <f>VLOOKUP($B136,'2017'!$A$5:$Q$1425,COUNTA(Upload!$E$3:M$3)+2,FALSE)</f>
        <v>0</v>
      </c>
      <c r="N136" s="209">
        <f>VLOOKUP($B136,'2017'!$A$5:$Q$1425,COUNTA(Upload!$E$3:N$3)+2,FALSE)</f>
        <v>0</v>
      </c>
      <c r="O136" s="209">
        <f>VLOOKUP($B136,'2017'!$A$5:$Q$1425,COUNTA(Upload!$E$3:O$3)+2,FALSE)</f>
        <v>0</v>
      </c>
      <c r="P136" s="209">
        <f>VLOOKUP($B136,'2017'!$A$5:$Q$1425,COUNTA(Upload!$E$3:P$3)+2,FALSE)</f>
        <v>0</v>
      </c>
      <c r="T136" s="161"/>
    </row>
    <row r="137" spans="1:20" s="118" customFormat="1" ht="10.5" customHeight="1">
      <c r="A137" s="207" t="s">
        <v>70</v>
      </c>
      <c r="B137" s="412" t="s">
        <v>835</v>
      </c>
      <c r="C137" s="208" t="str">
        <f>+Setup!$B$21</f>
        <v>WC-PropName</v>
      </c>
      <c r="D137" s="208"/>
      <c r="E137" s="209">
        <f>VLOOKUP($B137,'2017'!$A$5:$Q$1425,COUNTA(Upload!$E$3:E$3)+2,FALSE)</f>
        <v>4.08</v>
      </c>
      <c r="F137" s="209">
        <f>VLOOKUP($B137,'2017'!$A$5:$Q$1425,COUNTA(Upload!$E$3:F$3)+2,FALSE)</f>
        <v>4.08</v>
      </c>
      <c r="G137" s="209">
        <f>VLOOKUP($B137,'2017'!$A$5:$Q$1425,COUNTA(Upload!$E$3:G$3)+2,FALSE)</f>
        <v>4.08</v>
      </c>
      <c r="H137" s="209">
        <f>VLOOKUP($B137,'2017'!$A$5:$Q$1425,COUNTA(Upload!$E$3:H$3)+2,FALSE)</f>
        <v>4.08</v>
      </c>
      <c r="I137" s="209">
        <f>VLOOKUP($B137,'2017'!$A$5:$Q$1425,COUNTA(Upload!$E$3:I$3)+2,FALSE)</f>
        <v>4.08</v>
      </c>
      <c r="J137" s="209">
        <f>VLOOKUP($B137,'2017'!$A$5:$Q$1425,COUNTA(Upload!$E$3:J$3)+2,FALSE)</f>
        <v>4.08</v>
      </c>
      <c r="K137" s="209">
        <f>VLOOKUP($B137,'2017'!$A$5:$Q$1425,COUNTA(Upload!$E$3:K$3)+2,FALSE)</f>
        <v>4.08</v>
      </c>
      <c r="L137" s="209">
        <f>VLOOKUP($B137,'2017'!$A$5:$Q$1425,COUNTA(Upload!$E$3:L$3)+2,FALSE)</f>
        <v>4.08</v>
      </c>
      <c r="M137" s="209">
        <f>VLOOKUP($B137,'2017'!$A$5:$Q$1425,COUNTA(Upload!$E$3:M$3)+2,FALSE)</f>
        <v>4.08</v>
      </c>
      <c r="N137" s="209">
        <f>VLOOKUP($B137,'2017'!$A$5:$Q$1425,COUNTA(Upload!$E$3:N$3)+2,FALSE)</f>
        <v>4.08</v>
      </c>
      <c r="O137" s="209">
        <f>VLOOKUP($B137,'2017'!$A$5:$Q$1425,COUNTA(Upload!$E$3:O$3)+2,FALSE)</f>
        <v>4.08</v>
      </c>
      <c r="P137" s="209">
        <f>VLOOKUP($B137,'2017'!$A$5:$Q$1425,COUNTA(Upload!$E$3:P$3)+2,FALSE)</f>
        <v>4.08</v>
      </c>
      <c r="T137" s="161"/>
    </row>
    <row r="138" spans="1:20" s="118" customFormat="1" ht="10.5" customHeight="1">
      <c r="A138" s="207" t="s">
        <v>70</v>
      </c>
      <c r="B138" s="412" t="s">
        <v>837</v>
      </c>
      <c r="C138" s="208" t="str">
        <f>+Setup!$B$21</f>
        <v>WC-PropName</v>
      </c>
      <c r="D138" s="208"/>
      <c r="E138" s="209">
        <f>VLOOKUP($B138,'2017'!$A$5:$Q$1425,COUNTA(Upload!$E$3:E$3)+2,FALSE)</f>
        <v>0</v>
      </c>
      <c r="F138" s="209">
        <f>VLOOKUP($B138,'2017'!$A$5:$Q$1425,COUNTA(Upload!$E$3:F$3)+2,FALSE)</f>
        <v>0</v>
      </c>
      <c r="G138" s="209">
        <f>VLOOKUP($B138,'2017'!$A$5:$Q$1425,COUNTA(Upload!$E$3:G$3)+2,FALSE)</f>
        <v>0</v>
      </c>
      <c r="H138" s="209">
        <f>VLOOKUP($B138,'2017'!$A$5:$Q$1425,COUNTA(Upload!$E$3:H$3)+2,FALSE)</f>
        <v>0</v>
      </c>
      <c r="I138" s="209">
        <f>VLOOKUP($B138,'2017'!$A$5:$Q$1425,COUNTA(Upload!$E$3:I$3)+2,FALSE)</f>
        <v>0</v>
      </c>
      <c r="J138" s="209">
        <f>VLOOKUP($B138,'2017'!$A$5:$Q$1425,COUNTA(Upload!$E$3:J$3)+2,FALSE)</f>
        <v>0</v>
      </c>
      <c r="K138" s="209">
        <f>VLOOKUP($B138,'2017'!$A$5:$Q$1425,COUNTA(Upload!$E$3:K$3)+2,FALSE)</f>
        <v>0</v>
      </c>
      <c r="L138" s="209">
        <f>VLOOKUP($B138,'2017'!$A$5:$Q$1425,COUNTA(Upload!$E$3:L$3)+2,FALSE)</f>
        <v>0</v>
      </c>
      <c r="M138" s="209">
        <f>VLOOKUP($B138,'2017'!$A$5:$Q$1425,COUNTA(Upload!$E$3:M$3)+2,FALSE)</f>
        <v>0</v>
      </c>
      <c r="N138" s="209">
        <f>VLOOKUP($B138,'2017'!$A$5:$Q$1425,COUNTA(Upload!$E$3:N$3)+2,FALSE)</f>
        <v>0</v>
      </c>
      <c r="O138" s="209">
        <f>VLOOKUP($B138,'2017'!$A$5:$Q$1425,COUNTA(Upload!$E$3:O$3)+2,FALSE)</f>
        <v>0</v>
      </c>
      <c r="P138" s="209">
        <f>VLOOKUP($B138,'2017'!$A$5:$Q$1425,COUNTA(Upload!$E$3:P$3)+2,FALSE)</f>
        <v>0</v>
      </c>
      <c r="T138" s="161"/>
    </row>
    <row r="139" spans="1:20" s="118" customFormat="1" ht="10.5" customHeight="1">
      <c r="A139" s="207" t="s">
        <v>70</v>
      </c>
      <c r="B139" s="412" t="s">
        <v>839</v>
      </c>
      <c r="C139" s="208" t="str">
        <f>+Setup!$B$21</f>
        <v>WC-PropName</v>
      </c>
      <c r="D139" s="208"/>
      <c r="E139" s="209">
        <f>VLOOKUP($B139,'2017'!$A$5:$Q$1425,COUNTA(Upload!$E$3:E$3)+2,FALSE)</f>
        <v>272.91666666666669</v>
      </c>
      <c r="F139" s="209">
        <f>VLOOKUP($B139,'2017'!$A$5:$Q$1425,COUNTA(Upload!$E$3:F$3)+2,FALSE)</f>
        <v>272.91666666666669</v>
      </c>
      <c r="G139" s="209">
        <f>VLOOKUP($B139,'2017'!$A$5:$Q$1425,COUNTA(Upload!$E$3:G$3)+2,FALSE)</f>
        <v>272.91666666666669</v>
      </c>
      <c r="H139" s="209">
        <f>VLOOKUP($B139,'2017'!$A$5:$Q$1425,COUNTA(Upload!$E$3:H$3)+2,FALSE)</f>
        <v>272.91666666666669</v>
      </c>
      <c r="I139" s="209">
        <f>VLOOKUP($B139,'2017'!$A$5:$Q$1425,COUNTA(Upload!$E$3:I$3)+2,FALSE)</f>
        <v>272.91666666666669</v>
      </c>
      <c r="J139" s="209">
        <f>VLOOKUP($B139,'2017'!$A$5:$Q$1425,COUNTA(Upload!$E$3:J$3)+2,FALSE)</f>
        <v>272.91666666666669</v>
      </c>
      <c r="K139" s="209">
        <f>VLOOKUP($B139,'2017'!$A$5:$Q$1425,COUNTA(Upload!$E$3:K$3)+2,FALSE)</f>
        <v>272.91666666666669</v>
      </c>
      <c r="L139" s="209">
        <f>VLOOKUP($B139,'2017'!$A$5:$Q$1425,COUNTA(Upload!$E$3:L$3)+2,FALSE)</f>
        <v>272.91666666666669</v>
      </c>
      <c r="M139" s="209">
        <f>VLOOKUP($B139,'2017'!$A$5:$Q$1425,COUNTA(Upload!$E$3:M$3)+2,FALSE)</f>
        <v>272.91666666666669</v>
      </c>
      <c r="N139" s="209">
        <f>VLOOKUP($B139,'2017'!$A$5:$Q$1425,COUNTA(Upload!$E$3:N$3)+2,FALSE)</f>
        <v>272.91666666666669</v>
      </c>
      <c r="O139" s="209">
        <f>VLOOKUP($B139,'2017'!$A$5:$Q$1425,COUNTA(Upload!$E$3:O$3)+2,FALSE)</f>
        <v>272.91666666666669</v>
      </c>
      <c r="P139" s="209">
        <f>VLOOKUP($B139,'2017'!$A$5:$Q$1425,COUNTA(Upload!$E$3:P$3)+2,FALSE)</f>
        <v>272.91666666666669</v>
      </c>
      <c r="T139" s="161"/>
    </row>
    <row r="140" spans="1:20" s="118" customFormat="1" ht="10.5" customHeight="1">
      <c r="A140" s="207" t="s">
        <v>70</v>
      </c>
      <c r="B140" s="412" t="s">
        <v>842</v>
      </c>
      <c r="C140" s="208" t="str">
        <f>+Setup!$B$21</f>
        <v>WC-PropName</v>
      </c>
      <c r="D140" s="208"/>
      <c r="E140" s="209">
        <f>VLOOKUP($B140,'2017'!$A$5:$Q$1425,COUNTA(Upload!$E$3:E$3)+2,FALSE)</f>
        <v>0</v>
      </c>
      <c r="F140" s="209">
        <f>VLOOKUP($B140,'2017'!$A$5:$Q$1425,COUNTA(Upload!$E$3:F$3)+2,FALSE)</f>
        <v>0</v>
      </c>
      <c r="G140" s="209">
        <f>VLOOKUP($B140,'2017'!$A$5:$Q$1425,COUNTA(Upload!$E$3:G$3)+2,FALSE)</f>
        <v>0</v>
      </c>
      <c r="H140" s="209">
        <f>VLOOKUP($B140,'2017'!$A$5:$Q$1425,COUNTA(Upload!$E$3:H$3)+2,FALSE)</f>
        <v>0</v>
      </c>
      <c r="I140" s="209">
        <f>VLOOKUP($B140,'2017'!$A$5:$Q$1425,COUNTA(Upload!$E$3:I$3)+2,FALSE)</f>
        <v>0</v>
      </c>
      <c r="J140" s="209">
        <f>VLOOKUP($B140,'2017'!$A$5:$Q$1425,COUNTA(Upload!$E$3:J$3)+2,FALSE)</f>
        <v>0</v>
      </c>
      <c r="K140" s="209">
        <f>VLOOKUP($B140,'2017'!$A$5:$Q$1425,COUNTA(Upload!$E$3:K$3)+2,FALSE)</f>
        <v>0</v>
      </c>
      <c r="L140" s="209">
        <f>VLOOKUP($B140,'2017'!$A$5:$Q$1425,COUNTA(Upload!$E$3:L$3)+2,FALSE)</f>
        <v>0</v>
      </c>
      <c r="M140" s="209">
        <f>VLOOKUP($B140,'2017'!$A$5:$Q$1425,COUNTA(Upload!$E$3:M$3)+2,FALSE)</f>
        <v>0</v>
      </c>
      <c r="N140" s="209">
        <f>VLOOKUP($B140,'2017'!$A$5:$Q$1425,COUNTA(Upload!$E$3:N$3)+2,FALSE)</f>
        <v>0</v>
      </c>
      <c r="O140" s="209">
        <f>VLOOKUP($B140,'2017'!$A$5:$Q$1425,COUNTA(Upload!$E$3:O$3)+2,FALSE)</f>
        <v>0</v>
      </c>
      <c r="P140" s="209">
        <f>VLOOKUP($B140,'2017'!$A$5:$Q$1425,COUNTA(Upload!$E$3:P$3)+2,FALSE)</f>
        <v>0</v>
      </c>
      <c r="T140" s="161"/>
    </row>
    <row r="141" spans="1:20" s="118" customFormat="1" ht="10.5" customHeight="1">
      <c r="A141" s="207" t="s">
        <v>70</v>
      </c>
      <c r="B141" s="412" t="s">
        <v>844</v>
      </c>
      <c r="C141" s="208" t="str">
        <f>+Setup!$B$21</f>
        <v>WC-PropName</v>
      </c>
      <c r="D141" s="208"/>
      <c r="E141" s="209">
        <f>VLOOKUP($B141,'2017'!$A$5:$Q$1425,COUNTA(Upload!$E$3:E$3)+2,FALSE)</f>
        <v>90</v>
      </c>
      <c r="F141" s="209">
        <f>VLOOKUP($B141,'2017'!$A$5:$Q$1425,COUNTA(Upload!$E$3:F$3)+2,FALSE)</f>
        <v>90</v>
      </c>
      <c r="G141" s="209">
        <f>VLOOKUP($B141,'2017'!$A$5:$Q$1425,COUNTA(Upload!$E$3:G$3)+2,FALSE)</f>
        <v>90</v>
      </c>
      <c r="H141" s="209">
        <f>VLOOKUP($B141,'2017'!$A$5:$Q$1425,COUNTA(Upload!$E$3:H$3)+2,FALSE)</f>
        <v>90</v>
      </c>
      <c r="I141" s="209">
        <f>VLOOKUP($B141,'2017'!$A$5:$Q$1425,COUNTA(Upload!$E$3:I$3)+2,FALSE)</f>
        <v>90</v>
      </c>
      <c r="J141" s="209">
        <f>VLOOKUP($B141,'2017'!$A$5:$Q$1425,COUNTA(Upload!$E$3:J$3)+2,FALSE)</f>
        <v>90</v>
      </c>
      <c r="K141" s="209">
        <f>VLOOKUP($B141,'2017'!$A$5:$Q$1425,COUNTA(Upload!$E$3:K$3)+2,FALSE)</f>
        <v>90</v>
      </c>
      <c r="L141" s="209">
        <f>VLOOKUP($B141,'2017'!$A$5:$Q$1425,COUNTA(Upload!$E$3:L$3)+2,FALSE)</f>
        <v>90</v>
      </c>
      <c r="M141" s="209">
        <f>VLOOKUP($B141,'2017'!$A$5:$Q$1425,COUNTA(Upload!$E$3:M$3)+2,FALSE)</f>
        <v>90</v>
      </c>
      <c r="N141" s="209">
        <f>VLOOKUP($B141,'2017'!$A$5:$Q$1425,COUNTA(Upload!$E$3:N$3)+2,FALSE)</f>
        <v>90</v>
      </c>
      <c r="O141" s="209">
        <f>VLOOKUP($B141,'2017'!$A$5:$Q$1425,COUNTA(Upload!$E$3:O$3)+2,FALSE)</f>
        <v>90</v>
      </c>
      <c r="P141" s="209">
        <f>VLOOKUP($B141,'2017'!$A$5:$Q$1425,COUNTA(Upload!$E$3:P$3)+2,FALSE)</f>
        <v>90</v>
      </c>
      <c r="T141" s="161"/>
    </row>
    <row r="142" spans="1:20" s="118" customFormat="1" ht="10.5" customHeight="1">
      <c r="A142" s="207" t="s">
        <v>70</v>
      </c>
      <c r="B142" s="412" t="s">
        <v>846</v>
      </c>
      <c r="C142" s="208" t="str">
        <f>+Setup!$B$21</f>
        <v>WC-PropName</v>
      </c>
      <c r="D142" s="208"/>
      <c r="E142" s="209">
        <f>VLOOKUP($B142,'2017'!$A$5:$Q$1425,COUNTA(Upload!$E$3:E$3)+2,FALSE)</f>
        <v>0</v>
      </c>
      <c r="F142" s="209">
        <f>VLOOKUP($B142,'2017'!$A$5:$Q$1425,COUNTA(Upload!$E$3:F$3)+2,FALSE)</f>
        <v>0</v>
      </c>
      <c r="G142" s="209">
        <f>VLOOKUP($B142,'2017'!$A$5:$Q$1425,COUNTA(Upload!$E$3:G$3)+2,FALSE)</f>
        <v>0</v>
      </c>
      <c r="H142" s="209">
        <f>VLOOKUP($B142,'2017'!$A$5:$Q$1425,COUNTA(Upload!$E$3:H$3)+2,FALSE)</f>
        <v>0</v>
      </c>
      <c r="I142" s="209">
        <f>VLOOKUP($B142,'2017'!$A$5:$Q$1425,COUNTA(Upload!$E$3:I$3)+2,FALSE)</f>
        <v>0</v>
      </c>
      <c r="J142" s="209">
        <f>VLOOKUP($B142,'2017'!$A$5:$Q$1425,COUNTA(Upload!$E$3:J$3)+2,FALSE)</f>
        <v>0</v>
      </c>
      <c r="K142" s="209">
        <f>VLOOKUP($B142,'2017'!$A$5:$Q$1425,COUNTA(Upload!$E$3:K$3)+2,FALSE)</f>
        <v>0</v>
      </c>
      <c r="L142" s="209">
        <f>VLOOKUP($B142,'2017'!$A$5:$Q$1425,COUNTA(Upload!$E$3:L$3)+2,FALSE)</f>
        <v>0</v>
      </c>
      <c r="M142" s="209">
        <f>VLOOKUP($B142,'2017'!$A$5:$Q$1425,COUNTA(Upload!$E$3:M$3)+2,FALSE)</f>
        <v>0</v>
      </c>
      <c r="N142" s="209">
        <f>VLOOKUP($B142,'2017'!$A$5:$Q$1425,COUNTA(Upload!$E$3:N$3)+2,FALSE)</f>
        <v>0</v>
      </c>
      <c r="O142" s="209">
        <f>VLOOKUP($B142,'2017'!$A$5:$Q$1425,COUNTA(Upload!$E$3:O$3)+2,FALSE)</f>
        <v>0</v>
      </c>
      <c r="P142" s="209">
        <f>VLOOKUP($B142,'2017'!$A$5:$Q$1425,COUNTA(Upload!$E$3:P$3)+2,FALSE)</f>
        <v>0</v>
      </c>
      <c r="T142" s="161"/>
    </row>
    <row r="143" spans="1:20" s="118" customFormat="1" ht="10.5" customHeight="1">
      <c r="A143" s="207" t="s">
        <v>70</v>
      </c>
      <c r="B143" s="412" t="s">
        <v>847</v>
      </c>
      <c r="C143" s="208" t="str">
        <f>+Setup!$B$21</f>
        <v>WC-PropName</v>
      </c>
      <c r="D143" s="208"/>
      <c r="E143" s="209">
        <f>VLOOKUP($B143,'2017'!$A$5:$Q$1425,COUNTA(Upload!$E$3:E$3)+2,FALSE)</f>
        <v>0</v>
      </c>
      <c r="F143" s="209">
        <f>VLOOKUP($B143,'2017'!$A$5:$Q$1425,COUNTA(Upload!$E$3:F$3)+2,FALSE)</f>
        <v>0</v>
      </c>
      <c r="G143" s="209">
        <f>VLOOKUP($B143,'2017'!$A$5:$Q$1425,COUNTA(Upload!$E$3:G$3)+2,FALSE)</f>
        <v>0</v>
      </c>
      <c r="H143" s="209">
        <f>VLOOKUP($B143,'2017'!$A$5:$Q$1425,COUNTA(Upload!$E$3:H$3)+2,FALSE)</f>
        <v>0</v>
      </c>
      <c r="I143" s="209">
        <f>VLOOKUP($B143,'2017'!$A$5:$Q$1425,COUNTA(Upload!$E$3:I$3)+2,FALSE)</f>
        <v>0</v>
      </c>
      <c r="J143" s="209">
        <f>VLOOKUP($B143,'2017'!$A$5:$Q$1425,COUNTA(Upload!$E$3:J$3)+2,FALSE)</f>
        <v>0</v>
      </c>
      <c r="K143" s="209">
        <f>VLOOKUP($B143,'2017'!$A$5:$Q$1425,COUNTA(Upload!$E$3:K$3)+2,FALSE)</f>
        <v>0</v>
      </c>
      <c r="L143" s="209">
        <f>VLOOKUP($B143,'2017'!$A$5:$Q$1425,COUNTA(Upload!$E$3:L$3)+2,FALSE)</f>
        <v>0</v>
      </c>
      <c r="M143" s="209">
        <f>VLOOKUP($B143,'2017'!$A$5:$Q$1425,COUNTA(Upload!$E$3:M$3)+2,FALSE)</f>
        <v>0</v>
      </c>
      <c r="N143" s="209">
        <f>VLOOKUP($B143,'2017'!$A$5:$Q$1425,COUNTA(Upload!$E$3:N$3)+2,FALSE)</f>
        <v>0</v>
      </c>
      <c r="O143" s="209">
        <f>VLOOKUP($B143,'2017'!$A$5:$Q$1425,COUNTA(Upload!$E$3:O$3)+2,FALSE)</f>
        <v>0</v>
      </c>
      <c r="P143" s="209">
        <f>VLOOKUP($B143,'2017'!$A$5:$Q$1425,COUNTA(Upload!$E$3:P$3)+2,FALSE)</f>
        <v>0</v>
      </c>
      <c r="T143" s="161"/>
    </row>
    <row r="144" spans="1:20" s="118" customFormat="1" ht="10.5" customHeight="1">
      <c r="A144" s="207" t="s">
        <v>70</v>
      </c>
      <c r="B144" s="412" t="s">
        <v>849</v>
      </c>
      <c r="C144" s="208" t="str">
        <f>+Setup!$B$21</f>
        <v>WC-PropName</v>
      </c>
      <c r="D144" s="208"/>
      <c r="E144" s="209">
        <f>VLOOKUP($B144,'2017'!$A$5:$Q$1425,COUNTA(Upload!$E$3:E$3)+2,FALSE)</f>
        <v>576.4</v>
      </c>
      <c r="F144" s="209">
        <f>VLOOKUP($B144,'2017'!$A$5:$Q$1425,COUNTA(Upload!$E$3:F$3)+2,FALSE)</f>
        <v>576.4</v>
      </c>
      <c r="G144" s="209">
        <f>VLOOKUP($B144,'2017'!$A$5:$Q$1425,COUNTA(Upload!$E$3:G$3)+2,FALSE)</f>
        <v>576.4</v>
      </c>
      <c r="H144" s="209">
        <f>VLOOKUP($B144,'2017'!$A$5:$Q$1425,COUNTA(Upload!$E$3:H$3)+2,FALSE)</f>
        <v>576.4</v>
      </c>
      <c r="I144" s="209">
        <f>VLOOKUP($B144,'2017'!$A$5:$Q$1425,COUNTA(Upload!$E$3:I$3)+2,FALSE)</f>
        <v>576.4</v>
      </c>
      <c r="J144" s="209">
        <f>VLOOKUP($B144,'2017'!$A$5:$Q$1425,COUNTA(Upload!$E$3:J$3)+2,FALSE)</f>
        <v>576.4</v>
      </c>
      <c r="K144" s="209">
        <f>VLOOKUP($B144,'2017'!$A$5:$Q$1425,COUNTA(Upload!$E$3:K$3)+2,FALSE)</f>
        <v>576.4</v>
      </c>
      <c r="L144" s="209">
        <f>VLOOKUP($B144,'2017'!$A$5:$Q$1425,COUNTA(Upload!$E$3:L$3)+2,FALSE)</f>
        <v>576.4</v>
      </c>
      <c r="M144" s="209">
        <f>VLOOKUP($B144,'2017'!$A$5:$Q$1425,COUNTA(Upload!$E$3:M$3)+2,FALSE)</f>
        <v>576.4</v>
      </c>
      <c r="N144" s="209">
        <f>VLOOKUP($B144,'2017'!$A$5:$Q$1425,COUNTA(Upload!$E$3:N$3)+2,FALSE)</f>
        <v>576.4</v>
      </c>
      <c r="O144" s="209">
        <f>VLOOKUP($B144,'2017'!$A$5:$Q$1425,COUNTA(Upload!$E$3:O$3)+2,FALSE)</f>
        <v>576.4</v>
      </c>
      <c r="P144" s="209">
        <f>VLOOKUP($B144,'2017'!$A$5:$Q$1425,COUNTA(Upload!$E$3:P$3)+2,FALSE)</f>
        <v>576.4</v>
      </c>
      <c r="T144" s="161"/>
    </row>
    <row r="145" spans="1:20" s="118" customFormat="1" ht="10.5" customHeight="1">
      <c r="A145" s="207" t="s">
        <v>70</v>
      </c>
      <c r="B145" s="412" t="s">
        <v>851</v>
      </c>
      <c r="C145" s="208" t="str">
        <f>+Setup!$B$21</f>
        <v>WC-PropName</v>
      </c>
      <c r="D145" s="208"/>
      <c r="E145" s="209">
        <f>VLOOKUP($B145,'2017'!$A$5:$Q$1425,COUNTA(Upload!$E$3:E$3)+2,FALSE)</f>
        <v>0</v>
      </c>
      <c r="F145" s="209">
        <f>VLOOKUP($B145,'2017'!$A$5:$Q$1425,COUNTA(Upload!$E$3:F$3)+2,FALSE)</f>
        <v>0</v>
      </c>
      <c r="G145" s="209">
        <f>VLOOKUP($B145,'2017'!$A$5:$Q$1425,COUNTA(Upload!$E$3:G$3)+2,FALSE)</f>
        <v>0</v>
      </c>
      <c r="H145" s="209">
        <f>VLOOKUP($B145,'2017'!$A$5:$Q$1425,COUNTA(Upload!$E$3:H$3)+2,FALSE)</f>
        <v>0</v>
      </c>
      <c r="I145" s="209">
        <f>VLOOKUP($B145,'2017'!$A$5:$Q$1425,COUNTA(Upload!$E$3:I$3)+2,FALSE)</f>
        <v>0</v>
      </c>
      <c r="J145" s="209">
        <f>VLOOKUP($B145,'2017'!$A$5:$Q$1425,COUNTA(Upload!$E$3:J$3)+2,FALSE)</f>
        <v>0</v>
      </c>
      <c r="K145" s="209">
        <f>VLOOKUP($B145,'2017'!$A$5:$Q$1425,COUNTA(Upload!$E$3:K$3)+2,FALSE)</f>
        <v>0</v>
      </c>
      <c r="L145" s="209">
        <f>VLOOKUP($B145,'2017'!$A$5:$Q$1425,COUNTA(Upload!$E$3:L$3)+2,FALSE)</f>
        <v>0</v>
      </c>
      <c r="M145" s="209">
        <f>VLOOKUP($B145,'2017'!$A$5:$Q$1425,COUNTA(Upload!$E$3:M$3)+2,FALSE)</f>
        <v>0</v>
      </c>
      <c r="N145" s="209">
        <f>VLOOKUP($B145,'2017'!$A$5:$Q$1425,COUNTA(Upload!$E$3:N$3)+2,FALSE)</f>
        <v>0</v>
      </c>
      <c r="O145" s="209">
        <f>VLOOKUP($B145,'2017'!$A$5:$Q$1425,COUNTA(Upload!$E$3:O$3)+2,FALSE)</f>
        <v>0</v>
      </c>
      <c r="P145" s="209">
        <f>VLOOKUP($B145,'2017'!$A$5:$Q$1425,COUNTA(Upload!$E$3:P$3)+2,FALSE)</f>
        <v>0</v>
      </c>
      <c r="T145" s="161"/>
    </row>
    <row r="146" spans="1:20" s="118" customFormat="1" ht="10.5" customHeight="1">
      <c r="A146" s="207" t="s">
        <v>70</v>
      </c>
      <c r="B146" s="412" t="s">
        <v>853</v>
      </c>
      <c r="C146" s="208" t="str">
        <f>+Setup!$B$21</f>
        <v>WC-PropName</v>
      </c>
      <c r="D146" s="208"/>
      <c r="E146" s="209">
        <f>VLOOKUP($B146,'2017'!$A$5:$Q$1425,COUNTA(Upload!$E$3:E$3)+2,FALSE)</f>
        <v>0</v>
      </c>
      <c r="F146" s="209">
        <f>VLOOKUP($B146,'2017'!$A$5:$Q$1425,COUNTA(Upload!$E$3:F$3)+2,FALSE)</f>
        <v>0</v>
      </c>
      <c r="G146" s="209">
        <f>VLOOKUP($B146,'2017'!$A$5:$Q$1425,COUNTA(Upload!$E$3:G$3)+2,FALSE)</f>
        <v>0</v>
      </c>
      <c r="H146" s="209">
        <f>VLOOKUP($B146,'2017'!$A$5:$Q$1425,COUNTA(Upload!$E$3:H$3)+2,FALSE)</f>
        <v>0</v>
      </c>
      <c r="I146" s="209">
        <f>VLOOKUP($B146,'2017'!$A$5:$Q$1425,COUNTA(Upload!$E$3:I$3)+2,FALSE)</f>
        <v>0</v>
      </c>
      <c r="J146" s="209">
        <f>VLOOKUP($B146,'2017'!$A$5:$Q$1425,COUNTA(Upload!$E$3:J$3)+2,FALSE)</f>
        <v>0</v>
      </c>
      <c r="K146" s="209">
        <f>VLOOKUP($B146,'2017'!$A$5:$Q$1425,COUNTA(Upload!$E$3:K$3)+2,FALSE)</f>
        <v>0</v>
      </c>
      <c r="L146" s="209">
        <f>VLOOKUP($B146,'2017'!$A$5:$Q$1425,COUNTA(Upload!$E$3:L$3)+2,FALSE)</f>
        <v>0</v>
      </c>
      <c r="M146" s="209">
        <f>VLOOKUP($B146,'2017'!$A$5:$Q$1425,COUNTA(Upload!$E$3:M$3)+2,FALSE)</f>
        <v>0</v>
      </c>
      <c r="N146" s="209">
        <f>VLOOKUP($B146,'2017'!$A$5:$Q$1425,COUNTA(Upload!$E$3:N$3)+2,FALSE)</f>
        <v>0</v>
      </c>
      <c r="O146" s="209">
        <f>VLOOKUP($B146,'2017'!$A$5:$Q$1425,COUNTA(Upload!$E$3:O$3)+2,FALSE)</f>
        <v>0</v>
      </c>
      <c r="P146" s="209">
        <f>VLOOKUP($B146,'2017'!$A$5:$Q$1425,COUNTA(Upload!$E$3:P$3)+2,FALSE)</f>
        <v>0</v>
      </c>
      <c r="T146" s="161"/>
    </row>
    <row r="147" spans="1:20" s="118" customFormat="1" ht="10.5" customHeight="1">
      <c r="A147" s="207" t="s">
        <v>70</v>
      </c>
      <c r="B147" s="412" t="s">
        <v>1316</v>
      </c>
      <c r="C147" s="208" t="str">
        <f>+Setup!$B$21</f>
        <v>WC-PropName</v>
      </c>
      <c r="D147" s="208"/>
      <c r="E147" s="209">
        <f>VLOOKUP($B147,'2017'!$A$5:$Q$1425,COUNTA(Upload!$E$3:E$3)+2,FALSE)</f>
        <v>0</v>
      </c>
      <c r="F147" s="209">
        <f>VLOOKUP($B147,'2017'!$A$5:$Q$1425,COUNTA(Upload!$E$3:F$3)+2,FALSE)</f>
        <v>0</v>
      </c>
      <c r="G147" s="209">
        <f>VLOOKUP($B147,'2017'!$A$5:$Q$1425,COUNTA(Upload!$E$3:G$3)+2,FALSE)</f>
        <v>0</v>
      </c>
      <c r="H147" s="209">
        <f>VLOOKUP($B147,'2017'!$A$5:$Q$1425,COUNTA(Upload!$E$3:H$3)+2,FALSE)</f>
        <v>0</v>
      </c>
      <c r="I147" s="209">
        <f>VLOOKUP($B147,'2017'!$A$5:$Q$1425,COUNTA(Upload!$E$3:I$3)+2,FALSE)</f>
        <v>0</v>
      </c>
      <c r="J147" s="209">
        <f>VLOOKUP($B147,'2017'!$A$5:$Q$1425,COUNTA(Upload!$E$3:J$3)+2,FALSE)</f>
        <v>0</v>
      </c>
      <c r="K147" s="209">
        <f>VLOOKUP($B147,'2017'!$A$5:$Q$1425,COUNTA(Upload!$E$3:K$3)+2,FALSE)</f>
        <v>0</v>
      </c>
      <c r="L147" s="209">
        <f>VLOOKUP($B147,'2017'!$A$5:$Q$1425,COUNTA(Upload!$E$3:L$3)+2,FALSE)</f>
        <v>0</v>
      </c>
      <c r="M147" s="209">
        <f>VLOOKUP($B147,'2017'!$A$5:$Q$1425,COUNTA(Upload!$E$3:M$3)+2,FALSE)</f>
        <v>0</v>
      </c>
      <c r="N147" s="209">
        <f>VLOOKUP($B147,'2017'!$A$5:$Q$1425,COUNTA(Upload!$E$3:N$3)+2,FALSE)</f>
        <v>0</v>
      </c>
      <c r="O147" s="209">
        <f>VLOOKUP($B147,'2017'!$A$5:$Q$1425,COUNTA(Upload!$E$3:O$3)+2,FALSE)</f>
        <v>0</v>
      </c>
      <c r="P147" s="209">
        <f>VLOOKUP($B147,'2017'!$A$5:$Q$1425,COUNTA(Upload!$E$3:P$3)+2,FALSE)</f>
        <v>0</v>
      </c>
      <c r="T147" s="161"/>
    </row>
    <row r="148" spans="1:20" s="118" customFormat="1" ht="10.5" customHeight="1">
      <c r="A148" s="207" t="s">
        <v>70</v>
      </c>
      <c r="B148" s="412" t="s">
        <v>854</v>
      </c>
      <c r="C148" s="208" t="str">
        <f>+Setup!$B$21</f>
        <v>WC-PropName</v>
      </c>
      <c r="D148" s="208"/>
      <c r="E148" s="209">
        <f>VLOOKUP($B148,'2017'!$A$5:$Q$1425,COUNTA(Upload!$E$3:E$3)+2,FALSE)</f>
        <v>0</v>
      </c>
      <c r="F148" s="209">
        <f>VLOOKUP($B148,'2017'!$A$5:$Q$1425,COUNTA(Upload!$E$3:F$3)+2,FALSE)</f>
        <v>0</v>
      </c>
      <c r="G148" s="209">
        <f>VLOOKUP($B148,'2017'!$A$5:$Q$1425,COUNTA(Upload!$E$3:G$3)+2,FALSE)</f>
        <v>0</v>
      </c>
      <c r="H148" s="209">
        <f>VLOOKUP($B148,'2017'!$A$5:$Q$1425,COUNTA(Upload!$E$3:H$3)+2,FALSE)</f>
        <v>0</v>
      </c>
      <c r="I148" s="209">
        <f>VLOOKUP($B148,'2017'!$A$5:$Q$1425,COUNTA(Upload!$E$3:I$3)+2,FALSE)</f>
        <v>0</v>
      </c>
      <c r="J148" s="209">
        <f>VLOOKUP($B148,'2017'!$A$5:$Q$1425,COUNTA(Upload!$E$3:J$3)+2,FALSE)</f>
        <v>0</v>
      </c>
      <c r="K148" s="209">
        <f>VLOOKUP($B148,'2017'!$A$5:$Q$1425,COUNTA(Upload!$E$3:K$3)+2,FALSE)</f>
        <v>0</v>
      </c>
      <c r="L148" s="209">
        <f>VLOOKUP($B148,'2017'!$A$5:$Q$1425,COUNTA(Upload!$E$3:L$3)+2,FALSE)</f>
        <v>0</v>
      </c>
      <c r="M148" s="209">
        <f>VLOOKUP($B148,'2017'!$A$5:$Q$1425,COUNTA(Upload!$E$3:M$3)+2,FALSE)</f>
        <v>0</v>
      </c>
      <c r="N148" s="209">
        <f>VLOOKUP($B148,'2017'!$A$5:$Q$1425,COUNTA(Upload!$E$3:N$3)+2,FALSE)</f>
        <v>0</v>
      </c>
      <c r="O148" s="209">
        <f>VLOOKUP($B148,'2017'!$A$5:$Q$1425,COUNTA(Upload!$E$3:O$3)+2,FALSE)</f>
        <v>0</v>
      </c>
      <c r="P148" s="209">
        <f>VLOOKUP($B148,'2017'!$A$5:$Q$1425,COUNTA(Upload!$E$3:P$3)+2,FALSE)</f>
        <v>0</v>
      </c>
      <c r="T148" s="161"/>
    </row>
    <row r="149" spans="1:20" s="118" customFormat="1" ht="10.5" customHeight="1">
      <c r="A149" s="207" t="s">
        <v>70</v>
      </c>
      <c r="B149" s="412" t="s">
        <v>856</v>
      </c>
      <c r="C149" s="208" t="str">
        <f>+Setup!$B$21</f>
        <v>WC-PropName</v>
      </c>
      <c r="D149" s="208"/>
      <c r="E149" s="209">
        <f>VLOOKUP($B149,'2017'!$A$5:$Q$1425,COUNTA(Upload!$E$3:E$3)+2,FALSE)</f>
        <v>0</v>
      </c>
      <c r="F149" s="209">
        <f>VLOOKUP($B149,'2017'!$A$5:$Q$1425,COUNTA(Upload!$E$3:F$3)+2,FALSE)</f>
        <v>0</v>
      </c>
      <c r="G149" s="209">
        <f>VLOOKUP($B149,'2017'!$A$5:$Q$1425,COUNTA(Upload!$E$3:G$3)+2,FALSE)</f>
        <v>0</v>
      </c>
      <c r="H149" s="209">
        <f>VLOOKUP($B149,'2017'!$A$5:$Q$1425,COUNTA(Upload!$E$3:H$3)+2,FALSE)</f>
        <v>0</v>
      </c>
      <c r="I149" s="209">
        <f>VLOOKUP($B149,'2017'!$A$5:$Q$1425,COUNTA(Upload!$E$3:I$3)+2,FALSE)</f>
        <v>0</v>
      </c>
      <c r="J149" s="209">
        <f>VLOOKUP($B149,'2017'!$A$5:$Q$1425,COUNTA(Upload!$E$3:J$3)+2,FALSE)</f>
        <v>0</v>
      </c>
      <c r="K149" s="209">
        <f>VLOOKUP($B149,'2017'!$A$5:$Q$1425,COUNTA(Upload!$E$3:K$3)+2,FALSE)</f>
        <v>0</v>
      </c>
      <c r="L149" s="209">
        <f>VLOOKUP($B149,'2017'!$A$5:$Q$1425,COUNTA(Upload!$E$3:L$3)+2,FALSE)</f>
        <v>0</v>
      </c>
      <c r="M149" s="209">
        <f>VLOOKUP($B149,'2017'!$A$5:$Q$1425,COUNTA(Upload!$E$3:M$3)+2,FALSE)</f>
        <v>0</v>
      </c>
      <c r="N149" s="209">
        <f>VLOOKUP($B149,'2017'!$A$5:$Q$1425,COUNTA(Upload!$E$3:N$3)+2,FALSE)</f>
        <v>0</v>
      </c>
      <c r="O149" s="209">
        <f>VLOOKUP($B149,'2017'!$A$5:$Q$1425,COUNTA(Upload!$E$3:O$3)+2,FALSE)</f>
        <v>0</v>
      </c>
      <c r="P149" s="209">
        <f>VLOOKUP($B149,'2017'!$A$5:$Q$1425,COUNTA(Upload!$E$3:P$3)+2,FALSE)</f>
        <v>0</v>
      </c>
      <c r="T149" s="161"/>
    </row>
    <row r="150" spans="1:20" s="118" customFormat="1" ht="10.5" customHeight="1">
      <c r="A150" s="207" t="s">
        <v>70</v>
      </c>
      <c r="B150" s="412" t="s">
        <v>857</v>
      </c>
      <c r="C150" s="208" t="str">
        <f>+Setup!$B$21</f>
        <v>WC-PropName</v>
      </c>
      <c r="D150" s="208"/>
      <c r="E150" s="209">
        <f>VLOOKUP($B150,'2017'!$A$5:$Q$1425,COUNTA(Upload!$E$3:E$3)+2,FALSE)</f>
        <v>0</v>
      </c>
      <c r="F150" s="209">
        <f>VLOOKUP($B150,'2017'!$A$5:$Q$1425,COUNTA(Upload!$E$3:F$3)+2,FALSE)</f>
        <v>0</v>
      </c>
      <c r="G150" s="209">
        <f>VLOOKUP($B150,'2017'!$A$5:$Q$1425,COUNTA(Upload!$E$3:G$3)+2,FALSE)</f>
        <v>0</v>
      </c>
      <c r="H150" s="209">
        <f>VLOOKUP($B150,'2017'!$A$5:$Q$1425,COUNTA(Upload!$E$3:H$3)+2,FALSE)</f>
        <v>0</v>
      </c>
      <c r="I150" s="209">
        <f>VLOOKUP($B150,'2017'!$A$5:$Q$1425,COUNTA(Upload!$E$3:I$3)+2,FALSE)</f>
        <v>0</v>
      </c>
      <c r="J150" s="209">
        <f>VLOOKUP($B150,'2017'!$A$5:$Q$1425,COUNTA(Upload!$E$3:J$3)+2,FALSE)</f>
        <v>0</v>
      </c>
      <c r="K150" s="209">
        <f>VLOOKUP($B150,'2017'!$A$5:$Q$1425,COUNTA(Upload!$E$3:K$3)+2,FALSE)</f>
        <v>0</v>
      </c>
      <c r="L150" s="209">
        <f>VLOOKUP($B150,'2017'!$A$5:$Q$1425,COUNTA(Upload!$E$3:L$3)+2,FALSE)</f>
        <v>0</v>
      </c>
      <c r="M150" s="209">
        <f>VLOOKUP($B150,'2017'!$A$5:$Q$1425,COUNTA(Upload!$E$3:M$3)+2,FALSE)</f>
        <v>0</v>
      </c>
      <c r="N150" s="209">
        <f>VLOOKUP($B150,'2017'!$A$5:$Q$1425,COUNTA(Upload!$E$3:N$3)+2,FALSE)</f>
        <v>0</v>
      </c>
      <c r="O150" s="209">
        <f>VLOOKUP($B150,'2017'!$A$5:$Q$1425,COUNTA(Upload!$E$3:O$3)+2,FALSE)</f>
        <v>0</v>
      </c>
      <c r="P150" s="209">
        <f>VLOOKUP($B150,'2017'!$A$5:$Q$1425,COUNTA(Upload!$E$3:P$3)+2,FALSE)</f>
        <v>0</v>
      </c>
      <c r="T150" s="161"/>
    </row>
    <row r="151" spans="1:20" s="118" customFormat="1" ht="10.5" customHeight="1">
      <c r="A151" s="207" t="s">
        <v>70</v>
      </c>
      <c r="B151" s="412" t="s">
        <v>859</v>
      </c>
      <c r="C151" s="208" t="str">
        <f>+Setup!$B$21</f>
        <v>WC-PropName</v>
      </c>
      <c r="D151" s="208"/>
      <c r="E151" s="209">
        <f>VLOOKUP($B151,'2017'!$A$5:$Q$1425,COUNTA(Upload!$E$3:E$3)+2,FALSE)</f>
        <v>55</v>
      </c>
      <c r="F151" s="209">
        <f>VLOOKUP($B151,'2017'!$A$5:$Q$1425,COUNTA(Upload!$E$3:F$3)+2,FALSE)</f>
        <v>55</v>
      </c>
      <c r="G151" s="209">
        <f>VLOOKUP($B151,'2017'!$A$5:$Q$1425,COUNTA(Upload!$E$3:G$3)+2,FALSE)</f>
        <v>55</v>
      </c>
      <c r="H151" s="209">
        <f>VLOOKUP($B151,'2017'!$A$5:$Q$1425,COUNTA(Upload!$E$3:H$3)+2,FALSE)</f>
        <v>55</v>
      </c>
      <c r="I151" s="209">
        <f>VLOOKUP($B151,'2017'!$A$5:$Q$1425,COUNTA(Upload!$E$3:I$3)+2,FALSE)</f>
        <v>55</v>
      </c>
      <c r="J151" s="209">
        <f>VLOOKUP($B151,'2017'!$A$5:$Q$1425,COUNTA(Upload!$E$3:J$3)+2,FALSE)</f>
        <v>55</v>
      </c>
      <c r="K151" s="209">
        <f>VLOOKUP($B151,'2017'!$A$5:$Q$1425,COUNTA(Upload!$E$3:K$3)+2,FALSE)</f>
        <v>55</v>
      </c>
      <c r="L151" s="209">
        <f>VLOOKUP($B151,'2017'!$A$5:$Q$1425,COUNTA(Upload!$E$3:L$3)+2,FALSE)</f>
        <v>55</v>
      </c>
      <c r="M151" s="209">
        <f>VLOOKUP($B151,'2017'!$A$5:$Q$1425,COUNTA(Upload!$E$3:M$3)+2,FALSE)</f>
        <v>55</v>
      </c>
      <c r="N151" s="209">
        <f>VLOOKUP($B151,'2017'!$A$5:$Q$1425,COUNTA(Upload!$E$3:N$3)+2,FALSE)</f>
        <v>55</v>
      </c>
      <c r="O151" s="209">
        <f>VLOOKUP($B151,'2017'!$A$5:$Q$1425,COUNTA(Upload!$E$3:O$3)+2,FALSE)</f>
        <v>55</v>
      </c>
      <c r="P151" s="209">
        <f>VLOOKUP($B151,'2017'!$A$5:$Q$1425,COUNTA(Upload!$E$3:P$3)+2,FALSE)</f>
        <v>55</v>
      </c>
      <c r="T151" s="161"/>
    </row>
    <row r="152" spans="1:20" s="118" customFormat="1" ht="10.5" customHeight="1">
      <c r="A152" s="207" t="s">
        <v>70</v>
      </c>
      <c r="B152" s="412" t="s">
        <v>861</v>
      </c>
      <c r="C152" s="208" t="str">
        <f>+Setup!$B$21</f>
        <v>WC-PropName</v>
      </c>
      <c r="D152" s="208"/>
      <c r="E152" s="209">
        <f>VLOOKUP($B152,'2017'!$A$5:$Q$1425,COUNTA(Upload!$E$3:E$3)+2,FALSE)</f>
        <v>0</v>
      </c>
      <c r="F152" s="209">
        <f>VLOOKUP($B152,'2017'!$A$5:$Q$1425,COUNTA(Upload!$E$3:F$3)+2,FALSE)</f>
        <v>0</v>
      </c>
      <c r="G152" s="209">
        <f>VLOOKUP($B152,'2017'!$A$5:$Q$1425,COUNTA(Upload!$E$3:G$3)+2,FALSE)</f>
        <v>0</v>
      </c>
      <c r="H152" s="209">
        <f>VLOOKUP($B152,'2017'!$A$5:$Q$1425,COUNTA(Upload!$E$3:H$3)+2,FALSE)</f>
        <v>0</v>
      </c>
      <c r="I152" s="209">
        <f>VLOOKUP($B152,'2017'!$A$5:$Q$1425,COUNTA(Upload!$E$3:I$3)+2,FALSE)</f>
        <v>0</v>
      </c>
      <c r="J152" s="209">
        <f>VLOOKUP($B152,'2017'!$A$5:$Q$1425,COUNTA(Upload!$E$3:J$3)+2,FALSE)</f>
        <v>0</v>
      </c>
      <c r="K152" s="209">
        <f>VLOOKUP($B152,'2017'!$A$5:$Q$1425,COUNTA(Upload!$E$3:K$3)+2,FALSE)</f>
        <v>0</v>
      </c>
      <c r="L152" s="209">
        <f>VLOOKUP($B152,'2017'!$A$5:$Q$1425,COUNTA(Upload!$E$3:L$3)+2,FALSE)</f>
        <v>0</v>
      </c>
      <c r="M152" s="209">
        <f>VLOOKUP($B152,'2017'!$A$5:$Q$1425,COUNTA(Upload!$E$3:M$3)+2,FALSE)</f>
        <v>0</v>
      </c>
      <c r="N152" s="209">
        <f>VLOOKUP($B152,'2017'!$A$5:$Q$1425,COUNTA(Upload!$E$3:N$3)+2,FALSE)</f>
        <v>0</v>
      </c>
      <c r="O152" s="209">
        <f>VLOOKUP($B152,'2017'!$A$5:$Q$1425,COUNTA(Upload!$E$3:O$3)+2,FALSE)</f>
        <v>0</v>
      </c>
      <c r="P152" s="209">
        <f>VLOOKUP($B152,'2017'!$A$5:$Q$1425,COUNTA(Upload!$E$3:P$3)+2,FALSE)</f>
        <v>0</v>
      </c>
      <c r="T152" s="161"/>
    </row>
    <row r="153" spans="1:20" s="118" customFormat="1" ht="10.5" customHeight="1">
      <c r="A153" s="207" t="s">
        <v>70</v>
      </c>
      <c r="B153" s="412" t="s">
        <v>863</v>
      </c>
      <c r="C153" s="208" t="str">
        <f>+Setup!$B$21</f>
        <v>WC-PropName</v>
      </c>
      <c r="D153" s="208"/>
      <c r="E153" s="209">
        <f>VLOOKUP($B153,'2017'!$A$5:$Q$1425,COUNTA(Upload!$E$3:E$3)+2,FALSE)</f>
        <v>200</v>
      </c>
      <c r="F153" s="209">
        <f>VLOOKUP($B153,'2017'!$A$5:$Q$1425,COUNTA(Upload!$E$3:F$3)+2,FALSE)</f>
        <v>200</v>
      </c>
      <c r="G153" s="209">
        <f>VLOOKUP($B153,'2017'!$A$5:$Q$1425,COUNTA(Upload!$E$3:G$3)+2,FALSE)</f>
        <v>200</v>
      </c>
      <c r="H153" s="209">
        <f>VLOOKUP($B153,'2017'!$A$5:$Q$1425,COUNTA(Upload!$E$3:H$3)+2,FALSE)</f>
        <v>200</v>
      </c>
      <c r="I153" s="209">
        <f>VLOOKUP($B153,'2017'!$A$5:$Q$1425,COUNTA(Upload!$E$3:I$3)+2,FALSE)</f>
        <v>200</v>
      </c>
      <c r="J153" s="209">
        <f>VLOOKUP($B153,'2017'!$A$5:$Q$1425,COUNTA(Upload!$E$3:J$3)+2,FALSE)</f>
        <v>200</v>
      </c>
      <c r="K153" s="209">
        <f>VLOOKUP($B153,'2017'!$A$5:$Q$1425,COUNTA(Upload!$E$3:K$3)+2,FALSE)</f>
        <v>200</v>
      </c>
      <c r="L153" s="209">
        <f>VLOOKUP($B153,'2017'!$A$5:$Q$1425,COUNTA(Upload!$E$3:L$3)+2,FALSE)</f>
        <v>200</v>
      </c>
      <c r="M153" s="209">
        <f>VLOOKUP($B153,'2017'!$A$5:$Q$1425,COUNTA(Upload!$E$3:M$3)+2,FALSE)</f>
        <v>200</v>
      </c>
      <c r="N153" s="209">
        <f>VLOOKUP($B153,'2017'!$A$5:$Q$1425,COUNTA(Upload!$E$3:N$3)+2,FALSE)</f>
        <v>200</v>
      </c>
      <c r="O153" s="209">
        <f>VLOOKUP($B153,'2017'!$A$5:$Q$1425,COUNTA(Upload!$E$3:O$3)+2,FALSE)</f>
        <v>200</v>
      </c>
      <c r="P153" s="209">
        <f>VLOOKUP($B153,'2017'!$A$5:$Q$1425,COUNTA(Upload!$E$3:P$3)+2,FALSE)</f>
        <v>200</v>
      </c>
      <c r="T153" s="161"/>
    </row>
    <row r="154" spans="1:20" s="118" customFormat="1" ht="10.5" customHeight="1">
      <c r="A154" s="207" t="s">
        <v>70</v>
      </c>
      <c r="B154" s="412" t="s">
        <v>865</v>
      </c>
      <c r="C154" s="208" t="str">
        <f>+Setup!$B$21</f>
        <v>WC-PropName</v>
      </c>
      <c r="D154" s="208"/>
      <c r="E154" s="209">
        <f>VLOOKUP($B154,'2017'!$A$5:$Q$1425,COUNTA(Upload!$E$3:E$3)+2,FALSE)</f>
        <v>0</v>
      </c>
      <c r="F154" s="209">
        <f>VLOOKUP($B154,'2017'!$A$5:$Q$1425,COUNTA(Upload!$E$3:F$3)+2,FALSE)</f>
        <v>0</v>
      </c>
      <c r="G154" s="209">
        <f>VLOOKUP($B154,'2017'!$A$5:$Q$1425,COUNTA(Upload!$E$3:G$3)+2,FALSE)</f>
        <v>0</v>
      </c>
      <c r="H154" s="209">
        <f>VLOOKUP($B154,'2017'!$A$5:$Q$1425,COUNTA(Upload!$E$3:H$3)+2,FALSE)</f>
        <v>0</v>
      </c>
      <c r="I154" s="209">
        <f>VLOOKUP($B154,'2017'!$A$5:$Q$1425,COUNTA(Upload!$E$3:I$3)+2,FALSE)</f>
        <v>0</v>
      </c>
      <c r="J154" s="209">
        <f>VLOOKUP($B154,'2017'!$A$5:$Q$1425,COUNTA(Upload!$E$3:J$3)+2,FALSE)</f>
        <v>0</v>
      </c>
      <c r="K154" s="209">
        <f>VLOOKUP($B154,'2017'!$A$5:$Q$1425,COUNTA(Upload!$E$3:K$3)+2,FALSE)</f>
        <v>0</v>
      </c>
      <c r="L154" s="209">
        <f>VLOOKUP($B154,'2017'!$A$5:$Q$1425,COUNTA(Upload!$E$3:L$3)+2,FALSE)</f>
        <v>0</v>
      </c>
      <c r="M154" s="209">
        <f>VLOOKUP($B154,'2017'!$A$5:$Q$1425,COUNTA(Upload!$E$3:M$3)+2,FALSE)</f>
        <v>0</v>
      </c>
      <c r="N154" s="209">
        <f>VLOOKUP($B154,'2017'!$A$5:$Q$1425,COUNTA(Upload!$E$3:N$3)+2,FALSE)</f>
        <v>0</v>
      </c>
      <c r="O154" s="209">
        <f>VLOOKUP($B154,'2017'!$A$5:$Q$1425,COUNTA(Upload!$E$3:O$3)+2,FALSE)</f>
        <v>0</v>
      </c>
      <c r="P154" s="209">
        <f>VLOOKUP($B154,'2017'!$A$5:$Q$1425,COUNTA(Upload!$E$3:P$3)+2,FALSE)</f>
        <v>0</v>
      </c>
      <c r="T154" s="161"/>
    </row>
    <row r="155" spans="1:20" s="118" customFormat="1" ht="10.5" customHeight="1">
      <c r="A155" s="207" t="s">
        <v>70</v>
      </c>
      <c r="B155" s="412" t="s">
        <v>866</v>
      </c>
      <c r="C155" s="208" t="str">
        <f>+Setup!$B$21</f>
        <v>WC-PropName</v>
      </c>
      <c r="D155" s="208"/>
      <c r="E155" s="209">
        <f>VLOOKUP($B155,'2017'!$A$5:$Q$1425,COUNTA(Upload!$E$3:E$3)+2,FALSE)</f>
        <v>119.25</v>
      </c>
      <c r="F155" s="209">
        <f>VLOOKUP($B155,'2017'!$A$5:$Q$1425,COUNTA(Upload!$E$3:F$3)+2,FALSE)</f>
        <v>119.25</v>
      </c>
      <c r="G155" s="209">
        <f>VLOOKUP($B155,'2017'!$A$5:$Q$1425,COUNTA(Upload!$E$3:G$3)+2,FALSE)</f>
        <v>119.25</v>
      </c>
      <c r="H155" s="209">
        <f>VLOOKUP($B155,'2017'!$A$5:$Q$1425,COUNTA(Upload!$E$3:H$3)+2,FALSE)</f>
        <v>119.25</v>
      </c>
      <c r="I155" s="209">
        <f>VLOOKUP($B155,'2017'!$A$5:$Q$1425,COUNTA(Upload!$E$3:I$3)+2,FALSE)</f>
        <v>119.25</v>
      </c>
      <c r="J155" s="209">
        <f>VLOOKUP($B155,'2017'!$A$5:$Q$1425,COUNTA(Upload!$E$3:J$3)+2,FALSE)</f>
        <v>119.25</v>
      </c>
      <c r="K155" s="209">
        <f>VLOOKUP($B155,'2017'!$A$5:$Q$1425,COUNTA(Upload!$E$3:K$3)+2,FALSE)</f>
        <v>119.25</v>
      </c>
      <c r="L155" s="209">
        <f>VLOOKUP($B155,'2017'!$A$5:$Q$1425,COUNTA(Upload!$E$3:L$3)+2,FALSE)</f>
        <v>119.25</v>
      </c>
      <c r="M155" s="209">
        <f>VLOOKUP($B155,'2017'!$A$5:$Q$1425,COUNTA(Upload!$E$3:M$3)+2,FALSE)</f>
        <v>119.25</v>
      </c>
      <c r="N155" s="209">
        <f>VLOOKUP($B155,'2017'!$A$5:$Q$1425,COUNTA(Upload!$E$3:N$3)+2,FALSE)</f>
        <v>119.25</v>
      </c>
      <c r="O155" s="209">
        <f>VLOOKUP($B155,'2017'!$A$5:$Q$1425,COUNTA(Upload!$E$3:O$3)+2,FALSE)</f>
        <v>119.25</v>
      </c>
      <c r="P155" s="209">
        <f>VLOOKUP($B155,'2017'!$A$5:$Q$1425,COUNTA(Upload!$E$3:P$3)+2,FALSE)</f>
        <v>119.25</v>
      </c>
      <c r="T155" s="161"/>
    </row>
    <row r="156" spans="1:20" s="118" customFormat="1" ht="10.5" customHeight="1">
      <c r="A156" s="207" t="s">
        <v>70</v>
      </c>
      <c r="B156" s="412" t="s">
        <v>868</v>
      </c>
      <c r="C156" s="208" t="str">
        <f>+Setup!$B$21</f>
        <v>WC-PropName</v>
      </c>
      <c r="D156" s="208"/>
      <c r="E156" s="209">
        <f>VLOOKUP($B156,'2017'!$A$5:$Q$1425,COUNTA(Upload!$E$3:E$3)+2,FALSE)</f>
        <v>0</v>
      </c>
      <c r="F156" s="209">
        <f>VLOOKUP($B156,'2017'!$A$5:$Q$1425,COUNTA(Upload!$E$3:F$3)+2,FALSE)</f>
        <v>0</v>
      </c>
      <c r="G156" s="209">
        <f>VLOOKUP($B156,'2017'!$A$5:$Q$1425,COUNTA(Upload!$E$3:G$3)+2,FALSE)</f>
        <v>0</v>
      </c>
      <c r="H156" s="209">
        <f>VLOOKUP($B156,'2017'!$A$5:$Q$1425,COUNTA(Upload!$E$3:H$3)+2,FALSE)</f>
        <v>0</v>
      </c>
      <c r="I156" s="209">
        <f>VLOOKUP($B156,'2017'!$A$5:$Q$1425,COUNTA(Upload!$E$3:I$3)+2,FALSE)</f>
        <v>0</v>
      </c>
      <c r="J156" s="209">
        <f>VLOOKUP($B156,'2017'!$A$5:$Q$1425,COUNTA(Upload!$E$3:J$3)+2,FALSE)</f>
        <v>0</v>
      </c>
      <c r="K156" s="209">
        <f>VLOOKUP($B156,'2017'!$A$5:$Q$1425,COUNTA(Upload!$E$3:K$3)+2,FALSE)</f>
        <v>0</v>
      </c>
      <c r="L156" s="209">
        <f>VLOOKUP($B156,'2017'!$A$5:$Q$1425,COUNTA(Upload!$E$3:L$3)+2,FALSE)</f>
        <v>0</v>
      </c>
      <c r="M156" s="209">
        <f>VLOOKUP($B156,'2017'!$A$5:$Q$1425,COUNTA(Upload!$E$3:M$3)+2,FALSE)</f>
        <v>0</v>
      </c>
      <c r="N156" s="209">
        <f>VLOOKUP($B156,'2017'!$A$5:$Q$1425,COUNTA(Upload!$E$3:N$3)+2,FALSE)</f>
        <v>0</v>
      </c>
      <c r="O156" s="209">
        <f>VLOOKUP($B156,'2017'!$A$5:$Q$1425,COUNTA(Upload!$E$3:O$3)+2,FALSE)</f>
        <v>0</v>
      </c>
      <c r="P156" s="209">
        <f>VLOOKUP($B156,'2017'!$A$5:$Q$1425,COUNTA(Upload!$E$3:P$3)+2,FALSE)</f>
        <v>0</v>
      </c>
      <c r="T156" s="161"/>
    </row>
    <row r="157" spans="1:20" s="118" customFormat="1" ht="10.5" customHeight="1">
      <c r="A157" s="207" t="s">
        <v>70</v>
      </c>
      <c r="B157" s="412" t="s">
        <v>869</v>
      </c>
      <c r="C157" s="208" t="str">
        <f>+Setup!$B$21</f>
        <v>WC-PropName</v>
      </c>
      <c r="D157" s="208"/>
      <c r="E157" s="209">
        <f>VLOOKUP($B157,'2017'!$A$5:$Q$1425,COUNTA(Upload!$E$3:E$3)+2,FALSE)</f>
        <v>0</v>
      </c>
      <c r="F157" s="209">
        <f>VLOOKUP($B157,'2017'!$A$5:$Q$1425,COUNTA(Upload!$E$3:F$3)+2,FALSE)</f>
        <v>0</v>
      </c>
      <c r="G157" s="209">
        <f>VLOOKUP($B157,'2017'!$A$5:$Q$1425,COUNTA(Upload!$E$3:G$3)+2,FALSE)</f>
        <v>0</v>
      </c>
      <c r="H157" s="209">
        <f>VLOOKUP($B157,'2017'!$A$5:$Q$1425,COUNTA(Upload!$E$3:H$3)+2,FALSE)</f>
        <v>0</v>
      </c>
      <c r="I157" s="209">
        <f>VLOOKUP($B157,'2017'!$A$5:$Q$1425,COUNTA(Upload!$E$3:I$3)+2,FALSE)</f>
        <v>0</v>
      </c>
      <c r="J157" s="209">
        <f>VLOOKUP($B157,'2017'!$A$5:$Q$1425,COUNTA(Upload!$E$3:J$3)+2,FALSE)</f>
        <v>0</v>
      </c>
      <c r="K157" s="209">
        <f>VLOOKUP($B157,'2017'!$A$5:$Q$1425,COUNTA(Upload!$E$3:K$3)+2,FALSE)</f>
        <v>0</v>
      </c>
      <c r="L157" s="209">
        <f>VLOOKUP($B157,'2017'!$A$5:$Q$1425,COUNTA(Upload!$E$3:L$3)+2,FALSE)</f>
        <v>0</v>
      </c>
      <c r="M157" s="209">
        <f>VLOOKUP($B157,'2017'!$A$5:$Q$1425,COUNTA(Upload!$E$3:M$3)+2,FALSE)</f>
        <v>0</v>
      </c>
      <c r="N157" s="209">
        <f>VLOOKUP($B157,'2017'!$A$5:$Q$1425,COUNTA(Upload!$E$3:N$3)+2,FALSE)</f>
        <v>0</v>
      </c>
      <c r="O157" s="209">
        <f>VLOOKUP($B157,'2017'!$A$5:$Q$1425,COUNTA(Upload!$E$3:O$3)+2,FALSE)</f>
        <v>0</v>
      </c>
      <c r="P157" s="209">
        <f>VLOOKUP($B157,'2017'!$A$5:$Q$1425,COUNTA(Upload!$E$3:P$3)+2,FALSE)</f>
        <v>0</v>
      </c>
      <c r="T157" s="161"/>
    </row>
    <row r="158" spans="1:20" s="118" customFormat="1" ht="10.5" customHeight="1">
      <c r="A158" s="207" t="s">
        <v>70</v>
      </c>
      <c r="B158" s="412" t="s">
        <v>870</v>
      </c>
      <c r="C158" s="208" t="str">
        <f>+Setup!$B$21</f>
        <v>WC-PropName</v>
      </c>
      <c r="D158" s="208"/>
      <c r="E158" s="209">
        <f>VLOOKUP($B158,'2017'!$A$5:$Q$1425,COUNTA(Upload!$E$3:E$3)+2,FALSE)</f>
        <v>0</v>
      </c>
      <c r="F158" s="209">
        <f>VLOOKUP($B158,'2017'!$A$5:$Q$1425,COUNTA(Upload!$E$3:F$3)+2,FALSE)</f>
        <v>0</v>
      </c>
      <c r="G158" s="209">
        <f>VLOOKUP($B158,'2017'!$A$5:$Q$1425,COUNTA(Upload!$E$3:G$3)+2,FALSE)</f>
        <v>0</v>
      </c>
      <c r="H158" s="209">
        <f>VLOOKUP($B158,'2017'!$A$5:$Q$1425,COUNTA(Upload!$E$3:H$3)+2,FALSE)</f>
        <v>0</v>
      </c>
      <c r="I158" s="209">
        <f>VLOOKUP($B158,'2017'!$A$5:$Q$1425,COUNTA(Upload!$E$3:I$3)+2,FALSE)</f>
        <v>0</v>
      </c>
      <c r="J158" s="209">
        <f>VLOOKUP($B158,'2017'!$A$5:$Q$1425,COUNTA(Upload!$E$3:J$3)+2,FALSE)</f>
        <v>0</v>
      </c>
      <c r="K158" s="209">
        <f>VLOOKUP($B158,'2017'!$A$5:$Q$1425,COUNTA(Upload!$E$3:K$3)+2,FALSE)</f>
        <v>0</v>
      </c>
      <c r="L158" s="209">
        <f>VLOOKUP($B158,'2017'!$A$5:$Q$1425,COUNTA(Upload!$E$3:L$3)+2,FALSE)</f>
        <v>0</v>
      </c>
      <c r="M158" s="209">
        <f>VLOOKUP($B158,'2017'!$A$5:$Q$1425,COUNTA(Upload!$E$3:M$3)+2,FALSE)</f>
        <v>0</v>
      </c>
      <c r="N158" s="209">
        <f>VLOOKUP($B158,'2017'!$A$5:$Q$1425,COUNTA(Upload!$E$3:N$3)+2,FALSE)</f>
        <v>0</v>
      </c>
      <c r="O158" s="209">
        <f>VLOOKUP($B158,'2017'!$A$5:$Q$1425,COUNTA(Upload!$E$3:O$3)+2,FALSE)</f>
        <v>0</v>
      </c>
      <c r="P158" s="209">
        <f>VLOOKUP($B158,'2017'!$A$5:$Q$1425,COUNTA(Upload!$E$3:P$3)+2,FALSE)</f>
        <v>0</v>
      </c>
      <c r="T158" s="161"/>
    </row>
    <row r="159" spans="1:20" s="118" customFormat="1" ht="10.5" customHeight="1">
      <c r="A159" s="207" t="s">
        <v>70</v>
      </c>
      <c r="B159" s="412" t="s">
        <v>871</v>
      </c>
      <c r="C159" s="208" t="str">
        <f>+Setup!$B$21</f>
        <v>WC-PropName</v>
      </c>
      <c r="D159" s="208"/>
      <c r="E159" s="209">
        <f>VLOOKUP($B159,'2017'!$A$5:$Q$1425,COUNTA(Upload!$E$3:E$3)+2,FALSE)</f>
        <v>0</v>
      </c>
      <c r="F159" s="209">
        <f>VLOOKUP($B159,'2017'!$A$5:$Q$1425,COUNTA(Upload!$E$3:F$3)+2,FALSE)</f>
        <v>0</v>
      </c>
      <c r="G159" s="209">
        <f>VLOOKUP($B159,'2017'!$A$5:$Q$1425,COUNTA(Upload!$E$3:G$3)+2,FALSE)</f>
        <v>0</v>
      </c>
      <c r="H159" s="209">
        <f>VLOOKUP($B159,'2017'!$A$5:$Q$1425,COUNTA(Upload!$E$3:H$3)+2,FALSE)</f>
        <v>0</v>
      </c>
      <c r="I159" s="209">
        <f>VLOOKUP($B159,'2017'!$A$5:$Q$1425,COUNTA(Upload!$E$3:I$3)+2,FALSE)</f>
        <v>0</v>
      </c>
      <c r="J159" s="209">
        <f>VLOOKUP($B159,'2017'!$A$5:$Q$1425,COUNTA(Upload!$E$3:J$3)+2,FALSE)</f>
        <v>0</v>
      </c>
      <c r="K159" s="209">
        <f>VLOOKUP($B159,'2017'!$A$5:$Q$1425,COUNTA(Upload!$E$3:K$3)+2,FALSE)</f>
        <v>0</v>
      </c>
      <c r="L159" s="209">
        <f>VLOOKUP($B159,'2017'!$A$5:$Q$1425,COUNTA(Upload!$E$3:L$3)+2,FALSE)</f>
        <v>0</v>
      </c>
      <c r="M159" s="209">
        <f>VLOOKUP($B159,'2017'!$A$5:$Q$1425,COUNTA(Upload!$E$3:M$3)+2,FALSE)</f>
        <v>0</v>
      </c>
      <c r="N159" s="209">
        <f>VLOOKUP($B159,'2017'!$A$5:$Q$1425,COUNTA(Upload!$E$3:N$3)+2,FALSE)</f>
        <v>0</v>
      </c>
      <c r="O159" s="209">
        <f>VLOOKUP($B159,'2017'!$A$5:$Q$1425,COUNTA(Upload!$E$3:O$3)+2,FALSE)</f>
        <v>0</v>
      </c>
      <c r="P159" s="209">
        <f>VLOOKUP($B159,'2017'!$A$5:$Q$1425,COUNTA(Upload!$E$3:P$3)+2,FALSE)</f>
        <v>0</v>
      </c>
      <c r="T159" s="161"/>
    </row>
    <row r="160" spans="1:20" s="118" customFormat="1" ht="10.5" customHeight="1">
      <c r="A160" s="207" t="s">
        <v>70</v>
      </c>
      <c r="B160" s="412" t="s">
        <v>872</v>
      </c>
      <c r="C160" s="208" t="str">
        <f>+Setup!$B$21</f>
        <v>WC-PropName</v>
      </c>
      <c r="D160" s="208"/>
      <c r="E160" s="209">
        <f>VLOOKUP($B160,'2017'!$A$5:$Q$1425,COUNTA(Upload!$E$3:E$3)+2,FALSE)</f>
        <v>134.83333333333334</v>
      </c>
      <c r="F160" s="209">
        <f>VLOOKUP($B160,'2017'!$A$5:$Q$1425,COUNTA(Upload!$E$3:F$3)+2,FALSE)</f>
        <v>134.83333333333334</v>
      </c>
      <c r="G160" s="209">
        <f>VLOOKUP($B160,'2017'!$A$5:$Q$1425,COUNTA(Upload!$E$3:G$3)+2,FALSE)</f>
        <v>134.83333333333334</v>
      </c>
      <c r="H160" s="209">
        <f>VLOOKUP($B160,'2017'!$A$5:$Q$1425,COUNTA(Upload!$E$3:H$3)+2,FALSE)</f>
        <v>134.83333333333334</v>
      </c>
      <c r="I160" s="209">
        <f>VLOOKUP($B160,'2017'!$A$5:$Q$1425,COUNTA(Upload!$E$3:I$3)+2,FALSE)</f>
        <v>134.83333333333334</v>
      </c>
      <c r="J160" s="209">
        <f>VLOOKUP($B160,'2017'!$A$5:$Q$1425,COUNTA(Upload!$E$3:J$3)+2,FALSE)</f>
        <v>134.83333333333334</v>
      </c>
      <c r="K160" s="209">
        <f>VLOOKUP($B160,'2017'!$A$5:$Q$1425,COUNTA(Upload!$E$3:K$3)+2,FALSE)</f>
        <v>134.83333333333334</v>
      </c>
      <c r="L160" s="209">
        <f>VLOOKUP($B160,'2017'!$A$5:$Q$1425,COUNTA(Upload!$E$3:L$3)+2,FALSE)</f>
        <v>134.83333333333334</v>
      </c>
      <c r="M160" s="209">
        <f>VLOOKUP($B160,'2017'!$A$5:$Q$1425,COUNTA(Upload!$E$3:M$3)+2,FALSE)</f>
        <v>134.83333333333334</v>
      </c>
      <c r="N160" s="209">
        <f>VLOOKUP($B160,'2017'!$A$5:$Q$1425,COUNTA(Upload!$E$3:N$3)+2,FALSE)</f>
        <v>134.83333333333334</v>
      </c>
      <c r="O160" s="209">
        <f>VLOOKUP($B160,'2017'!$A$5:$Q$1425,COUNTA(Upload!$E$3:O$3)+2,FALSE)</f>
        <v>134.83333333333334</v>
      </c>
      <c r="P160" s="209">
        <f>VLOOKUP($B160,'2017'!$A$5:$Q$1425,COUNTA(Upload!$E$3:P$3)+2,FALSE)</f>
        <v>134.83333333333334</v>
      </c>
      <c r="T160" s="161"/>
    </row>
    <row r="161" spans="1:20" s="118" customFormat="1" ht="10.5" customHeight="1">
      <c r="A161" s="207" t="s">
        <v>70</v>
      </c>
      <c r="B161" s="412" t="s">
        <v>874</v>
      </c>
      <c r="C161" s="208" t="str">
        <f>+Setup!$B$21</f>
        <v>WC-PropName</v>
      </c>
      <c r="D161" s="208"/>
      <c r="E161" s="209">
        <f>VLOOKUP($B161,'2017'!$A$5:$Q$1425,COUNTA(Upload!$E$3:E$3)+2,FALSE)</f>
        <v>0</v>
      </c>
      <c r="F161" s="209">
        <f>VLOOKUP($B161,'2017'!$A$5:$Q$1425,COUNTA(Upload!$E$3:F$3)+2,FALSE)</f>
        <v>0</v>
      </c>
      <c r="G161" s="209">
        <f>VLOOKUP($B161,'2017'!$A$5:$Q$1425,COUNTA(Upload!$E$3:G$3)+2,FALSE)</f>
        <v>0</v>
      </c>
      <c r="H161" s="209">
        <f>VLOOKUP($B161,'2017'!$A$5:$Q$1425,COUNTA(Upload!$E$3:H$3)+2,FALSE)</f>
        <v>0</v>
      </c>
      <c r="I161" s="209">
        <f>VLOOKUP($B161,'2017'!$A$5:$Q$1425,COUNTA(Upload!$E$3:I$3)+2,FALSE)</f>
        <v>0</v>
      </c>
      <c r="J161" s="209">
        <f>VLOOKUP($B161,'2017'!$A$5:$Q$1425,COUNTA(Upload!$E$3:J$3)+2,FALSE)</f>
        <v>0</v>
      </c>
      <c r="K161" s="209">
        <f>VLOOKUP($B161,'2017'!$A$5:$Q$1425,COUNTA(Upload!$E$3:K$3)+2,FALSE)</f>
        <v>0</v>
      </c>
      <c r="L161" s="209">
        <f>VLOOKUP($B161,'2017'!$A$5:$Q$1425,COUNTA(Upload!$E$3:L$3)+2,FALSE)</f>
        <v>0</v>
      </c>
      <c r="M161" s="209">
        <f>VLOOKUP($B161,'2017'!$A$5:$Q$1425,COUNTA(Upload!$E$3:M$3)+2,FALSE)</f>
        <v>0</v>
      </c>
      <c r="N161" s="209">
        <f>VLOOKUP($B161,'2017'!$A$5:$Q$1425,COUNTA(Upload!$E$3:N$3)+2,FALSE)</f>
        <v>0</v>
      </c>
      <c r="O161" s="209">
        <f>VLOOKUP($B161,'2017'!$A$5:$Q$1425,COUNTA(Upload!$E$3:O$3)+2,FALSE)</f>
        <v>0</v>
      </c>
      <c r="P161" s="209">
        <f>VLOOKUP($B161,'2017'!$A$5:$Q$1425,COUNTA(Upload!$E$3:P$3)+2,FALSE)</f>
        <v>0</v>
      </c>
      <c r="T161" s="161"/>
    </row>
    <row r="162" spans="1:20" s="118" customFormat="1" ht="10.5" customHeight="1">
      <c r="A162" s="207" t="s">
        <v>70</v>
      </c>
      <c r="B162" s="412" t="s">
        <v>875</v>
      </c>
      <c r="C162" s="208" t="str">
        <f>+Setup!$B$21</f>
        <v>WC-PropName</v>
      </c>
      <c r="D162" s="208"/>
      <c r="E162" s="209">
        <f>VLOOKUP($B162,'2017'!$A$5:$Q$1425,COUNTA(Upload!$E$3:E$3)+2,FALSE)</f>
        <v>0</v>
      </c>
      <c r="F162" s="209">
        <f>VLOOKUP($B162,'2017'!$A$5:$Q$1425,COUNTA(Upload!$E$3:F$3)+2,FALSE)</f>
        <v>0</v>
      </c>
      <c r="G162" s="209">
        <f>VLOOKUP($B162,'2017'!$A$5:$Q$1425,COUNTA(Upload!$E$3:G$3)+2,FALSE)</f>
        <v>0</v>
      </c>
      <c r="H162" s="209">
        <f>VLOOKUP($B162,'2017'!$A$5:$Q$1425,COUNTA(Upload!$E$3:H$3)+2,FALSE)</f>
        <v>0</v>
      </c>
      <c r="I162" s="209">
        <f>VLOOKUP($B162,'2017'!$A$5:$Q$1425,COUNTA(Upload!$E$3:I$3)+2,FALSE)</f>
        <v>0</v>
      </c>
      <c r="J162" s="209">
        <f>VLOOKUP($B162,'2017'!$A$5:$Q$1425,COUNTA(Upload!$E$3:J$3)+2,FALSE)</f>
        <v>0</v>
      </c>
      <c r="K162" s="209">
        <f>VLOOKUP($B162,'2017'!$A$5:$Q$1425,COUNTA(Upload!$E$3:K$3)+2,FALSE)</f>
        <v>0</v>
      </c>
      <c r="L162" s="209">
        <f>VLOOKUP($B162,'2017'!$A$5:$Q$1425,COUNTA(Upload!$E$3:L$3)+2,FALSE)</f>
        <v>0</v>
      </c>
      <c r="M162" s="209">
        <f>VLOOKUP($B162,'2017'!$A$5:$Q$1425,COUNTA(Upload!$E$3:M$3)+2,FALSE)</f>
        <v>0</v>
      </c>
      <c r="N162" s="209">
        <f>VLOOKUP($B162,'2017'!$A$5:$Q$1425,COUNTA(Upload!$E$3:N$3)+2,FALSE)</f>
        <v>0</v>
      </c>
      <c r="O162" s="209">
        <f>VLOOKUP($B162,'2017'!$A$5:$Q$1425,COUNTA(Upload!$E$3:O$3)+2,FALSE)</f>
        <v>0</v>
      </c>
      <c r="P162" s="209">
        <f>VLOOKUP($B162,'2017'!$A$5:$Q$1425,COUNTA(Upload!$E$3:P$3)+2,FALSE)</f>
        <v>0</v>
      </c>
      <c r="T162" s="161"/>
    </row>
    <row r="163" spans="1:20" s="118" customFormat="1" ht="10.5" customHeight="1">
      <c r="A163" s="207" t="s">
        <v>70</v>
      </c>
      <c r="B163" s="412" t="s">
        <v>877</v>
      </c>
      <c r="C163" s="208" t="str">
        <f>+Setup!$B$21</f>
        <v>WC-PropName</v>
      </c>
      <c r="D163" s="208"/>
      <c r="E163" s="209">
        <f>VLOOKUP($B163,'2017'!$A$5:$Q$1425,COUNTA(Upload!$E$3:E$3)+2,FALSE)</f>
        <v>0</v>
      </c>
      <c r="F163" s="209">
        <f>VLOOKUP($B163,'2017'!$A$5:$Q$1425,COUNTA(Upload!$E$3:F$3)+2,FALSE)</f>
        <v>0</v>
      </c>
      <c r="G163" s="209">
        <f>VLOOKUP($B163,'2017'!$A$5:$Q$1425,COUNTA(Upload!$E$3:G$3)+2,FALSE)</f>
        <v>0</v>
      </c>
      <c r="H163" s="209">
        <f>VLOOKUP($B163,'2017'!$A$5:$Q$1425,COUNTA(Upload!$E$3:H$3)+2,FALSE)</f>
        <v>0</v>
      </c>
      <c r="I163" s="209">
        <f>VLOOKUP($B163,'2017'!$A$5:$Q$1425,COUNTA(Upload!$E$3:I$3)+2,FALSE)</f>
        <v>0</v>
      </c>
      <c r="J163" s="209">
        <f>VLOOKUP($B163,'2017'!$A$5:$Q$1425,COUNTA(Upload!$E$3:J$3)+2,FALSE)</f>
        <v>0</v>
      </c>
      <c r="K163" s="209">
        <f>VLOOKUP($B163,'2017'!$A$5:$Q$1425,COUNTA(Upload!$E$3:K$3)+2,FALSE)</f>
        <v>0</v>
      </c>
      <c r="L163" s="209">
        <f>VLOOKUP($B163,'2017'!$A$5:$Q$1425,COUNTA(Upload!$E$3:L$3)+2,FALSE)</f>
        <v>0</v>
      </c>
      <c r="M163" s="209">
        <f>VLOOKUP($B163,'2017'!$A$5:$Q$1425,COUNTA(Upload!$E$3:M$3)+2,FALSE)</f>
        <v>0</v>
      </c>
      <c r="N163" s="209">
        <f>VLOOKUP($B163,'2017'!$A$5:$Q$1425,COUNTA(Upload!$E$3:N$3)+2,FALSE)</f>
        <v>0</v>
      </c>
      <c r="O163" s="209">
        <f>VLOOKUP($B163,'2017'!$A$5:$Q$1425,COUNTA(Upload!$E$3:O$3)+2,FALSE)</f>
        <v>0</v>
      </c>
      <c r="P163" s="209">
        <f>VLOOKUP($B163,'2017'!$A$5:$Q$1425,COUNTA(Upload!$E$3:P$3)+2,FALSE)</f>
        <v>0</v>
      </c>
      <c r="T163" s="161"/>
    </row>
    <row r="164" spans="1:20" s="118" customFormat="1" ht="10.5" customHeight="1">
      <c r="A164" s="207" t="s">
        <v>70</v>
      </c>
      <c r="B164" s="412" t="s">
        <v>879</v>
      </c>
      <c r="C164" s="208" t="str">
        <f>+Setup!$B$21</f>
        <v>WC-PropName</v>
      </c>
      <c r="D164" s="208"/>
      <c r="E164" s="209">
        <f>VLOOKUP($B164,'2017'!$A$5:$Q$1425,COUNTA(Upload!$E$3:E$3)+2,FALSE)</f>
        <v>50</v>
      </c>
      <c r="F164" s="209">
        <f>VLOOKUP($B164,'2017'!$A$5:$Q$1425,COUNTA(Upload!$E$3:F$3)+2,FALSE)</f>
        <v>50</v>
      </c>
      <c r="G164" s="209">
        <f>VLOOKUP($B164,'2017'!$A$5:$Q$1425,COUNTA(Upload!$E$3:G$3)+2,FALSE)</f>
        <v>50</v>
      </c>
      <c r="H164" s="209">
        <f>VLOOKUP($B164,'2017'!$A$5:$Q$1425,COUNTA(Upload!$E$3:H$3)+2,FALSE)</f>
        <v>50</v>
      </c>
      <c r="I164" s="209">
        <f>VLOOKUP($B164,'2017'!$A$5:$Q$1425,COUNTA(Upload!$E$3:I$3)+2,FALSE)</f>
        <v>50</v>
      </c>
      <c r="J164" s="209">
        <f>VLOOKUP($B164,'2017'!$A$5:$Q$1425,COUNTA(Upload!$E$3:J$3)+2,FALSE)</f>
        <v>50</v>
      </c>
      <c r="K164" s="209">
        <f>VLOOKUP($B164,'2017'!$A$5:$Q$1425,COUNTA(Upload!$E$3:K$3)+2,FALSE)</f>
        <v>50</v>
      </c>
      <c r="L164" s="209">
        <f>VLOOKUP($B164,'2017'!$A$5:$Q$1425,COUNTA(Upload!$E$3:L$3)+2,FALSE)</f>
        <v>50</v>
      </c>
      <c r="M164" s="209">
        <f>VLOOKUP($B164,'2017'!$A$5:$Q$1425,COUNTA(Upload!$E$3:M$3)+2,FALSE)</f>
        <v>50</v>
      </c>
      <c r="N164" s="209">
        <f>VLOOKUP($B164,'2017'!$A$5:$Q$1425,COUNTA(Upload!$E$3:N$3)+2,FALSE)</f>
        <v>50</v>
      </c>
      <c r="O164" s="209">
        <f>VLOOKUP($B164,'2017'!$A$5:$Q$1425,COUNTA(Upload!$E$3:O$3)+2,FALSE)</f>
        <v>50</v>
      </c>
      <c r="P164" s="209">
        <f>VLOOKUP($B164,'2017'!$A$5:$Q$1425,COUNTA(Upload!$E$3:P$3)+2,FALSE)</f>
        <v>50</v>
      </c>
      <c r="T164" s="161"/>
    </row>
    <row r="165" spans="1:20" s="118" customFormat="1" ht="10.5" customHeight="1">
      <c r="A165" s="207" t="s">
        <v>70</v>
      </c>
      <c r="B165" s="412" t="s">
        <v>881</v>
      </c>
      <c r="C165" s="208" t="str">
        <f>+Setup!$B$21</f>
        <v>WC-PropName</v>
      </c>
      <c r="D165" s="208"/>
      <c r="E165" s="209">
        <f>VLOOKUP($B165,'2017'!$A$5:$Q$1425,COUNTA(Upload!$E$3:E$3)+2,FALSE)</f>
        <v>0</v>
      </c>
      <c r="F165" s="209">
        <f>VLOOKUP($B165,'2017'!$A$5:$Q$1425,COUNTA(Upload!$E$3:F$3)+2,FALSE)</f>
        <v>0</v>
      </c>
      <c r="G165" s="209">
        <f>VLOOKUP($B165,'2017'!$A$5:$Q$1425,COUNTA(Upload!$E$3:G$3)+2,FALSE)</f>
        <v>0</v>
      </c>
      <c r="H165" s="209">
        <f>VLOOKUP($B165,'2017'!$A$5:$Q$1425,COUNTA(Upload!$E$3:H$3)+2,FALSE)</f>
        <v>0</v>
      </c>
      <c r="I165" s="209">
        <f>VLOOKUP($B165,'2017'!$A$5:$Q$1425,COUNTA(Upload!$E$3:I$3)+2,FALSE)</f>
        <v>0</v>
      </c>
      <c r="J165" s="209">
        <f>VLOOKUP($B165,'2017'!$A$5:$Q$1425,COUNTA(Upload!$E$3:J$3)+2,FALSE)</f>
        <v>0</v>
      </c>
      <c r="K165" s="209">
        <f>VLOOKUP($B165,'2017'!$A$5:$Q$1425,COUNTA(Upload!$E$3:K$3)+2,FALSE)</f>
        <v>0</v>
      </c>
      <c r="L165" s="209">
        <f>VLOOKUP($B165,'2017'!$A$5:$Q$1425,COUNTA(Upload!$E$3:L$3)+2,FALSE)</f>
        <v>0</v>
      </c>
      <c r="M165" s="209">
        <f>VLOOKUP($B165,'2017'!$A$5:$Q$1425,COUNTA(Upload!$E$3:M$3)+2,FALSE)</f>
        <v>0</v>
      </c>
      <c r="N165" s="209">
        <f>VLOOKUP($B165,'2017'!$A$5:$Q$1425,COUNTA(Upload!$E$3:N$3)+2,FALSE)</f>
        <v>0</v>
      </c>
      <c r="O165" s="209">
        <f>VLOOKUP($B165,'2017'!$A$5:$Q$1425,COUNTA(Upload!$E$3:O$3)+2,FALSE)</f>
        <v>0</v>
      </c>
      <c r="P165" s="209">
        <f>VLOOKUP($B165,'2017'!$A$5:$Q$1425,COUNTA(Upload!$E$3:P$3)+2,FALSE)</f>
        <v>0</v>
      </c>
      <c r="T165" s="161"/>
    </row>
    <row r="166" spans="1:20" s="118" customFormat="1" ht="10.5" customHeight="1">
      <c r="A166" s="207" t="s">
        <v>70</v>
      </c>
      <c r="B166" s="412" t="s">
        <v>883</v>
      </c>
      <c r="C166" s="208" t="str">
        <f>+Setup!$B$21</f>
        <v>WC-PropName</v>
      </c>
      <c r="D166" s="208"/>
      <c r="E166" s="209">
        <f>VLOOKUP($B166,'2017'!$A$5:$Q$1425,COUNTA(Upload!$E$3:E$3)+2,FALSE)</f>
        <v>400</v>
      </c>
      <c r="F166" s="209">
        <f>VLOOKUP($B166,'2017'!$A$5:$Q$1425,COUNTA(Upload!$E$3:F$3)+2,FALSE)</f>
        <v>400</v>
      </c>
      <c r="G166" s="209">
        <f>VLOOKUP($B166,'2017'!$A$5:$Q$1425,COUNTA(Upload!$E$3:G$3)+2,FALSE)</f>
        <v>400</v>
      </c>
      <c r="H166" s="209">
        <f>VLOOKUP($B166,'2017'!$A$5:$Q$1425,COUNTA(Upload!$E$3:H$3)+2,FALSE)</f>
        <v>400</v>
      </c>
      <c r="I166" s="209">
        <f>VLOOKUP($B166,'2017'!$A$5:$Q$1425,COUNTA(Upload!$E$3:I$3)+2,FALSE)</f>
        <v>400</v>
      </c>
      <c r="J166" s="209">
        <f>VLOOKUP($B166,'2017'!$A$5:$Q$1425,COUNTA(Upload!$E$3:J$3)+2,FALSE)</f>
        <v>400</v>
      </c>
      <c r="K166" s="209">
        <f>VLOOKUP($B166,'2017'!$A$5:$Q$1425,COUNTA(Upload!$E$3:K$3)+2,FALSE)</f>
        <v>400</v>
      </c>
      <c r="L166" s="209">
        <f>VLOOKUP($B166,'2017'!$A$5:$Q$1425,COUNTA(Upload!$E$3:L$3)+2,FALSE)</f>
        <v>400</v>
      </c>
      <c r="M166" s="209">
        <f>VLOOKUP($B166,'2017'!$A$5:$Q$1425,COUNTA(Upload!$E$3:M$3)+2,FALSE)</f>
        <v>400</v>
      </c>
      <c r="N166" s="209">
        <f>VLOOKUP($B166,'2017'!$A$5:$Q$1425,COUNTA(Upload!$E$3:N$3)+2,FALSE)</f>
        <v>400</v>
      </c>
      <c r="O166" s="209">
        <f>VLOOKUP($B166,'2017'!$A$5:$Q$1425,COUNTA(Upload!$E$3:O$3)+2,FALSE)</f>
        <v>400</v>
      </c>
      <c r="P166" s="209">
        <f>VLOOKUP($B166,'2017'!$A$5:$Q$1425,COUNTA(Upload!$E$3:P$3)+2,FALSE)</f>
        <v>400</v>
      </c>
      <c r="T166" s="161"/>
    </row>
    <row r="167" spans="1:20" s="118" customFormat="1" ht="10.5" customHeight="1">
      <c r="A167" s="207" t="s">
        <v>70</v>
      </c>
      <c r="B167" s="412" t="s">
        <v>885</v>
      </c>
      <c r="C167" s="208" t="str">
        <f>+Setup!$B$21</f>
        <v>WC-PropName</v>
      </c>
      <c r="D167" s="208"/>
      <c r="E167" s="209">
        <f>VLOOKUP($B167,'2017'!$A$5:$Q$1425,COUNTA(Upload!$E$3:E$3)+2,FALSE)</f>
        <v>0</v>
      </c>
      <c r="F167" s="209">
        <f>VLOOKUP($B167,'2017'!$A$5:$Q$1425,COUNTA(Upload!$E$3:F$3)+2,FALSE)</f>
        <v>0</v>
      </c>
      <c r="G167" s="209">
        <f>VLOOKUP($B167,'2017'!$A$5:$Q$1425,COUNTA(Upload!$E$3:G$3)+2,FALSE)</f>
        <v>0</v>
      </c>
      <c r="H167" s="209">
        <f>VLOOKUP($B167,'2017'!$A$5:$Q$1425,COUNTA(Upload!$E$3:H$3)+2,FALSE)</f>
        <v>0</v>
      </c>
      <c r="I167" s="209">
        <f>VLOOKUP($B167,'2017'!$A$5:$Q$1425,COUNTA(Upload!$E$3:I$3)+2,FALSE)</f>
        <v>0</v>
      </c>
      <c r="J167" s="209">
        <f>VLOOKUP($B167,'2017'!$A$5:$Q$1425,COUNTA(Upload!$E$3:J$3)+2,FALSE)</f>
        <v>0</v>
      </c>
      <c r="K167" s="209">
        <f>VLOOKUP($B167,'2017'!$A$5:$Q$1425,COUNTA(Upload!$E$3:K$3)+2,FALSE)</f>
        <v>0</v>
      </c>
      <c r="L167" s="209">
        <f>VLOOKUP($B167,'2017'!$A$5:$Q$1425,COUNTA(Upload!$E$3:L$3)+2,FALSE)</f>
        <v>0</v>
      </c>
      <c r="M167" s="209">
        <f>VLOOKUP($B167,'2017'!$A$5:$Q$1425,COUNTA(Upload!$E$3:M$3)+2,FALSE)</f>
        <v>0</v>
      </c>
      <c r="N167" s="209">
        <f>VLOOKUP($B167,'2017'!$A$5:$Q$1425,COUNTA(Upload!$E$3:N$3)+2,FALSE)</f>
        <v>0</v>
      </c>
      <c r="O167" s="209">
        <f>VLOOKUP($B167,'2017'!$A$5:$Q$1425,COUNTA(Upload!$E$3:O$3)+2,FALSE)</f>
        <v>0</v>
      </c>
      <c r="P167" s="209">
        <f>VLOOKUP($B167,'2017'!$A$5:$Q$1425,COUNTA(Upload!$E$3:P$3)+2,FALSE)</f>
        <v>0</v>
      </c>
      <c r="T167" s="161"/>
    </row>
    <row r="168" spans="1:20" s="118" customFormat="1" ht="10.5" customHeight="1">
      <c r="A168" s="207" t="s">
        <v>70</v>
      </c>
      <c r="B168" s="412" t="s">
        <v>888</v>
      </c>
      <c r="C168" s="208" t="str">
        <f>+Setup!$B$21</f>
        <v>WC-PropName</v>
      </c>
      <c r="D168" s="208"/>
      <c r="E168" s="209">
        <f>VLOOKUP($B168,'2017'!$A$5:$Q$1425,COUNTA(Upload!$E$3:E$3)+2,FALSE)</f>
        <v>0</v>
      </c>
      <c r="F168" s="209">
        <f>VLOOKUP($B168,'2017'!$A$5:$Q$1425,COUNTA(Upload!$E$3:F$3)+2,FALSE)</f>
        <v>0</v>
      </c>
      <c r="G168" s="209">
        <f>VLOOKUP($B168,'2017'!$A$5:$Q$1425,COUNTA(Upload!$E$3:G$3)+2,FALSE)</f>
        <v>0</v>
      </c>
      <c r="H168" s="209">
        <f>VLOOKUP($B168,'2017'!$A$5:$Q$1425,COUNTA(Upload!$E$3:H$3)+2,FALSE)</f>
        <v>0</v>
      </c>
      <c r="I168" s="209">
        <f>VLOOKUP($B168,'2017'!$A$5:$Q$1425,COUNTA(Upload!$E$3:I$3)+2,FALSE)</f>
        <v>0</v>
      </c>
      <c r="J168" s="209">
        <f>VLOOKUP($B168,'2017'!$A$5:$Q$1425,COUNTA(Upload!$E$3:J$3)+2,FALSE)</f>
        <v>0</v>
      </c>
      <c r="K168" s="209">
        <f>VLOOKUP($B168,'2017'!$A$5:$Q$1425,COUNTA(Upload!$E$3:K$3)+2,FALSE)</f>
        <v>0</v>
      </c>
      <c r="L168" s="209">
        <f>VLOOKUP($B168,'2017'!$A$5:$Q$1425,COUNTA(Upload!$E$3:L$3)+2,FALSE)</f>
        <v>0</v>
      </c>
      <c r="M168" s="209">
        <f>VLOOKUP($B168,'2017'!$A$5:$Q$1425,COUNTA(Upload!$E$3:M$3)+2,FALSE)</f>
        <v>0</v>
      </c>
      <c r="N168" s="209">
        <f>VLOOKUP($B168,'2017'!$A$5:$Q$1425,COUNTA(Upload!$E$3:N$3)+2,FALSE)</f>
        <v>0</v>
      </c>
      <c r="O168" s="209">
        <f>VLOOKUP($B168,'2017'!$A$5:$Q$1425,COUNTA(Upload!$E$3:O$3)+2,FALSE)</f>
        <v>0</v>
      </c>
      <c r="P168" s="209">
        <f>VLOOKUP($B168,'2017'!$A$5:$Q$1425,COUNTA(Upload!$E$3:P$3)+2,FALSE)</f>
        <v>0</v>
      </c>
      <c r="T168" s="161"/>
    </row>
    <row r="169" spans="1:20" s="118" customFormat="1" ht="10.5" customHeight="1">
      <c r="A169" s="207" t="s">
        <v>70</v>
      </c>
      <c r="B169" s="412" t="s">
        <v>890</v>
      </c>
      <c r="C169" s="208" t="str">
        <f>+Setup!$B$21</f>
        <v>WC-PropName</v>
      </c>
      <c r="D169" s="208"/>
      <c r="E169" s="209">
        <f>VLOOKUP($B169,'2017'!$A$5:$Q$1425,COUNTA(Upload!$E$3:E$3)+2,FALSE)</f>
        <v>0</v>
      </c>
      <c r="F169" s="209">
        <f>VLOOKUP($B169,'2017'!$A$5:$Q$1425,COUNTA(Upload!$E$3:F$3)+2,FALSE)</f>
        <v>0</v>
      </c>
      <c r="G169" s="209">
        <f>VLOOKUP($B169,'2017'!$A$5:$Q$1425,COUNTA(Upload!$E$3:G$3)+2,FALSE)</f>
        <v>0</v>
      </c>
      <c r="H169" s="209">
        <f>VLOOKUP($B169,'2017'!$A$5:$Q$1425,COUNTA(Upload!$E$3:H$3)+2,FALSE)</f>
        <v>0</v>
      </c>
      <c r="I169" s="209">
        <f>VLOOKUP($B169,'2017'!$A$5:$Q$1425,COUNTA(Upload!$E$3:I$3)+2,FALSE)</f>
        <v>0</v>
      </c>
      <c r="J169" s="209">
        <f>VLOOKUP($B169,'2017'!$A$5:$Q$1425,COUNTA(Upload!$E$3:J$3)+2,FALSE)</f>
        <v>0</v>
      </c>
      <c r="K169" s="209">
        <f>VLOOKUP($B169,'2017'!$A$5:$Q$1425,COUNTA(Upload!$E$3:K$3)+2,FALSE)</f>
        <v>0</v>
      </c>
      <c r="L169" s="209">
        <f>VLOOKUP($B169,'2017'!$A$5:$Q$1425,COUNTA(Upload!$E$3:L$3)+2,FALSE)</f>
        <v>0</v>
      </c>
      <c r="M169" s="209">
        <f>VLOOKUP($B169,'2017'!$A$5:$Q$1425,COUNTA(Upload!$E$3:M$3)+2,FALSE)</f>
        <v>0</v>
      </c>
      <c r="N169" s="209">
        <f>VLOOKUP($B169,'2017'!$A$5:$Q$1425,COUNTA(Upload!$E$3:N$3)+2,FALSE)</f>
        <v>0</v>
      </c>
      <c r="O169" s="209">
        <f>VLOOKUP($B169,'2017'!$A$5:$Q$1425,COUNTA(Upload!$E$3:O$3)+2,FALSE)</f>
        <v>0</v>
      </c>
      <c r="P169" s="209">
        <f>VLOOKUP($B169,'2017'!$A$5:$Q$1425,COUNTA(Upload!$E$3:P$3)+2,FALSE)</f>
        <v>0</v>
      </c>
      <c r="T169" s="161"/>
    </row>
    <row r="170" spans="1:20" s="118" customFormat="1" ht="10.5" customHeight="1">
      <c r="A170" s="207" t="s">
        <v>70</v>
      </c>
      <c r="B170" s="412" t="s">
        <v>891</v>
      </c>
      <c r="C170" s="208" t="str">
        <f>+Setup!$B$21</f>
        <v>WC-PropName</v>
      </c>
      <c r="D170" s="208"/>
      <c r="E170" s="209">
        <f>VLOOKUP($B170,'2017'!$A$5:$Q$1425,COUNTA(Upload!$E$3:E$3)+2,FALSE)</f>
        <v>0</v>
      </c>
      <c r="F170" s="209">
        <f>VLOOKUP($B170,'2017'!$A$5:$Q$1425,COUNTA(Upload!$E$3:F$3)+2,FALSE)</f>
        <v>0</v>
      </c>
      <c r="G170" s="209">
        <f>VLOOKUP($B170,'2017'!$A$5:$Q$1425,COUNTA(Upload!$E$3:G$3)+2,FALSE)</f>
        <v>0</v>
      </c>
      <c r="H170" s="209">
        <f>VLOOKUP($B170,'2017'!$A$5:$Q$1425,COUNTA(Upload!$E$3:H$3)+2,FALSE)</f>
        <v>0</v>
      </c>
      <c r="I170" s="209">
        <f>VLOOKUP($B170,'2017'!$A$5:$Q$1425,COUNTA(Upload!$E$3:I$3)+2,FALSE)</f>
        <v>0</v>
      </c>
      <c r="J170" s="209">
        <f>VLOOKUP($B170,'2017'!$A$5:$Q$1425,COUNTA(Upload!$E$3:J$3)+2,FALSE)</f>
        <v>0</v>
      </c>
      <c r="K170" s="209">
        <f>VLOOKUP($B170,'2017'!$A$5:$Q$1425,COUNTA(Upload!$E$3:K$3)+2,FALSE)</f>
        <v>0</v>
      </c>
      <c r="L170" s="209">
        <f>VLOOKUP($B170,'2017'!$A$5:$Q$1425,COUNTA(Upload!$E$3:L$3)+2,FALSE)</f>
        <v>0</v>
      </c>
      <c r="M170" s="209">
        <f>VLOOKUP($B170,'2017'!$A$5:$Q$1425,COUNTA(Upload!$E$3:M$3)+2,FALSE)</f>
        <v>0</v>
      </c>
      <c r="N170" s="209">
        <f>VLOOKUP($B170,'2017'!$A$5:$Q$1425,COUNTA(Upload!$E$3:N$3)+2,FALSE)</f>
        <v>0</v>
      </c>
      <c r="O170" s="209">
        <f>VLOOKUP($B170,'2017'!$A$5:$Q$1425,COUNTA(Upload!$E$3:O$3)+2,FALSE)</f>
        <v>0</v>
      </c>
      <c r="P170" s="209">
        <f>VLOOKUP($B170,'2017'!$A$5:$Q$1425,COUNTA(Upload!$E$3:P$3)+2,FALSE)</f>
        <v>0</v>
      </c>
      <c r="T170" s="161"/>
    </row>
    <row r="171" spans="1:20" s="118" customFormat="1" ht="10.5" customHeight="1">
      <c r="A171" s="207" t="s">
        <v>70</v>
      </c>
      <c r="B171" s="412" t="s">
        <v>892</v>
      </c>
      <c r="C171" s="208" t="str">
        <f>+Setup!$B$21</f>
        <v>WC-PropName</v>
      </c>
      <c r="D171" s="208"/>
      <c r="E171" s="209">
        <f>VLOOKUP($B171,'2017'!$A$5:$Q$1425,COUNTA(Upload!$E$3:E$3)+2,FALSE)</f>
        <v>0</v>
      </c>
      <c r="F171" s="209">
        <f>VLOOKUP($B171,'2017'!$A$5:$Q$1425,COUNTA(Upload!$E$3:F$3)+2,FALSE)</f>
        <v>0</v>
      </c>
      <c r="G171" s="209">
        <f>VLOOKUP($B171,'2017'!$A$5:$Q$1425,COUNTA(Upload!$E$3:G$3)+2,FALSE)</f>
        <v>0</v>
      </c>
      <c r="H171" s="209">
        <f>VLOOKUP($B171,'2017'!$A$5:$Q$1425,COUNTA(Upload!$E$3:H$3)+2,FALSE)</f>
        <v>0</v>
      </c>
      <c r="I171" s="209">
        <f>VLOOKUP($B171,'2017'!$A$5:$Q$1425,COUNTA(Upload!$E$3:I$3)+2,FALSE)</f>
        <v>0</v>
      </c>
      <c r="J171" s="209">
        <f>VLOOKUP($B171,'2017'!$A$5:$Q$1425,COUNTA(Upload!$E$3:J$3)+2,FALSE)</f>
        <v>0</v>
      </c>
      <c r="K171" s="209">
        <f>VLOOKUP($B171,'2017'!$A$5:$Q$1425,COUNTA(Upload!$E$3:K$3)+2,FALSE)</f>
        <v>0</v>
      </c>
      <c r="L171" s="209">
        <f>VLOOKUP($B171,'2017'!$A$5:$Q$1425,COUNTA(Upload!$E$3:L$3)+2,FALSE)</f>
        <v>0</v>
      </c>
      <c r="M171" s="209">
        <f>VLOOKUP($B171,'2017'!$A$5:$Q$1425,COUNTA(Upload!$E$3:M$3)+2,FALSE)</f>
        <v>0</v>
      </c>
      <c r="N171" s="209">
        <f>VLOOKUP($B171,'2017'!$A$5:$Q$1425,COUNTA(Upload!$E$3:N$3)+2,FALSE)</f>
        <v>0</v>
      </c>
      <c r="O171" s="209">
        <f>VLOOKUP($B171,'2017'!$A$5:$Q$1425,COUNTA(Upload!$E$3:O$3)+2,FALSE)</f>
        <v>0</v>
      </c>
      <c r="P171" s="209">
        <f>VLOOKUP($B171,'2017'!$A$5:$Q$1425,COUNTA(Upload!$E$3:P$3)+2,FALSE)</f>
        <v>0</v>
      </c>
      <c r="T171" s="161"/>
    </row>
    <row r="172" spans="1:20" s="118" customFormat="1" ht="10.5" customHeight="1">
      <c r="A172" s="207" t="s">
        <v>70</v>
      </c>
      <c r="B172" s="412" t="s">
        <v>893</v>
      </c>
      <c r="C172" s="208" t="str">
        <f>+Setup!$B$21</f>
        <v>WC-PropName</v>
      </c>
      <c r="D172" s="208"/>
      <c r="E172" s="209">
        <f>VLOOKUP($B172,'2017'!$A$5:$Q$1425,COUNTA(Upload!$E$3:E$3)+2,FALSE)</f>
        <v>111.58333333333333</v>
      </c>
      <c r="F172" s="209">
        <f>VLOOKUP($B172,'2017'!$A$5:$Q$1425,COUNTA(Upload!$E$3:F$3)+2,FALSE)</f>
        <v>111.58333333333333</v>
      </c>
      <c r="G172" s="209">
        <f>VLOOKUP($B172,'2017'!$A$5:$Q$1425,COUNTA(Upload!$E$3:G$3)+2,FALSE)</f>
        <v>111.58333333333333</v>
      </c>
      <c r="H172" s="209">
        <f>VLOOKUP($B172,'2017'!$A$5:$Q$1425,COUNTA(Upload!$E$3:H$3)+2,FALSE)</f>
        <v>111.58333333333333</v>
      </c>
      <c r="I172" s="209">
        <f>VLOOKUP($B172,'2017'!$A$5:$Q$1425,COUNTA(Upload!$E$3:I$3)+2,FALSE)</f>
        <v>111.58333333333333</v>
      </c>
      <c r="J172" s="209">
        <f>VLOOKUP($B172,'2017'!$A$5:$Q$1425,COUNTA(Upload!$E$3:J$3)+2,FALSE)</f>
        <v>111.58333333333333</v>
      </c>
      <c r="K172" s="209">
        <f>VLOOKUP($B172,'2017'!$A$5:$Q$1425,COUNTA(Upload!$E$3:K$3)+2,FALSE)</f>
        <v>111.58333333333333</v>
      </c>
      <c r="L172" s="209">
        <f>VLOOKUP($B172,'2017'!$A$5:$Q$1425,COUNTA(Upload!$E$3:L$3)+2,FALSE)</f>
        <v>111.58333333333333</v>
      </c>
      <c r="M172" s="209">
        <f>VLOOKUP($B172,'2017'!$A$5:$Q$1425,COUNTA(Upload!$E$3:M$3)+2,FALSE)</f>
        <v>111.58333333333333</v>
      </c>
      <c r="N172" s="209">
        <f>VLOOKUP($B172,'2017'!$A$5:$Q$1425,COUNTA(Upload!$E$3:N$3)+2,FALSE)</f>
        <v>111.58333333333333</v>
      </c>
      <c r="O172" s="209">
        <f>VLOOKUP($B172,'2017'!$A$5:$Q$1425,COUNTA(Upload!$E$3:O$3)+2,FALSE)</f>
        <v>111.58333333333333</v>
      </c>
      <c r="P172" s="209">
        <f>VLOOKUP($B172,'2017'!$A$5:$Q$1425,COUNTA(Upload!$E$3:P$3)+2,FALSE)</f>
        <v>111.58333333333333</v>
      </c>
      <c r="T172" s="161"/>
    </row>
    <row r="173" spans="1:20" s="118" customFormat="1" ht="10.5" customHeight="1">
      <c r="A173" s="207" t="s">
        <v>70</v>
      </c>
      <c r="B173" s="412" t="s">
        <v>895</v>
      </c>
      <c r="C173" s="208" t="str">
        <f>+Setup!$B$21</f>
        <v>WC-PropName</v>
      </c>
      <c r="D173" s="208"/>
      <c r="E173" s="209">
        <f>VLOOKUP($B173,'2017'!$A$5:$Q$1425,COUNTA(Upload!$E$3:E$3)+2,FALSE)</f>
        <v>0</v>
      </c>
      <c r="F173" s="209">
        <f>VLOOKUP($B173,'2017'!$A$5:$Q$1425,COUNTA(Upload!$E$3:F$3)+2,FALSE)</f>
        <v>0</v>
      </c>
      <c r="G173" s="209">
        <f>VLOOKUP($B173,'2017'!$A$5:$Q$1425,COUNTA(Upload!$E$3:G$3)+2,FALSE)</f>
        <v>0</v>
      </c>
      <c r="H173" s="209">
        <f>VLOOKUP($B173,'2017'!$A$5:$Q$1425,COUNTA(Upload!$E$3:H$3)+2,FALSE)</f>
        <v>0</v>
      </c>
      <c r="I173" s="209">
        <f>VLOOKUP($B173,'2017'!$A$5:$Q$1425,COUNTA(Upload!$E$3:I$3)+2,FALSE)</f>
        <v>0</v>
      </c>
      <c r="J173" s="209">
        <f>VLOOKUP($B173,'2017'!$A$5:$Q$1425,COUNTA(Upload!$E$3:J$3)+2,FALSE)</f>
        <v>0</v>
      </c>
      <c r="K173" s="209">
        <f>VLOOKUP($B173,'2017'!$A$5:$Q$1425,COUNTA(Upload!$E$3:K$3)+2,FALSE)</f>
        <v>0</v>
      </c>
      <c r="L173" s="209">
        <f>VLOOKUP($B173,'2017'!$A$5:$Q$1425,COUNTA(Upload!$E$3:L$3)+2,FALSE)</f>
        <v>0</v>
      </c>
      <c r="M173" s="209">
        <f>VLOOKUP($B173,'2017'!$A$5:$Q$1425,COUNTA(Upload!$E$3:M$3)+2,FALSE)</f>
        <v>0</v>
      </c>
      <c r="N173" s="209">
        <f>VLOOKUP($B173,'2017'!$A$5:$Q$1425,COUNTA(Upload!$E$3:N$3)+2,FALSE)</f>
        <v>0</v>
      </c>
      <c r="O173" s="209">
        <f>VLOOKUP($B173,'2017'!$A$5:$Q$1425,COUNTA(Upload!$E$3:O$3)+2,FALSE)</f>
        <v>0</v>
      </c>
      <c r="P173" s="209">
        <f>VLOOKUP($B173,'2017'!$A$5:$Q$1425,COUNTA(Upload!$E$3:P$3)+2,FALSE)</f>
        <v>0</v>
      </c>
      <c r="T173" s="161"/>
    </row>
    <row r="174" spans="1:20" s="118" customFormat="1" ht="10.5" customHeight="1">
      <c r="A174" s="207" t="s">
        <v>70</v>
      </c>
      <c r="B174" s="412" t="s">
        <v>897</v>
      </c>
      <c r="C174" s="208" t="str">
        <f>+Setup!$B$21</f>
        <v>WC-PropName</v>
      </c>
      <c r="D174" s="208"/>
      <c r="E174" s="209">
        <f>VLOOKUP($B174,'2017'!$A$5:$Q$1425,COUNTA(Upload!$E$3:E$3)+2,FALSE)</f>
        <v>0</v>
      </c>
      <c r="F174" s="209">
        <f>VLOOKUP($B174,'2017'!$A$5:$Q$1425,COUNTA(Upload!$E$3:F$3)+2,FALSE)</f>
        <v>0</v>
      </c>
      <c r="G174" s="209">
        <f>VLOOKUP($B174,'2017'!$A$5:$Q$1425,COUNTA(Upload!$E$3:G$3)+2,FALSE)</f>
        <v>0</v>
      </c>
      <c r="H174" s="209">
        <f>VLOOKUP($B174,'2017'!$A$5:$Q$1425,COUNTA(Upload!$E$3:H$3)+2,FALSE)</f>
        <v>0</v>
      </c>
      <c r="I174" s="209">
        <f>VLOOKUP($B174,'2017'!$A$5:$Q$1425,COUNTA(Upload!$E$3:I$3)+2,FALSE)</f>
        <v>0</v>
      </c>
      <c r="J174" s="209">
        <f>VLOOKUP($B174,'2017'!$A$5:$Q$1425,COUNTA(Upload!$E$3:J$3)+2,FALSE)</f>
        <v>0</v>
      </c>
      <c r="K174" s="209">
        <f>VLOOKUP($B174,'2017'!$A$5:$Q$1425,COUNTA(Upload!$E$3:K$3)+2,FALSE)</f>
        <v>0</v>
      </c>
      <c r="L174" s="209">
        <f>VLOOKUP($B174,'2017'!$A$5:$Q$1425,COUNTA(Upload!$E$3:L$3)+2,FALSE)</f>
        <v>0</v>
      </c>
      <c r="M174" s="209">
        <f>VLOOKUP($B174,'2017'!$A$5:$Q$1425,COUNTA(Upload!$E$3:M$3)+2,FALSE)</f>
        <v>0</v>
      </c>
      <c r="N174" s="209">
        <f>VLOOKUP($B174,'2017'!$A$5:$Q$1425,COUNTA(Upload!$E$3:N$3)+2,FALSE)</f>
        <v>0</v>
      </c>
      <c r="O174" s="209">
        <f>VLOOKUP($B174,'2017'!$A$5:$Q$1425,COUNTA(Upload!$E$3:O$3)+2,FALSE)</f>
        <v>0</v>
      </c>
      <c r="P174" s="209">
        <f>VLOOKUP($B174,'2017'!$A$5:$Q$1425,COUNTA(Upload!$E$3:P$3)+2,FALSE)</f>
        <v>0</v>
      </c>
      <c r="T174" s="161"/>
    </row>
    <row r="175" spans="1:20" s="118" customFormat="1" ht="10.5" customHeight="1">
      <c r="A175" s="207" t="s">
        <v>70</v>
      </c>
      <c r="B175" s="412" t="s">
        <v>899</v>
      </c>
      <c r="C175" s="208" t="str">
        <f>+Setup!$B$21</f>
        <v>WC-PropName</v>
      </c>
      <c r="D175" s="208"/>
      <c r="E175" s="209">
        <f>VLOOKUP($B175,'2017'!$A$5:$Q$1425,COUNTA(Upload!$E$3:E$3)+2,FALSE)</f>
        <v>0</v>
      </c>
      <c r="F175" s="209">
        <f>VLOOKUP($B175,'2017'!$A$5:$Q$1425,COUNTA(Upload!$E$3:F$3)+2,FALSE)</f>
        <v>0</v>
      </c>
      <c r="G175" s="209">
        <f>VLOOKUP($B175,'2017'!$A$5:$Q$1425,COUNTA(Upload!$E$3:G$3)+2,FALSE)</f>
        <v>0</v>
      </c>
      <c r="H175" s="209">
        <f>VLOOKUP($B175,'2017'!$A$5:$Q$1425,COUNTA(Upload!$E$3:H$3)+2,FALSE)</f>
        <v>0</v>
      </c>
      <c r="I175" s="209">
        <f>VLOOKUP($B175,'2017'!$A$5:$Q$1425,COUNTA(Upload!$E$3:I$3)+2,FALSE)</f>
        <v>0</v>
      </c>
      <c r="J175" s="209">
        <f>VLOOKUP($B175,'2017'!$A$5:$Q$1425,COUNTA(Upload!$E$3:J$3)+2,FALSE)</f>
        <v>0</v>
      </c>
      <c r="K175" s="209">
        <f>VLOOKUP($B175,'2017'!$A$5:$Q$1425,COUNTA(Upload!$E$3:K$3)+2,FALSE)</f>
        <v>0</v>
      </c>
      <c r="L175" s="209">
        <f>VLOOKUP($B175,'2017'!$A$5:$Q$1425,COUNTA(Upload!$E$3:L$3)+2,FALSE)</f>
        <v>0</v>
      </c>
      <c r="M175" s="209">
        <f>VLOOKUP($B175,'2017'!$A$5:$Q$1425,COUNTA(Upload!$E$3:M$3)+2,FALSE)</f>
        <v>0</v>
      </c>
      <c r="N175" s="209">
        <f>VLOOKUP($B175,'2017'!$A$5:$Q$1425,COUNTA(Upload!$E$3:N$3)+2,FALSE)</f>
        <v>0</v>
      </c>
      <c r="O175" s="209">
        <f>VLOOKUP($B175,'2017'!$A$5:$Q$1425,COUNTA(Upload!$E$3:O$3)+2,FALSE)</f>
        <v>0</v>
      </c>
      <c r="P175" s="209">
        <f>VLOOKUP($B175,'2017'!$A$5:$Q$1425,COUNTA(Upload!$E$3:P$3)+2,FALSE)</f>
        <v>0</v>
      </c>
      <c r="T175" s="161"/>
    </row>
    <row r="176" spans="1:20" s="118" customFormat="1" ht="10.5" customHeight="1">
      <c r="A176" s="207" t="s">
        <v>70</v>
      </c>
      <c r="B176" s="412" t="s">
        <v>903</v>
      </c>
      <c r="C176" s="208" t="str">
        <f>+Setup!$B$21</f>
        <v>WC-PropName</v>
      </c>
      <c r="D176" s="208"/>
      <c r="E176" s="209">
        <f>VLOOKUP($B176,'2017'!$A$5:$Q$1425,COUNTA(Upload!$E$3:E$3)+2,FALSE)</f>
        <v>4440</v>
      </c>
      <c r="F176" s="209">
        <f>VLOOKUP($B176,'2017'!$A$5:$Q$1425,COUNTA(Upload!$E$3:F$3)+2,FALSE)</f>
        <v>4440</v>
      </c>
      <c r="G176" s="209">
        <f>VLOOKUP($B176,'2017'!$A$5:$Q$1425,COUNTA(Upload!$E$3:G$3)+2,FALSE)</f>
        <v>4440</v>
      </c>
      <c r="H176" s="209">
        <f>VLOOKUP($B176,'2017'!$A$5:$Q$1425,COUNTA(Upload!$E$3:H$3)+2,FALSE)</f>
        <v>4440</v>
      </c>
      <c r="I176" s="209">
        <f>VLOOKUP($B176,'2017'!$A$5:$Q$1425,COUNTA(Upload!$E$3:I$3)+2,FALSE)</f>
        <v>4440</v>
      </c>
      <c r="J176" s="209">
        <f>VLOOKUP($B176,'2017'!$A$5:$Q$1425,COUNTA(Upload!$E$3:J$3)+2,FALSE)</f>
        <v>4440</v>
      </c>
      <c r="K176" s="209">
        <f>VLOOKUP($B176,'2017'!$A$5:$Q$1425,COUNTA(Upload!$E$3:K$3)+2,FALSE)</f>
        <v>4440</v>
      </c>
      <c r="L176" s="209">
        <f>VLOOKUP($B176,'2017'!$A$5:$Q$1425,COUNTA(Upload!$E$3:L$3)+2,FALSE)</f>
        <v>4440</v>
      </c>
      <c r="M176" s="209">
        <f>VLOOKUP($B176,'2017'!$A$5:$Q$1425,COUNTA(Upload!$E$3:M$3)+2,FALSE)</f>
        <v>4440</v>
      </c>
      <c r="N176" s="209">
        <f>VLOOKUP($B176,'2017'!$A$5:$Q$1425,COUNTA(Upload!$E$3:N$3)+2,FALSE)</f>
        <v>4440</v>
      </c>
      <c r="O176" s="209">
        <f>VLOOKUP($B176,'2017'!$A$5:$Q$1425,COUNTA(Upload!$E$3:O$3)+2,FALSE)</f>
        <v>4440</v>
      </c>
      <c r="P176" s="209">
        <f>VLOOKUP($B176,'2017'!$A$5:$Q$1425,COUNTA(Upload!$E$3:P$3)+2,FALSE)</f>
        <v>4440</v>
      </c>
      <c r="T176" s="161"/>
    </row>
    <row r="177" spans="1:20" s="118" customFormat="1" ht="10.5" customHeight="1">
      <c r="A177" s="207" t="s">
        <v>70</v>
      </c>
      <c r="B177" s="412" t="s">
        <v>905</v>
      </c>
      <c r="C177" s="208" t="str">
        <f>+Setup!$B$21</f>
        <v>WC-PropName</v>
      </c>
      <c r="D177" s="208"/>
      <c r="E177" s="209">
        <f>VLOOKUP($B177,'2017'!$A$5:$Q$1425,COUNTA(Upload!$E$3:E$3)+2,FALSE)</f>
        <v>0</v>
      </c>
      <c r="F177" s="209">
        <f>VLOOKUP($B177,'2017'!$A$5:$Q$1425,COUNTA(Upload!$E$3:F$3)+2,FALSE)</f>
        <v>0</v>
      </c>
      <c r="G177" s="209">
        <f>VLOOKUP($B177,'2017'!$A$5:$Q$1425,COUNTA(Upload!$E$3:G$3)+2,FALSE)</f>
        <v>0</v>
      </c>
      <c r="H177" s="209">
        <f>VLOOKUP($B177,'2017'!$A$5:$Q$1425,COUNTA(Upload!$E$3:H$3)+2,FALSE)</f>
        <v>0</v>
      </c>
      <c r="I177" s="209">
        <f>VLOOKUP($B177,'2017'!$A$5:$Q$1425,COUNTA(Upload!$E$3:I$3)+2,FALSE)</f>
        <v>0</v>
      </c>
      <c r="J177" s="209">
        <f>VLOOKUP($B177,'2017'!$A$5:$Q$1425,COUNTA(Upload!$E$3:J$3)+2,FALSE)</f>
        <v>0</v>
      </c>
      <c r="K177" s="209">
        <f>VLOOKUP($B177,'2017'!$A$5:$Q$1425,COUNTA(Upload!$E$3:K$3)+2,FALSE)</f>
        <v>0</v>
      </c>
      <c r="L177" s="209">
        <f>VLOOKUP($B177,'2017'!$A$5:$Q$1425,COUNTA(Upload!$E$3:L$3)+2,FALSE)</f>
        <v>0</v>
      </c>
      <c r="M177" s="209">
        <f>VLOOKUP($B177,'2017'!$A$5:$Q$1425,COUNTA(Upload!$E$3:M$3)+2,FALSE)</f>
        <v>0</v>
      </c>
      <c r="N177" s="209">
        <f>VLOOKUP($B177,'2017'!$A$5:$Q$1425,COUNTA(Upload!$E$3:N$3)+2,FALSE)</f>
        <v>0</v>
      </c>
      <c r="O177" s="209">
        <f>VLOOKUP($B177,'2017'!$A$5:$Q$1425,COUNTA(Upload!$E$3:O$3)+2,FALSE)</f>
        <v>0</v>
      </c>
      <c r="P177" s="209">
        <f>VLOOKUP($B177,'2017'!$A$5:$Q$1425,COUNTA(Upload!$E$3:P$3)+2,FALSE)</f>
        <v>0</v>
      </c>
      <c r="T177" s="161"/>
    </row>
    <row r="178" spans="1:20" s="118" customFormat="1" ht="10.5" customHeight="1">
      <c r="A178" s="207" t="s">
        <v>70</v>
      </c>
      <c r="B178" s="412" t="s">
        <v>906</v>
      </c>
      <c r="C178" s="208" t="str">
        <f>+Setup!$B$21</f>
        <v>WC-PropName</v>
      </c>
      <c r="D178" s="208"/>
      <c r="E178" s="209">
        <f>VLOOKUP($B178,'2017'!$A$5:$Q$1425,COUNTA(Upload!$E$3:E$3)+2,FALSE)</f>
        <v>2660</v>
      </c>
      <c r="F178" s="209">
        <f>VLOOKUP($B178,'2017'!$A$5:$Q$1425,COUNTA(Upload!$E$3:F$3)+2,FALSE)</f>
        <v>2660</v>
      </c>
      <c r="G178" s="209">
        <f>VLOOKUP($B178,'2017'!$A$5:$Q$1425,COUNTA(Upload!$E$3:G$3)+2,FALSE)</f>
        <v>2660</v>
      </c>
      <c r="H178" s="209">
        <f>VLOOKUP($B178,'2017'!$A$5:$Q$1425,COUNTA(Upload!$E$3:H$3)+2,FALSE)</f>
        <v>2660</v>
      </c>
      <c r="I178" s="209">
        <f>VLOOKUP($B178,'2017'!$A$5:$Q$1425,COUNTA(Upload!$E$3:I$3)+2,FALSE)</f>
        <v>2660</v>
      </c>
      <c r="J178" s="209">
        <f>VLOOKUP($B178,'2017'!$A$5:$Q$1425,COUNTA(Upload!$E$3:J$3)+2,FALSE)</f>
        <v>2660</v>
      </c>
      <c r="K178" s="209">
        <f>VLOOKUP($B178,'2017'!$A$5:$Q$1425,COUNTA(Upload!$E$3:K$3)+2,FALSE)</f>
        <v>2660</v>
      </c>
      <c r="L178" s="209">
        <f>VLOOKUP($B178,'2017'!$A$5:$Q$1425,COUNTA(Upload!$E$3:L$3)+2,FALSE)</f>
        <v>2660</v>
      </c>
      <c r="M178" s="209">
        <f>VLOOKUP($B178,'2017'!$A$5:$Q$1425,COUNTA(Upload!$E$3:M$3)+2,FALSE)</f>
        <v>2660</v>
      </c>
      <c r="N178" s="209">
        <f>VLOOKUP($B178,'2017'!$A$5:$Q$1425,COUNTA(Upload!$E$3:N$3)+2,FALSE)</f>
        <v>2660</v>
      </c>
      <c r="O178" s="209">
        <f>VLOOKUP($B178,'2017'!$A$5:$Q$1425,COUNTA(Upload!$E$3:O$3)+2,FALSE)</f>
        <v>2660</v>
      </c>
      <c r="P178" s="209">
        <f>VLOOKUP($B178,'2017'!$A$5:$Q$1425,COUNTA(Upload!$E$3:P$3)+2,FALSE)</f>
        <v>2660</v>
      </c>
      <c r="T178" s="161"/>
    </row>
    <row r="179" spans="1:20" s="118" customFormat="1" ht="10.5" customHeight="1">
      <c r="A179" s="207" t="s">
        <v>70</v>
      </c>
      <c r="B179" s="412" t="s">
        <v>908</v>
      </c>
      <c r="C179" s="208" t="str">
        <f>+Setup!$B$21</f>
        <v>WC-PropName</v>
      </c>
      <c r="D179" s="208"/>
      <c r="E179" s="209">
        <f>VLOOKUP($B179,'2017'!$A$5:$Q$1425,COUNTA(Upload!$E$3:E$3)+2,FALSE)</f>
        <v>0</v>
      </c>
      <c r="F179" s="209">
        <f>VLOOKUP($B179,'2017'!$A$5:$Q$1425,COUNTA(Upload!$E$3:F$3)+2,FALSE)</f>
        <v>0</v>
      </c>
      <c r="G179" s="209">
        <f>VLOOKUP($B179,'2017'!$A$5:$Q$1425,COUNTA(Upload!$E$3:G$3)+2,FALSE)</f>
        <v>0</v>
      </c>
      <c r="H179" s="209">
        <f>VLOOKUP($B179,'2017'!$A$5:$Q$1425,COUNTA(Upload!$E$3:H$3)+2,FALSE)</f>
        <v>0</v>
      </c>
      <c r="I179" s="209">
        <f>VLOOKUP($B179,'2017'!$A$5:$Q$1425,COUNTA(Upload!$E$3:I$3)+2,FALSE)</f>
        <v>0</v>
      </c>
      <c r="J179" s="209">
        <f>VLOOKUP($B179,'2017'!$A$5:$Q$1425,COUNTA(Upload!$E$3:J$3)+2,FALSE)</f>
        <v>0</v>
      </c>
      <c r="K179" s="209">
        <f>VLOOKUP($B179,'2017'!$A$5:$Q$1425,COUNTA(Upload!$E$3:K$3)+2,FALSE)</f>
        <v>0</v>
      </c>
      <c r="L179" s="209">
        <f>VLOOKUP($B179,'2017'!$A$5:$Q$1425,COUNTA(Upload!$E$3:L$3)+2,FALSE)</f>
        <v>0</v>
      </c>
      <c r="M179" s="209">
        <f>VLOOKUP($B179,'2017'!$A$5:$Q$1425,COUNTA(Upload!$E$3:M$3)+2,FALSE)</f>
        <v>0</v>
      </c>
      <c r="N179" s="209">
        <f>VLOOKUP($B179,'2017'!$A$5:$Q$1425,COUNTA(Upload!$E$3:N$3)+2,FALSE)</f>
        <v>0</v>
      </c>
      <c r="O179" s="209">
        <f>VLOOKUP($B179,'2017'!$A$5:$Q$1425,COUNTA(Upload!$E$3:O$3)+2,FALSE)</f>
        <v>0</v>
      </c>
      <c r="P179" s="209">
        <f>VLOOKUP($B179,'2017'!$A$5:$Q$1425,COUNTA(Upload!$E$3:P$3)+2,FALSE)</f>
        <v>0</v>
      </c>
      <c r="T179" s="161"/>
    </row>
    <row r="180" spans="1:20" s="118" customFormat="1" ht="10.5" customHeight="1">
      <c r="A180" s="207" t="s">
        <v>70</v>
      </c>
      <c r="B180" s="412" t="s">
        <v>910</v>
      </c>
      <c r="C180" s="208" t="str">
        <f>+Setup!$B$21</f>
        <v>WC-PropName</v>
      </c>
      <c r="D180" s="208"/>
      <c r="E180" s="209">
        <f>VLOOKUP($B180,'2017'!$A$5:$Q$1425,COUNTA(Upload!$E$3:E$3)+2,FALSE)</f>
        <v>500</v>
      </c>
      <c r="F180" s="209">
        <f>VLOOKUP($B180,'2017'!$A$5:$Q$1425,COUNTA(Upload!$E$3:F$3)+2,FALSE)</f>
        <v>500</v>
      </c>
      <c r="G180" s="209">
        <f>VLOOKUP($B180,'2017'!$A$5:$Q$1425,COUNTA(Upload!$E$3:G$3)+2,FALSE)</f>
        <v>500</v>
      </c>
      <c r="H180" s="209">
        <f>VLOOKUP($B180,'2017'!$A$5:$Q$1425,COUNTA(Upload!$E$3:H$3)+2,FALSE)</f>
        <v>500</v>
      </c>
      <c r="I180" s="209">
        <f>VLOOKUP($B180,'2017'!$A$5:$Q$1425,COUNTA(Upload!$E$3:I$3)+2,FALSE)</f>
        <v>500</v>
      </c>
      <c r="J180" s="209">
        <f>VLOOKUP($B180,'2017'!$A$5:$Q$1425,COUNTA(Upload!$E$3:J$3)+2,FALSE)</f>
        <v>500</v>
      </c>
      <c r="K180" s="209">
        <f>VLOOKUP($B180,'2017'!$A$5:$Q$1425,COUNTA(Upload!$E$3:K$3)+2,FALSE)</f>
        <v>500</v>
      </c>
      <c r="L180" s="209">
        <f>VLOOKUP($B180,'2017'!$A$5:$Q$1425,COUNTA(Upload!$E$3:L$3)+2,FALSE)</f>
        <v>500</v>
      </c>
      <c r="M180" s="209">
        <f>VLOOKUP($B180,'2017'!$A$5:$Q$1425,COUNTA(Upload!$E$3:M$3)+2,FALSE)</f>
        <v>500</v>
      </c>
      <c r="N180" s="209">
        <f>VLOOKUP($B180,'2017'!$A$5:$Q$1425,COUNTA(Upload!$E$3:N$3)+2,FALSE)</f>
        <v>500</v>
      </c>
      <c r="O180" s="209">
        <f>VLOOKUP($B180,'2017'!$A$5:$Q$1425,COUNTA(Upload!$E$3:O$3)+2,FALSE)</f>
        <v>500</v>
      </c>
      <c r="P180" s="209">
        <f>VLOOKUP($B180,'2017'!$A$5:$Q$1425,COUNTA(Upload!$E$3:P$3)+2,FALSE)</f>
        <v>500</v>
      </c>
      <c r="T180" s="161"/>
    </row>
    <row r="181" spans="1:20" s="118" customFormat="1" ht="10.5" customHeight="1">
      <c r="A181" s="207" t="s">
        <v>70</v>
      </c>
      <c r="B181" s="412" t="s">
        <v>912</v>
      </c>
      <c r="C181" s="208" t="str">
        <f>+Setup!$B$21</f>
        <v>WC-PropName</v>
      </c>
      <c r="D181" s="208"/>
      <c r="E181" s="209">
        <f>VLOOKUP($B181,'2017'!$A$5:$Q$1425,COUNTA(Upload!$E$3:E$3)+2,FALSE)</f>
        <v>0</v>
      </c>
      <c r="F181" s="209">
        <f>VLOOKUP($B181,'2017'!$A$5:$Q$1425,COUNTA(Upload!$E$3:F$3)+2,FALSE)</f>
        <v>0</v>
      </c>
      <c r="G181" s="209">
        <f>VLOOKUP($B181,'2017'!$A$5:$Q$1425,COUNTA(Upload!$E$3:G$3)+2,FALSE)</f>
        <v>0</v>
      </c>
      <c r="H181" s="209">
        <f>VLOOKUP($B181,'2017'!$A$5:$Q$1425,COUNTA(Upload!$E$3:H$3)+2,FALSE)</f>
        <v>0</v>
      </c>
      <c r="I181" s="209">
        <f>VLOOKUP($B181,'2017'!$A$5:$Q$1425,COUNTA(Upload!$E$3:I$3)+2,FALSE)</f>
        <v>0</v>
      </c>
      <c r="J181" s="209">
        <f>VLOOKUP($B181,'2017'!$A$5:$Q$1425,COUNTA(Upload!$E$3:J$3)+2,FALSE)</f>
        <v>0</v>
      </c>
      <c r="K181" s="209">
        <f>VLOOKUP($B181,'2017'!$A$5:$Q$1425,COUNTA(Upload!$E$3:K$3)+2,FALSE)</f>
        <v>0</v>
      </c>
      <c r="L181" s="209">
        <f>VLOOKUP($B181,'2017'!$A$5:$Q$1425,COUNTA(Upload!$E$3:L$3)+2,FALSE)</f>
        <v>0</v>
      </c>
      <c r="M181" s="209">
        <f>VLOOKUP($B181,'2017'!$A$5:$Q$1425,COUNTA(Upload!$E$3:M$3)+2,FALSE)</f>
        <v>0</v>
      </c>
      <c r="N181" s="209">
        <f>VLOOKUP($B181,'2017'!$A$5:$Q$1425,COUNTA(Upload!$E$3:N$3)+2,FALSE)</f>
        <v>0</v>
      </c>
      <c r="O181" s="209">
        <f>VLOOKUP($B181,'2017'!$A$5:$Q$1425,COUNTA(Upload!$E$3:O$3)+2,FALSE)</f>
        <v>0</v>
      </c>
      <c r="P181" s="209">
        <f>VLOOKUP($B181,'2017'!$A$5:$Q$1425,COUNTA(Upload!$E$3:P$3)+2,FALSE)</f>
        <v>0</v>
      </c>
      <c r="T181" s="161"/>
    </row>
    <row r="182" spans="1:20" s="118" customFormat="1" ht="10.5" customHeight="1">
      <c r="A182" s="207" t="s">
        <v>70</v>
      </c>
      <c r="B182" s="412" t="s">
        <v>913</v>
      </c>
      <c r="C182" s="208" t="str">
        <f>+Setup!$B$21</f>
        <v>WC-PropName</v>
      </c>
      <c r="D182" s="208"/>
      <c r="E182" s="209">
        <f>VLOOKUP($B182,'2017'!$A$5:$Q$1425,COUNTA(Upload!$E$3:E$3)+2,FALSE)</f>
        <v>0</v>
      </c>
      <c r="F182" s="209">
        <f>VLOOKUP($B182,'2017'!$A$5:$Q$1425,COUNTA(Upload!$E$3:F$3)+2,FALSE)</f>
        <v>0</v>
      </c>
      <c r="G182" s="209">
        <f>VLOOKUP($B182,'2017'!$A$5:$Q$1425,COUNTA(Upload!$E$3:G$3)+2,FALSE)</f>
        <v>0</v>
      </c>
      <c r="H182" s="209">
        <f>VLOOKUP($B182,'2017'!$A$5:$Q$1425,COUNTA(Upload!$E$3:H$3)+2,FALSE)</f>
        <v>0</v>
      </c>
      <c r="I182" s="209">
        <f>VLOOKUP($B182,'2017'!$A$5:$Q$1425,COUNTA(Upload!$E$3:I$3)+2,FALSE)</f>
        <v>0</v>
      </c>
      <c r="J182" s="209">
        <f>VLOOKUP($B182,'2017'!$A$5:$Q$1425,COUNTA(Upload!$E$3:J$3)+2,FALSE)</f>
        <v>0</v>
      </c>
      <c r="K182" s="209">
        <f>VLOOKUP($B182,'2017'!$A$5:$Q$1425,COUNTA(Upload!$E$3:K$3)+2,FALSE)</f>
        <v>0</v>
      </c>
      <c r="L182" s="209">
        <f>VLOOKUP($B182,'2017'!$A$5:$Q$1425,COUNTA(Upload!$E$3:L$3)+2,FALSE)</f>
        <v>0</v>
      </c>
      <c r="M182" s="209">
        <f>VLOOKUP($B182,'2017'!$A$5:$Q$1425,COUNTA(Upload!$E$3:M$3)+2,FALSE)</f>
        <v>0</v>
      </c>
      <c r="N182" s="209">
        <f>VLOOKUP($B182,'2017'!$A$5:$Q$1425,COUNTA(Upload!$E$3:N$3)+2,FALSE)</f>
        <v>0</v>
      </c>
      <c r="O182" s="209">
        <f>VLOOKUP($B182,'2017'!$A$5:$Q$1425,COUNTA(Upload!$E$3:O$3)+2,FALSE)</f>
        <v>0</v>
      </c>
      <c r="P182" s="209">
        <f>VLOOKUP($B182,'2017'!$A$5:$Q$1425,COUNTA(Upload!$E$3:P$3)+2,FALSE)</f>
        <v>0</v>
      </c>
      <c r="T182" s="161"/>
    </row>
    <row r="183" spans="1:20" s="118" customFormat="1" ht="10.5" customHeight="1">
      <c r="A183" s="207" t="s">
        <v>70</v>
      </c>
      <c r="B183" s="412" t="s">
        <v>914</v>
      </c>
      <c r="C183" s="208" t="str">
        <f>+Setup!$B$21</f>
        <v>WC-PropName</v>
      </c>
      <c r="D183" s="208"/>
      <c r="E183" s="209">
        <f>VLOOKUP($B183,'2017'!$A$5:$Q$1425,COUNTA(Upload!$E$3:E$3)+2,FALSE)</f>
        <v>3550</v>
      </c>
      <c r="F183" s="209">
        <f>VLOOKUP($B183,'2017'!$A$5:$Q$1425,COUNTA(Upload!$E$3:F$3)+2,FALSE)</f>
        <v>3550</v>
      </c>
      <c r="G183" s="209">
        <f>VLOOKUP($B183,'2017'!$A$5:$Q$1425,COUNTA(Upload!$E$3:G$3)+2,FALSE)</f>
        <v>3550</v>
      </c>
      <c r="H183" s="209">
        <f>VLOOKUP($B183,'2017'!$A$5:$Q$1425,COUNTA(Upload!$E$3:H$3)+2,FALSE)</f>
        <v>3550</v>
      </c>
      <c r="I183" s="209">
        <f>VLOOKUP($B183,'2017'!$A$5:$Q$1425,COUNTA(Upload!$E$3:I$3)+2,FALSE)</f>
        <v>3550</v>
      </c>
      <c r="J183" s="209">
        <f>VLOOKUP($B183,'2017'!$A$5:$Q$1425,COUNTA(Upload!$E$3:J$3)+2,FALSE)</f>
        <v>3550</v>
      </c>
      <c r="K183" s="209">
        <f>VLOOKUP($B183,'2017'!$A$5:$Q$1425,COUNTA(Upload!$E$3:K$3)+2,FALSE)</f>
        <v>3550</v>
      </c>
      <c r="L183" s="209">
        <f>VLOOKUP($B183,'2017'!$A$5:$Q$1425,COUNTA(Upload!$E$3:L$3)+2,FALSE)</f>
        <v>3550</v>
      </c>
      <c r="M183" s="209">
        <f>VLOOKUP($B183,'2017'!$A$5:$Q$1425,COUNTA(Upload!$E$3:M$3)+2,FALSE)</f>
        <v>3550</v>
      </c>
      <c r="N183" s="209">
        <f>VLOOKUP($B183,'2017'!$A$5:$Q$1425,COUNTA(Upload!$E$3:N$3)+2,FALSE)</f>
        <v>3550</v>
      </c>
      <c r="O183" s="209">
        <f>VLOOKUP($B183,'2017'!$A$5:$Q$1425,COUNTA(Upload!$E$3:O$3)+2,FALSE)</f>
        <v>3550</v>
      </c>
      <c r="P183" s="209">
        <f>VLOOKUP($B183,'2017'!$A$5:$Q$1425,COUNTA(Upload!$E$3:P$3)+2,FALSE)</f>
        <v>3550</v>
      </c>
      <c r="T183" s="161"/>
    </row>
    <row r="184" spans="1:20" s="118" customFormat="1" ht="10.5" customHeight="1">
      <c r="A184" s="207" t="s">
        <v>70</v>
      </c>
      <c r="B184" s="412" t="s">
        <v>916</v>
      </c>
      <c r="C184" s="208" t="str">
        <f>+Setup!$B$21</f>
        <v>WC-PropName</v>
      </c>
      <c r="D184" s="208"/>
      <c r="E184" s="209">
        <f>VLOOKUP($B184,'2017'!$A$5:$Q$1425,COUNTA(Upload!$E$3:E$3)+2,FALSE)</f>
        <v>0</v>
      </c>
      <c r="F184" s="209">
        <f>VLOOKUP($B184,'2017'!$A$5:$Q$1425,COUNTA(Upload!$E$3:F$3)+2,FALSE)</f>
        <v>0</v>
      </c>
      <c r="G184" s="209">
        <f>VLOOKUP($B184,'2017'!$A$5:$Q$1425,COUNTA(Upload!$E$3:G$3)+2,FALSE)</f>
        <v>0</v>
      </c>
      <c r="H184" s="209">
        <f>VLOOKUP($B184,'2017'!$A$5:$Q$1425,COUNTA(Upload!$E$3:H$3)+2,FALSE)</f>
        <v>0</v>
      </c>
      <c r="I184" s="209">
        <f>VLOOKUP($B184,'2017'!$A$5:$Q$1425,COUNTA(Upload!$E$3:I$3)+2,FALSE)</f>
        <v>0</v>
      </c>
      <c r="J184" s="209">
        <f>VLOOKUP($B184,'2017'!$A$5:$Q$1425,COUNTA(Upload!$E$3:J$3)+2,FALSE)</f>
        <v>0</v>
      </c>
      <c r="K184" s="209">
        <f>VLOOKUP($B184,'2017'!$A$5:$Q$1425,COUNTA(Upload!$E$3:K$3)+2,FALSE)</f>
        <v>0</v>
      </c>
      <c r="L184" s="209">
        <f>VLOOKUP($B184,'2017'!$A$5:$Q$1425,COUNTA(Upload!$E$3:L$3)+2,FALSE)</f>
        <v>0</v>
      </c>
      <c r="M184" s="209">
        <f>VLOOKUP($B184,'2017'!$A$5:$Q$1425,COUNTA(Upload!$E$3:M$3)+2,FALSE)</f>
        <v>0</v>
      </c>
      <c r="N184" s="209">
        <f>VLOOKUP($B184,'2017'!$A$5:$Q$1425,COUNTA(Upload!$E$3:N$3)+2,FALSE)</f>
        <v>0</v>
      </c>
      <c r="O184" s="209">
        <f>VLOOKUP($B184,'2017'!$A$5:$Q$1425,COUNTA(Upload!$E$3:O$3)+2,FALSE)</f>
        <v>0</v>
      </c>
      <c r="P184" s="209">
        <f>VLOOKUP($B184,'2017'!$A$5:$Q$1425,COUNTA(Upload!$E$3:P$3)+2,FALSE)</f>
        <v>0</v>
      </c>
      <c r="T184" s="161"/>
    </row>
    <row r="185" spans="1:20" s="118" customFormat="1" ht="10.5" customHeight="1">
      <c r="A185" s="207" t="s">
        <v>70</v>
      </c>
      <c r="B185" s="412" t="s">
        <v>917</v>
      </c>
      <c r="C185" s="208" t="str">
        <f>+Setup!$B$21</f>
        <v>WC-PropName</v>
      </c>
      <c r="D185" s="208"/>
      <c r="E185" s="209">
        <f>VLOOKUP($B185,'2017'!$A$5:$Q$1425,COUNTA(Upload!$E$3:E$3)+2,FALSE)</f>
        <v>3200</v>
      </c>
      <c r="F185" s="209">
        <f>VLOOKUP($B185,'2017'!$A$5:$Q$1425,COUNTA(Upload!$E$3:F$3)+2,FALSE)</f>
        <v>3200</v>
      </c>
      <c r="G185" s="209">
        <f>VLOOKUP($B185,'2017'!$A$5:$Q$1425,COUNTA(Upload!$E$3:G$3)+2,FALSE)</f>
        <v>3200</v>
      </c>
      <c r="H185" s="209">
        <f>VLOOKUP($B185,'2017'!$A$5:$Q$1425,COUNTA(Upload!$E$3:H$3)+2,FALSE)</f>
        <v>3200</v>
      </c>
      <c r="I185" s="209">
        <f>VLOOKUP($B185,'2017'!$A$5:$Q$1425,COUNTA(Upload!$E$3:I$3)+2,FALSE)</f>
        <v>3200</v>
      </c>
      <c r="J185" s="209">
        <f>VLOOKUP($B185,'2017'!$A$5:$Q$1425,COUNTA(Upload!$E$3:J$3)+2,FALSE)</f>
        <v>3200</v>
      </c>
      <c r="K185" s="209">
        <f>VLOOKUP($B185,'2017'!$A$5:$Q$1425,COUNTA(Upload!$E$3:K$3)+2,FALSE)</f>
        <v>3200</v>
      </c>
      <c r="L185" s="209">
        <f>VLOOKUP($B185,'2017'!$A$5:$Q$1425,COUNTA(Upload!$E$3:L$3)+2,FALSE)</f>
        <v>3200</v>
      </c>
      <c r="M185" s="209">
        <f>VLOOKUP($B185,'2017'!$A$5:$Q$1425,COUNTA(Upload!$E$3:M$3)+2,FALSE)</f>
        <v>3200</v>
      </c>
      <c r="N185" s="209">
        <f>VLOOKUP($B185,'2017'!$A$5:$Q$1425,COUNTA(Upload!$E$3:N$3)+2,FALSE)</f>
        <v>3200</v>
      </c>
      <c r="O185" s="209">
        <f>VLOOKUP($B185,'2017'!$A$5:$Q$1425,COUNTA(Upload!$E$3:O$3)+2,FALSE)</f>
        <v>3200</v>
      </c>
      <c r="P185" s="209">
        <f>VLOOKUP($B185,'2017'!$A$5:$Q$1425,COUNTA(Upload!$E$3:P$3)+2,FALSE)</f>
        <v>3200</v>
      </c>
      <c r="T185" s="161"/>
    </row>
    <row r="186" spans="1:20" s="118" customFormat="1" ht="10.5" customHeight="1">
      <c r="A186" s="207" t="s">
        <v>70</v>
      </c>
      <c r="B186" s="412" t="s">
        <v>919</v>
      </c>
      <c r="C186" s="208" t="str">
        <f>+Setup!$B$21</f>
        <v>WC-PropName</v>
      </c>
      <c r="D186" s="208"/>
      <c r="E186" s="209">
        <f>VLOOKUP($B186,'2017'!$A$5:$Q$1425,COUNTA(Upload!$E$3:E$3)+2,FALSE)</f>
        <v>4970</v>
      </c>
      <c r="F186" s="209">
        <f>VLOOKUP($B186,'2017'!$A$5:$Q$1425,COUNTA(Upload!$E$3:F$3)+2,FALSE)</f>
        <v>4970</v>
      </c>
      <c r="G186" s="209">
        <f>VLOOKUP($B186,'2017'!$A$5:$Q$1425,COUNTA(Upload!$E$3:G$3)+2,FALSE)</f>
        <v>4970</v>
      </c>
      <c r="H186" s="209">
        <f>VLOOKUP($B186,'2017'!$A$5:$Q$1425,COUNTA(Upload!$E$3:H$3)+2,FALSE)</f>
        <v>4970</v>
      </c>
      <c r="I186" s="209">
        <f>VLOOKUP($B186,'2017'!$A$5:$Q$1425,COUNTA(Upload!$E$3:I$3)+2,FALSE)</f>
        <v>4970</v>
      </c>
      <c r="J186" s="209">
        <f>VLOOKUP($B186,'2017'!$A$5:$Q$1425,COUNTA(Upload!$E$3:J$3)+2,FALSE)</f>
        <v>4970</v>
      </c>
      <c r="K186" s="209">
        <f>VLOOKUP($B186,'2017'!$A$5:$Q$1425,COUNTA(Upload!$E$3:K$3)+2,FALSE)</f>
        <v>4970</v>
      </c>
      <c r="L186" s="209">
        <f>VLOOKUP($B186,'2017'!$A$5:$Q$1425,COUNTA(Upload!$E$3:L$3)+2,FALSE)</f>
        <v>4970</v>
      </c>
      <c r="M186" s="209">
        <f>VLOOKUP($B186,'2017'!$A$5:$Q$1425,COUNTA(Upload!$E$3:M$3)+2,FALSE)</f>
        <v>4970</v>
      </c>
      <c r="N186" s="209">
        <f>VLOOKUP($B186,'2017'!$A$5:$Q$1425,COUNTA(Upload!$E$3:N$3)+2,FALSE)</f>
        <v>4970</v>
      </c>
      <c r="O186" s="209">
        <f>VLOOKUP($B186,'2017'!$A$5:$Q$1425,COUNTA(Upload!$E$3:O$3)+2,FALSE)</f>
        <v>4970</v>
      </c>
      <c r="P186" s="209">
        <f>VLOOKUP($B186,'2017'!$A$5:$Q$1425,COUNTA(Upload!$E$3:P$3)+2,FALSE)</f>
        <v>4970</v>
      </c>
      <c r="T186" s="161"/>
    </row>
    <row r="187" spans="1:20" s="118" customFormat="1" ht="10.5" customHeight="1">
      <c r="A187" s="207" t="s">
        <v>70</v>
      </c>
      <c r="B187" s="412" t="s">
        <v>921</v>
      </c>
      <c r="C187" s="208" t="str">
        <f>+Setup!$B$21</f>
        <v>WC-PropName</v>
      </c>
      <c r="D187" s="208"/>
      <c r="E187" s="209">
        <f>VLOOKUP($B187,'2017'!$A$5:$Q$1425,COUNTA(Upload!$E$3:E$3)+2,FALSE)</f>
        <v>0</v>
      </c>
      <c r="F187" s="209">
        <f>VLOOKUP($B187,'2017'!$A$5:$Q$1425,COUNTA(Upload!$E$3:F$3)+2,FALSE)</f>
        <v>0</v>
      </c>
      <c r="G187" s="209">
        <f>VLOOKUP($B187,'2017'!$A$5:$Q$1425,COUNTA(Upload!$E$3:G$3)+2,FALSE)</f>
        <v>0</v>
      </c>
      <c r="H187" s="209">
        <f>VLOOKUP($B187,'2017'!$A$5:$Q$1425,COUNTA(Upload!$E$3:H$3)+2,FALSE)</f>
        <v>0</v>
      </c>
      <c r="I187" s="209">
        <f>VLOOKUP($B187,'2017'!$A$5:$Q$1425,COUNTA(Upload!$E$3:I$3)+2,FALSE)</f>
        <v>0</v>
      </c>
      <c r="J187" s="209">
        <f>VLOOKUP($B187,'2017'!$A$5:$Q$1425,COUNTA(Upload!$E$3:J$3)+2,FALSE)</f>
        <v>0</v>
      </c>
      <c r="K187" s="209">
        <f>VLOOKUP($B187,'2017'!$A$5:$Q$1425,COUNTA(Upload!$E$3:K$3)+2,FALSE)</f>
        <v>0</v>
      </c>
      <c r="L187" s="209">
        <f>VLOOKUP($B187,'2017'!$A$5:$Q$1425,COUNTA(Upload!$E$3:L$3)+2,FALSE)</f>
        <v>0</v>
      </c>
      <c r="M187" s="209">
        <f>VLOOKUP($B187,'2017'!$A$5:$Q$1425,COUNTA(Upload!$E$3:M$3)+2,FALSE)</f>
        <v>0</v>
      </c>
      <c r="N187" s="209">
        <f>VLOOKUP($B187,'2017'!$A$5:$Q$1425,COUNTA(Upload!$E$3:N$3)+2,FALSE)</f>
        <v>0</v>
      </c>
      <c r="O187" s="209">
        <f>VLOOKUP($B187,'2017'!$A$5:$Q$1425,COUNTA(Upload!$E$3:O$3)+2,FALSE)</f>
        <v>0</v>
      </c>
      <c r="P187" s="209">
        <f>VLOOKUP($B187,'2017'!$A$5:$Q$1425,COUNTA(Upload!$E$3:P$3)+2,FALSE)</f>
        <v>0</v>
      </c>
      <c r="T187" s="161"/>
    </row>
    <row r="188" spans="1:20" s="118" customFormat="1" ht="10.5" customHeight="1">
      <c r="A188" s="207" t="s">
        <v>70</v>
      </c>
      <c r="B188" s="412" t="s">
        <v>923</v>
      </c>
      <c r="C188" s="208" t="str">
        <f>+Setup!$B$21</f>
        <v>WC-PropName</v>
      </c>
      <c r="D188" s="208"/>
      <c r="E188" s="209">
        <f>VLOOKUP($B188,'2017'!$A$5:$Q$1425,COUNTA(Upload!$E$3:E$3)+2,FALSE)</f>
        <v>0</v>
      </c>
      <c r="F188" s="209">
        <f>VLOOKUP($B188,'2017'!$A$5:$Q$1425,COUNTA(Upload!$E$3:F$3)+2,FALSE)</f>
        <v>0</v>
      </c>
      <c r="G188" s="209">
        <f>VLOOKUP($B188,'2017'!$A$5:$Q$1425,COUNTA(Upload!$E$3:G$3)+2,FALSE)</f>
        <v>0</v>
      </c>
      <c r="H188" s="209">
        <f>VLOOKUP($B188,'2017'!$A$5:$Q$1425,COUNTA(Upload!$E$3:H$3)+2,FALSE)</f>
        <v>0</v>
      </c>
      <c r="I188" s="209">
        <f>VLOOKUP($B188,'2017'!$A$5:$Q$1425,COUNTA(Upload!$E$3:I$3)+2,FALSE)</f>
        <v>0</v>
      </c>
      <c r="J188" s="209">
        <f>VLOOKUP($B188,'2017'!$A$5:$Q$1425,COUNTA(Upload!$E$3:J$3)+2,FALSE)</f>
        <v>0</v>
      </c>
      <c r="K188" s="209">
        <f>VLOOKUP($B188,'2017'!$A$5:$Q$1425,COUNTA(Upload!$E$3:K$3)+2,FALSE)</f>
        <v>0</v>
      </c>
      <c r="L188" s="209">
        <f>VLOOKUP($B188,'2017'!$A$5:$Q$1425,COUNTA(Upload!$E$3:L$3)+2,FALSE)</f>
        <v>0</v>
      </c>
      <c r="M188" s="209">
        <f>VLOOKUP($B188,'2017'!$A$5:$Q$1425,COUNTA(Upload!$E$3:M$3)+2,FALSE)</f>
        <v>0</v>
      </c>
      <c r="N188" s="209">
        <f>VLOOKUP($B188,'2017'!$A$5:$Q$1425,COUNTA(Upload!$E$3:N$3)+2,FALSE)</f>
        <v>0</v>
      </c>
      <c r="O188" s="209">
        <f>VLOOKUP($B188,'2017'!$A$5:$Q$1425,COUNTA(Upload!$E$3:O$3)+2,FALSE)</f>
        <v>0</v>
      </c>
      <c r="P188" s="209">
        <f>VLOOKUP($B188,'2017'!$A$5:$Q$1425,COUNTA(Upload!$E$3:P$3)+2,FALSE)</f>
        <v>0</v>
      </c>
      <c r="T188" s="161"/>
    </row>
    <row r="189" spans="1:20" s="118" customFormat="1" ht="10.5" customHeight="1">
      <c r="A189" s="207" t="s">
        <v>70</v>
      </c>
      <c r="B189" s="412" t="s">
        <v>927</v>
      </c>
      <c r="C189" s="208" t="str">
        <f>+Setup!$B$21</f>
        <v>WC-PropName</v>
      </c>
      <c r="D189" s="208"/>
      <c r="E189" s="209">
        <f>VLOOKUP($B189,'2017'!$A$5:$Q$1425,COUNTA(Upload!$E$3:E$3)+2,FALSE)</f>
        <v>0</v>
      </c>
      <c r="F189" s="209">
        <f>VLOOKUP($B189,'2017'!$A$5:$Q$1425,COUNTA(Upload!$E$3:F$3)+2,FALSE)</f>
        <v>0</v>
      </c>
      <c r="G189" s="209">
        <f>VLOOKUP($B189,'2017'!$A$5:$Q$1425,COUNTA(Upload!$E$3:G$3)+2,FALSE)</f>
        <v>0</v>
      </c>
      <c r="H189" s="209">
        <f>VLOOKUP($B189,'2017'!$A$5:$Q$1425,COUNTA(Upload!$E$3:H$3)+2,FALSE)</f>
        <v>0</v>
      </c>
      <c r="I189" s="209">
        <f>VLOOKUP($B189,'2017'!$A$5:$Q$1425,COUNTA(Upload!$E$3:I$3)+2,FALSE)</f>
        <v>0</v>
      </c>
      <c r="J189" s="209">
        <f>VLOOKUP($B189,'2017'!$A$5:$Q$1425,COUNTA(Upload!$E$3:J$3)+2,FALSE)</f>
        <v>0</v>
      </c>
      <c r="K189" s="209">
        <f>VLOOKUP($B189,'2017'!$A$5:$Q$1425,COUNTA(Upload!$E$3:K$3)+2,FALSE)</f>
        <v>0</v>
      </c>
      <c r="L189" s="209">
        <f>VLOOKUP($B189,'2017'!$A$5:$Q$1425,COUNTA(Upload!$E$3:L$3)+2,FALSE)</f>
        <v>0</v>
      </c>
      <c r="M189" s="209">
        <f>VLOOKUP($B189,'2017'!$A$5:$Q$1425,COUNTA(Upload!$E$3:M$3)+2,FALSE)</f>
        <v>0</v>
      </c>
      <c r="N189" s="209">
        <f>VLOOKUP($B189,'2017'!$A$5:$Q$1425,COUNTA(Upload!$E$3:N$3)+2,FALSE)</f>
        <v>0</v>
      </c>
      <c r="O189" s="209">
        <f>VLOOKUP($B189,'2017'!$A$5:$Q$1425,COUNTA(Upload!$E$3:O$3)+2,FALSE)</f>
        <v>0</v>
      </c>
      <c r="P189" s="209">
        <f>VLOOKUP($B189,'2017'!$A$5:$Q$1425,COUNTA(Upload!$E$3:P$3)+2,FALSE)</f>
        <v>0</v>
      </c>
      <c r="T189" s="161"/>
    </row>
    <row r="190" spans="1:20" s="118" customFormat="1" ht="10.5" customHeight="1">
      <c r="A190" s="207" t="s">
        <v>70</v>
      </c>
      <c r="B190" s="412" t="s">
        <v>928</v>
      </c>
      <c r="C190" s="208" t="str">
        <f>+Setup!$B$21</f>
        <v>WC-PropName</v>
      </c>
      <c r="D190" s="208"/>
      <c r="E190" s="209">
        <f>VLOOKUP($B190,'2017'!$A$5:$Q$1425,COUNTA(Upload!$E$3:E$3)+2,FALSE)</f>
        <v>0</v>
      </c>
      <c r="F190" s="209">
        <f>VLOOKUP($B190,'2017'!$A$5:$Q$1425,COUNTA(Upload!$E$3:F$3)+2,FALSE)</f>
        <v>0</v>
      </c>
      <c r="G190" s="209">
        <f>VLOOKUP($B190,'2017'!$A$5:$Q$1425,COUNTA(Upload!$E$3:G$3)+2,FALSE)</f>
        <v>0</v>
      </c>
      <c r="H190" s="209">
        <f>VLOOKUP($B190,'2017'!$A$5:$Q$1425,COUNTA(Upload!$E$3:H$3)+2,FALSE)</f>
        <v>0</v>
      </c>
      <c r="I190" s="209">
        <f>VLOOKUP($B190,'2017'!$A$5:$Q$1425,COUNTA(Upload!$E$3:I$3)+2,FALSE)</f>
        <v>0</v>
      </c>
      <c r="J190" s="209">
        <f>VLOOKUP($B190,'2017'!$A$5:$Q$1425,COUNTA(Upload!$E$3:J$3)+2,FALSE)</f>
        <v>0</v>
      </c>
      <c r="K190" s="209">
        <f>VLOOKUP($B190,'2017'!$A$5:$Q$1425,COUNTA(Upload!$E$3:K$3)+2,FALSE)</f>
        <v>0</v>
      </c>
      <c r="L190" s="209">
        <f>VLOOKUP($B190,'2017'!$A$5:$Q$1425,COUNTA(Upload!$E$3:L$3)+2,FALSE)</f>
        <v>0</v>
      </c>
      <c r="M190" s="209">
        <f>VLOOKUP($B190,'2017'!$A$5:$Q$1425,COUNTA(Upload!$E$3:M$3)+2,FALSE)</f>
        <v>0</v>
      </c>
      <c r="N190" s="209">
        <f>VLOOKUP($B190,'2017'!$A$5:$Q$1425,COUNTA(Upload!$E$3:N$3)+2,FALSE)</f>
        <v>0</v>
      </c>
      <c r="O190" s="209">
        <f>VLOOKUP($B190,'2017'!$A$5:$Q$1425,COUNTA(Upload!$E$3:O$3)+2,FALSE)</f>
        <v>0</v>
      </c>
      <c r="P190" s="209">
        <f>VLOOKUP($B190,'2017'!$A$5:$Q$1425,COUNTA(Upload!$E$3:P$3)+2,FALSE)</f>
        <v>0</v>
      </c>
      <c r="T190" s="161"/>
    </row>
    <row r="191" spans="1:20" s="118" customFormat="1" ht="10.5" customHeight="1">
      <c r="A191" s="207" t="s">
        <v>70</v>
      </c>
      <c r="B191" s="412" t="s">
        <v>930</v>
      </c>
      <c r="C191" s="208" t="str">
        <f>+Setup!$B$21</f>
        <v>WC-PropName</v>
      </c>
      <c r="D191" s="208"/>
      <c r="E191" s="209">
        <f>VLOOKUP($B191,'2017'!$A$5:$Q$1425,COUNTA(Upload!$E$3:E$3)+2,FALSE)</f>
        <v>1000</v>
      </c>
      <c r="F191" s="209">
        <f>VLOOKUP($B191,'2017'!$A$5:$Q$1425,COUNTA(Upload!$E$3:F$3)+2,FALSE)</f>
        <v>1000</v>
      </c>
      <c r="G191" s="209">
        <f>VLOOKUP($B191,'2017'!$A$5:$Q$1425,COUNTA(Upload!$E$3:G$3)+2,FALSE)</f>
        <v>1000</v>
      </c>
      <c r="H191" s="209">
        <f>VLOOKUP($B191,'2017'!$A$5:$Q$1425,COUNTA(Upload!$E$3:H$3)+2,FALSE)</f>
        <v>1000</v>
      </c>
      <c r="I191" s="209">
        <f>VLOOKUP($B191,'2017'!$A$5:$Q$1425,COUNTA(Upload!$E$3:I$3)+2,FALSE)</f>
        <v>1000</v>
      </c>
      <c r="J191" s="209">
        <f>VLOOKUP($B191,'2017'!$A$5:$Q$1425,COUNTA(Upload!$E$3:J$3)+2,FALSE)</f>
        <v>1000</v>
      </c>
      <c r="K191" s="209">
        <f>VLOOKUP($B191,'2017'!$A$5:$Q$1425,COUNTA(Upload!$E$3:K$3)+2,FALSE)</f>
        <v>1000</v>
      </c>
      <c r="L191" s="209">
        <f>VLOOKUP($B191,'2017'!$A$5:$Q$1425,COUNTA(Upload!$E$3:L$3)+2,FALSE)</f>
        <v>1000</v>
      </c>
      <c r="M191" s="209">
        <f>VLOOKUP($B191,'2017'!$A$5:$Q$1425,COUNTA(Upload!$E$3:M$3)+2,FALSE)</f>
        <v>1000</v>
      </c>
      <c r="N191" s="209">
        <f>VLOOKUP($B191,'2017'!$A$5:$Q$1425,COUNTA(Upload!$E$3:N$3)+2,FALSE)</f>
        <v>1000</v>
      </c>
      <c r="O191" s="209">
        <f>VLOOKUP($B191,'2017'!$A$5:$Q$1425,COUNTA(Upload!$E$3:O$3)+2,FALSE)</f>
        <v>1000</v>
      </c>
      <c r="P191" s="209">
        <f>VLOOKUP($B191,'2017'!$A$5:$Q$1425,COUNTA(Upload!$E$3:P$3)+2,FALSE)</f>
        <v>1000</v>
      </c>
      <c r="T191" s="161"/>
    </row>
    <row r="192" spans="1:20" s="118" customFormat="1" ht="10.5" customHeight="1">
      <c r="A192" s="207" t="s">
        <v>70</v>
      </c>
      <c r="B192" s="412" t="s">
        <v>932</v>
      </c>
      <c r="C192" s="208" t="str">
        <f>+Setup!$B$21</f>
        <v>WC-PropName</v>
      </c>
      <c r="D192" s="208"/>
      <c r="E192" s="209">
        <f>VLOOKUP($B192,'2017'!$A$5:$Q$1425,COUNTA(Upload!$E$3:E$3)+2,FALSE)</f>
        <v>0</v>
      </c>
      <c r="F192" s="209">
        <f>VLOOKUP($B192,'2017'!$A$5:$Q$1425,COUNTA(Upload!$E$3:F$3)+2,FALSE)</f>
        <v>0</v>
      </c>
      <c r="G192" s="209">
        <f>VLOOKUP($B192,'2017'!$A$5:$Q$1425,COUNTA(Upload!$E$3:G$3)+2,FALSE)</f>
        <v>0</v>
      </c>
      <c r="H192" s="209">
        <f>VLOOKUP($B192,'2017'!$A$5:$Q$1425,COUNTA(Upload!$E$3:H$3)+2,FALSE)</f>
        <v>0</v>
      </c>
      <c r="I192" s="209">
        <f>VLOOKUP($B192,'2017'!$A$5:$Q$1425,COUNTA(Upload!$E$3:I$3)+2,FALSE)</f>
        <v>0</v>
      </c>
      <c r="J192" s="209">
        <f>VLOOKUP($B192,'2017'!$A$5:$Q$1425,COUNTA(Upload!$E$3:J$3)+2,FALSE)</f>
        <v>0</v>
      </c>
      <c r="K192" s="209">
        <f>VLOOKUP($B192,'2017'!$A$5:$Q$1425,COUNTA(Upload!$E$3:K$3)+2,FALSE)</f>
        <v>0</v>
      </c>
      <c r="L192" s="209">
        <f>VLOOKUP($B192,'2017'!$A$5:$Q$1425,COUNTA(Upload!$E$3:L$3)+2,FALSE)</f>
        <v>0</v>
      </c>
      <c r="M192" s="209">
        <f>VLOOKUP($B192,'2017'!$A$5:$Q$1425,COUNTA(Upload!$E$3:M$3)+2,FALSE)</f>
        <v>0</v>
      </c>
      <c r="N192" s="209">
        <f>VLOOKUP($B192,'2017'!$A$5:$Q$1425,COUNTA(Upload!$E$3:N$3)+2,FALSE)</f>
        <v>0</v>
      </c>
      <c r="O192" s="209">
        <f>VLOOKUP($B192,'2017'!$A$5:$Q$1425,COUNTA(Upload!$E$3:O$3)+2,FALSE)</f>
        <v>0</v>
      </c>
      <c r="P192" s="209">
        <f>VLOOKUP($B192,'2017'!$A$5:$Q$1425,COUNTA(Upload!$E$3:P$3)+2,FALSE)</f>
        <v>0</v>
      </c>
      <c r="T192" s="161"/>
    </row>
    <row r="193" spans="1:20" s="118" customFormat="1" ht="10.5" customHeight="1">
      <c r="A193" s="207" t="s">
        <v>70</v>
      </c>
      <c r="B193" s="412" t="s">
        <v>933</v>
      </c>
      <c r="C193" s="208" t="str">
        <f>+Setup!$B$21</f>
        <v>WC-PropName</v>
      </c>
      <c r="D193" s="208"/>
      <c r="E193" s="209">
        <f>VLOOKUP($B193,'2017'!$A$5:$Q$1425,COUNTA(Upload!$E$3:E$3)+2,FALSE)</f>
        <v>376.5</v>
      </c>
      <c r="F193" s="209">
        <f>VLOOKUP($B193,'2017'!$A$5:$Q$1425,COUNTA(Upload!$E$3:F$3)+2,FALSE)</f>
        <v>376.5</v>
      </c>
      <c r="G193" s="209">
        <f>VLOOKUP($B193,'2017'!$A$5:$Q$1425,COUNTA(Upload!$E$3:G$3)+2,FALSE)</f>
        <v>376.5</v>
      </c>
      <c r="H193" s="209">
        <f>VLOOKUP($B193,'2017'!$A$5:$Q$1425,COUNTA(Upload!$E$3:H$3)+2,FALSE)</f>
        <v>376.5</v>
      </c>
      <c r="I193" s="209">
        <f>VLOOKUP($B193,'2017'!$A$5:$Q$1425,COUNTA(Upload!$E$3:I$3)+2,FALSE)</f>
        <v>376.5</v>
      </c>
      <c r="J193" s="209">
        <f>VLOOKUP($B193,'2017'!$A$5:$Q$1425,COUNTA(Upload!$E$3:J$3)+2,FALSE)</f>
        <v>376.5</v>
      </c>
      <c r="K193" s="209">
        <f>VLOOKUP($B193,'2017'!$A$5:$Q$1425,COUNTA(Upload!$E$3:K$3)+2,FALSE)</f>
        <v>376.5</v>
      </c>
      <c r="L193" s="209">
        <f>VLOOKUP($B193,'2017'!$A$5:$Q$1425,COUNTA(Upload!$E$3:L$3)+2,FALSE)</f>
        <v>376.5</v>
      </c>
      <c r="M193" s="209">
        <f>VLOOKUP($B193,'2017'!$A$5:$Q$1425,COUNTA(Upload!$E$3:M$3)+2,FALSE)</f>
        <v>376.5</v>
      </c>
      <c r="N193" s="209">
        <f>VLOOKUP($B193,'2017'!$A$5:$Q$1425,COUNTA(Upload!$E$3:N$3)+2,FALSE)</f>
        <v>376.5</v>
      </c>
      <c r="O193" s="209">
        <f>VLOOKUP($B193,'2017'!$A$5:$Q$1425,COUNTA(Upload!$E$3:O$3)+2,FALSE)</f>
        <v>376.5</v>
      </c>
      <c r="P193" s="209">
        <f>VLOOKUP($B193,'2017'!$A$5:$Q$1425,COUNTA(Upload!$E$3:P$3)+2,FALSE)</f>
        <v>376.5</v>
      </c>
      <c r="T193" s="161"/>
    </row>
    <row r="194" spans="1:20" s="118" customFormat="1" ht="10.5" customHeight="1">
      <c r="A194" s="207" t="s">
        <v>70</v>
      </c>
      <c r="B194" s="412" t="s">
        <v>935</v>
      </c>
      <c r="C194" s="208" t="str">
        <f>+Setup!$B$21</f>
        <v>WC-PropName</v>
      </c>
      <c r="D194" s="208"/>
      <c r="E194" s="209">
        <f>VLOOKUP($B194,'2017'!$A$5:$Q$1425,COUNTA(Upload!$E$3:E$3)+2,FALSE)</f>
        <v>1478.0564999999999</v>
      </c>
      <c r="F194" s="209">
        <f>VLOOKUP($B194,'2017'!$A$5:$Q$1425,COUNTA(Upload!$E$3:F$3)+2,FALSE)</f>
        <v>1478.0564999999999</v>
      </c>
      <c r="G194" s="209">
        <f>VLOOKUP($B194,'2017'!$A$5:$Q$1425,COUNTA(Upload!$E$3:G$3)+2,FALSE)</f>
        <v>1478.0564999999999</v>
      </c>
      <c r="H194" s="209">
        <f>VLOOKUP($B194,'2017'!$A$5:$Q$1425,COUNTA(Upload!$E$3:H$3)+2,FALSE)</f>
        <v>1478.0564999999999</v>
      </c>
      <c r="I194" s="209">
        <f>VLOOKUP($B194,'2017'!$A$5:$Q$1425,COUNTA(Upload!$E$3:I$3)+2,FALSE)</f>
        <v>1478.0564999999999</v>
      </c>
      <c r="J194" s="209">
        <f>VLOOKUP($B194,'2017'!$A$5:$Q$1425,COUNTA(Upload!$E$3:J$3)+2,FALSE)</f>
        <v>1478.0564999999999</v>
      </c>
      <c r="K194" s="209">
        <f>VLOOKUP($B194,'2017'!$A$5:$Q$1425,COUNTA(Upload!$E$3:K$3)+2,FALSE)</f>
        <v>1478.0564999999999</v>
      </c>
      <c r="L194" s="209">
        <f>VLOOKUP($B194,'2017'!$A$5:$Q$1425,COUNTA(Upload!$E$3:L$3)+2,FALSE)</f>
        <v>1478.0564999999999</v>
      </c>
      <c r="M194" s="209">
        <f>VLOOKUP($B194,'2017'!$A$5:$Q$1425,COUNTA(Upload!$E$3:M$3)+2,FALSE)</f>
        <v>1478.0564999999999</v>
      </c>
      <c r="N194" s="209">
        <f>VLOOKUP($B194,'2017'!$A$5:$Q$1425,COUNTA(Upload!$E$3:N$3)+2,FALSE)</f>
        <v>1478.0564999999999</v>
      </c>
      <c r="O194" s="209">
        <f>VLOOKUP($B194,'2017'!$A$5:$Q$1425,COUNTA(Upload!$E$3:O$3)+2,FALSE)</f>
        <v>1478.0564999999999</v>
      </c>
      <c r="P194" s="209">
        <f>VLOOKUP($B194,'2017'!$A$5:$Q$1425,COUNTA(Upload!$E$3:P$3)+2,FALSE)</f>
        <v>1478.0564999999999</v>
      </c>
      <c r="T194" s="161"/>
    </row>
    <row r="195" spans="1:20" s="118" customFormat="1" ht="10.5" customHeight="1">
      <c r="A195" s="207" t="s">
        <v>70</v>
      </c>
      <c r="B195" s="412" t="s">
        <v>937</v>
      </c>
      <c r="C195" s="208" t="str">
        <f>+Setup!$B$21</f>
        <v>WC-PropName</v>
      </c>
      <c r="D195" s="208"/>
      <c r="E195" s="209">
        <f>VLOOKUP($B195,'2017'!$A$5:$Q$1425,COUNTA(Upload!$E$3:E$3)+2,FALSE)</f>
        <v>115.926</v>
      </c>
      <c r="F195" s="209">
        <f>VLOOKUP($B195,'2017'!$A$5:$Q$1425,COUNTA(Upload!$E$3:F$3)+2,FALSE)</f>
        <v>115.926</v>
      </c>
      <c r="G195" s="209">
        <f>VLOOKUP($B195,'2017'!$A$5:$Q$1425,COUNTA(Upload!$E$3:G$3)+2,FALSE)</f>
        <v>115.926</v>
      </c>
      <c r="H195" s="209">
        <f>VLOOKUP($B195,'2017'!$A$5:$Q$1425,COUNTA(Upload!$E$3:H$3)+2,FALSE)</f>
        <v>115.926</v>
      </c>
      <c r="I195" s="209">
        <f>VLOOKUP($B195,'2017'!$A$5:$Q$1425,COUNTA(Upload!$E$3:I$3)+2,FALSE)</f>
        <v>115.926</v>
      </c>
      <c r="J195" s="209">
        <f>VLOOKUP($B195,'2017'!$A$5:$Q$1425,COUNTA(Upload!$E$3:J$3)+2,FALSE)</f>
        <v>115.926</v>
      </c>
      <c r="K195" s="209">
        <f>VLOOKUP($B195,'2017'!$A$5:$Q$1425,COUNTA(Upload!$E$3:K$3)+2,FALSE)</f>
        <v>115.926</v>
      </c>
      <c r="L195" s="209">
        <f>VLOOKUP($B195,'2017'!$A$5:$Q$1425,COUNTA(Upload!$E$3:L$3)+2,FALSE)</f>
        <v>115.926</v>
      </c>
      <c r="M195" s="209">
        <f>VLOOKUP($B195,'2017'!$A$5:$Q$1425,COUNTA(Upload!$E$3:M$3)+2,FALSE)</f>
        <v>115.926</v>
      </c>
      <c r="N195" s="209">
        <f>VLOOKUP($B195,'2017'!$A$5:$Q$1425,COUNTA(Upload!$E$3:N$3)+2,FALSE)</f>
        <v>115.926</v>
      </c>
      <c r="O195" s="209">
        <f>VLOOKUP($B195,'2017'!$A$5:$Q$1425,COUNTA(Upload!$E$3:O$3)+2,FALSE)</f>
        <v>115.926</v>
      </c>
      <c r="P195" s="209">
        <f>VLOOKUP($B195,'2017'!$A$5:$Q$1425,COUNTA(Upload!$E$3:P$3)+2,FALSE)</f>
        <v>115.926</v>
      </c>
      <c r="T195" s="161"/>
    </row>
    <row r="196" spans="1:20" s="118" customFormat="1" ht="10.5" customHeight="1">
      <c r="A196" s="207" t="s">
        <v>70</v>
      </c>
      <c r="B196" s="412" t="s">
        <v>939</v>
      </c>
      <c r="C196" s="208" t="str">
        <f>+Setup!$B$21</f>
        <v>WC-PropName</v>
      </c>
      <c r="D196" s="208"/>
      <c r="E196" s="209">
        <f>VLOOKUP($B196,'2017'!$A$5:$Q$1425,COUNTA(Upload!$E$3:E$3)+2,FALSE)</f>
        <v>405.74100000000004</v>
      </c>
      <c r="F196" s="209">
        <f>VLOOKUP($B196,'2017'!$A$5:$Q$1425,COUNTA(Upload!$E$3:F$3)+2,FALSE)</f>
        <v>405.74100000000004</v>
      </c>
      <c r="G196" s="209">
        <f>VLOOKUP($B196,'2017'!$A$5:$Q$1425,COUNTA(Upload!$E$3:G$3)+2,FALSE)</f>
        <v>405.74100000000004</v>
      </c>
      <c r="H196" s="209">
        <f>VLOOKUP($B196,'2017'!$A$5:$Q$1425,COUNTA(Upload!$E$3:H$3)+2,FALSE)</f>
        <v>405.74100000000004</v>
      </c>
      <c r="I196" s="209">
        <f>VLOOKUP($B196,'2017'!$A$5:$Q$1425,COUNTA(Upload!$E$3:I$3)+2,FALSE)</f>
        <v>405.74100000000004</v>
      </c>
      <c r="J196" s="209">
        <f>VLOOKUP($B196,'2017'!$A$5:$Q$1425,COUNTA(Upload!$E$3:J$3)+2,FALSE)</f>
        <v>405.74100000000004</v>
      </c>
      <c r="K196" s="209">
        <f>VLOOKUP($B196,'2017'!$A$5:$Q$1425,COUNTA(Upload!$E$3:K$3)+2,FALSE)</f>
        <v>405.74100000000004</v>
      </c>
      <c r="L196" s="209">
        <f>VLOOKUP($B196,'2017'!$A$5:$Q$1425,COUNTA(Upload!$E$3:L$3)+2,FALSE)</f>
        <v>405.74100000000004</v>
      </c>
      <c r="M196" s="209">
        <f>VLOOKUP($B196,'2017'!$A$5:$Q$1425,COUNTA(Upload!$E$3:M$3)+2,FALSE)</f>
        <v>405.74100000000004</v>
      </c>
      <c r="N196" s="209">
        <f>VLOOKUP($B196,'2017'!$A$5:$Q$1425,COUNTA(Upload!$E$3:N$3)+2,FALSE)</f>
        <v>405.74100000000004</v>
      </c>
      <c r="O196" s="209">
        <f>VLOOKUP($B196,'2017'!$A$5:$Q$1425,COUNTA(Upload!$E$3:O$3)+2,FALSE)</f>
        <v>405.74100000000004</v>
      </c>
      <c r="P196" s="209">
        <f>VLOOKUP($B196,'2017'!$A$5:$Q$1425,COUNTA(Upload!$E$3:P$3)+2,FALSE)</f>
        <v>405.74100000000004</v>
      </c>
      <c r="T196" s="161"/>
    </row>
    <row r="197" spans="1:20" s="118" customFormat="1" ht="10.5" customHeight="1">
      <c r="A197" s="207" t="s">
        <v>70</v>
      </c>
      <c r="B197" s="412" t="s">
        <v>941</v>
      </c>
      <c r="C197" s="208" t="str">
        <f>+Setup!$B$21</f>
        <v>WC-PropName</v>
      </c>
      <c r="D197" s="208"/>
      <c r="E197" s="209">
        <f>VLOOKUP($B197,'2017'!$A$5:$Q$1425,COUNTA(Upload!$E$3:E$3)+2,FALSE)</f>
        <v>0</v>
      </c>
      <c r="F197" s="209">
        <f>VLOOKUP($B197,'2017'!$A$5:$Q$1425,COUNTA(Upload!$E$3:F$3)+2,FALSE)</f>
        <v>0</v>
      </c>
      <c r="G197" s="209">
        <f>VLOOKUP($B197,'2017'!$A$5:$Q$1425,COUNTA(Upload!$E$3:G$3)+2,FALSE)</f>
        <v>0</v>
      </c>
      <c r="H197" s="209">
        <f>VLOOKUP($B197,'2017'!$A$5:$Q$1425,COUNTA(Upload!$E$3:H$3)+2,FALSE)</f>
        <v>0</v>
      </c>
      <c r="I197" s="209">
        <f>VLOOKUP($B197,'2017'!$A$5:$Q$1425,COUNTA(Upload!$E$3:I$3)+2,FALSE)</f>
        <v>0</v>
      </c>
      <c r="J197" s="209">
        <f>VLOOKUP($B197,'2017'!$A$5:$Q$1425,COUNTA(Upload!$E$3:J$3)+2,FALSE)</f>
        <v>0</v>
      </c>
      <c r="K197" s="209">
        <f>VLOOKUP($B197,'2017'!$A$5:$Q$1425,COUNTA(Upload!$E$3:K$3)+2,FALSE)</f>
        <v>0</v>
      </c>
      <c r="L197" s="209">
        <f>VLOOKUP($B197,'2017'!$A$5:$Q$1425,COUNTA(Upload!$E$3:L$3)+2,FALSE)</f>
        <v>0</v>
      </c>
      <c r="M197" s="209">
        <f>VLOOKUP($B197,'2017'!$A$5:$Q$1425,COUNTA(Upload!$E$3:M$3)+2,FALSE)</f>
        <v>0</v>
      </c>
      <c r="N197" s="209">
        <f>VLOOKUP($B197,'2017'!$A$5:$Q$1425,COUNTA(Upload!$E$3:N$3)+2,FALSE)</f>
        <v>0</v>
      </c>
      <c r="O197" s="209">
        <f>VLOOKUP($B197,'2017'!$A$5:$Q$1425,COUNTA(Upload!$E$3:O$3)+2,FALSE)</f>
        <v>0</v>
      </c>
      <c r="P197" s="209">
        <f>VLOOKUP($B197,'2017'!$A$5:$Q$1425,COUNTA(Upload!$E$3:P$3)+2,FALSE)</f>
        <v>0</v>
      </c>
      <c r="T197" s="161"/>
    </row>
    <row r="198" spans="1:20" s="118" customFormat="1" ht="10.5" customHeight="1">
      <c r="A198" s="207" t="s">
        <v>70</v>
      </c>
      <c r="B198" s="412" t="s">
        <v>943</v>
      </c>
      <c r="C198" s="208" t="str">
        <f>+Setup!$B$21</f>
        <v>WC-PropName</v>
      </c>
      <c r="D198" s="208"/>
      <c r="E198" s="209">
        <f>VLOOKUP($B198,'2017'!$A$5:$Q$1425,COUNTA(Upload!$E$3:E$3)+2,FALSE)</f>
        <v>583.82000000000005</v>
      </c>
      <c r="F198" s="209">
        <f>VLOOKUP($B198,'2017'!$A$5:$Q$1425,COUNTA(Upload!$E$3:F$3)+2,FALSE)</f>
        <v>583.82000000000005</v>
      </c>
      <c r="G198" s="209">
        <f>VLOOKUP($B198,'2017'!$A$5:$Q$1425,COUNTA(Upload!$E$3:G$3)+2,FALSE)</f>
        <v>583.82000000000005</v>
      </c>
      <c r="H198" s="209">
        <f>VLOOKUP($B198,'2017'!$A$5:$Q$1425,COUNTA(Upload!$E$3:H$3)+2,FALSE)</f>
        <v>583.82000000000005</v>
      </c>
      <c r="I198" s="209">
        <f>VLOOKUP($B198,'2017'!$A$5:$Q$1425,COUNTA(Upload!$E$3:I$3)+2,FALSE)</f>
        <v>583.82000000000005</v>
      </c>
      <c r="J198" s="209">
        <f>VLOOKUP($B198,'2017'!$A$5:$Q$1425,COUNTA(Upload!$E$3:J$3)+2,FALSE)</f>
        <v>583.82000000000005</v>
      </c>
      <c r="K198" s="209">
        <f>VLOOKUP($B198,'2017'!$A$5:$Q$1425,COUNTA(Upload!$E$3:K$3)+2,FALSE)</f>
        <v>583.82000000000005</v>
      </c>
      <c r="L198" s="209">
        <f>VLOOKUP($B198,'2017'!$A$5:$Q$1425,COUNTA(Upload!$E$3:L$3)+2,FALSE)</f>
        <v>583.82000000000005</v>
      </c>
      <c r="M198" s="209">
        <f>VLOOKUP($B198,'2017'!$A$5:$Q$1425,COUNTA(Upload!$E$3:M$3)+2,FALSE)</f>
        <v>583.82000000000005</v>
      </c>
      <c r="N198" s="209">
        <f>VLOOKUP($B198,'2017'!$A$5:$Q$1425,COUNTA(Upload!$E$3:N$3)+2,FALSE)</f>
        <v>583.82000000000005</v>
      </c>
      <c r="O198" s="209">
        <f>VLOOKUP($B198,'2017'!$A$5:$Q$1425,COUNTA(Upload!$E$3:O$3)+2,FALSE)</f>
        <v>583.82000000000005</v>
      </c>
      <c r="P198" s="209">
        <f>VLOOKUP($B198,'2017'!$A$5:$Q$1425,COUNTA(Upload!$E$3:P$3)+2,FALSE)</f>
        <v>583.82000000000005</v>
      </c>
      <c r="T198" s="161"/>
    </row>
    <row r="199" spans="1:20" s="118" customFormat="1" ht="10.5" customHeight="1">
      <c r="A199" s="207" t="s">
        <v>70</v>
      </c>
      <c r="B199" s="412" t="s">
        <v>947</v>
      </c>
      <c r="C199" s="208" t="str">
        <f>+Setup!$B$21</f>
        <v>WC-PropName</v>
      </c>
      <c r="D199" s="208"/>
      <c r="E199" s="209">
        <f>VLOOKUP($B199,'2017'!$A$5:$Q$1425,COUNTA(Upload!$E$3:E$3)+2,FALSE)</f>
        <v>494.33333333333331</v>
      </c>
      <c r="F199" s="209">
        <f>VLOOKUP($B199,'2017'!$A$5:$Q$1425,COUNTA(Upload!$E$3:F$3)+2,FALSE)</f>
        <v>494.33333333333331</v>
      </c>
      <c r="G199" s="209">
        <f>VLOOKUP($B199,'2017'!$A$5:$Q$1425,COUNTA(Upload!$E$3:G$3)+2,FALSE)</f>
        <v>494.33333333333331</v>
      </c>
      <c r="H199" s="209">
        <f>VLOOKUP($B199,'2017'!$A$5:$Q$1425,COUNTA(Upload!$E$3:H$3)+2,FALSE)</f>
        <v>494.33333333333331</v>
      </c>
      <c r="I199" s="209">
        <f>VLOOKUP($B199,'2017'!$A$5:$Q$1425,COUNTA(Upload!$E$3:I$3)+2,FALSE)</f>
        <v>494.33333333333331</v>
      </c>
      <c r="J199" s="209">
        <f>VLOOKUP($B199,'2017'!$A$5:$Q$1425,COUNTA(Upload!$E$3:J$3)+2,FALSE)</f>
        <v>494.33333333333331</v>
      </c>
      <c r="K199" s="209">
        <f>VLOOKUP($B199,'2017'!$A$5:$Q$1425,COUNTA(Upload!$E$3:K$3)+2,FALSE)</f>
        <v>494.33333333333331</v>
      </c>
      <c r="L199" s="209">
        <f>VLOOKUP($B199,'2017'!$A$5:$Q$1425,COUNTA(Upload!$E$3:L$3)+2,FALSE)</f>
        <v>494.33333333333331</v>
      </c>
      <c r="M199" s="209">
        <f>VLOOKUP($B199,'2017'!$A$5:$Q$1425,COUNTA(Upload!$E$3:M$3)+2,FALSE)</f>
        <v>494.33333333333331</v>
      </c>
      <c r="N199" s="209">
        <f>VLOOKUP($B199,'2017'!$A$5:$Q$1425,COUNTA(Upload!$E$3:N$3)+2,FALSE)</f>
        <v>494.33333333333331</v>
      </c>
      <c r="O199" s="209">
        <f>VLOOKUP($B199,'2017'!$A$5:$Q$1425,COUNTA(Upload!$E$3:O$3)+2,FALSE)</f>
        <v>494.33333333333331</v>
      </c>
      <c r="P199" s="209">
        <f>VLOOKUP($B199,'2017'!$A$5:$Q$1425,COUNTA(Upload!$E$3:P$3)+2,FALSE)</f>
        <v>494.33333333333331</v>
      </c>
      <c r="T199" s="161"/>
    </row>
    <row r="200" spans="1:20" s="118" customFormat="1" ht="10.5" customHeight="1">
      <c r="A200" s="207" t="s">
        <v>70</v>
      </c>
      <c r="B200" s="412" t="s">
        <v>949</v>
      </c>
      <c r="C200" s="208" t="str">
        <f>+Setup!$B$21</f>
        <v>WC-PropName</v>
      </c>
      <c r="D200" s="208"/>
      <c r="E200" s="209">
        <f>VLOOKUP($B200,'2017'!$A$5:$Q$1425,COUNTA(Upload!$E$3:E$3)+2,FALSE)</f>
        <v>675.75</v>
      </c>
      <c r="F200" s="209">
        <f>VLOOKUP($B200,'2017'!$A$5:$Q$1425,COUNTA(Upload!$E$3:F$3)+2,FALSE)</f>
        <v>675.75</v>
      </c>
      <c r="G200" s="209">
        <f>VLOOKUP($B200,'2017'!$A$5:$Q$1425,COUNTA(Upload!$E$3:G$3)+2,FALSE)</f>
        <v>675.75</v>
      </c>
      <c r="H200" s="209">
        <f>VLOOKUP($B200,'2017'!$A$5:$Q$1425,COUNTA(Upload!$E$3:H$3)+2,FALSE)</f>
        <v>675.75</v>
      </c>
      <c r="I200" s="209">
        <f>VLOOKUP($B200,'2017'!$A$5:$Q$1425,COUNTA(Upload!$E$3:I$3)+2,FALSE)</f>
        <v>675.75</v>
      </c>
      <c r="J200" s="209">
        <f>VLOOKUP($B200,'2017'!$A$5:$Q$1425,COUNTA(Upload!$E$3:J$3)+2,FALSE)</f>
        <v>675.75</v>
      </c>
      <c r="K200" s="209">
        <f>VLOOKUP($B200,'2017'!$A$5:$Q$1425,COUNTA(Upload!$E$3:K$3)+2,FALSE)</f>
        <v>675.75</v>
      </c>
      <c r="L200" s="209">
        <f>VLOOKUP($B200,'2017'!$A$5:$Q$1425,COUNTA(Upload!$E$3:L$3)+2,FALSE)</f>
        <v>675.75</v>
      </c>
      <c r="M200" s="209">
        <f>VLOOKUP($B200,'2017'!$A$5:$Q$1425,COUNTA(Upload!$E$3:M$3)+2,FALSE)</f>
        <v>675.75</v>
      </c>
      <c r="N200" s="209">
        <f>VLOOKUP($B200,'2017'!$A$5:$Q$1425,COUNTA(Upload!$E$3:N$3)+2,FALSE)</f>
        <v>675.75</v>
      </c>
      <c r="O200" s="209">
        <f>VLOOKUP($B200,'2017'!$A$5:$Q$1425,COUNTA(Upload!$E$3:O$3)+2,FALSE)</f>
        <v>675.75</v>
      </c>
      <c r="P200" s="209">
        <f>VLOOKUP($B200,'2017'!$A$5:$Q$1425,COUNTA(Upload!$E$3:P$3)+2,FALSE)</f>
        <v>675.75</v>
      </c>
      <c r="T200" s="161"/>
    </row>
    <row r="201" spans="1:20" s="118" customFormat="1" ht="10.5" customHeight="1">
      <c r="A201" s="207" t="s">
        <v>70</v>
      </c>
      <c r="B201" s="412" t="s">
        <v>951</v>
      </c>
      <c r="C201" s="208" t="str">
        <f>+Setup!$B$21</f>
        <v>WC-PropName</v>
      </c>
      <c r="D201" s="208"/>
      <c r="E201" s="209">
        <f>VLOOKUP($B201,'2017'!$A$5:$Q$1425,COUNTA(Upload!$E$3:E$3)+2,FALSE)</f>
        <v>211.91666666666666</v>
      </c>
      <c r="F201" s="209">
        <f>VLOOKUP($B201,'2017'!$A$5:$Q$1425,COUNTA(Upload!$E$3:F$3)+2,FALSE)</f>
        <v>211.91666666666666</v>
      </c>
      <c r="G201" s="209">
        <f>VLOOKUP($B201,'2017'!$A$5:$Q$1425,COUNTA(Upload!$E$3:G$3)+2,FALSE)</f>
        <v>211.91666666666666</v>
      </c>
      <c r="H201" s="209">
        <f>VLOOKUP($B201,'2017'!$A$5:$Q$1425,COUNTA(Upload!$E$3:H$3)+2,FALSE)</f>
        <v>211.91666666666666</v>
      </c>
      <c r="I201" s="209">
        <f>VLOOKUP($B201,'2017'!$A$5:$Q$1425,COUNTA(Upload!$E$3:I$3)+2,FALSE)</f>
        <v>211.91666666666666</v>
      </c>
      <c r="J201" s="209">
        <f>VLOOKUP($B201,'2017'!$A$5:$Q$1425,COUNTA(Upload!$E$3:J$3)+2,FALSE)</f>
        <v>211.91666666666666</v>
      </c>
      <c r="K201" s="209">
        <f>VLOOKUP($B201,'2017'!$A$5:$Q$1425,COUNTA(Upload!$E$3:K$3)+2,FALSE)</f>
        <v>211.91666666666666</v>
      </c>
      <c r="L201" s="209">
        <f>VLOOKUP($B201,'2017'!$A$5:$Q$1425,COUNTA(Upload!$E$3:L$3)+2,FALSE)</f>
        <v>211.91666666666666</v>
      </c>
      <c r="M201" s="209">
        <f>VLOOKUP($B201,'2017'!$A$5:$Q$1425,COUNTA(Upload!$E$3:M$3)+2,FALSE)</f>
        <v>211.91666666666666</v>
      </c>
      <c r="N201" s="209">
        <f>VLOOKUP($B201,'2017'!$A$5:$Q$1425,COUNTA(Upload!$E$3:N$3)+2,FALSE)</f>
        <v>211.91666666666666</v>
      </c>
      <c r="O201" s="209">
        <f>VLOOKUP($B201,'2017'!$A$5:$Q$1425,COUNTA(Upload!$E$3:O$3)+2,FALSE)</f>
        <v>211.91666666666666</v>
      </c>
      <c r="P201" s="209">
        <f>VLOOKUP($B201,'2017'!$A$5:$Q$1425,COUNTA(Upload!$E$3:P$3)+2,FALSE)</f>
        <v>211.91666666666666</v>
      </c>
      <c r="T201" s="161"/>
    </row>
    <row r="202" spans="1:20" s="118" customFormat="1" ht="10.5" customHeight="1">
      <c r="A202" s="207" t="s">
        <v>70</v>
      </c>
      <c r="B202" s="412" t="s">
        <v>953</v>
      </c>
      <c r="C202" s="208" t="str">
        <f>+Setup!$B$21</f>
        <v>WC-PropName</v>
      </c>
      <c r="D202" s="208"/>
      <c r="E202" s="209">
        <f>VLOOKUP($B202,'2017'!$A$5:$Q$1425,COUNTA(Upload!$E$3:E$3)+2,FALSE)</f>
        <v>0</v>
      </c>
      <c r="F202" s="209">
        <f>VLOOKUP($B202,'2017'!$A$5:$Q$1425,COUNTA(Upload!$E$3:F$3)+2,FALSE)</f>
        <v>0</v>
      </c>
      <c r="G202" s="209">
        <f>VLOOKUP($B202,'2017'!$A$5:$Q$1425,COUNTA(Upload!$E$3:G$3)+2,FALSE)</f>
        <v>0</v>
      </c>
      <c r="H202" s="209">
        <f>VLOOKUP($B202,'2017'!$A$5:$Q$1425,COUNTA(Upload!$E$3:H$3)+2,FALSE)</f>
        <v>0</v>
      </c>
      <c r="I202" s="209">
        <f>VLOOKUP($B202,'2017'!$A$5:$Q$1425,COUNTA(Upload!$E$3:I$3)+2,FALSE)</f>
        <v>0</v>
      </c>
      <c r="J202" s="209">
        <f>VLOOKUP($B202,'2017'!$A$5:$Q$1425,COUNTA(Upload!$E$3:J$3)+2,FALSE)</f>
        <v>0</v>
      </c>
      <c r="K202" s="209">
        <f>VLOOKUP($B202,'2017'!$A$5:$Q$1425,COUNTA(Upload!$E$3:K$3)+2,FALSE)</f>
        <v>0</v>
      </c>
      <c r="L202" s="209">
        <f>VLOOKUP($B202,'2017'!$A$5:$Q$1425,COUNTA(Upload!$E$3:L$3)+2,FALSE)</f>
        <v>0</v>
      </c>
      <c r="M202" s="209">
        <f>VLOOKUP($B202,'2017'!$A$5:$Q$1425,COUNTA(Upload!$E$3:M$3)+2,FALSE)</f>
        <v>0</v>
      </c>
      <c r="N202" s="209">
        <f>VLOOKUP($B202,'2017'!$A$5:$Q$1425,COUNTA(Upload!$E$3:N$3)+2,FALSE)</f>
        <v>0</v>
      </c>
      <c r="O202" s="209">
        <f>VLOOKUP($B202,'2017'!$A$5:$Q$1425,COUNTA(Upload!$E$3:O$3)+2,FALSE)</f>
        <v>0</v>
      </c>
      <c r="P202" s="209">
        <f>VLOOKUP($B202,'2017'!$A$5:$Q$1425,COUNTA(Upload!$E$3:P$3)+2,FALSE)</f>
        <v>0</v>
      </c>
      <c r="T202" s="161"/>
    </row>
    <row r="203" spans="1:20" s="118" customFormat="1" ht="10.5" customHeight="1">
      <c r="A203" s="207" t="s">
        <v>70</v>
      </c>
      <c r="B203" s="412" t="s">
        <v>954</v>
      </c>
      <c r="C203" s="208" t="str">
        <f>+Setup!$B$21</f>
        <v>WC-PropName</v>
      </c>
      <c r="D203" s="208"/>
      <c r="E203" s="209">
        <f>VLOOKUP($B203,'2017'!$A$5:$Q$1425,COUNTA(Upload!$E$3:E$3)+2,FALSE)</f>
        <v>234.08333333333334</v>
      </c>
      <c r="F203" s="209">
        <f>VLOOKUP($B203,'2017'!$A$5:$Q$1425,COUNTA(Upload!$E$3:F$3)+2,FALSE)</f>
        <v>234.08333333333334</v>
      </c>
      <c r="G203" s="209">
        <f>VLOOKUP($B203,'2017'!$A$5:$Q$1425,COUNTA(Upload!$E$3:G$3)+2,FALSE)</f>
        <v>234.08333333333334</v>
      </c>
      <c r="H203" s="209">
        <f>VLOOKUP($B203,'2017'!$A$5:$Q$1425,COUNTA(Upload!$E$3:H$3)+2,FALSE)</f>
        <v>234.08333333333334</v>
      </c>
      <c r="I203" s="209">
        <f>VLOOKUP($B203,'2017'!$A$5:$Q$1425,COUNTA(Upload!$E$3:I$3)+2,FALSE)</f>
        <v>234.08333333333334</v>
      </c>
      <c r="J203" s="209">
        <f>VLOOKUP($B203,'2017'!$A$5:$Q$1425,COUNTA(Upload!$E$3:J$3)+2,FALSE)</f>
        <v>234.08333333333334</v>
      </c>
      <c r="K203" s="209">
        <f>VLOOKUP($B203,'2017'!$A$5:$Q$1425,COUNTA(Upload!$E$3:K$3)+2,FALSE)</f>
        <v>234.08333333333334</v>
      </c>
      <c r="L203" s="209">
        <f>VLOOKUP($B203,'2017'!$A$5:$Q$1425,COUNTA(Upload!$E$3:L$3)+2,FALSE)</f>
        <v>234.08333333333334</v>
      </c>
      <c r="M203" s="209">
        <f>VLOOKUP($B203,'2017'!$A$5:$Q$1425,COUNTA(Upload!$E$3:M$3)+2,FALSE)</f>
        <v>234.08333333333334</v>
      </c>
      <c r="N203" s="209">
        <f>VLOOKUP($B203,'2017'!$A$5:$Q$1425,COUNTA(Upload!$E$3:N$3)+2,FALSE)</f>
        <v>234.08333333333334</v>
      </c>
      <c r="O203" s="209">
        <f>VLOOKUP($B203,'2017'!$A$5:$Q$1425,COUNTA(Upload!$E$3:O$3)+2,FALSE)</f>
        <v>234.08333333333334</v>
      </c>
      <c r="P203" s="209">
        <f>VLOOKUP($B203,'2017'!$A$5:$Q$1425,COUNTA(Upload!$E$3:P$3)+2,FALSE)</f>
        <v>234.08333333333334</v>
      </c>
      <c r="T203" s="161"/>
    </row>
    <row r="204" spans="1:20" s="118" customFormat="1" ht="10.5" customHeight="1">
      <c r="A204" s="207" t="s">
        <v>70</v>
      </c>
      <c r="B204" s="412" t="s">
        <v>956</v>
      </c>
      <c r="C204" s="208" t="str">
        <f>+Setup!$B$21</f>
        <v>WC-PropName</v>
      </c>
      <c r="D204" s="208"/>
      <c r="E204" s="209">
        <f>VLOOKUP($B204,'2017'!$A$5:$Q$1425,COUNTA(Upload!$E$3:E$3)+2,FALSE)</f>
        <v>0</v>
      </c>
      <c r="F204" s="209">
        <f>VLOOKUP($B204,'2017'!$A$5:$Q$1425,COUNTA(Upload!$E$3:F$3)+2,FALSE)</f>
        <v>0</v>
      </c>
      <c r="G204" s="209">
        <f>VLOOKUP($B204,'2017'!$A$5:$Q$1425,COUNTA(Upload!$E$3:G$3)+2,FALSE)</f>
        <v>0</v>
      </c>
      <c r="H204" s="209">
        <f>VLOOKUP($B204,'2017'!$A$5:$Q$1425,COUNTA(Upload!$E$3:H$3)+2,FALSE)</f>
        <v>0</v>
      </c>
      <c r="I204" s="209">
        <f>VLOOKUP($B204,'2017'!$A$5:$Q$1425,COUNTA(Upload!$E$3:I$3)+2,FALSE)</f>
        <v>0</v>
      </c>
      <c r="J204" s="209">
        <f>VLOOKUP($B204,'2017'!$A$5:$Q$1425,COUNTA(Upload!$E$3:J$3)+2,FALSE)</f>
        <v>0</v>
      </c>
      <c r="K204" s="209">
        <f>VLOOKUP($B204,'2017'!$A$5:$Q$1425,COUNTA(Upload!$E$3:K$3)+2,FALSE)</f>
        <v>0</v>
      </c>
      <c r="L204" s="209">
        <f>VLOOKUP($B204,'2017'!$A$5:$Q$1425,COUNTA(Upload!$E$3:L$3)+2,FALSE)</f>
        <v>0</v>
      </c>
      <c r="M204" s="209">
        <f>VLOOKUP($B204,'2017'!$A$5:$Q$1425,COUNTA(Upload!$E$3:M$3)+2,FALSE)</f>
        <v>0</v>
      </c>
      <c r="N204" s="209">
        <f>VLOOKUP($B204,'2017'!$A$5:$Q$1425,COUNTA(Upload!$E$3:N$3)+2,FALSE)</f>
        <v>0</v>
      </c>
      <c r="O204" s="209">
        <f>VLOOKUP($B204,'2017'!$A$5:$Q$1425,COUNTA(Upload!$E$3:O$3)+2,FALSE)</f>
        <v>0</v>
      </c>
      <c r="P204" s="209">
        <f>VLOOKUP($B204,'2017'!$A$5:$Q$1425,COUNTA(Upload!$E$3:P$3)+2,FALSE)</f>
        <v>0</v>
      </c>
      <c r="T204" s="161"/>
    </row>
    <row r="205" spans="1:20" s="118" customFormat="1" ht="10.5" customHeight="1">
      <c r="A205" s="207" t="s">
        <v>70</v>
      </c>
      <c r="B205" s="412" t="s">
        <v>957</v>
      </c>
      <c r="C205" s="208" t="str">
        <f>+Setup!$B$21</f>
        <v>WC-PropName</v>
      </c>
      <c r="D205" s="208"/>
      <c r="E205" s="209">
        <f>VLOOKUP($B205,'2017'!$A$5:$Q$1425,COUNTA(Upload!$E$3:E$3)+2,FALSE)</f>
        <v>429.41666666666669</v>
      </c>
      <c r="F205" s="209">
        <f>VLOOKUP($B205,'2017'!$A$5:$Q$1425,COUNTA(Upload!$E$3:F$3)+2,FALSE)</f>
        <v>429.41666666666669</v>
      </c>
      <c r="G205" s="209">
        <f>VLOOKUP($B205,'2017'!$A$5:$Q$1425,COUNTA(Upload!$E$3:G$3)+2,FALSE)</f>
        <v>429.41666666666669</v>
      </c>
      <c r="H205" s="209">
        <f>VLOOKUP($B205,'2017'!$A$5:$Q$1425,COUNTA(Upload!$E$3:H$3)+2,FALSE)</f>
        <v>429.41666666666669</v>
      </c>
      <c r="I205" s="209">
        <f>VLOOKUP($B205,'2017'!$A$5:$Q$1425,COUNTA(Upload!$E$3:I$3)+2,FALSE)</f>
        <v>429.41666666666669</v>
      </c>
      <c r="J205" s="209">
        <f>VLOOKUP($B205,'2017'!$A$5:$Q$1425,COUNTA(Upload!$E$3:J$3)+2,FALSE)</f>
        <v>429.41666666666669</v>
      </c>
      <c r="K205" s="209">
        <f>VLOOKUP($B205,'2017'!$A$5:$Q$1425,COUNTA(Upload!$E$3:K$3)+2,FALSE)</f>
        <v>429.41666666666669</v>
      </c>
      <c r="L205" s="209">
        <f>VLOOKUP($B205,'2017'!$A$5:$Q$1425,COUNTA(Upload!$E$3:L$3)+2,FALSE)</f>
        <v>429.41666666666669</v>
      </c>
      <c r="M205" s="209">
        <f>VLOOKUP($B205,'2017'!$A$5:$Q$1425,COUNTA(Upload!$E$3:M$3)+2,FALSE)</f>
        <v>429.41666666666669</v>
      </c>
      <c r="N205" s="209">
        <f>VLOOKUP($B205,'2017'!$A$5:$Q$1425,COUNTA(Upload!$E$3:N$3)+2,FALSE)</f>
        <v>429.41666666666669</v>
      </c>
      <c r="O205" s="209">
        <f>VLOOKUP($B205,'2017'!$A$5:$Q$1425,COUNTA(Upload!$E$3:O$3)+2,FALSE)</f>
        <v>429.41666666666669</v>
      </c>
      <c r="P205" s="209">
        <f>VLOOKUP($B205,'2017'!$A$5:$Q$1425,COUNTA(Upload!$E$3:P$3)+2,FALSE)</f>
        <v>429.41666666666669</v>
      </c>
      <c r="T205" s="161"/>
    </row>
    <row r="206" spans="1:20" s="118" customFormat="1" ht="10.5" customHeight="1">
      <c r="A206" s="207" t="s">
        <v>70</v>
      </c>
      <c r="B206" s="412" t="s">
        <v>959</v>
      </c>
      <c r="C206" s="208" t="str">
        <f>+Setup!$B$21</f>
        <v>WC-PropName</v>
      </c>
      <c r="D206" s="208"/>
      <c r="E206" s="209">
        <f>VLOOKUP($B206,'2017'!$A$5:$Q$1425,COUNTA(Upload!$E$3:E$3)+2,FALSE)</f>
        <v>77.083333333333329</v>
      </c>
      <c r="F206" s="209">
        <f>VLOOKUP($B206,'2017'!$A$5:$Q$1425,COUNTA(Upload!$E$3:F$3)+2,FALSE)</f>
        <v>77.083333333333329</v>
      </c>
      <c r="G206" s="209">
        <f>VLOOKUP($B206,'2017'!$A$5:$Q$1425,COUNTA(Upload!$E$3:G$3)+2,FALSE)</f>
        <v>77.083333333333329</v>
      </c>
      <c r="H206" s="209">
        <f>VLOOKUP($B206,'2017'!$A$5:$Q$1425,COUNTA(Upload!$E$3:H$3)+2,FALSE)</f>
        <v>77.083333333333329</v>
      </c>
      <c r="I206" s="209">
        <f>VLOOKUP($B206,'2017'!$A$5:$Q$1425,COUNTA(Upload!$E$3:I$3)+2,FALSE)</f>
        <v>77.083333333333329</v>
      </c>
      <c r="J206" s="209">
        <f>VLOOKUP($B206,'2017'!$A$5:$Q$1425,COUNTA(Upload!$E$3:J$3)+2,FALSE)</f>
        <v>77.083333333333329</v>
      </c>
      <c r="K206" s="209">
        <f>VLOOKUP($B206,'2017'!$A$5:$Q$1425,COUNTA(Upload!$E$3:K$3)+2,FALSE)</f>
        <v>77.083333333333329</v>
      </c>
      <c r="L206" s="209">
        <f>VLOOKUP($B206,'2017'!$A$5:$Q$1425,COUNTA(Upload!$E$3:L$3)+2,FALSE)</f>
        <v>77.083333333333329</v>
      </c>
      <c r="M206" s="209">
        <f>VLOOKUP($B206,'2017'!$A$5:$Q$1425,COUNTA(Upload!$E$3:M$3)+2,FALSE)</f>
        <v>77.083333333333329</v>
      </c>
      <c r="N206" s="209">
        <f>VLOOKUP($B206,'2017'!$A$5:$Q$1425,COUNTA(Upload!$E$3:N$3)+2,FALSE)</f>
        <v>77.083333333333329</v>
      </c>
      <c r="O206" s="209">
        <f>VLOOKUP($B206,'2017'!$A$5:$Q$1425,COUNTA(Upload!$E$3:O$3)+2,FALSE)</f>
        <v>77.083333333333329</v>
      </c>
      <c r="P206" s="209">
        <f>VLOOKUP($B206,'2017'!$A$5:$Q$1425,COUNTA(Upload!$E$3:P$3)+2,FALSE)</f>
        <v>77.083333333333329</v>
      </c>
      <c r="T206" s="161"/>
    </row>
    <row r="207" spans="1:20" s="118" customFormat="1" ht="10.5" customHeight="1">
      <c r="A207" s="207" t="s">
        <v>70</v>
      </c>
      <c r="B207" s="412" t="s">
        <v>961</v>
      </c>
      <c r="C207" s="208" t="str">
        <f>+Setup!$B$21</f>
        <v>WC-PropName</v>
      </c>
      <c r="D207" s="208"/>
      <c r="E207" s="209">
        <f>VLOOKUP($B207,'2017'!$A$5:$Q$1425,COUNTA(Upload!$E$3:E$3)+2,FALSE)</f>
        <v>929</v>
      </c>
      <c r="F207" s="209">
        <f>VLOOKUP($B207,'2017'!$A$5:$Q$1425,COUNTA(Upload!$E$3:F$3)+2,FALSE)</f>
        <v>929</v>
      </c>
      <c r="G207" s="209">
        <f>VLOOKUP($B207,'2017'!$A$5:$Q$1425,COUNTA(Upload!$E$3:G$3)+2,FALSE)</f>
        <v>929</v>
      </c>
      <c r="H207" s="209">
        <f>VLOOKUP($B207,'2017'!$A$5:$Q$1425,COUNTA(Upload!$E$3:H$3)+2,FALSE)</f>
        <v>929</v>
      </c>
      <c r="I207" s="209">
        <f>VLOOKUP($B207,'2017'!$A$5:$Q$1425,COUNTA(Upload!$E$3:I$3)+2,FALSE)</f>
        <v>929</v>
      </c>
      <c r="J207" s="209">
        <f>VLOOKUP($B207,'2017'!$A$5:$Q$1425,COUNTA(Upload!$E$3:J$3)+2,FALSE)</f>
        <v>929</v>
      </c>
      <c r="K207" s="209">
        <f>VLOOKUP($B207,'2017'!$A$5:$Q$1425,COUNTA(Upload!$E$3:K$3)+2,FALSE)</f>
        <v>929</v>
      </c>
      <c r="L207" s="209">
        <f>VLOOKUP($B207,'2017'!$A$5:$Q$1425,COUNTA(Upload!$E$3:L$3)+2,FALSE)</f>
        <v>929</v>
      </c>
      <c r="M207" s="209">
        <f>VLOOKUP($B207,'2017'!$A$5:$Q$1425,COUNTA(Upload!$E$3:M$3)+2,FALSE)</f>
        <v>929</v>
      </c>
      <c r="N207" s="209">
        <f>VLOOKUP($B207,'2017'!$A$5:$Q$1425,COUNTA(Upload!$E$3:N$3)+2,FALSE)</f>
        <v>929</v>
      </c>
      <c r="O207" s="209">
        <f>VLOOKUP($B207,'2017'!$A$5:$Q$1425,COUNTA(Upload!$E$3:O$3)+2,FALSE)</f>
        <v>929</v>
      </c>
      <c r="P207" s="209">
        <f>VLOOKUP($B207,'2017'!$A$5:$Q$1425,COUNTA(Upload!$E$3:P$3)+2,FALSE)</f>
        <v>929</v>
      </c>
      <c r="T207" s="161"/>
    </row>
    <row r="208" spans="1:20" s="118" customFormat="1" ht="10.5" customHeight="1">
      <c r="A208" s="207" t="s">
        <v>70</v>
      </c>
      <c r="B208" s="412" t="s">
        <v>963</v>
      </c>
      <c r="C208" s="208" t="str">
        <f>+Setup!$B$21</f>
        <v>WC-PropName</v>
      </c>
      <c r="D208" s="208"/>
      <c r="E208" s="209">
        <f>VLOOKUP($B208,'2017'!$A$5:$Q$1425,COUNTA(Upload!$E$3:E$3)+2,FALSE)</f>
        <v>0</v>
      </c>
      <c r="F208" s="209">
        <f>VLOOKUP($B208,'2017'!$A$5:$Q$1425,COUNTA(Upload!$E$3:F$3)+2,FALSE)</f>
        <v>0</v>
      </c>
      <c r="G208" s="209">
        <f>VLOOKUP($B208,'2017'!$A$5:$Q$1425,COUNTA(Upload!$E$3:G$3)+2,FALSE)</f>
        <v>0</v>
      </c>
      <c r="H208" s="209">
        <f>VLOOKUP($B208,'2017'!$A$5:$Q$1425,COUNTA(Upload!$E$3:H$3)+2,FALSE)</f>
        <v>0</v>
      </c>
      <c r="I208" s="209">
        <f>VLOOKUP($B208,'2017'!$A$5:$Q$1425,COUNTA(Upload!$E$3:I$3)+2,FALSE)</f>
        <v>0</v>
      </c>
      <c r="J208" s="209">
        <f>VLOOKUP($B208,'2017'!$A$5:$Q$1425,COUNTA(Upload!$E$3:J$3)+2,FALSE)</f>
        <v>0</v>
      </c>
      <c r="K208" s="209">
        <f>VLOOKUP($B208,'2017'!$A$5:$Q$1425,COUNTA(Upload!$E$3:K$3)+2,FALSE)</f>
        <v>0</v>
      </c>
      <c r="L208" s="209">
        <f>VLOOKUP($B208,'2017'!$A$5:$Q$1425,COUNTA(Upload!$E$3:L$3)+2,FALSE)</f>
        <v>0</v>
      </c>
      <c r="M208" s="209">
        <f>VLOOKUP($B208,'2017'!$A$5:$Q$1425,COUNTA(Upload!$E$3:M$3)+2,FALSE)</f>
        <v>0</v>
      </c>
      <c r="N208" s="209">
        <f>VLOOKUP($B208,'2017'!$A$5:$Q$1425,COUNTA(Upload!$E$3:N$3)+2,FALSE)</f>
        <v>0</v>
      </c>
      <c r="O208" s="209">
        <f>VLOOKUP($B208,'2017'!$A$5:$Q$1425,COUNTA(Upload!$E$3:O$3)+2,FALSE)</f>
        <v>0</v>
      </c>
      <c r="P208" s="209">
        <f>VLOOKUP($B208,'2017'!$A$5:$Q$1425,COUNTA(Upload!$E$3:P$3)+2,FALSE)</f>
        <v>0</v>
      </c>
      <c r="T208" s="161"/>
    </row>
    <row r="209" spans="1:20" s="118" customFormat="1" ht="10.5" customHeight="1">
      <c r="A209" s="207" t="s">
        <v>70</v>
      </c>
      <c r="B209" s="412" t="s">
        <v>966</v>
      </c>
      <c r="C209" s="208" t="str">
        <f>+Setup!$B$21</f>
        <v>WC-PropName</v>
      </c>
      <c r="D209" s="208"/>
      <c r="E209" s="209">
        <f>VLOOKUP($B209,'2017'!$A$5:$Q$1425,COUNTA(Upload!$E$3:E$3)+2,FALSE)</f>
        <v>0</v>
      </c>
      <c r="F209" s="209">
        <f>VLOOKUP($B209,'2017'!$A$5:$Q$1425,COUNTA(Upload!$E$3:F$3)+2,FALSE)</f>
        <v>0</v>
      </c>
      <c r="G209" s="209">
        <f>VLOOKUP($B209,'2017'!$A$5:$Q$1425,COUNTA(Upload!$E$3:G$3)+2,FALSE)</f>
        <v>0</v>
      </c>
      <c r="H209" s="209">
        <f>VLOOKUP($B209,'2017'!$A$5:$Q$1425,COUNTA(Upload!$E$3:H$3)+2,FALSE)</f>
        <v>0</v>
      </c>
      <c r="I209" s="209">
        <f>VLOOKUP($B209,'2017'!$A$5:$Q$1425,COUNTA(Upload!$E$3:I$3)+2,FALSE)</f>
        <v>0</v>
      </c>
      <c r="J209" s="209">
        <f>VLOOKUP($B209,'2017'!$A$5:$Q$1425,COUNTA(Upload!$E$3:J$3)+2,FALSE)</f>
        <v>0</v>
      </c>
      <c r="K209" s="209">
        <f>VLOOKUP($B209,'2017'!$A$5:$Q$1425,COUNTA(Upload!$E$3:K$3)+2,FALSE)</f>
        <v>0</v>
      </c>
      <c r="L209" s="209">
        <f>VLOOKUP($B209,'2017'!$A$5:$Q$1425,COUNTA(Upload!$E$3:L$3)+2,FALSE)</f>
        <v>0</v>
      </c>
      <c r="M209" s="209">
        <f>VLOOKUP($B209,'2017'!$A$5:$Q$1425,COUNTA(Upload!$E$3:M$3)+2,FALSE)</f>
        <v>0</v>
      </c>
      <c r="N209" s="209">
        <f>VLOOKUP($B209,'2017'!$A$5:$Q$1425,COUNTA(Upload!$E$3:N$3)+2,FALSE)</f>
        <v>0</v>
      </c>
      <c r="O209" s="209">
        <f>VLOOKUP($B209,'2017'!$A$5:$Q$1425,COUNTA(Upload!$E$3:O$3)+2,FALSE)</f>
        <v>0</v>
      </c>
      <c r="P209" s="209">
        <f>VLOOKUP($B209,'2017'!$A$5:$Q$1425,COUNTA(Upload!$E$3:P$3)+2,FALSE)</f>
        <v>0</v>
      </c>
      <c r="T209" s="161"/>
    </row>
    <row r="210" spans="1:20" s="118" customFormat="1" ht="10.5" customHeight="1">
      <c r="A210" s="207" t="s">
        <v>70</v>
      </c>
      <c r="B210" s="412" t="s">
        <v>967</v>
      </c>
      <c r="C210" s="208" t="str">
        <f>+Setup!$B$21</f>
        <v>WC-PropName</v>
      </c>
      <c r="D210" s="208"/>
      <c r="E210" s="209">
        <f>VLOOKUP($B210,'2017'!$A$5:$Q$1425,COUNTA(Upload!$E$3:E$3)+2,FALSE)</f>
        <v>220.33333333333334</v>
      </c>
      <c r="F210" s="209">
        <f>VLOOKUP($B210,'2017'!$A$5:$Q$1425,COUNTA(Upload!$E$3:F$3)+2,FALSE)</f>
        <v>220.33333333333334</v>
      </c>
      <c r="G210" s="209">
        <f>VLOOKUP($B210,'2017'!$A$5:$Q$1425,COUNTA(Upload!$E$3:G$3)+2,FALSE)</f>
        <v>220.33333333333334</v>
      </c>
      <c r="H210" s="209">
        <f>VLOOKUP($B210,'2017'!$A$5:$Q$1425,COUNTA(Upload!$E$3:H$3)+2,FALSE)</f>
        <v>220.33333333333334</v>
      </c>
      <c r="I210" s="209">
        <f>VLOOKUP($B210,'2017'!$A$5:$Q$1425,COUNTA(Upload!$E$3:I$3)+2,FALSE)</f>
        <v>220.33333333333334</v>
      </c>
      <c r="J210" s="209">
        <f>VLOOKUP($B210,'2017'!$A$5:$Q$1425,COUNTA(Upload!$E$3:J$3)+2,FALSE)</f>
        <v>220.33333333333334</v>
      </c>
      <c r="K210" s="209">
        <f>VLOOKUP($B210,'2017'!$A$5:$Q$1425,COUNTA(Upload!$E$3:K$3)+2,FALSE)</f>
        <v>220.33333333333334</v>
      </c>
      <c r="L210" s="209">
        <f>VLOOKUP($B210,'2017'!$A$5:$Q$1425,COUNTA(Upload!$E$3:L$3)+2,FALSE)</f>
        <v>220.33333333333334</v>
      </c>
      <c r="M210" s="209">
        <f>VLOOKUP($B210,'2017'!$A$5:$Q$1425,COUNTA(Upload!$E$3:M$3)+2,FALSE)</f>
        <v>220.33333333333334</v>
      </c>
      <c r="N210" s="209">
        <f>VLOOKUP($B210,'2017'!$A$5:$Q$1425,COUNTA(Upload!$E$3:N$3)+2,FALSE)</f>
        <v>220.33333333333334</v>
      </c>
      <c r="O210" s="209">
        <f>VLOOKUP($B210,'2017'!$A$5:$Q$1425,COUNTA(Upload!$E$3:O$3)+2,FALSE)</f>
        <v>220.33333333333334</v>
      </c>
      <c r="P210" s="209">
        <f>VLOOKUP($B210,'2017'!$A$5:$Q$1425,COUNTA(Upload!$E$3:P$3)+2,FALSE)</f>
        <v>220.33333333333334</v>
      </c>
      <c r="T210" s="161"/>
    </row>
    <row r="211" spans="1:20" s="118" customFormat="1" ht="10.5" customHeight="1">
      <c r="A211" s="207" t="s">
        <v>70</v>
      </c>
      <c r="B211" s="412" t="s">
        <v>969</v>
      </c>
      <c r="C211" s="208" t="str">
        <f>+Setup!$B$21</f>
        <v>WC-PropName</v>
      </c>
      <c r="D211" s="208"/>
      <c r="E211" s="209">
        <f>VLOOKUP($B211,'2017'!$A$5:$Q$1425,COUNTA(Upload!$E$3:E$3)+2,FALSE)</f>
        <v>0</v>
      </c>
      <c r="F211" s="209">
        <f>VLOOKUP($B211,'2017'!$A$5:$Q$1425,COUNTA(Upload!$E$3:F$3)+2,FALSE)</f>
        <v>0</v>
      </c>
      <c r="G211" s="209">
        <f>VLOOKUP($B211,'2017'!$A$5:$Q$1425,COUNTA(Upload!$E$3:G$3)+2,FALSE)</f>
        <v>0</v>
      </c>
      <c r="H211" s="209">
        <f>VLOOKUP($B211,'2017'!$A$5:$Q$1425,COUNTA(Upload!$E$3:H$3)+2,FALSE)</f>
        <v>0</v>
      </c>
      <c r="I211" s="209">
        <f>VLOOKUP($B211,'2017'!$A$5:$Q$1425,COUNTA(Upload!$E$3:I$3)+2,FALSE)</f>
        <v>0</v>
      </c>
      <c r="J211" s="209">
        <f>VLOOKUP($B211,'2017'!$A$5:$Q$1425,COUNTA(Upload!$E$3:J$3)+2,FALSE)</f>
        <v>0</v>
      </c>
      <c r="K211" s="209">
        <f>VLOOKUP($B211,'2017'!$A$5:$Q$1425,COUNTA(Upload!$E$3:K$3)+2,FALSE)</f>
        <v>0</v>
      </c>
      <c r="L211" s="209">
        <f>VLOOKUP($B211,'2017'!$A$5:$Q$1425,COUNTA(Upload!$E$3:L$3)+2,FALSE)</f>
        <v>0</v>
      </c>
      <c r="M211" s="209">
        <f>VLOOKUP($B211,'2017'!$A$5:$Q$1425,COUNTA(Upload!$E$3:M$3)+2,FALSE)</f>
        <v>0</v>
      </c>
      <c r="N211" s="209">
        <f>VLOOKUP($B211,'2017'!$A$5:$Q$1425,COUNTA(Upload!$E$3:N$3)+2,FALSE)</f>
        <v>0</v>
      </c>
      <c r="O211" s="209">
        <f>VLOOKUP($B211,'2017'!$A$5:$Q$1425,COUNTA(Upload!$E$3:O$3)+2,FALSE)</f>
        <v>0</v>
      </c>
      <c r="P211" s="209">
        <f>VLOOKUP($B211,'2017'!$A$5:$Q$1425,COUNTA(Upload!$E$3:P$3)+2,FALSE)</f>
        <v>0</v>
      </c>
      <c r="T211" s="161"/>
    </row>
    <row r="212" spans="1:20" s="118" customFormat="1" ht="10.5" customHeight="1">
      <c r="A212" s="207" t="s">
        <v>70</v>
      </c>
      <c r="B212" s="412" t="s">
        <v>970</v>
      </c>
      <c r="C212" s="208" t="str">
        <f>+Setup!$B$21</f>
        <v>WC-PropName</v>
      </c>
      <c r="D212" s="208"/>
      <c r="E212" s="209">
        <f>VLOOKUP($B212,'2017'!$A$5:$Q$1425,COUNTA(Upload!$E$3:E$3)+2,FALSE)</f>
        <v>377.41666666666669</v>
      </c>
      <c r="F212" s="209">
        <f>VLOOKUP($B212,'2017'!$A$5:$Q$1425,COUNTA(Upload!$E$3:F$3)+2,FALSE)</f>
        <v>377.41666666666669</v>
      </c>
      <c r="G212" s="209">
        <f>VLOOKUP($B212,'2017'!$A$5:$Q$1425,COUNTA(Upload!$E$3:G$3)+2,FALSE)</f>
        <v>377.41666666666669</v>
      </c>
      <c r="H212" s="209">
        <f>VLOOKUP($B212,'2017'!$A$5:$Q$1425,COUNTA(Upload!$E$3:H$3)+2,FALSE)</f>
        <v>377.41666666666669</v>
      </c>
      <c r="I212" s="209">
        <f>VLOOKUP($B212,'2017'!$A$5:$Q$1425,COUNTA(Upload!$E$3:I$3)+2,FALSE)</f>
        <v>377.41666666666669</v>
      </c>
      <c r="J212" s="209">
        <f>VLOOKUP($B212,'2017'!$A$5:$Q$1425,COUNTA(Upload!$E$3:J$3)+2,FALSE)</f>
        <v>377.41666666666669</v>
      </c>
      <c r="K212" s="209">
        <f>VLOOKUP($B212,'2017'!$A$5:$Q$1425,COUNTA(Upload!$E$3:K$3)+2,FALSE)</f>
        <v>377.41666666666669</v>
      </c>
      <c r="L212" s="209">
        <f>VLOOKUP($B212,'2017'!$A$5:$Q$1425,COUNTA(Upload!$E$3:L$3)+2,FALSE)</f>
        <v>377.41666666666669</v>
      </c>
      <c r="M212" s="209">
        <f>VLOOKUP($B212,'2017'!$A$5:$Q$1425,COUNTA(Upload!$E$3:M$3)+2,FALSE)</f>
        <v>377.41666666666669</v>
      </c>
      <c r="N212" s="209">
        <f>VLOOKUP($B212,'2017'!$A$5:$Q$1425,COUNTA(Upload!$E$3:N$3)+2,FALSE)</f>
        <v>377.41666666666669</v>
      </c>
      <c r="O212" s="209">
        <f>VLOOKUP($B212,'2017'!$A$5:$Q$1425,COUNTA(Upload!$E$3:O$3)+2,FALSE)</f>
        <v>377.41666666666669</v>
      </c>
      <c r="P212" s="209">
        <f>VLOOKUP($B212,'2017'!$A$5:$Q$1425,COUNTA(Upload!$E$3:P$3)+2,FALSE)</f>
        <v>377.41666666666669</v>
      </c>
      <c r="T212" s="161"/>
    </row>
    <row r="213" spans="1:20" s="118" customFormat="1" ht="10.5" customHeight="1">
      <c r="A213" s="207" t="s">
        <v>70</v>
      </c>
      <c r="B213" s="412" t="s">
        <v>972</v>
      </c>
      <c r="C213" s="208" t="str">
        <f>+Setup!$B$21</f>
        <v>WC-PropName</v>
      </c>
      <c r="D213" s="208"/>
      <c r="E213" s="209">
        <f>VLOOKUP($B213,'2017'!$A$5:$Q$1425,COUNTA(Upload!$E$3:E$3)+2,FALSE)</f>
        <v>0</v>
      </c>
      <c r="F213" s="209">
        <f>VLOOKUP($B213,'2017'!$A$5:$Q$1425,COUNTA(Upload!$E$3:F$3)+2,FALSE)</f>
        <v>0</v>
      </c>
      <c r="G213" s="209">
        <f>VLOOKUP($B213,'2017'!$A$5:$Q$1425,COUNTA(Upload!$E$3:G$3)+2,FALSE)</f>
        <v>0</v>
      </c>
      <c r="H213" s="209">
        <f>VLOOKUP($B213,'2017'!$A$5:$Q$1425,COUNTA(Upload!$E$3:H$3)+2,FALSE)</f>
        <v>0</v>
      </c>
      <c r="I213" s="209">
        <f>VLOOKUP($B213,'2017'!$A$5:$Q$1425,COUNTA(Upload!$E$3:I$3)+2,FALSE)</f>
        <v>0</v>
      </c>
      <c r="J213" s="209">
        <f>VLOOKUP($B213,'2017'!$A$5:$Q$1425,COUNTA(Upload!$E$3:J$3)+2,FALSE)</f>
        <v>0</v>
      </c>
      <c r="K213" s="209">
        <f>VLOOKUP($B213,'2017'!$A$5:$Q$1425,COUNTA(Upload!$E$3:K$3)+2,FALSE)</f>
        <v>0</v>
      </c>
      <c r="L213" s="209">
        <f>VLOOKUP($B213,'2017'!$A$5:$Q$1425,COUNTA(Upload!$E$3:L$3)+2,FALSE)</f>
        <v>0</v>
      </c>
      <c r="M213" s="209">
        <f>VLOOKUP($B213,'2017'!$A$5:$Q$1425,COUNTA(Upload!$E$3:M$3)+2,FALSE)</f>
        <v>0</v>
      </c>
      <c r="N213" s="209">
        <f>VLOOKUP($B213,'2017'!$A$5:$Q$1425,COUNTA(Upload!$E$3:N$3)+2,FALSE)</f>
        <v>0</v>
      </c>
      <c r="O213" s="209">
        <f>VLOOKUP($B213,'2017'!$A$5:$Q$1425,COUNTA(Upload!$E$3:O$3)+2,FALSE)</f>
        <v>0</v>
      </c>
      <c r="P213" s="209">
        <f>VLOOKUP($B213,'2017'!$A$5:$Q$1425,COUNTA(Upload!$E$3:P$3)+2,FALSE)</f>
        <v>0</v>
      </c>
      <c r="T213" s="161"/>
    </row>
    <row r="214" spans="1:20" s="118" customFormat="1" ht="10.5" customHeight="1">
      <c r="A214" s="207" t="s">
        <v>70</v>
      </c>
      <c r="B214" s="412" t="s">
        <v>973</v>
      </c>
      <c r="C214" s="208" t="str">
        <f>+Setup!$B$21</f>
        <v>WC-PropName</v>
      </c>
      <c r="D214" s="208"/>
      <c r="E214" s="209">
        <f>VLOOKUP($B214,'2017'!$A$5:$Q$1425,COUNTA(Upload!$E$3:E$3)+2,FALSE)</f>
        <v>128.83333333333334</v>
      </c>
      <c r="F214" s="209">
        <f>VLOOKUP($B214,'2017'!$A$5:$Q$1425,COUNTA(Upload!$E$3:F$3)+2,FALSE)</f>
        <v>128.83333333333334</v>
      </c>
      <c r="G214" s="209">
        <f>VLOOKUP($B214,'2017'!$A$5:$Q$1425,COUNTA(Upload!$E$3:G$3)+2,FALSE)</f>
        <v>128.83333333333334</v>
      </c>
      <c r="H214" s="209">
        <f>VLOOKUP($B214,'2017'!$A$5:$Q$1425,COUNTA(Upload!$E$3:H$3)+2,FALSE)</f>
        <v>128.83333333333334</v>
      </c>
      <c r="I214" s="209">
        <f>VLOOKUP($B214,'2017'!$A$5:$Q$1425,COUNTA(Upload!$E$3:I$3)+2,FALSE)</f>
        <v>128.83333333333334</v>
      </c>
      <c r="J214" s="209">
        <f>VLOOKUP($B214,'2017'!$A$5:$Q$1425,COUNTA(Upload!$E$3:J$3)+2,FALSE)</f>
        <v>128.83333333333334</v>
      </c>
      <c r="K214" s="209">
        <f>VLOOKUP($B214,'2017'!$A$5:$Q$1425,COUNTA(Upload!$E$3:K$3)+2,FALSE)</f>
        <v>128.83333333333334</v>
      </c>
      <c r="L214" s="209">
        <f>VLOOKUP($B214,'2017'!$A$5:$Q$1425,COUNTA(Upload!$E$3:L$3)+2,FALSE)</f>
        <v>128.83333333333334</v>
      </c>
      <c r="M214" s="209">
        <f>VLOOKUP($B214,'2017'!$A$5:$Q$1425,COUNTA(Upload!$E$3:M$3)+2,FALSE)</f>
        <v>128.83333333333334</v>
      </c>
      <c r="N214" s="209">
        <f>VLOOKUP($B214,'2017'!$A$5:$Q$1425,COUNTA(Upload!$E$3:N$3)+2,FALSE)</f>
        <v>128.83333333333334</v>
      </c>
      <c r="O214" s="209">
        <f>VLOOKUP($B214,'2017'!$A$5:$Q$1425,COUNTA(Upload!$E$3:O$3)+2,FALSE)</f>
        <v>128.83333333333334</v>
      </c>
      <c r="P214" s="209">
        <f>VLOOKUP($B214,'2017'!$A$5:$Q$1425,COUNTA(Upload!$E$3:P$3)+2,FALSE)</f>
        <v>128.83333333333334</v>
      </c>
      <c r="T214" s="161"/>
    </row>
    <row r="215" spans="1:20" s="118" customFormat="1" ht="10.5" customHeight="1">
      <c r="A215" s="207" t="s">
        <v>70</v>
      </c>
      <c r="B215" s="412" t="s">
        <v>975</v>
      </c>
      <c r="C215" s="208" t="str">
        <f>+Setup!$B$21</f>
        <v>WC-PropName</v>
      </c>
      <c r="D215" s="208"/>
      <c r="E215" s="209">
        <f>VLOOKUP($B215,'2017'!$A$5:$Q$1425,COUNTA(Upload!$E$3:E$3)+2,FALSE)</f>
        <v>0</v>
      </c>
      <c r="F215" s="209">
        <f>VLOOKUP($B215,'2017'!$A$5:$Q$1425,COUNTA(Upload!$E$3:F$3)+2,FALSE)</f>
        <v>0</v>
      </c>
      <c r="G215" s="209">
        <f>VLOOKUP($B215,'2017'!$A$5:$Q$1425,COUNTA(Upload!$E$3:G$3)+2,FALSE)</f>
        <v>0</v>
      </c>
      <c r="H215" s="209">
        <f>VLOOKUP($B215,'2017'!$A$5:$Q$1425,COUNTA(Upload!$E$3:H$3)+2,FALSE)</f>
        <v>0</v>
      </c>
      <c r="I215" s="209">
        <f>VLOOKUP($B215,'2017'!$A$5:$Q$1425,COUNTA(Upload!$E$3:I$3)+2,FALSE)</f>
        <v>0</v>
      </c>
      <c r="J215" s="209">
        <f>VLOOKUP($B215,'2017'!$A$5:$Q$1425,COUNTA(Upload!$E$3:J$3)+2,FALSE)</f>
        <v>0</v>
      </c>
      <c r="K215" s="209">
        <f>VLOOKUP($B215,'2017'!$A$5:$Q$1425,COUNTA(Upload!$E$3:K$3)+2,FALSE)</f>
        <v>0</v>
      </c>
      <c r="L215" s="209">
        <f>VLOOKUP($B215,'2017'!$A$5:$Q$1425,COUNTA(Upload!$E$3:L$3)+2,FALSE)</f>
        <v>0</v>
      </c>
      <c r="M215" s="209">
        <f>VLOOKUP($B215,'2017'!$A$5:$Q$1425,COUNTA(Upload!$E$3:M$3)+2,FALSE)</f>
        <v>0</v>
      </c>
      <c r="N215" s="209">
        <f>VLOOKUP($B215,'2017'!$A$5:$Q$1425,COUNTA(Upload!$E$3:N$3)+2,FALSE)</f>
        <v>0</v>
      </c>
      <c r="O215" s="209">
        <f>VLOOKUP($B215,'2017'!$A$5:$Q$1425,COUNTA(Upload!$E$3:O$3)+2,FALSE)</f>
        <v>0</v>
      </c>
      <c r="P215" s="209">
        <f>VLOOKUP($B215,'2017'!$A$5:$Q$1425,COUNTA(Upload!$E$3:P$3)+2,FALSE)</f>
        <v>0</v>
      </c>
      <c r="T215" s="161"/>
    </row>
    <row r="216" spans="1:20" s="118" customFormat="1" ht="10.5" customHeight="1">
      <c r="A216" s="207" t="s">
        <v>70</v>
      </c>
      <c r="B216" s="412" t="s">
        <v>976</v>
      </c>
      <c r="C216" s="208" t="str">
        <f>+Setup!$B$21</f>
        <v>WC-PropName</v>
      </c>
      <c r="D216" s="208"/>
      <c r="E216" s="209">
        <f>VLOOKUP($B216,'2017'!$A$5:$Q$1425,COUNTA(Upload!$E$3:E$3)+2,FALSE)</f>
        <v>0</v>
      </c>
      <c r="F216" s="209">
        <f>VLOOKUP($B216,'2017'!$A$5:$Q$1425,COUNTA(Upload!$E$3:F$3)+2,FALSE)</f>
        <v>0</v>
      </c>
      <c r="G216" s="209">
        <f>VLOOKUP($B216,'2017'!$A$5:$Q$1425,COUNTA(Upload!$E$3:G$3)+2,FALSE)</f>
        <v>0</v>
      </c>
      <c r="H216" s="209">
        <f>VLOOKUP($B216,'2017'!$A$5:$Q$1425,COUNTA(Upload!$E$3:H$3)+2,FALSE)</f>
        <v>0</v>
      </c>
      <c r="I216" s="209">
        <f>VLOOKUP($B216,'2017'!$A$5:$Q$1425,COUNTA(Upload!$E$3:I$3)+2,FALSE)</f>
        <v>0</v>
      </c>
      <c r="J216" s="209">
        <f>VLOOKUP($B216,'2017'!$A$5:$Q$1425,COUNTA(Upload!$E$3:J$3)+2,FALSE)</f>
        <v>0</v>
      </c>
      <c r="K216" s="209">
        <f>VLOOKUP($B216,'2017'!$A$5:$Q$1425,COUNTA(Upload!$E$3:K$3)+2,FALSE)</f>
        <v>0</v>
      </c>
      <c r="L216" s="209">
        <f>VLOOKUP($B216,'2017'!$A$5:$Q$1425,COUNTA(Upload!$E$3:L$3)+2,FALSE)</f>
        <v>0</v>
      </c>
      <c r="M216" s="209">
        <f>VLOOKUP($B216,'2017'!$A$5:$Q$1425,COUNTA(Upload!$E$3:M$3)+2,FALSE)</f>
        <v>0</v>
      </c>
      <c r="N216" s="209">
        <f>VLOOKUP($B216,'2017'!$A$5:$Q$1425,COUNTA(Upload!$E$3:N$3)+2,FALSE)</f>
        <v>0</v>
      </c>
      <c r="O216" s="209">
        <f>VLOOKUP($B216,'2017'!$A$5:$Q$1425,COUNTA(Upload!$E$3:O$3)+2,FALSE)</f>
        <v>0</v>
      </c>
      <c r="P216" s="209">
        <f>VLOOKUP($B216,'2017'!$A$5:$Q$1425,COUNTA(Upload!$E$3:P$3)+2,FALSE)</f>
        <v>0</v>
      </c>
      <c r="T216" s="161"/>
    </row>
    <row r="217" spans="1:20" s="118" customFormat="1" ht="10.5" customHeight="1">
      <c r="A217" s="207" t="s">
        <v>70</v>
      </c>
      <c r="B217" s="412" t="s">
        <v>978</v>
      </c>
      <c r="C217" s="208" t="str">
        <f>+Setup!$B$21</f>
        <v>WC-PropName</v>
      </c>
      <c r="D217" s="208"/>
      <c r="E217" s="209">
        <f>VLOOKUP($B217,'2017'!$A$5:$Q$1425,COUNTA(Upload!$E$3:E$3)+2,FALSE)</f>
        <v>64.416666666666671</v>
      </c>
      <c r="F217" s="209">
        <f>VLOOKUP($B217,'2017'!$A$5:$Q$1425,COUNTA(Upload!$E$3:F$3)+2,FALSE)</f>
        <v>64.416666666666671</v>
      </c>
      <c r="G217" s="209">
        <f>VLOOKUP($B217,'2017'!$A$5:$Q$1425,COUNTA(Upload!$E$3:G$3)+2,FALSE)</f>
        <v>64.416666666666671</v>
      </c>
      <c r="H217" s="209">
        <f>VLOOKUP($B217,'2017'!$A$5:$Q$1425,COUNTA(Upload!$E$3:H$3)+2,FALSE)</f>
        <v>64.416666666666671</v>
      </c>
      <c r="I217" s="209">
        <f>VLOOKUP($B217,'2017'!$A$5:$Q$1425,COUNTA(Upload!$E$3:I$3)+2,FALSE)</f>
        <v>64.416666666666671</v>
      </c>
      <c r="J217" s="209">
        <f>VLOOKUP($B217,'2017'!$A$5:$Q$1425,COUNTA(Upload!$E$3:J$3)+2,FALSE)</f>
        <v>64.416666666666671</v>
      </c>
      <c r="K217" s="209">
        <f>VLOOKUP($B217,'2017'!$A$5:$Q$1425,COUNTA(Upload!$E$3:K$3)+2,FALSE)</f>
        <v>64.416666666666671</v>
      </c>
      <c r="L217" s="209">
        <f>VLOOKUP($B217,'2017'!$A$5:$Q$1425,COUNTA(Upload!$E$3:L$3)+2,FALSE)</f>
        <v>64.416666666666671</v>
      </c>
      <c r="M217" s="209">
        <f>VLOOKUP($B217,'2017'!$A$5:$Q$1425,COUNTA(Upload!$E$3:M$3)+2,FALSE)</f>
        <v>64.416666666666671</v>
      </c>
      <c r="N217" s="209">
        <f>VLOOKUP($B217,'2017'!$A$5:$Q$1425,COUNTA(Upload!$E$3:N$3)+2,FALSE)</f>
        <v>64.416666666666671</v>
      </c>
      <c r="O217" s="209">
        <f>VLOOKUP($B217,'2017'!$A$5:$Q$1425,COUNTA(Upload!$E$3:O$3)+2,FALSE)</f>
        <v>64.416666666666671</v>
      </c>
      <c r="P217" s="209">
        <f>VLOOKUP($B217,'2017'!$A$5:$Q$1425,COUNTA(Upload!$E$3:P$3)+2,FALSE)</f>
        <v>64.416666666666671</v>
      </c>
      <c r="T217" s="161"/>
    </row>
    <row r="218" spans="1:20" s="118" customFormat="1" ht="10.5" customHeight="1">
      <c r="A218" s="207" t="s">
        <v>70</v>
      </c>
      <c r="B218" s="412" t="s">
        <v>980</v>
      </c>
      <c r="C218" s="208" t="str">
        <f>+Setup!$B$21</f>
        <v>WC-PropName</v>
      </c>
      <c r="D218" s="208"/>
      <c r="E218" s="209">
        <f>VLOOKUP($B218,'2017'!$A$5:$Q$1425,COUNTA(Upload!$E$3:E$3)+2,FALSE)</f>
        <v>0</v>
      </c>
      <c r="F218" s="209">
        <f>VLOOKUP($B218,'2017'!$A$5:$Q$1425,COUNTA(Upload!$E$3:F$3)+2,FALSE)</f>
        <v>0</v>
      </c>
      <c r="G218" s="209">
        <f>VLOOKUP($B218,'2017'!$A$5:$Q$1425,COUNTA(Upload!$E$3:G$3)+2,FALSE)</f>
        <v>0</v>
      </c>
      <c r="H218" s="209">
        <f>VLOOKUP($B218,'2017'!$A$5:$Q$1425,COUNTA(Upload!$E$3:H$3)+2,FALSE)</f>
        <v>0</v>
      </c>
      <c r="I218" s="209">
        <f>VLOOKUP($B218,'2017'!$A$5:$Q$1425,COUNTA(Upload!$E$3:I$3)+2,FALSE)</f>
        <v>0</v>
      </c>
      <c r="J218" s="209">
        <f>VLOOKUP($B218,'2017'!$A$5:$Q$1425,COUNTA(Upload!$E$3:J$3)+2,FALSE)</f>
        <v>0</v>
      </c>
      <c r="K218" s="209">
        <f>VLOOKUP($B218,'2017'!$A$5:$Q$1425,COUNTA(Upload!$E$3:K$3)+2,FALSE)</f>
        <v>0</v>
      </c>
      <c r="L218" s="209">
        <f>VLOOKUP($B218,'2017'!$A$5:$Q$1425,COUNTA(Upload!$E$3:L$3)+2,FALSE)</f>
        <v>0</v>
      </c>
      <c r="M218" s="209">
        <f>VLOOKUP($B218,'2017'!$A$5:$Q$1425,COUNTA(Upload!$E$3:M$3)+2,FALSE)</f>
        <v>0</v>
      </c>
      <c r="N218" s="209">
        <f>VLOOKUP($B218,'2017'!$A$5:$Q$1425,COUNTA(Upload!$E$3:N$3)+2,FALSE)</f>
        <v>0</v>
      </c>
      <c r="O218" s="209">
        <f>VLOOKUP($B218,'2017'!$A$5:$Q$1425,COUNTA(Upload!$E$3:O$3)+2,FALSE)</f>
        <v>0</v>
      </c>
      <c r="P218" s="209">
        <f>VLOOKUP($B218,'2017'!$A$5:$Q$1425,COUNTA(Upload!$E$3:P$3)+2,FALSE)</f>
        <v>0</v>
      </c>
      <c r="T218" s="161"/>
    </row>
    <row r="219" spans="1:20" s="118" customFormat="1" ht="10.5" customHeight="1">
      <c r="A219" s="207" t="s">
        <v>70</v>
      </c>
      <c r="B219" s="412" t="s">
        <v>981</v>
      </c>
      <c r="C219" s="208" t="str">
        <f>+Setup!$B$21</f>
        <v>WC-PropName</v>
      </c>
      <c r="D219" s="208"/>
      <c r="E219" s="209">
        <f>VLOOKUP($B219,'2017'!$A$5:$Q$1425,COUNTA(Upload!$E$3:E$3)+2,FALSE)</f>
        <v>206.83333333333334</v>
      </c>
      <c r="F219" s="209">
        <f>VLOOKUP($B219,'2017'!$A$5:$Q$1425,COUNTA(Upload!$E$3:F$3)+2,FALSE)</f>
        <v>206.83333333333334</v>
      </c>
      <c r="G219" s="209">
        <f>VLOOKUP($B219,'2017'!$A$5:$Q$1425,COUNTA(Upload!$E$3:G$3)+2,FALSE)</f>
        <v>206.83333333333334</v>
      </c>
      <c r="H219" s="209">
        <f>VLOOKUP($B219,'2017'!$A$5:$Q$1425,COUNTA(Upload!$E$3:H$3)+2,FALSE)</f>
        <v>206.83333333333334</v>
      </c>
      <c r="I219" s="209">
        <f>VLOOKUP($B219,'2017'!$A$5:$Q$1425,COUNTA(Upload!$E$3:I$3)+2,FALSE)</f>
        <v>206.83333333333334</v>
      </c>
      <c r="J219" s="209">
        <f>VLOOKUP($B219,'2017'!$A$5:$Q$1425,COUNTA(Upload!$E$3:J$3)+2,FALSE)</f>
        <v>206.83333333333334</v>
      </c>
      <c r="K219" s="209">
        <f>VLOOKUP($B219,'2017'!$A$5:$Q$1425,COUNTA(Upload!$E$3:K$3)+2,FALSE)</f>
        <v>206.83333333333334</v>
      </c>
      <c r="L219" s="209">
        <f>VLOOKUP($B219,'2017'!$A$5:$Q$1425,COUNTA(Upload!$E$3:L$3)+2,FALSE)</f>
        <v>206.83333333333334</v>
      </c>
      <c r="M219" s="209">
        <f>VLOOKUP($B219,'2017'!$A$5:$Q$1425,COUNTA(Upload!$E$3:M$3)+2,FALSE)</f>
        <v>206.83333333333334</v>
      </c>
      <c r="N219" s="209">
        <f>VLOOKUP($B219,'2017'!$A$5:$Q$1425,COUNTA(Upload!$E$3:N$3)+2,FALSE)</f>
        <v>206.83333333333334</v>
      </c>
      <c r="O219" s="209">
        <f>VLOOKUP($B219,'2017'!$A$5:$Q$1425,COUNTA(Upload!$E$3:O$3)+2,FALSE)</f>
        <v>206.83333333333334</v>
      </c>
      <c r="P219" s="209">
        <f>VLOOKUP($B219,'2017'!$A$5:$Q$1425,COUNTA(Upload!$E$3:P$3)+2,FALSE)</f>
        <v>206.83333333333334</v>
      </c>
      <c r="T219" s="161"/>
    </row>
    <row r="220" spans="1:20" s="118" customFormat="1" ht="10.5" customHeight="1">
      <c r="A220" s="207" t="s">
        <v>70</v>
      </c>
      <c r="B220" s="412" t="s">
        <v>983</v>
      </c>
      <c r="C220" s="208" t="str">
        <f>+Setup!$B$21</f>
        <v>WC-PropName</v>
      </c>
      <c r="D220" s="208"/>
      <c r="E220" s="209">
        <f>VLOOKUP($B220,'2017'!$A$5:$Q$1425,COUNTA(Upload!$E$3:E$3)+2,FALSE)</f>
        <v>58.333333333333336</v>
      </c>
      <c r="F220" s="209">
        <f>VLOOKUP($B220,'2017'!$A$5:$Q$1425,COUNTA(Upload!$E$3:F$3)+2,FALSE)</f>
        <v>58.333333333333336</v>
      </c>
      <c r="G220" s="209">
        <f>VLOOKUP($B220,'2017'!$A$5:$Q$1425,COUNTA(Upload!$E$3:G$3)+2,FALSE)</f>
        <v>58.333333333333336</v>
      </c>
      <c r="H220" s="209">
        <f>VLOOKUP($B220,'2017'!$A$5:$Q$1425,COUNTA(Upload!$E$3:H$3)+2,FALSE)</f>
        <v>58.333333333333336</v>
      </c>
      <c r="I220" s="209">
        <f>VLOOKUP($B220,'2017'!$A$5:$Q$1425,COUNTA(Upload!$E$3:I$3)+2,FALSE)</f>
        <v>58.333333333333336</v>
      </c>
      <c r="J220" s="209">
        <f>VLOOKUP($B220,'2017'!$A$5:$Q$1425,COUNTA(Upload!$E$3:J$3)+2,FALSE)</f>
        <v>58.333333333333336</v>
      </c>
      <c r="K220" s="209">
        <f>VLOOKUP($B220,'2017'!$A$5:$Q$1425,COUNTA(Upload!$E$3:K$3)+2,FALSE)</f>
        <v>58.333333333333336</v>
      </c>
      <c r="L220" s="209">
        <f>VLOOKUP($B220,'2017'!$A$5:$Q$1425,COUNTA(Upload!$E$3:L$3)+2,FALSE)</f>
        <v>58.333333333333336</v>
      </c>
      <c r="M220" s="209">
        <f>VLOOKUP($B220,'2017'!$A$5:$Q$1425,COUNTA(Upload!$E$3:M$3)+2,FALSE)</f>
        <v>58.333333333333336</v>
      </c>
      <c r="N220" s="209">
        <f>VLOOKUP($B220,'2017'!$A$5:$Q$1425,COUNTA(Upload!$E$3:N$3)+2,FALSE)</f>
        <v>58.333333333333336</v>
      </c>
      <c r="O220" s="209">
        <f>VLOOKUP($B220,'2017'!$A$5:$Q$1425,COUNTA(Upload!$E$3:O$3)+2,FALSE)</f>
        <v>58.333333333333336</v>
      </c>
      <c r="P220" s="209">
        <f>VLOOKUP($B220,'2017'!$A$5:$Q$1425,COUNTA(Upload!$E$3:P$3)+2,FALSE)</f>
        <v>58.333333333333336</v>
      </c>
      <c r="T220" s="161"/>
    </row>
    <row r="221" spans="1:20" s="118" customFormat="1" ht="10.5" customHeight="1">
      <c r="A221" s="207" t="s">
        <v>70</v>
      </c>
      <c r="B221" s="412" t="s">
        <v>985</v>
      </c>
      <c r="C221" s="208" t="str">
        <f>+Setup!$B$21</f>
        <v>WC-PropName</v>
      </c>
      <c r="D221" s="208"/>
      <c r="E221" s="209">
        <f>VLOOKUP($B221,'2017'!$A$5:$Q$1425,COUNTA(Upload!$E$3:E$3)+2,FALSE)</f>
        <v>0</v>
      </c>
      <c r="F221" s="209">
        <f>VLOOKUP($B221,'2017'!$A$5:$Q$1425,COUNTA(Upload!$E$3:F$3)+2,FALSE)</f>
        <v>0</v>
      </c>
      <c r="G221" s="209">
        <f>VLOOKUP($B221,'2017'!$A$5:$Q$1425,COUNTA(Upload!$E$3:G$3)+2,FALSE)</f>
        <v>0</v>
      </c>
      <c r="H221" s="209">
        <f>VLOOKUP($B221,'2017'!$A$5:$Q$1425,COUNTA(Upload!$E$3:H$3)+2,FALSE)</f>
        <v>0</v>
      </c>
      <c r="I221" s="209">
        <f>VLOOKUP($B221,'2017'!$A$5:$Q$1425,COUNTA(Upload!$E$3:I$3)+2,FALSE)</f>
        <v>0</v>
      </c>
      <c r="J221" s="209">
        <f>VLOOKUP($B221,'2017'!$A$5:$Q$1425,COUNTA(Upload!$E$3:J$3)+2,FALSE)</f>
        <v>0</v>
      </c>
      <c r="K221" s="209">
        <f>VLOOKUP($B221,'2017'!$A$5:$Q$1425,COUNTA(Upload!$E$3:K$3)+2,FALSE)</f>
        <v>0</v>
      </c>
      <c r="L221" s="209">
        <f>VLOOKUP($B221,'2017'!$A$5:$Q$1425,COUNTA(Upload!$E$3:L$3)+2,FALSE)</f>
        <v>0</v>
      </c>
      <c r="M221" s="209">
        <f>VLOOKUP($B221,'2017'!$A$5:$Q$1425,COUNTA(Upload!$E$3:M$3)+2,FALSE)</f>
        <v>0</v>
      </c>
      <c r="N221" s="209">
        <f>VLOOKUP($B221,'2017'!$A$5:$Q$1425,COUNTA(Upload!$E$3:N$3)+2,FALSE)</f>
        <v>0</v>
      </c>
      <c r="O221" s="209">
        <f>VLOOKUP($B221,'2017'!$A$5:$Q$1425,COUNTA(Upload!$E$3:O$3)+2,FALSE)</f>
        <v>0</v>
      </c>
      <c r="P221" s="209">
        <f>VLOOKUP($B221,'2017'!$A$5:$Q$1425,COUNTA(Upload!$E$3:P$3)+2,FALSE)</f>
        <v>0</v>
      </c>
      <c r="T221" s="161"/>
    </row>
    <row r="222" spans="1:20" s="118" customFormat="1" ht="10.5" customHeight="1">
      <c r="A222" s="207" t="s">
        <v>70</v>
      </c>
      <c r="B222" s="412" t="s">
        <v>986</v>
      </c>
      <c r="C222" s="208" t="str">
        <f>+Setup!$B$21</f>
        <v>WC-PropName</v>
      </c>
      <c r="D222" s="208"/>
      <c r="E222" s="209">
        <f>VLOOKUP($B222,'2017'!$A$5:$Q$1425,COUNTA(Upload!$E$3:E$3)+2,FALSE)</f>
        <v>0</v>
      </c>
      <c r="F222" s="209">
        <f>VLOOKUP($B222,'2017'!$A$5:$Q$1425,COUNTA(Upload!$E$3:F$3)+2,FALSE)</f>
        <v>0</v>
      </c>
      <c r="G222" s="209">
        <f>VLOOKUP($B222,'2017'!$A$5:$Q$1425,COUNTA(Upload!$E$3:G$3)+2,FALSE)</f>
        <v>0</v>
      </c>
      <c r="H222" s="209">
        <f>VLOOKUP($B222,'2017'!$A$5:$Q$1425,COUNTA(Upload!$E$3:H$3)+2,FALSE)</f>
        <v>0</v>
      </c>
      <c r="I222" s="209">
        <f>VLOOKUP($B222,'2017'!$A$5:$Q$1425,COUNTA(Upload!$E$3:I$3)+2,FALSE)</f>
        <v>0</v>
      </c>
      <c r="J222" s="209">
        <f>VLOOKUP($B222,'2017'!$A$5:$Q$1425,COUNTA(Upload!$E$3:J$3)+2,FALSE)</f>
        <v>0</v>
      </c>
      <c r="K222" s="209">
        <f>VLOOKUP($B222,'2017'!$A$5:$Q$1425,COUNTA(Upload!$E$3:K$3)+2,FALSE)</f>
        <v>0</v>
      </c>
      <c r="L222" s="209">
        <f>VLOOKUP($B222,'2017'!$A$5:$Q$1425,COUNTA(Upload!$E$3:L$3)+2,FALSE)</f>
        <v>0</v>
      </c>
      <c r="M222" s="209">
        <f>VLOOKUP($B222,'2017'!$A$5:$Q$1425,COUNTA(Upload!$E$3:M$3)+2,FALSE)</f>
        <v>0</v>
      </c>
      <c r="N222" s="209">
        <f>VLOOKUP($B222,'2017'!$A$5:$Q$1425,COUNTA(Upload!$E$3:N$3)+2,FALSE)</f>
        <v>0</v>
      </c>
      <c r="O222" s="209">
        <f>VLOOKUP($B222,'2017'!$A$5:$Q$1425,COUNTA(Upload!$E$3:O$3)+2,FALSE)</f>
        <v>0</v>
      </c>
      <c r="P222" s="209">
        <f>VLOOKUP($B222,'2017'!$A$5:$Q$1425,COUNTA(Upload!$E$3:P$3)+2,FALSE)</f>
        <v>0</v>
      </c>
      <c r="T222" s="161"/>
    </row>
    <row r="223" spans="1:20" s="118" customFormat="1" ht="10.5" customHeight="1">
      <c r="A223" s="207" t="s">
        <v>70</v>
      </c>
      <c r="B223" s="412" t="s">
        <v>995</v>
      </c>
      <c r="C223" s="208" t="str">
        <f>+Setup!$B$21</f>
        <v>WC-PropName</v>
      </c>
      <c r="D223" s="208"/>
      <c r="E223" s="209">
        <f>VLOOKUP($B223,'2017'!$A$5:$Q$1425,COUNTA(Upload!$E$3:E$3)+2,FALSE)</f>
        <v>104.75</v>
      </c>
      <c r="F223" s="209">
        <f>VLOOKUP($B223,'2017'!$A$5:$Q$1425,COUNTA(Upload!$E$3:F$3)+2,FALSE)</f>
        <v>104.75</v>
      </c>
      <c r="G223" s="209">
        <f>VLOOKUP($B223,'2017'!$A$5:$Q$1425,COUNTA(Upload!$E$3:G$3)+2,FALSE)</f>
        <v>104.75</v>
      </c>
      <c r="H223" s="209">
        <f>VLOOKUP($B223,'2017'!$A$5:$Q$1425,COUNTA(Upload!$E$3:H$3)+2,FALSE)</f>
        <v>104.75</v>
      </c>
      <c r="I223" s="209">
        <f>VLOOKUP($B223,'2017'!$A$5:$Q$1425,COUNTA(Upload!$E$3:I$3)+2,FALSE)</f>
        <v>104.75</v>
      </c>
      <c r="J223" s="209">
        <f>VLOOKUP($B223,'2017'!$A$5:$Q$1425,COUNTA(Upload!$E$3:J$3)+2,FALSE)</f>
        <v>104.75</v>
      </c>
      <c r="K223" s="209">
        <f>VLOOKUP($B223,'2017'!$A$5:$Q$1425,COUNTA(Upload!$E$3:K$3)+2,FALSE)</f>
        <v>104.75</v>
      </c>
      <c r="L223" s="209">
        <f>VLOOKUP($B223,'2017'!$A$5:$Q$1425,COUNTA(Upload!$E$3:L$3)+2,FALSE)</f>
        <v>104.75</v>
      </c>
      <c r="M223" s="209">
        <f>VLOOKUP($B223,'2017'!$A$5:$Q$1425,COUNTA(Upload!$E$3:M$3)+2,FALSE)</f>
        <v>104.75</v>
      </c>
      <c r="N223" s="209">
        <f>VLOOKUP($B223,'2017'!$A$5:$Q$1425,COUNTA(Upload!$E$3:N$3)+2,FALSE)</f>
        <v>104.75</v>
      </c>
      <c r="O223" s="209">
        <f>VLOOKUP($B223,'2017'!$A$5:$Q$1425,COUNTA(Upload!$E$3:O$3)+2,FALSE)</f>
        <v>104.75</v>
      </c>
      <c r="P223" s="209">
        <f>VLOOKUP($B223,'2017'!$A$5:$Q$1425,COUNTA(Upload!$E$3:P$3)+2,FALSE)</f>
        <v>104.75</v>
      </c>
      <c r="T223" s="161"/>
    </row>
    <row r="224" spans="1:20" s="118" customFormat="1" ht="10.5" customHeight="1">
      <c r="A224" s="207" t="s">
        <v>70</v>
      </c>
      <c r="B224" s="412" t="s">
        <v>997</v>
      </c>
      <c r="C224" s="208" t="str">
        <f>+Setup!$B$21</f>
        <v>WC-PropName</v>
      </c>
      <c r="D224" s="208"/>
      <c r="E224" s="209">
        <f>VLOOKUP($B224,'2017'!$A$5:$Q$1425,COUNTA(Upload!$E$3:E$3)+2,FALSE)</f>
        <v>13.083333333333334</v>
      </c>
      <c r="F224" s="209">
        <f>VLOOKUP($B224,'2017'!$A$5:$Q$1425,COUNTA(Upload!$E$3:F$3)+2,FALSE)</f>
        <v>13.083333333333334</v>
      </c>
      <c r="G224" s="209">
        <f>VLOOKUP($B224,'2017'!$A$5:$Q$1425,COUNTA(Upload!$E$3:G$3)+2,FALSE)</f>
        <v>13.083333333333334</v>
      </c>
      <c r="H224" s="209">
        <f>VLOOKUP($B224,'2017'!$A$5:$Q$1425,COUNTA(Upload!$E$3:H$3)+2,FALSE)</f>
        <v>13.083333333333334</v>
      </c>
      <c r="I224" s="209">
        <f>VLOOKUP($B224,'2017'!$A$5:$Q$1425,COUNTA(Upload!$E$3:I$3)+2,FALSE)</f>
        <v>13.083333333333334</v>
      </c>
      <c r="J224" s="209">
        <f>VLOOKUP($B224,'2017'!$A$5:$Q$1425,COUNTA(Upload!$E$3:J$3)+2,FALSE)</f>
        <v>13.083333333333334</v>
      </c>
      <c r="K224" s="209">
        <f>VLOOKUP($B224,'2017'!$A$5:$Q$1425,COUNTA(Upload!$E$3:K$3)+2,FALSE)</f>
        <v>13.083333333333334</v>
      </c>
      <c r="L224" s="209">
        <f>VLOOKUP($B224,'2017'!$A$5:$Q$1425,COUNTA(Upload!$E$3:L$3)+2,FALSE)</f>
        <v>13.083333333333334</v>
      </c>
      <c r="M224" s="209">
        <f>VLOOKUP($B224,'2017'!$A$5:$Q$1425,COUNTA(Upload!$E$3:M$3)+2,FALSE)</f>
        <v>13.083333333333334</v>
      </c>
      <c r="N224" s="209">
        <f>VLOOKUP($B224,'2017'!$A$5:$Q$1425,COUNTA(Upload!$E$3:N$3)+2,FALSE)</f>
        <v>13.083333333333334</v>
      </c>
      <c r="O224" s="209">
        <f>VLOOKUP($B224,'2017'!$A$5:$Q$1425,COUNTA(Upload!$E$3:O$3)+2,FALSE)</f>
        <v>13.083333333333334</v>
      </c>
      <c r="P224" s="209">
        <f>VLOOKUP($B224,'2017'!$A$5:$Q$1425,COUNTA(Upload!$E$3:P$3)+2,FALSE)</f>
        <v>13.083333333333334</v>
      </c>
      <c r="T224" s="161"/>
    </row>
    <row r="225" spans="1:20" s="118" customFormat="1" ht="10.5" customHeight="1">
      <c r="A225" s="207" t="s">
        <v>70</v>
      </c>
      <c r="B225" s="412" t="s">
        <v>999</v>
      </c>
      <c r="C225" s="208" t="str">
        <f>+Setup!$B$21</f>
        <v>WC-PropName</v>
      </c>
      <c r="D225" s="208"/>
      <c r="E225" s="209">
        <f>VLOOKUP($B225,'2017'!$A$5:$Q$1425,COUNTA(Upload!$E$3:E$3)+2,FALSE)</f>
        <v>0</v>
      </c>
      <c r="F225" s="209">
        <f>VLOOKUP($B225,'2017'!$A$5:$Q$1425,COUNTA(Upload!$E$3:F$3)+2,FALSE)</f>
        <v>0</v>
      </c>
      <c r="G225" s="209">
        <f>VLOOKUP($B225,'2017'!$A$5:$Q$1425,COUNTA(Upload!$E$3:G$3)+2,FALSE)</f>
        <v>0</v>
      </c>
      <c r="H225" s="209">
        <f>VLOOKUP($B225,'2017'!$A$5:$Q$1425,COUNTA(Upload!$E$3:H$3)+2,FALSE)</f>
        <v>0</v>
      </c>
      <c r="I225" s="209">
        <f>VLOOKUP($B225,'2017'!$A$5:$Q$1425,COUNTA(Upload!$E$3:I$3)+2,FALSE)</f>
        <v>0</v>
      </c>
      <c r="J225" s="209">
        <f>VLOOKUP($B225,'2017'!$A$5:$Q$1425,COUNTA(Upload!$E$3:J$3)+2,FALSE)</f>
        <v>0</v>
      </c>
      <c r="K225" s="209">
        <f>VLOOKUP($B225,'2017'!$A$5:$Q$1425,COUNTA(Upload!$E$3:K$3)+2,FALSE)</f>
        <v>0</v>
      </c>
      <c r="L225" s="209">
        <f>VLOOKUP($B225,'2017'!$A$5:$Q$1425,COUNTA(Upload!$E$3:L$3)+2,FALSE)</f>
        <v>0</v>
      </c>
      <c r="M225" s="209">
        <f>VLOOKUP($B225,'2017'!$A$5:$Q$1425,COUNTA(Upload!$E$3:M$3)+2,FALSE)</f>
        <v>0</v>
      </c>
      <c r="N225" s="209">
        <f>VLOOKUP($B225,'2017'!$A$5:$Q$1425,COUNTA(Upload!$E$3:N$3)+2,FALSE)</f>
        <v>0</v>
      </c>
      <c r="O225" s="209">
        <f>VLOOKUP($B225,'2017'!$A$5:$Q$1425,COUNTA(Upload!$E$3:O$3)+2,FALSE)</f>
        <v>0</v>
      </c>
      <c r="P225" s="209">
        <f>VLOOKUP($B225,'2017'!$A$5:$Q$1425,COUNTA(Upload!$E$3:P$3)+2,FALSE)</f>
        <v>0</v>
      </c>
      <c r="T225" s="161"/>
    </row>
    <row r="226" spans="1:20" s="118" customFormat="1" ht="10.5" customHeight="1">
      <c r="A226" s="207" t="s">
        <v>70</v>
      </c>
      <c r="B226" s="412" t="s">
        <v>1000</v>
      </c>
      <c r="C226" s="208" t="str">
        <f>+Setup!$B$21</f>
        <v>WC-PropName</v>
      </c>
      <c r="D226" s="208"/>
      <c r="E226" s="209">
        <f>VLOOKUP($B226,'2017'!$A$5:$Q$1425,COUNTA(Upload!$E$3:E$3)+2,FALSE)</f>
        <v>14.666666666666666</v>
      </c>
      <c r="F226" s="209">
        <f>VLOOKUP($B226,'2017'!$A$5:$Q$1425,COUNTA(Upload!$E$3:F$3)+2,FALSE)</f>
        <v>14.666666666666666</v>
      </c>
      <c r="G226" s="209">
        <f>VLOOKUP($B226,'2017'!$A$5:$Q$1425,COUNTA(Upload!$E$3:G$3)+2,FALSE)</f>
        <v>14.666666666666666</v>
      </c>
      <c r="H226" s="209">
        <f>VLOOKUP($B226,'2017'!$A$5:$Q$1425,COUNTA(Upload!$E$3:H$3)+2,FALSE)</f>
        <v>14.666666666666666</v>
      </c>
      <c r="I226" s="209">
        <f>VLOOKUP($B226,'2017'!$A$5:$Q$1425,COUNTA(Upload!$E$3:I$3)+2,FALSE)</f>
        <v>14.666666666666666</v>
      </c>
      <c r="J226" s="209">
        <f>VLOOKUP($B226,'2017'!$A$5:$Q$1425,COUNTA(Upload!$E$3:J$3)+2,FALSE)</f>
        <v>14.666666666666666</v>
      </c>
      <c r="K226" s="209">
        <f>VLOOKUP($B226,'2017'!$A$5:$Q$1425,COUNTA(Upload!$E$3:K$3)+2,FALSE)</f>
        <v>14.666666666666666</v>
      </c>
      <c r="L226" s="209">
        <f>VLOOKUP($B226,'2017'!$A$5:$Q$1425,COUNTA(Upload!$E$3:L$3)+2,FALSE)</f>
        <v>14.666666666666666</v>
      </c>
      <c r="M226" s="209">
        <f>VLOOKUP($B226,'2017'!$A$5:$Q$1425,COUNTA(Upload!$E$3:M$3)+2,FALSE)</f>
        <v>14.666666666666666</v>
      </c>
      <c r="N226" s="209">
        <f>VLOOKUP($B226,'2017'!$A$5:$Q$1425,COUNTA(Upload!$E$3:N$3)+2,FALSE)</f>
        <v>14.666666666666666</v>
      </c>
      <c r="O226" s="209">
        <f>VLOOKUP($B226,'2017'!$A$5:$Q$1425,COUNTA(Upload!$E$3:O$3)+2,FALSE)</f>
        <v>14.666666666666666</v>
      </c>
      <c r="P226" s="209">
        <f>VLOOKUP($B226,'2017'!$A$5:$Q$1425,COUNTA(Upload!$E$3:P$3)+2,FALSE)</f>
        <v>14.666666666666666</v>
      </c>
      <c r="T226" s="161"/>
    </row>
    <row r="227" spans="1:20" s="118" customFormat="1" ht="10.5" customHeight="1">
      <c r="A227" s="207" t="s">
        <v>70</v>
      </c>
      <c r="B227" s="412" t="s">
        <v>1002</v>
      </c>
      <c r="C227" s="208" t="str">
        <f>+Setup!$B$21</f>
        <v>WC-PropName</v>
      </c>
      <c r="D227" s="208"/>
      <c r="E227" s="209">
        <f>VLOOKUP($B227,'2017'!$A$5:$Q$1425,COUNTA(Upload!$E$3:E$3)+2,FALSE)</f>
        <v>258.33333333333331</v>
      </c>
      <c r="F227" s="209">
        <f>VLOOKUP($B227,'2017'!$A$5:$Q$1425,COUNTA(Upload!$E$3:F$3)+2,FALSE)</f>
        <v>258.33333333333331</v>
      </c>
      <c r="G227" s="209">
        <f>VLOOKUP($B227,'2017'!$A$5:$Q$1425,COUNTA(Upload!$E$3:G$3)+2,FALSE)</f>
        <v>258.33333333333331</v>
      </c>
      <c r="H227" s="209">
        <f>VLOOKUP($B227,'2017'!$A$5:$Q$1425,COUNTA(Upload!$E$3:H$3)+2,FALSE)</f>
        <v>258.33333333333331</v>
      </c>
      <c r="I227" s="209">
        <f>VLOOKUP($B227,'2017'!$A$5:$Q$1425,COUNTA(Upload!$E$3:I$3)+2,FALSE)</f>
        <v>258.33333333333331</v>
      </c>
      <c r="J227" s="209">
        <f>VLOOKUP($B227,'2017'!$A$5:$Q$1425,COUNTA(Upload!$E$3:J$3)+2,FALSE)</f>
        <v>258.33333333333331</v>
      </c>
      <c r="K227" s="209">
        <f>VLOOKUP($B227,'2017'!$A$5:$Q$1425,COUNTA(Upload!$E$3:K$3)+2,FALSE)</f>
        <v>258.33333333333331</v>
      </c>
      <c r="L227" s="209">
        <f>VLOOKUP($B227,'2017'!$A$5:$Q$1425,COUNTA(Upload!$E$3:L$3)+2,FALSE)</f>
        <v>258.33333333333331</v>
      </c>
      <c r="M227" s="209">
        <f>VLOOKUP($B227,'2017'!$A$5:$Q$1425,COUNTA(Upload!$E$3:M$3)+2,FALSE)</f>
        <v>258.33333333333331</v>
      </c>
      <c r="N227" s="209">
        <f>VLOOKUP($B227,'2017'!$A$5:$Q$1425,COUNTA(Upload!$E$3:N$3)+2,FALSE)</f>
        <v>258.33333333333331</v>
      </c>
      <c r="O227" s="209">
        <f>VLOOKUP($B227,'2017'!$A$5:$Q$1425,COUNTA(Upload!$E$3:O$3)+2,FALSE)</f>
        <v>258.33333333333331</v>
      </c>
      <c r="P227" s="209">
        <f>VLOOKUP($B227,'2017'!$A$5:$Q$1425,COUNTA(Upload!$E$3:P$3)+2,FALSE)</f>
        <v>258.33333333333331</v>
      </c>
      <c r="T227" s="161"/>
    </row>
    <row r="228" spans="1:20" s="118" customFormat="1" ht="10.5" customHeight="1">
      <c r="A228" s="207" t="s">
        <v>70</v>
      </c>
      <c r="B228" s="412" t="s">
        <v>1004</v>
      </c>
      <c r="C228" s="208" t="str">
        <f>+Setup!$B$21</f>
        <v>WC-PropName</v>
      </c>
      <c r="D228" s="208"/>
      <c r="E228" s="209">
        <f>VLOOKUP($B228,'2017'!$A$5:$Q$1425,COUNTA(Upload!$E$3:E$3)+2,FALSE)</f>
        <v>219.75</v>
      </c>
      <c r="F228" s="209">
        <f>VLOOKUP($B228,'2017'!$A$5:$Q$1425,COUNTA(Upload!$E$3:F$3)+2,FALSE)</f>
        <v>219.75</v>
      </c>
      <c r="G228" s="209">
        <f>VLOOKUP($B228,'2017'!$A$5:$Q$1425,COUNTA(Upload!$E$3:G$3)+2,FALSE)</f>
        <v>219.75</v>
      </c>
      <c r="H228" s="209">
        <f>VLOOKUP($B228,'2017'!$A$5:$Q$1425,COUNTA(Upload!$E$3:H$3)+2,FALSE)</f>
        <v>219.75</v>
      </c>
      <c r="I228" s="209">
        <f>VLOOKUP($B228,'2017'!$A$5:$Q$1425,COUNTA(Upload!$E$3:I$3)+2,FALSE)</f>
        <v>219.75</v>
      </c>
      <c r="J228" s="209">
        <f>VLOOKUP($B228,'2017'!$A$5:$Q$1425,COUNTA(Upload!$E$3:J$3)+2,FALSE)</f>
        <v>219.75</v>
      </c>
      <c r="K228" s="209">
        <f>VLOOKUP($B228,'2017'!$A$5:$Q$1425,COUNTA(Upload!$E$3:K$3)+2,FALSE)</f>
        <v>219.75</v>
      </c>
      <c r="L228" s="209">
        <f>VLOOKUP($B228,'2017'!$A$5:$Q$1425,COUNTA(Upload!$E$3:L$3)+2,FALSE)</f>
        <v>219.75</v>
      </c>
      <c r="M228" s="209">
        <f>VLOOKUP($B228,'2017'!$A$5:$Q$1425,COUNTA(Upload!$E$3:M$3)+2,FALSE)</f>
        <v>219.75</v>
      </c>
      <c r="N228" s="209">
        <f>VLOOKUP($B228,'2017'!$A$5:$Q$1425,COUNTA(Upload!$E$3:N$3)+2,FALSE)</f>
        <v>219.75</v>
      </c>
      <c r="O228" s="209">
        <f>VLOOKUP($B228,'2017'!$A$5:$Q$1425,COUNTA(Upload!$E$3:O$3)+2,FALSE)</f>
        <v>219.75</v>
      </c>
      <c r="P228" s="209">
        <f>VLOOKUP($B228,'2017'!$A$5:$Q$1425,COUNTA(Upload!$E$3:P$3)+2,FALSE)</f>
        <v>219.75</v>
      </c>
      <c r="T228" s="161"/>
    </row>
    <row r="229" spans="1:20" s="118" customFormat="1" ht="10.5" customHeight="1">
      <c r="A229" s="207" t="s">
        <v>70</v>
      </c>
      <c r="B229" s="412" t="s">
        <v>1006</v>
      </c>
      <c r="C229" s="208" t="str">
        <f>+Setup!$B$21</f>
        <v>WC-PropName</v>
      </c>
      <c r="D229" s="208"/>
      <c r="E229" s="209">
        <f>VLOOKUP($B229,'2017'!$A$5:$Q$1425,COUNTA(Upload!$E$3:E$3)+2,FALSE)</f>
        <v>0</v>
      </c>
      <c r="F229" s="209">
        <f>VLOOKUP($B229,'2017'!$A$5:$Q$1425,COUNTA(Upload!$E$3:F$3)+2,FALSE)</f>
        <v>0</v>
      </c>
      <c r="G229" s="209">
        <f>VLOOKUP($B229,'2017'!$A$5:$Q$1425,COUNTA(Upload!$E$3:G$3)+2,FALSE)</f>
        <v>0</v>
      </c>
      <c r="H229" s="209">
        <f>VLOOKUP($B229,'2017'!$A$5:$Q$1425,COUNTA(Upload!$E$3:H$3)+2,FALSE)</f>
        <v>0</v>
      </c>
      <c r="I229" s="209">
        <f>VLOOKUP($B229,'2017'!$A$5:$Q$1425,COUNTA(Upload!$E$3:I$3)+2,FALSE)</f>
        <v>0</v>
      </c>
      <c r="J229" s="209">
        <f>VLOOKUP($B229,'2017'!$A$5:$Q$1425,COUNTA(Upload!$E$3:J$3)+2,FALSE)</f>
        <v>0</v>
      </c>
      <c r="K229" s="209">
        <f>VLOOKUP($B229,'2017'!$A$5:$Q$1425,COUNTA(Upload!$E$3:K$3)+2,FALSE)</f>
        <v>0</v>
      </c>
      <c r="L229" s="209">
        <f>VLOOKUP($B229,'2017'!$A$5:$Q$1425,COUNTA(Upload!$E$3:L$3)+2,FALSE)</f>
        <v>0</v>
      </c>
      <c r="M229" s="209">
        <f>VLOOKUP($B229,'2017'!$A$5:$Q$1425,COUNTA(Upload!$E$3:M$3)+2,FALSE)</f>
        <v>0</v>
      </c>
      <c r="N229" s="209">
        <f>VLOOKUP($B229,'2017'!$A$5:$Q$1425,COUNTA(Upload!$E$3:N$3)+2,FALSE)</f>
        <v>0</v>
      </c>
      <c r="O229" s="209">
        <f>VLOOKUP($B229,'2017'!$A$5:$Q$1425,COUNTA(Upload!$E$3:O$3)+2,FALSE)</f>
        <v>0</v>
      </c>
      <c r="P229" s="209">
        <f>VLOOKUP($B229,'2017'!$A$5:$Q$1425,COUNTA(Upload!$E$3:P$3)+2,FALSE)</f>
        <v>0</v>
      </c>
      <c r="T229" s="161"/>
    </row>
    <row r="230" spans="1:20" s="118" customFormat="1" ht="10.5" customHeight="1">
      <c r="A230" s="207" t="s">
        <v>70</v>
      </c>
      <c r="B230" s="412" t="s">
        <v>1007</v>
      </c>
      <c r="C230" s="208" t="str">
        <f>+Setup!$B$21</f>
        <v>WC-PropName</v>
      </c>
      <c r="D230" s="208"/>
      <c r="E230" s="209">
        <f>VLOOKUP($B230,'2017'!$A$5:$Q$1425,COUNTA(Upload!$E$3:E$3)+2,FALSE)</f>
        <v>0</v>
      </c>
      <c r="F230" s="209">
        <f>VLOOKUP($B230,'2017'!$A$5:$Q$1425,COUNTA(Upload!$E$3:F$3)+2,FALSE)</f>
        <v>0</v>
      </c>
      <c r="G230" s="209">
        <f>VLOOKUP($B230,'2017'!$A$5:$Q$1425,COUNTA(Upload!$E$3:G$3)+2,FALSE)</f>
        <v>0</v>
      </c>
      <c r="H230" s="209">
        <f>VLOOKUP($B230,'2017'!$A$5:$Q$1425,COUNTA(Upload!$E$3:H$3)+2,FALSE)</f>
        <v>0</v>
      </c>
      <c r="I230" s="209">
        <f>VLOOKUP($B230,'2017'!$A$5:$Q$1425,COUNTA(Upload!$E$3:I$3)+2,FALSE)</f>
        <v>0</v>
      </c>
      <c r="J230" s="209">
        <f>VLOOKUP($B230,'2017'!$A$5:$Q$1425,COUNTA(Upload!$E$3:J$3)+2,FALSE)</f>
        <v>0</v>
      </c>
      <c r="K230" s="209">
        <f>VLOOKUP($B230,'2017'!$A$5:$Q$1425,COUNTA(Upload!$E$3:K$3)+2,FALSE)</f>
        <v>0</v>
      </c>
      <c r="L230" s="209">
        <f>VLOOKUP($B230,'2017'!$A$5:$Q$1425,COUNTA(Upload!$E$3:L$3)+2,FALSE)</f>
        <v>0</v>
      </c>
      <c r="M230" s="209">
        <f>VLOOKUP($B230,'2017'!$A$5:$Q$1425,COUNTA(Upload!$E$3:M$3)+2,FALSE)</f>
        <v>0</v>
      </c>
      <c r="N230" s="209">
        <f>VLOOKUP($B230,'2017'!$A$5:$Q$1425,COUNTA(Upload!$E$3:N$3)+2,FALSE)</f>
        <v>0</v>
      </c>
      <c r="O230" s="209">
        <f>VLOOKUP($B230,'2017'!$A$5:$Q$1425,COUNTA(Upload!$E$3:O$3)+2,FALSE)</f>
        <v>0</v>
      </c>
      <c r="P230" s="209">
        <f>VLOOKUP($B230,'2017'!$A$5:$Q$1425,COUNTA(Upload!$E$3:P$3)+2,FALSE)</f>
        <v>0</v>
      </c>
      <c r="T230" s="161"/>
    </row>
    <row r="231" spans="1:20" s="118" customFormat="1" ht="10.5" customHeight="1">
      <c r="A231" s="207" t="s">
        <v>70</v>
      </c>
      <c r="B231" s="412" t="s">
        <v>1008</v>
      </c>
      <c r="C231" s="208" t="str">
        <f>+Setup!$B$21</f>
        <v>WC-PropName</v>
      </c>
      <c r="D231" s="208"/>
      <c r="E231" s="209">
        <f>VLOOKUP($B231,'2017'!$A$5:$Q$1425,COUNTA(Upload!$E$3:E$3)+2,FALSE)</f>
        <v>0</v>
      </c>
      <c r="F231" s="209">
        <f>VLOOKUP($B231,'2017'!$A$5:$Q$1425,COUNTA(Upload!$E$3:F$3)+2,FALSE)</f>
        <v>0</v>
      </c>
      <c r="G231" s="209">
        <f>VLOOKUP($B231,'2017'!$A$5:$Q$1425,COUNTA(Upload!$E$3:G$3)+2,FALSE)</f>
        <v>0</v>
      </c>
      <c r="H231" s="209">
        <f>VLOOKUP($B231,'2017'!$A$5:$Q$1425,COUNTA(Upload!$E$3:H$3)+2,FALSE)</f>
        <v>0</v>
      </c>
      <c r="I231" s="209">
        <f>VLOOKUP($B231,'2017'!$A$5:$Q$1425,COUNTA(Upload!$E$3:I$3)+2,FALSE)</f>
        <v>0</v>
      </c>
      <c r="J231" s="209">
        <f>VLOOKUP($B231,'2017'!$A$5:$Q$1425,COUNTA(Upload!$E$3:J$3)+2,FALSE)</f>
        <v>0</v>
      </c>
      <c r="K231" s="209">
        <f>VLOOKUP($B231,'2017'!$A$5:$Q$1425,COUNTA(Upload!$E$3:K$3)+2,FALSE)</f>
        <v>0</v>
      </c>
      <c r="L231" s="209">
        <f>VLOOKUP($B231,'2017'!$A$5:$Q$1425,COUNTA(Upload!$E$3:L$3)+2,FALSE)</f>
        <v>0</v>
      </c>
      <c r="M231" s="209">
        <f>VLOOKUP($B231,'2017'!$A$5:$Q$1425,COUNTA(Upload!$E$3:M$3)+2,FALSE)</f>
        <v>0</v>
      </c>
      <c r="N231" s="209">
        <f>VLOOKUP($B231,'2017'!$A$5:$Q$1425,COUNTA(Upload!$E$3:N$3)+2,FALSE)</f>
        <v>0</v>
      </c>
      <c r="O231" s="209">
        <f>VLOOKUP($B231,'2017'!$A$5:$Q$1425,COUNTA(Upload!$E$3:O$3)+2,FALSE)</f>
        <v>0</v>
      </c>
      <c r="P231" s="209">
        <f>VLOOKUP($B231,'2017'!$A$5:$Q$1425,COUNTA(Upload!$E$3:P$3)+2,FALSE)</f>
        <v>0</v>
      </c>
      <c r="T231" s="161"/>
    </row>
    <row r="232" spans="1:20" s="118" customFormat="1" ht="10.5" customHeight="1">
      <c r="A232" s="207" t="s">
        <v>70</v>
      </c>
      <c r="B232" s="412" t="s">
        <v>1009</v>
      </c>
      <c r="C232" s="208" t="str">
        <f>+Setup!$B$21</f>
        <v>WC-PropName</v>
      </c>
      <c r="D232" s="208"/>
      <c r="E232" s="209">
        <f>VLOOKUP($B232,'2017'!$A$5:$Q$1425,COUNTA(Upload!$E$3:E$3)+2,FALSE)</f>
        <v>756.58333333333337</v>
      </c>
      <c r="F232" s="209">
        <f>VLOOKUP($B232,'2017'!$A$5:$Q$1425,COUNTA(Upload!$E$3:F$3)+2,FALSE)</f>
        <v>756.58333333333337</v>
      </c>
      <c r="G232" s="209">
        <f>VLOOKUP($B232,'2017'!$A$5:$Q$1425,COUNTA(Upload!$E$3:G$3)+2,FALSE)</f>
        <v>756.58333333333337</v>
      </c>
      <c r="H232" s="209">
        <f>VLOOKUP($B232,'2017'!$A$5:$Q$1425,COUNTA(Upload!$E$3:H$3)+2,FALSE)</f>
        <v>756.58333333333337</v>
      </c>
      <c r="I232" s="209">
        <f>VLOOKUP($B232,'2017'!$A$5:$Q$1425,COUNTA(Upload!$E$3:I$3)+2,FALSE)</f>
        <v>756.58333333333337</v>
      </c>
      <c r="J232" s="209">
        <f>VLOOKUP($B232,'2017'!$A$5:$Q$1425,COUNTA(Upload!$E$3:J$3)+2,FALSE)</f>
        <v>756.58333333333337</v>
      </c>
      <c r="K232" s="209">
        <f>VLOOKUP($B232,'2017'!$A$5:$Q$1425,COUNTA(Upload!$E$3:K$3)+2,FALSE)</f>
        <v>756.58333333333337</v>
      </c>
      <c r="L232" s="209">
        <f>VLOOKUP($B232,'2017'!$A$5:$Q$1425,COUNTA(Upload!$E$3:L$3)+2,FALSE)</f>
        <v>756.58333333333337</v>
      </c>
      <c r="M232" s="209">
        <f>VLOOKUP($B232,'2017'!$A$5:$Q$1425,COUNTA(Upload!$E$3:M$3)+2,FALSE)</f>
        <v>756.58333333333337</v>
      </c>
      <c r="N232" s="209">
        <f>VLOOKUP($B232,'2017'!$A$5:$Q$1425,COUNTA(Upload!$E$3:N$3)+2,FALSE)</f>
        <v>756.58333333333337</v>
      </c>
      <c r="O232" s="209">
        <f>VLOOKUP($B232,'2017'!$A$5:$Q$1425,COUNTA(Upload!$E$3:O$3)+2,FALSE)</f>
        <v>756.58333333333337</v>
      </c>
      <c r="P232" s="209">
        <f>VLOOKUP($B232,'2017'!$A$5:$Q$1425,COUNTA(Upload!$E$3:P$3)+2,FALSE)</f>
        <v>756.58333333333337</v>
      </c>
      <c r="T232" s="161"/>
    </row>
    <row r="233" spans="1:20" s="118" customFormat="1" ht="10.5" customHeight="1">
      <c r="A233" s="207" t="s">
        <v>70</v>
      </c>
      <c r="B233" s="412" t="s">
        <v>1011</v>
      </c>
      <c r="C233" s="208" t="str">
        <f>+Setup!$B$21</f>
        <v>WC-PropName</v>
      </c>
      <c r="D233" s="208"/>
      <c r="E233" s="209">
        <f>VLOOKUP($B233,'2017'!$A$5:$Q$1425,COUNTA(Upload!$E$3:E$3)+2,FALSE)</f>
        <v>165.16666666666666</v>
      </c>
      <c r="F233" s="209">
        <f>VLOOKUP($B233,'2017'!$A$5:$Q$1425,COUNTA(Upload!$E$3:F$3)+2,FALSE)</f>
        <v>165.16666666666666</v>
      </c>
      <c r="G233" s="209">
        <f>VLOOKUP($B233,'2017'!$A$5:$Q$1425,COUNTA(Upload!$E$3:G$3)+2,FALSE)</f>
        <v>165.16666666666666</v>
      </c>
      <c r="H233" s="209">
        <f>VLOOKUP($B233,'2017'!$A$5:$Q$1425,COUNTA(Upload!$E$3:H$3)+2,FALSE)</f>
        <v>165.16666666666666</v>
      </c>
      <c r="I233" s="209">
        <f>VLOOKUP($B233,'2017'!$A$5:$Q$1425,COUNTA(Upload!$E$3:I$3)+2,FALSE)</f>
        <v>165.16666666666666</v>
      </c>
      <c r="J233" s="209">
        <f>VLOOKUP($B233,'2017'!$A$5:$Q$1425,COUNTA(Upload!$E$3:J$3)+2,FALSE)</f>
        <v>165.16666666666666</v>
      </c>
      <c r="K233" s="209">
        <f>VLOOKUP($B233,'2017'!$A$5:$Q$1425,COUNTA(Upload!$E$3:K$3)+2,FALSE)</f>
        <v>165.16666666666666</v>
      </c>
      <c r="L233" s="209">
        <f>VLOOKUP($B233,'2017'!$A$5:$Q$1425,COUNTA(Upload!$E$3:L$3)+2,FALSE)</f>
        <v>165.16666666666666</v>
      </c>
      <c r="M233" s="209">
        <f>VLOOKUP($B233,'2017'!$A$5:$Q$1425,COUNTA(Upload!$E$3:M$3)+2,FALSE)</f>
        <v>165.16666666666666</v>
      </c>
      <c r="N233" s="209">
        <f>VLOOKUP($B233,'2017'!$A$5:$Q$1425,COUNTA(Upload!$E$3:N$3)+2,FALSE)</f>
        <v>165.16666666666666</v>
      </c>
      <c r="O233" s="209">
        <f>VLOOKUP($B233,'2017'!$A$5:$Q$1425,COUNTA(Upload!$E$3:O$3)+2,FALSE)</f>
        <v>165.16666666666666</v>
      </c>
      <c r="P233" s="209">
        <f>VLOOKUP($B233,'2017'!$A$5:$Q$1425,COUNTA(Upload!$E$3:P$3)+2,FALSE)</f>
        <v>165.16666666666666</v>
      </c>
      <c r="T233" s="161"/>
    </row>
    <row r="234" spans="1:20" s="118" customFormat="1" ht="10.5" customHeight="1">
      <c r="A234" s="207" t="s">
        <v>70</v>
      </c>
      <c r="B234" s="412" t="s">
        <v>1013</v>
      </c>
      <c r="C234" s="208" t="str">
        <f>+Setup!$B$21</f>
        <v>WC-PropName</v>
      </c>
      <c r="D234" s="208"/>
      <c r="E234" s="209">
        <f>VLOOKUP($B234,'2017'!$A$5:$Q$1425,COUNTA(Upload!$E$3:E$3)+2,FALSE)</f>
        <v>179.41666666666666</v>
      </c>
      <c r="F234" s="209">
        <f>VLOOKUP($B234,'2017'!$A$5:$Q$1425,COUNTA(Upload!$E$3:F$3)+2,FALSE)</f>
        <v>179.41666666666666</v>
      </c>
      <c r="G234" s="209">
        <f>VLOOKUP($B234,'2017'!$A$5:$Q$1425,COUNTA(Upload!$E$3:G$3)+2,FALSE)</f>
        <v>179.41666666666666</v>
      </c>
      <c r="H234" s="209">
        <f>VLOOKUP($B234,'2017'!$A$5:$Q$1425,COUNTA(Upload!$E$3:H$3)+2,FALSE)</f>
        <v>179.41666666666666</v>
      </c>
      <c r="I234" s="209">
        <f>VLOOKUP($B234,'2017'!$A$5:$Q$1425,COUNTA(Upload!$E$3:I$3)+2,FALSE)</f>
        <v>179.41666666666666</v>
      </c>
      <c r="J234" s="209">
        <f>VLOOKUP($B234,'2017'!$A$5:$Q$1425,COUNTA(Upload!$E$3:J$3)+2,FALSE)</f>
        <v>179.41666666666666</v>
      </c>
      <c r="K234" s="209">
        <f>VLOOKUP($B234,'2017'!$A$5:$Q$1425,COUNTA(Upload!$E$3:K$3)+2,FALSE)</f>
        <v>179.41666666666666</v>
      </c>
      <c r="L234" s="209">
        <f>VLOOKUP($B234,'2017'!$A$5:$Q$1425,COUNTA(Upload!$E$3:L$3)+2,FALSE)</f>
        <v>179.41666666666666</v>
      </c>
      <c r="M234" s="209">
        <f>VLOOKUP($B234,'2017'!$A$5:$Q$1425,COUNTA(Upload!$E$3:M$3)+2,FALSE)</f>
        <v>179.41666666666666</v>
      </c>
      <c r="N234" s="209">
        <f>VLOOKUP($B234,'2017'!$A$5:$Q$1425,COUNTA(Upload!$E$3:N$3)+2,FALSE)</f>
        <v>179.41666666666666</v>
      </c>
      <c r="O234" s="209">
        <f>VLOOKUP($B234,'2017'!$A$5:$Q$1425,COUNTA(Upload!$E$3:O$3)+2,FALSE)</f>
        <v>179.41666666666666</v>
      </c>
      <c r="P234" s="209">
        <f>VLOOKUP($B234,'2017'!$A$5:$Q$1425,COUNTA(Upload!$E$3:P$3)+2,FALSE)</f>
        <v>179.41666666666666</v>
      </c>
      <c r="T234" s="161"/>
    </row>
    <row r="235" spans="1:20" s="118" customFormat="1" ht="10.5" customHeight="1">
      <c r="A235" s="207" t="s">
        <v>70</v>
      </c>
      <c r="B235" s="412" t="s">
        <v>1015</v>
      </c>
      <c r="C235" s="208" t="str">
        <f>+Setup!$B$21</f>
        <v>WC-PropName</v>
      </c>
      <c r="D235" s="208"/>
      <c r="E235" s="209">
        <f>VLOOKUP($B235,'2017'!$A$5:$Q$1425,COUNTA(Upload!$E$3:E$3)+2,FALSE)</f>
        <v>213.25</v>
      </c>
      <c r="F235" s="209">
        <f>VLOOKUP($B235,'2017'!$A$5:$Q$1425,COUNTA(Upload!$E$3:F$3)+2,FALSE)</f>
        <v>213.25</v>
      </c>
      <c r="G235" s="209">
        <f>VLOOKUP($B235,'2017'!$A$5:$Q$1425,COUNTA(Upload!$E$3:G$3)+2,FALSE)</f>
        <v>213.25</v>
      </c>
      <c r="H235" s="209">
        <f>VLOOKUP($B235,'2017'!$A$5:$Q$1425,COUNTA(Upload!$E$3:H$3)+2,FALSE)</f>
        <v>213.25</v>
      </c>
      <c r="I235" s="209">
        <f>VLOOKUP($B235,'2017'!$A$5:$Q$1425,COUNTA(Upload!$E$3:I$3)+2,FALSE)</f>
        <v>213.25</v>
      </c>
      <c r="J235" s="209">
        <f>VLOOKUP($B235,'2017'!$A$5:$Q$1425,COUNTA(Upload!$E$3:J$3)+2,FALSE)</f>
        <v>213.25</v>
      </c>
      <c r="K235" s="209">
        <f>VLOOKUP($B235,'2017'!$A$5:$Q$1425,COUNTA(Upload!$E$3:K$3)+2,FALSE)</f>
        <v>213.25</v>
      </c>
      <c r="L235" s="209">
        <f>VLOOKUP($B235,'2017'!$A$5:$Q$1425,COUNTA(Upload!$E$3:L$3)+2,FALSE)</f>
        <v>213.25</v>
      </c>
      <c r="M235" s="209">
        <f>VLOOKUP($B235,'2017'!$A$5:$Q$1425,COUNTA(Upload!$E$3:M$3)+2,FALSE)</f>
        <v>213.25</v>
      </c>
      <c r="N235" s="209">
        <f>VLOOKUP($B235,'2017'!$A$5:$Q$1425,COUNTA(Upload!$E$3:N$3)+2,FALSE)</f>
        <v>213.25</v>
      </c>
      <c r="O235" s="209">
        <f>VLOOKUP($B235,'2017'!$A$5:$Q$1425,COUNTA(Upload!$E$3:O$3)+2,FALSE)</f>
        <v>213.25</v>
      </c>
      <c r="P235" s="209">
        <f>VLOOKUP($B235,'2017'!$A$5:$Q$1425,COUNTA(Upload!$E$3:P$3)+2,FALSE)</f>
        <v>213.25</v>
      </c>
      <c r="T235" s="161"/>
    </row>
    <row r="236" spans="1:20" s="118" customFormat="1" ht="10.5" customHeight="1">
      <c r="A236" s="207" t="s">
        <v>70</v>
      </c>
      <c r="B236" s="412" t="s">
        <v>1017</v>
      </c>
      <c r="C236" s="208" t="str">
        <f>+Setup!$B$21</f>
        <v>WC-PropName</v>
      </c>
      <c r="D236" s="208"/>
      <c r="E236" s="209">
        <f>VLOOKUP($B236,'2017'!$A$5:$Q$1425,COUNTA(Upload!$E$3:E$3)+2,FALSE)</f>
        <v>0</v>
      </c>
      <c r="F236" s="209">
        <f>VLOOKUP($B236,'2017'!$A$5:$Q$1425,COUNTA(Upload!$E$3:F$3)+2,FALSE)</f>
        <v>0</v>
      </c>
      <c r="G236" s="209">
        <f>VLOOKUP($B236,'2017'!$A$5:$Q$1425,COUNTA(Upload!$E$3:G$3)+2,FALSE)</f>
        <v>0</v>
      </c>
      <c r="H236" s="209">
        <f>VLOOKUP($B236,'2017'!$A$5:$Q$1425,COUNTA(Upload!$E$3:H$3)+2,FALSE)</f>
        <v>0</v>
      </c>
      <c r="I236" s="209">
        <f>VLOOKUP($B236,'2017'!$A$5:$Q$1425,COUNTA(Upload!$E$3:I$3)+2,FALSE)</f>
        <v>0</v>
      </c>
      <c r="J236" s="209">
        <f>VLOOKUP($B236,'2017'!$A$5:$Q$1425,COUNTA(Upload!$E$3:J$3)+2,FALSE)</f>
        <v>0</v>
      </c>
      <c r="K236" s="209">
        <f>VLOOKUP($B236,'2017'!$A$5:$Q$1425,COUNTA(Upload!$E$3:K$3)+2,FALSE)</f>
        <v>0</v>
      </c>
      <c r="L236" s="209">
        <f>VLOOKUP($B236,'2017'!$A$5:$Q$1425,COUNTA(Upload!$E$3:L$3)+2,FALSE)</f>
        <v>0</v>
      </c>
      <c r="M236" s="209">
        <f>VLOOKUP($B236,'2017'!$A$5:$Q$1425,COUNTA(Upload!$E$3:M$3)+2,FALSE)</f>
        <v>0</v>
      </c>
      <c r="N236" s="209">
        <f>VLOOKUP($B236,'2017'!$A$5:$Q$1425,COUNTA(Upload!$E$3:N$3)+2,FALSE)</f>
        <v>0</v>
      </c>
      <c r="O236" s="209">
        <f>VLOOKUP($B236,'2017'!$A$5:$Q$1425,COUNTA(Upload!$E$3:O$3)+2,FALSE)</f>
        <v>0</v>
      </c>
      <c r="P236" s="209">
        <f>VLOOKUP($B236,'2017'!$A$5:$Q$1425,COUNTA(Upload!$E$3:P$3)+2,FALSE)</f>
        <v>0</v>
      </c>
      <c r="T236" s="161"/>
    </row>
    <row r="237" spans="1:20" s="118" customFormat="1" ht="10.5" customHeight="1">
      <c r="A237" s="207" t="s">
        <v>70</v>
      </c>
      <c r="B237" s="412" t="s">
        <v>1019</v>
      </c>
      <c r="C237" s="208" t="str">
        <f>+Setup!$B$21</f>
        <v>WC-PropName</v>
      </c>
      <c r="D237" s="208"/>
      <c r="E237" s="209">
        <f>VLOOKUP($B237,'2017'!$A$5:$Q$1425,COUNTA(Upload!$E$3:E$3)+2,FALSE)</f>
        <v>18.333333333333332</v>
      </c>
      <c r="F237" s="209">
        <f>VLOOKUP($B237,'2017'!$A$5:$Q$1425,COUNTA(Upload!$E$3:F$3)+2,FALSE)</f>
        <v>18.333333333333332</v>
      </c>
      <c r="G237" s="209">
        <f>VLOOKUP($B237,'2017'!$A$5:$Q$1425,COUNTA(Upload!$E$3:G$3)+2,FALSE)</f>
        <v>18.333333333333332</v>
      </c>
      <c r="H237" s="209">
        <f>VLOOKUP($B237,'2017'!$A$5:$Q$1425,COUNTA(Upload!$E$3:H$3)+2,FALSE)</f>
        <v>18.333333333333332</v>
      </c>
      <c r="I237" s="209">
        <f>VLOOKUP($B237,'2017'!$A$5:$Q$1425,COUNTA(Upload!$E$3:I$3)+2,FALSE)</f>
        <v>18.333333333333332</v>
      </c>
      <c r="J237" s="209">
        <f>VLOOKUP($B237,'2017'!$A$5:$Q$1425,COUNTA(Upload!$E$3:J$3)+2,FALSE)</f>
        <v>18.333333333333332</v>
      </c>
      <c r="K237" s="209">
        <f>VLOOKUP($B237,'2017'!$A$5:$Q$1425,COUNTA(Upload!$E$3:K$3)+2,FALSE)</f>
        <v>18.333333333333332</v>
      </c>
      <c r="L237" s="209">
        <f>VLOOKUP($B237,'2017'!$A$5:$Q$1425,COUNTA(Upload!$E$3:L$3)+2,FALSE)</f>
        <v>18.333333333333332</v>
      </c>
      <c r="M237" s="209">
        <f>VLOOKUP($B237,'2017'!$A$5:$Q$1425,COUNTA(Upload!$E$3:M$3)+2,FALSE)</f>
        <v>18.333333333333332</v>
      </c>
      <c r="N237" s="209">
        <f>VLOOKUP($B237,'2017'!$A$5:$Q$1425,COUNTA(Upload!$E$3:N$3)+2,FALSE)</f>
        <v>18.333333333333332</v>
      </c>
      <c r="O237" s="209">
        <f>VLOOKUP($B237,'2017'!$A$5:$Q$1425,COUNTA(Upload!$E$3:O$3)+2,FALSE)</f>
        <v>18.333333333333332</v>
      </c>
      <c r="P237" s="209">
        <f>VLOOKUP($B237,'2017'!$A$5:$Q$1425,COUNTA(Upload!$E$3:P$3)+2,FALSE)</f>
        <v>18.333333333333332</v>
      </c>
      <c r="T237" s="161"/>
    </row>
    <row r="238" spans="1:20" s="118" customFormat="1" ht="10.5" customHeight="1">
      <c r="A238" s="207" t="s">
        <v>70</v>
      </c>
      <c r="B238" s="412" t="s">
        <v>1021</v>
      </c>
      <c r="C238" s="208" t="str">
        <f>+Setup!$B$21</f>
        <v>WC-PropName</v>
      </c>
      <c r="D238" s="208"/>
      <c r="E238" s="209">
        <f>VLOOKUP($B238,'2017'!$A$5:$Q$1425,COUNTA(Upload!$E$3:E$3)+2,FALSE)</f>
        <v>103.83333333333333</v>
      </c>
      <c r="F238" s="209">
        <f>VLOOKUP($B238,'2017'!$A$5:$Q$1425,COUNTA(Upload!$E$3:F$3)+2,FALSE)</f>
        <v>103.83333333333333</v>
      </c>
      <c r="G238" s="209">
        <f>VLOOKUP($B238,'2017'!$A$5:$Q$1425,COUNTA(Upload!$E$3:G$3)+2,FALSE)</f>
        <v>103.83333333333333</v>
      </c>
      <c r="H238" s="209">
        <f>VLOOKUP($B238,'2017'!$A$5:$Q$1425,COUNTA(Upload!$E$3:H$3)+2,FALSE)</f>
        <v>103.83333333333333</v>
      </c>
      <c r="I238" s="209">
        <f>VLOOKUP($B238,'2017'!$A$5:$Q$1425,COUNTA(Upload!$E$3:I$3)+2,FALSE)</f>
        <v>103.83333333333333</v>
      </c>
      <c r="J238" s="209">
        <f>VLOOKUP($B238,'2017'!$A$5:$Q$1425,COUNTA(Upload!$E$3:J$3)+2,FALSE)</f>
        <v>103.83333333333333</v>
      </c>
      <c r="K238" s="209">
        <f>VLOOKUP($B238,'2017'!$A$5:$Q$1425,COUNTA(Upload!$E$3:K$3)+2,FALSE)</f>
        <v>103.83333333333333</v>
      </c>
      <c r="L238" s="209">
        <f>VLOOKUP($B238,'2017'!$A$5:$Q$1425,COUNTA(Upload!$E$3:L$3)+2,FALSE)</f>
        <v>103.83333333333333</v>
      </c>
      <c r="M238" s="209">
        <f>VLOOKUP($B238,'2017'!$A$5:$Q$1425,COUNTA(Upload!$E$3:M$3)+2,FALSE)</f>
        <v>103.83333333333333</v>
      </c>
      <c r="N238" s="209">
        <f>VLOOKUP($B238,'2017'!$A$5:$Q$1425,COUNTA(Upload!$E$3:N$3)+2,FALSE)</f>
        <v>103.83333333333333</v>
      </c>
      <c r="O238" s="209">
        <f>VLOOKUP($B238,'2017'!$A$5:$Q$1425,COUNTA(Upload!$E$3:O$3)+2,FALSE)</f>
        <v>103.83333333333333</v>
      </c>
      <c r="P238" s="209">
        <f>VLOOKUP($B238,'2017'!$A$5:$Q$1425,COUNTA(Upload!$E$3:P$3)+2,FALSE)</f>
        <v>103.83333333333333</v>
      </c>
      <c r="T238" s="161"/>
    </row>
    <row r="239" spans="1:20" s="118" customFormat="1" ht="10.5" customHeight="1">
      <c r="A239" s="207" t="s">
        <v>70</v>
      </c>
      <c r="B239" s="412" t="s">
        <v>988</v>
      </c>
      <c r="C239" s="208" t="str">
        <f>+Setup!$B$21</f>
        <v>WC-PropName</v>
      </c>
      <c r="D239" s="208"/>
      <c r="E239" s="209">
        <f>VLOOKUP($B239,'2017'!$A$5:$Q$1425,COUNTA(Upload!$E$3:E$3)+2,FALSE)</f>
        <v>6.166666666666667</v>
      </c>
      <c r="F239" s="209">
        <f>VLOOKUP($B239,'2017'!$A$5:$Q$1425,COUNTA(Upload!$E$3:F$3)+2,FALSE)</f>
        <v>6.166666666666667</v>
      </c>
      <c r="G239" s="209">
        <f>VLOOKUP($B239,'2017'!$A$5:$Q$1425,COUNTA(Upload!$E$3:G$3)+2,FALSE)</f>
        <v>6.166666666666667</v>
      </c>
      <c r="H239" s="209">
        <f>VLOOKUP($B239,'2017'!$A$5:$Q$1425,COUNTA(Upload!$E$3:H$3)+2,FALSE)</f>
        <v>6.166666666666667</v>
      </c>
      <c r="I239" s="209">
        <f>VLOOKUP($B239,'2017'!$A$5:$Q$1425,COUNTA(Upload!$E$3:I$3)+2,FALSE)</f>
        <v>6.166666666666667</v>
      </c>
      <c r="J239" s="209">
        <f>VLOOKUP($B239,'2017'!$A$5:$Q$1425,COUNTA(Upload!$E$3:J$3)+2,FALSE)</f>
        <v>6.166666666666667</v>
      </c>
      <c r="K239" s="209">
        <f>VLOOKUP($B239,'2017'!$A$5:$Q$1425,COUNTA(Upload!$E$3:K$3)+2,FALSE)</f>
        <v>6.166666666666667</v>
      </c>
      <c r="L239" s="209">
        <f>VLOOKUP($B239,'2017'!$A$5:$Q$1425,COUNTA(Upload!$E$3:L$3)+2,FALSE)</f>
        <v>6.166666666666667</v>
      </c>
      <c r="M239" s="209">
        <f>VLOOKUP($B239,'2017'!$A$5:$Q$1425,COUNTA(Upload!$E$3:M$3)+2,FALSE)</f>
        <v>6.166666666666667</v>
      </c>
      <c r="N239" s="209">
        <f>VLOOKUP($B239,'2017'!$A$5:$Q$1425,COUNTA(Upload!$E$3:N$3)+2,FALSE)</f>
        <v>6.166666666666667</v>
      </c>
      <c r="O239" s="209">
        <f>VLOOKUP($B239,'2017'!$A$5:$Q$1425,COUNTA(Upload!$E$3:O$3)+2,FALSE)</f>
        <v>6.166666666666667</v>
      </c>
      <c r="P239" s="209">
        <f>VLOOKUP($B239,'2017'!$A$5:$Q$1425,COUNTA(Upload!$E$3:P$3)+2,FALSE)</f>
        <v>6.166666666666667</v>
      </c>
      <c r="T239" s="161"/>
    </row>
    <row r="240" spans="1:20" s="118" customFormat="1" ht="10.5" customHeight="1">
      <c r="A240" s="207" t="s">
        <v>70</v>
      </c>
      <c r="B240" s="412" t="s">
        <v>990</v>
      </c>
      <c r="C240" s="208" t="str">
        <f>+Setup!$B$21</f>
        <v>WC-PropName</v>
      </c>
      <c r="D240" s="208"/>
      <c r="E240" s="209">
        <f>VLOOKUP($B240,'2017'!$A$5:$Q$1425,COUNTA(Upload!$E$3:E$3)+2,FALSE)</f>
        <v>0</v>
      </c>
      <c r="F240" s="209">
        <f>VLOOKUP($B240,'2017'!$A$5:$Q$1425,COUNTA(Upload!$E$3:F$3)+2,FALSE)</f>
        <v>0</v>
      </c>
      <c r="G240" s="209">
        <f>VLOOKUP($B240,'2017'!$A$5:$Q$1425,COUNTA(Upload!$E$3:G$3)+2,FALSE)</f>
        <v>0</v>
      </c>
      <c r="H240" s="209">
        <f>VLOOKUP($B240,'2017'!$A$5:$Q$1425,COUNTA(Upload!$E$3:H$3)+2,FALSE)</f>
        <v>0</v>
      </c>
      <c r="I240" s="209">
        <f>VLOOKUP($B240,'2017'!$A$5:$Q$1425,COUNTA(Upload!$E$3:I$3)+2,FALSE)</f>
        <v>0</v>
      </c>
      <c r="J240" s="209">
        <f>VLOOKUP($B240,'2017'!$A$5:$Q$1425,COUNTA(Upload!$E$3:J$3)+2,FALSE)</f>
        <v>0</v>
      </c>
      <c r="K240" s="209">
        <f>VLOOKUP($B240,'2017'!$A$5:$Q$1425,COUNTA(Upload!$E$3:K$3)+2,FALSE)</f>
        <v>0</v>
      </c>
      <c r="L240" s="209">
        <f>VLOOKUP($B240,'2017'!$A$5:$Q$1425,COUNTA(Upload!$E$3:L$3)+2,FALSE)</f>
        <v>0</v>
      </c>
      <c r="M240" s="209">
        <f>VLOOKUP($B240,'2017'!$A$5:$Q$1425,COUNTA(Upload!$E$3:M$3)+2,FALSE)</f>
        <v>0</v>
      </c>
      <c r="N240" s="209">
        <f>VLOOKUP($B240,'2017'!$A$5:$Q$1425,COUNTA(Upload!$E$3:N$3)+2,FALSE)</f>
        <v>0</v>
      </c>
      <c r="O240" s="209">
        <f>VLOOKUP($B240,'2017'!$A$5:$Q$1425,COUNTA(Upload!$E$3:O$3)+2,FALSE)</f>
        <v>0</v>
      </c>
      <c r="P240" s="209">
        <f>VLOOKUP($B240,'2017'!$A$5:$Q$1425,COUNTA(Upload!$E$3:P$3)+2,FALSE)</f>
        <v>0</v>
      </c>
      <c r="T240" s="161"/>
    </row>
    <row r="241" spans="1:20" s="118" customFormat="1" ht="10.5" customHeight="1">
      <c r="A241" s="207" t="s">
        <v>70</v>
      </c>
      <c r="B241" s="412" t="s">
        <v>991</v>
      </c>
      <c r="C241" s="208" t="str">
        <f>+Setup!$B$21</f>
        <v>WC-PropName</v>
      </c>
      <c r="D241" s="208"/>
      <c r="E241" s="209">
        <f>VLOOKUP($B241,'2017'!$A$5:$Q$1425,COUNTA(Upload!$E$3:E$3)+2,FALSE)</f>
        <v>474.41666666666669</v>
      </c>
      <c r="F241" s="209">
        <f>VLOOKUP($B241,'2017'!$A$5:$Q$1425,COUNTA(Upload!$E$3:F$3)+2,FALSE)</f>
        <v>474.41666666666669</v>
      </c>
      <c r="G241" s="209">
        <f>VLOOKUP($B241,'2017'!$A$5:$Q$1425,COUNTA(Upload!$E$3:G$3)+2,FALSE)</f>
        <v>474.41666666666669</v>
      </c>
      <c r="H241" s="209">
        <f>VLOOKUP($B241,'2017'!$A$5:$Q$1425,COUNTA(Upload!$E$3:H$3)+2,FALSE)</f>
        <v>474.41666666666669</v>
      </c>
      <c r="I241" s="209">
        <f>VLOOKUP($B241,'2017'!$A$5:$Q$1425,COUNTA(Upload!$E$3:I$3)+2,FALSE)</f>
        <v>474.41666666666669</v>
      </c>
      <c r="J241" s="209">
        <f>VLOOKUP($B241,'2017'!$A$5:$Q$1425,COUNTA(Upload!$E$3:J$3)+2,FALSE)</f>
        <v>474.41666666666669</v>
      </c>
      <c r="K241" s="209">
        <f>VLOOKUP($B241,'2017'!$A$5:$Q$1425,COUNTA(Upload!$E$3:K$3)+2,FALSE)</f>
        <v>474.41666666666669</v>
      </c>
      <c r="L241" s="209">
        <f>VLOOKUP($B241,'2017'!$A$5:$Q$1425,COUNTA(Upload!$E$3:L$3)+2,FALSE)</f>
        <v>474.41666666666669</v>
      </c>
      <c r="M241" s="209">
        <f>VLOOKUP($B241,'2017'!$A$5:$Q$1425,COUNTA(Upload!$E$3:M$3)+2,FALSE)</f>
        <v>474.41666666666669</v>
      </c>
      <c r="N241" s="209">
        <f>VLOOKUP($B241,'2017'!$A$5:$Q$1425,COUNTA(Upload!$E$3:N$3)+2,FALSE)</f>
        <v>474.41666666666669</v>
      </c>
      <c r="O241" s="209">
        <f>VLOOKUP($B241,'2017'!$A$5:$Q$1425,COUNTA(Upload!$E$3:O$3)+2,FALSE)</f>
        <v>474.41666666666669</v>
      </c>
      <c r="P241" s="209">
        <f>VLOOKUP($B241,'2017'!$A$5:$Q$1425,COUNTA(Upload!$E$3:P$3)+2,FALSE)</f>
        <v>474.41666666666669</v>
      </c>
      <c r="T241" s="161"/>
    </row>
    <row r="242" spans="1:20" s="118" customFormat="1" ht="10.5" customHeight="1">
      <c r="A242" s="207" t="s">
        <v>70</v>
      </c>
      <c r="B242" s="412" t="s">
        <v>993</v>
      </c>
      <c r="C242" s="208" t="str">
        <f>+Setup!$B$21</f>
        <v>WC-PropName</v>
      </c>
      <c r="D242" s="208"/>
      <c r="E242" s="209">
        <f>VLOOKUP($B242,'2017'!$A$5:$Q$1425,COUNTA(Upload!$E$3:E$3)+2,FALSE)</f>
        <v>0</v>
      </c>
      <c r="F242" s="209">
        <f>VLOOKUP($B242,'2017'!$A$5:$Q$1425,COUNTA(Upload!$E$3:F$3)+2,FALSE)</f>
        <v>0</v>
      </c>
      <c r="G242" s="209">
        <f>VLOOKUP($B242,'2017'!$A$5:$Q$1425,COUNTA(Upload!$E$3:G$3)+2,FALSE)</f>
        <v>0</v>
      </c>
      <c r="H242" s="209">
        <f>VLOOKUP($B242,'2017'!$A$5:$Q$1425,COUNTA(Upload!$E$3:H$3)+2,FALSE)</f>
        <v>0</v>
      </c>
      <c r="I242" s="209">
        <f>VLOOKUP($B242,'2017'!$A$5:$Q$1425,COUNTA(Upload!$E$3:I$3)+2,FALSE)</f>
        <v>0</v>
      </c>
      <c r="J242" s="209">
        <f>VLOOKUP($B242,'2017'!$A$5:$Q$1425,COUNTA(Upload!$E$3:J$3)+2,FALSE)</f>
        <v>0</v>
      </c>
      <c r="K242" s="209">
        <f>VLOOKUP($B242,'2017'!$A$5:$Q$1425,COUNTA(Upload!$E$3:K$3)+2,FALSE)</f>
        <v>0</v>
      </c>
      <c r="L242" s="209">
        <f>VLOOKUP($B242,'2017'!$A$5:$Q$1425,COUNTA(Upload!$E$3:L$3)+2,FALSE)</f>
        <v>0</v>
      </c>
      <c r="M242" s="209">
        <f>VLOOKUP($B242,'2017'!$A$5:$Q$1425,COUNTA(Upload!$E$3:M$3)+2,FALSE)</f>
        <v>0</v>
      </c>
      <c r="N242" s="209">
        <f>VLOOKUP($B242,'2017'!$A$5:$Q$1425,COUNTA(Upload!$E$3:N$3)+2,FALSE)</f>
        <v>0</v>
      </c>
      <c r="O242" s="209">
        <f>VLOOKUP($B242,'2017'!$A$5:$Q$1425,COUNTA(Upload!$E$3:O$3)+2,FALSE)</f>
        <v>0</v>
      </c>
      <c r="P242" s="209">
        <f>VLOOKUP($B242,'2017'!$A$5:$Q$1425,COUNTA(Upload!$E$3:P$3)+2,FALSE)</f>
        <v>0</v>
      </c>
      <c r="T242" s="161"/>
    </row>
    <row r="243" spans="1:20" s="118" customFormat="1" ht="10.5" customHeight="1">
      <c r="A243" s="207" t="s">
        <v>70</v>
      </c>
      <c r="B243" s="412" t="s">
        <v>1024</v>
      </c>
      <c r="C243" s="208" t="str">
        <f>+Setup!$B$21</f>
        <v>WC-PropName</v>
      </c>
      <c r="D243" s="208"/>
      <c r="E243" s="209">
        <f>VLOOKUP($B243,'2017'!$A$5:$Q$1425,COUNTA(Upload!$E$3:E$3)+2,FALSE)</f>
        <v>0</v>
      </c>
      <c r="F243" s="209">
        <f>VLOOKUP($B243,'2017'!$A$5:$Q$1425,COUNTA(Upload!$E$3:F$3)+2,FALSE)</f>
        <v>0</v>
      </c>
      <c r="G243" s="209">
        <f>VLOOKUP($B243,'2017'!$A$5:$Q$1425,COUNTA(Upload!$E$3:G$3)+2,FALSE)</f>
        <v>0</v>
      </c>
      <c r="H243" s="209">
        <f>VLOOKUP($B243,'2017'!$A$5:$Q$1425,COUNTA(Upload!$E$3:H$3)+2,FALSE)</f>
        <v>0</v>
      </c>
      <c r="I243" s="209">
        <f>VLOOKUP($B243,'2017'!$A$5:$Q$1425,COUNTA(Upload!$E$3:I$3)+2,FALSE)</f>
        <v>0</v>
      </c>
      <c r="J243" s="209">
        <f>VLOOKUP($B243,'2017'!$A$5:$Q$1425,COUNTA(Upload!$E$3:J$3)+2,FALSE)</f>
        <v>0</v>
      </c>
      <c r="K243" s="209">
        <f>VLOOKUP($B243,'2017'!$A$5:$Q$1425,COUNTA(Upload!$E$3:K$3)+2,FALSE)</f>
        <v>0</v>
      </c>
      <c r="L243" s="209">
        <f>VLOOKUP($B243,'2017'!$A$5:$Q$1425,COUNTA(Upload!$E$3:L$3)+2,FALSE)</f>
        <v>0</v>
      </c>
      <c r="M243" s="209">
        <f>VLOOKUP($B243,'2017'!$A$5:$Q$1425,COUNTA(Upload!$E$3:M$3)+2,FALSE)</f>
        <v>0</v>
      </c>
      <c r="N243" s="209">
        <f>VLOOKUP($B243,'2017'!$A$5:$Q$1425,COUNTA(Upload!$E$3:N$3)+2,FALSE)</f>
        <v>0</v>
      </c>
      <c r="O243" s="209">
        <f>VLOOKUP($B243,'2017'!$A$5:$Q$1425,COUNTA(Upload!$E$3:O$3)+2,FALSE)</f>
        <v>0</v>
      </c>
      <c r="P243" s="209">
        <f>VLOOKUP($B243,'2017'!$A$5:$Q$1425,COUNTA(Upload!$E$3:P$3)+2,FALSE)</f>
        <v>0</v>
      </c>
      <c r="T243" s="161"/>
    </row>
    <row r="244" spans="1:20" s="118" customFormat="1" ht="10.5" customHeight="1">
      <c r="A244" s="207" t="s">
        <v>70</v>
      </c>
      <c r="B244" s="412" t="s">
        <v>1025</v>
      </c>
      <c r="C244" s="208" t="str">
        <f>+Setup!$B$21</f>
        <v>WC-PropName</v>
      </c>
      <c r="D244" s="208"/>
      <c r="E244" s="209">
        <f>VLOOKUP($B244,'2017'!$A$5:$Q$1425,COUNTA(Upload!$E$3:E$3)+2,FALSE)</f>
        <v>0</v>
      </c>
      <c r="F244" s="209">
        <f>VLOOKUP($B244,'2017'!$A$5:$Q$1425,COUNTA(Upload!$E$3:F$3)+2,FALSE)</f>
        <v>0</v>
      </c>
      <c r="G244" s="209">
        <f>VLOOKUP($B244,'2017'!$A$5:$Q$1425,COUNTA(Upload!$E$3:G$3)+2,FALSE)</f>
        <v>0</v>
      </c>
      <c r="H244" s="209">
        <f>VLOOKUP($B244,'2017'!$A$5:$Q$1425,COUNTA(Upload!$E$3:H$3)+2,FALSE)</f>
        <v>0</v>
      </c>
      <c r="I244" s="209">
        <f>VLOOKUP($B244,'2017'!$A$5:$Q$1425,COUNTA(Upload!$E$3:I$3)+2,FALSE)</f>
        <v>0</v>
      </c>
      <c r="J244" s="209">
        <f>VLOOKUP($B244,'2017'!$A$5:$Q$1425,COUNTA(Upload!$E$3:J$3)+2,FALSE)</f>
        <v>0</v>
      </c>
      <c r="K244" s="209">
        <f>VLOOKUP($B244,'2017'!$A$5:$Q$1425,COUNTA(Upload!$E$3:K$3)+2,FALSE)</f>
        <v>0</v>
      </c>
      <c r="L244" s="209">
        <f>VLOOKUP($B244,'2017'!$A$5:$Q$1425,COUNTA(Upload!$E$3:L$3)+2,FALSE)</f>
        <v>0</v>
      </c>
      <c r="M244" s="209">
        <f>VLOOKUP($B244,'2017'!$A$5:$Q$1425,COUNTA(Upload!$E$3:M$3)+2,FALSE)</f>
        <v>0</v>
      </c>
      <c r="N244" s="209">
        <f>VLOOKUP($B244,'2017'!$A$5:$Q$1425,COUNTA(Upload!$E$3:N$3)+2,FALSE)</f>
        <v>0</v>
      </c>
      <c r="O244" s="209">
        <f>VLOOKUP($B244,'2017'!$A$5:$Q$1425,COUNTA(Upload!$E$3:O$3)+2,FALSE)</f>
        <v>0</v>
      </c>
      <c r="P244" s="209">
        <f>VLOOKUP($B244,'2017'!$A$5:$Q$1425,COUNTA(Upload!$E$3:P$3)+2,FALSE)</f>
        <v>0</v>
      </c>
      <c r="T244" s="161"/>
    </row>
    <row r="245" spans="1:20" s="118" customFormat="1" ht="10.5" customHeight="1">
      <c r="A245" s="207" t="s">
        <v>70</v>
      </c>
      <c r="B245" s="412" t="s">
        <v>1027</v>
      </c>
      <c r="C245" s="208" t="str">
        <f>+Setup!$B$21</f>
        <v>WC-PropName</v>
      </c>
      <c r="D245" s="208"/>
      <c r="E245" s="209">
        <f>VLOOKUP($B245,'2017'!$A$5:$Q$1425,COUNTA(Upload!$E$3:E$3)+2,FALSE)</f>
        <v>50</v>
      </c>
      <c r="F245" s="209">
        <f>VLOOKUP($B245,'2017'!$A$5:$Q$1425,COUNTA(Upload!$E$3:F$3)+2,FALSE)</f>
        <v>50</v>
      </c>
      <c r="G245" s="209">
        <f>VLOOKUP($B245,'2017'!$A$5:$Q$1425,COUNTA(Upload!$E$3:G$3)+2,FALSE)</f>
        <v>50</v>
      </c>
      <c r="H245" s="209">
        <f>VLOOKUP($B245,'2017'!$A$5:$Q$1425,COUNTA(Upload!$E$3:H$3)+2,FALSE)</f>
        <v>50</v>
      </c>
      <c r="I245" s="209">
        <f>VLOOKUP($B245,'2017'!$A$5:$Q$1425,COUNTA(Upload!$E$3:I$3)+2,FALSE)</f>
        <v>50</v>
      </c>
      <c r="J245" s="209">
        <f>VLOOKUP($B245,'2017'!$A$5:$Q$1425,COUNTA(Upload!$E$3:J$3)+2,FALSE)</f>
        <v>50</v>
      </c>
      <c r="K245" s="209">
        <f>VLOOKUP($B245,'2017'!$A$5:$Q$1425,COUNTA(Upload!$E$3:K$3)+2,FALSE)</f>
        <v>50</v>
      </c>
      <c r="L245" s="209">
        <f>VLOOKUP($B245,'2017'!$A$5:$Q$1425,COUNTA(Upload!$E$3:L$3)+2,FALSE)</f>
        <v>50</v>
      </c>
      <c r="M245" s="209">
        <f>VLOOKUP($B245,'2017'!$A$5:$Q$1425,COUNTA(Upload!$E$3:M$3)+2,FALSE)</f>
        <v>50</v>
      </c>
      <c r="N245" s="209">
        <f>VLOOKUP($B245,'2017'!$A$5:$Q$1425,COUNTA(Upload!$E$3:N$3)+2,FALSE)</f>
        <v>50</v>
      </c>
      <c r="O245" s="209">
        <f>VLOOKUP($B245,'2017'!$A$5:$Q$1425,COUNTA(Upload!$E$3:O$3)+2,FALSE)</f>
        <v>50</v>
      </c>
      <c r="P245" s="209">
        <f>VLOOKUP($B245,'2017'!$A$5:$Q$1425,COUNTA(Upload!$E$3:P$3)+2,FALSE)</f>
        <v>50</v>
      </c>
      <c r="T245" s="161"/>
    </row>
    <row r="246" spans="1:20" s="118" customFormat="1" ht="10.5" customHeight="1">
      <c r="A246" s="207" t="s">
        <v>70</v>
      </c>
      <c r="B246" s="412" t="s">
        <v>1029</v>
      </c>
      <c r="C246" s="208" t="str">
        <f>+Setup!$B$21</f>
        <v>WC-PropName</v>
      </c>
      <c r="D246" s="208"/>
      <c r="E246" s="209">
        <f>VLOOKUP($B246,'2017'!$A$5:$Q$1425,COUNTA(Upload!$E$3:E$3)+2,FALSE)</f>
        <v>0</v>
      </c>
      <c r="F246" s="209">
        <f>VLOOKUP($B246,'2017'!$A$5:$Q$1425,COUNTA(Upload!$E$3:F$3)+2,FALSE)</f>
        <v>0</v>
      </c>
      <c r="G246" s="209">
        <f>VLOOKUP($B246,'2017'!$A$5:$Q$1425,COUNTA(Upload!$E$3:G$3)+2,FALSE)</f>
        <v>0</v>
      </c>
      <c r="H246" s="209">
        <f>VLOOKUP($B246,'2017'!$A$5:$Q$1425,COUNTA(Upload!$E$3:H$3)+2,FALSE)</f>
        <v>0</v>
      </c>
      <c r="I246" s="209">
        <f>VLOOKUP($B246,'2017'!$A$5:$Q$1425,COUNTA(Upload!$E$3:I$3)+2,FALSE)</f>
        <v>0</v>
      </c>
      <c r="J246" s="209">
        <f>VLOOKUP($B246,'2017'!$A$5:$Q$1425,COUNTA(Upload!$E$3:J$3)+2,FALSE)</f>
        <v>0</v>
      </c>
      <c r="K246" s="209">
        <f>VLOOKUP($B246,'2017'!$A$5:$Q$1425,COUNTA(Upload!$E$3:K$3)+2,FALSE)</f>
        <v>0</v>
      </c>
      <c r="L246" s="209">
        <f>VLOOKUP($B246,'2017'!$A$5:$Q$1425,COUNTA(Upload!$E$3:L$3)+2,FALSE)</f>
        <v>0</v>
      </c>
      <c r="M246" s="209">
        <f>VLOOKUP($B246,'2017'!$A$5:$Q$1425,COUNTA(Upload!$E$3:M$3)+2,FALSE)</f>
        <v>0</v>
      </c>
      <c r="N246" s="209">
        <f>VLOOKUP($B246,'2017'!$A$5:$Q$1425,COUNTA(Upload!$E$3:N$3)+2,FALSE)</f>
        <v>0</v>
      </c>
      <c r="O246" s="209">
        <f>VLOOKUP($B246,'2017'!$A$5:$Q$1425,COUNTA(Upload!$E$3:O$3)+2,FALSE)</f>
        <v>0</v>
      </c>
      <c r="P246" s="209">
        <f>VLOOKUP($B246,'2017'!$A$5:$Q$1425,COUNTA(Upload!$E$3:P$3)+2,FALSE)</f>
        <v>0</v>
      </c>
      <c r="T246" s="161"/>
    </row>
    <row r="247" spans="1:20" s="118" customFormat="1" ht="10.5" customHeight="1">
      <c r="A247" s="207" t="s">
        <v>70</v>
      </c>
      <c r="B247" s="412" t="s">
        <v>1030</v>
      </c>
      <c r="C247" s="208" t="str">
        <f>+Setup!$B$21</f>
        <v>WC-PropName</v>
      </c>
      <c r="D247" s="208"/>
      <c r="E247" s="209">
        <f>VLOOKUP($B247,'2017'!$A$5:$Q$1425,COUNTA(Upload!$E$3:E$3)+2,FALSE)</f>
        <v>0</v>
      </c>
      <c r="F247" s="209">
        <f>VLOOKUP($B247,'2017'!$A$5:$Q$1425,COUNTA(Upload!$E$3:F$3)+2,FALSE)</f>
        <v>0</v>
      </c>
      <c r="G247" s="209">
        <f>VLOOKUP($B247,'2017'!$A$5:$Q$1425,COUNTA(Upload!$E$3:G$3)+2,FALSE)</f>
        <v>0</v>
      </c>
      <c r="H247" s="209">
        <f>VLOOKUP($B247,'2017'!$A$5:$Q$1425,COUNTA(Upload!$E$3:H$3)+2,FALSE)</f>
        <v>0</v>
      </c>
      <c r="I247" s="209">
        <f>VLOOKUP($B247,'2017'!$A$5:$Q$1425,COUNTA(Upload!$E$3:I$3)+2,FALSE)</f>
        <v>0</v>
      </c>
      <c r="J247" s="209">
        <f>VLOOKUP($B247,'2017'!$A$5:$Q$1425,COUNTA(Upload!$E$3:J$3)+2,FALSE)</f>
        <v>0</v>
      </c>
      <c r="K247" s="209">
        <f>VLOOKUP($B247,'2017'!$A$5:$Q$1425,COUNTA(Upload!$E$3:K$3)+2,FALSE)</f>
        <v>0</v>
      </c>
      <c r="L247" s="209">
        <f>VLOOKUP($B247,'2017'!$A$5:$Q$1425,COUNTA(Upload!$E$3:L$3)+2,FALSE)</f>
        <v>0</v>
      </c>
      <c r="M247" s="209">
        <f>VLOOKUP($B247,'2017'!$A$5:$Q$1425,COUNTA(Upload!$E$3:M$3)+2,FALSE)</f>
        <v>0</v>
      </c>
      <c r="N247" s="209">
        <f>VLOOKUP($B247,'2017'!$A$5:$Q$1425,COUNTA(Upload!$E$3:N$3)+2,FALSE)</f>
        <v>0</v>
      </c>
      <c r="O247" s="209">
        <f>VLOOKUP($B247,'2017'!$A$5:$Q$1425,COUNTA(Upload!$E$3:O$3)+2,FALSE)</f>
        <v>0</v>
      </c>
      <c r="P247" s="209">
        <f>VLOOKUP($B247,'2017'!$A$5:$Q$1425,COUNTA(Upload!$E$3:P$3)+2,FALSE)</f>
        <v>0</v>
      </c>
      <c r="T247" s="161"/>
    </row>
    <row r="248" spans="1:20" s="118" customFormat="1" ht="10.5" customHeight="1">
      <c r="A248" s="207" t="s">
        <v>70</v>
      </c>
      <c r="B248" s="412" t="s">
        <v>1031</v>
      </c>
      <c r="C248" s="208" t="str">
        <f>+Setup!$B$21</f>
        <v>WC-PropName</v>
      </c>
      <c r="D248" s="208"/>
      <c r="E248" s="209">
        <f>VLOOKUP($B248,'2017'!$A$5:$Q$1425,COUNTA(Upload!$E$3:E$3)+2,FALSE)</f>
        <v>0</v>
      </c>
      <c r="F248" s="209">
        <f>VLOOKUP($B248,'2017'!$A$5:$Q$1425,COUNTA(Upload!$E$3:F$3)+2,FALSE)</f>
        <v>0</v>
      </c>
      <c r="G248" s="209">
        <f>VLOOKUP($B248,'2017'!$A$5:$Q$1425,COUNTA(Upload!$E$3:G$3)+2,FALSE)</f>
        <v>0</v>
      </c>
      <c r="H248" s="209">
        <f>VLOOKUP($B248,'2017'!$A$5:$Q$1425,COUNTA(Upload!$E$3:H$3)+2,FALSE)</f>
        <v>0</v>
      </c>
      <c r="I248" s="209">
        <f>VLOOKUP($B248,'2017'!$A$5:$Q$1425,COUNTA(Upload!$E$3:I$3)+2,FALSE)</f>
        <v>0</v>
      </c>
      <c r="J248" s="209">
        <f>VLOOKUP($B248,'2017'!$A$5:$Q$1425,COUNTA(Upload!$E$3:J$3)+2,FALSE)</f>
        <v>0</v>
      </c>
      <c r="K248" s="209">
        <f>VLOOKUP($B248,'2017'!$A$5:$Q$1425,COUNTA(Upload!$E$3:K$3)+2,FALSE)</f>
        <v>0</v>
      </c>
      <c r="L248" s="209">
        <f>VLOOKUP($B248,'2017'!$A$5:$Q$1425,COUNTA(Upload!$E$3:L$3)+2,FALSE)</f>
        <v>0</v>
      </c>
      <c r="M248" s="209">
        <f>VLOOKUP($B248,'2017'!$A$5:$Q$1425,COUNTA(Upload!$E$3:M$3)+2,FALSE)</f>
        <v>0</v>
      </c>
      <c r="N248" s="209">
        <f>VLOOKUP($B248,'2017'!$A$5:$Q$1425,COUNTA(Upload!$E$3:N$3)+2,FALSE)</f>
        <v>0</v>
      </c>
      <c r="O248" s="209">
        <f>VLOOKUP($B248,'2017'!$A$5:$Q$1425,COUNTA(Upload!$E$3:O$3)+2,FALSE)</f>
        <v>0</v>
      </c>
      <c r="P248" s="209">
        <f>VLOOKUP($B248,'2017'!$A$5:$Q$1425,COUNTA(Upload!$E$3:P$3)+2,FALSE)</f>
        <v>0</v>
      </c>
      <c r="T248" s="161"/>
    </row>
    <row r="249" spans="1:20" s="118" customFormat="1" ht="10.5" customHeight="1">
      <c r="A249" s="207" t="s">
        <v>70</v>
      </c>
      <c r="B249" s="412" t="s">
        <v>1035</v>
      </c>
      <c r="C249" s="208" t="str">
        <f>+Setup!$B$21</f>
        <v>WC-PropName</v>
      </c>
      <c r="D249" s="208"/>
      <c r="E249" s="209">
        <f>VLOOKUP($B249,'2017'!$A$5:$Q$1425,COUNTA(Upload!$E$3:E$3)+2,FALSE)</f>
        <v>2237.8333333333335</v>
      </c>
      <c r="F249" s="209">
        <f>VLOOKUP($B249,'2017'!$A$5:$Q$1425,COUNTA(Upload!$E$3:F$3)+2,FALSE)</f>
        <v>2237.8333333333335</v>
      </c>
      <c r="G249" s="209">
        <f>VLOOKUP($B249,'2017'!$A$5:$Q$1425,COUNTA(Upload!$E$3:G$3)+2,FALSE)</f>
        <v>2237.8333333333335</v>
      </c>
      <c r="H249" s="209">
        <f>VLOOKUP($B249,'2017'!$A$5:$Q$1425,COUNTA(Upload!$E$3:H$3)+2,FALSE)</f>
        <v>2237.8333333333335</v>
      </c>
      <c r="I249" s="209">
        <f>VLOOKUP($B249,'2017'!$A$5:$Q$1425,COUNTA(Upload!$E$3:I$3)+2,FALSE)</f>
        <v>2237.8333333333335</v>
      </c>
      <c r="J249" s="209">
        <f>VLOOKUP($B249,'2017'!$A$5:$Q$1425,COUNTA(Upload!$E$3:J$3)+2,FALSE)</f>
        <v>2237.8333333333335</v>
      </c>
      <c r="K249" s="209">
        <f>VLOOKUP($B249,'2017'!$A$5:$Q$1425,COUNTA(Upload!$E$3:K$3)+2,FALSE)</f>
        <v>2237.8333333333335</v>
      </c>
      <c r="L249" s="209">
        <f>VLOOKUP($B249,'2017'!$A$5:$Q$1425,COUNTA(Upload!$E$3:L$3)+2,FALSE)</f>
        <v>2237.8333333333335</v>
      </c>
      <c r="M249" s="209">
        <f>VLOOKUP($B249,'2017'!$A$5:$Q$1425,COUNTA(Upload!$E$3:M$3)+2,FALSE)</f>
        <v>2237.8333333333335</v>
      </c>
      <c r="N249" s="209">
        <f>VLOOKUP($B249,'2017'!$A$5:$Q$1425,COUNTA(Upload!$E$3:N$3)+2,FALSE)</f>
        <v>2237.8333333333335</v>
      </c>
      <c r="O249" s="209">
        <f>VLOOKUP($B249,'2017'!$A$5:$Q$1425,COUNTA(Upload!$E$3:O$3)+2,FALSE)</f>
        <v>2237.8333333333335</v>
      </c>
      <c r="P249" s="209">
        <f>VLOOKUP($B249,'2017'!$A$5:$Q$1425,COUNTA(Upload!$E$3:P$3)+2,FALSE)</f>
        <v>2237.8333333333335</v>
      </c>
      <c r="T249" s="161"/>
    </row>
    <row r="250" spans="1:20" s="118" customFormat="1" ht="10.5" customHeight="1">
      <c r="A250" s="207" t="s">
        <v>70</v>
      </c>
      <c r="B250" s="412" t="s">
        <v>1037</v>
      </c>
      <c r="C250" s="208" t="str">
        <f>+Setup!$B$21</f>
        <v>WC-PropName</v>
      </c>
      <c r="D250" s="208"/>
      <c r="E250" s="209">
        <f>VLOOKUP($B250,'2017'!$A$5:$Q$1425,COUNTA(Upload!$E$3:E$3)+2,FALSE)</f>
        <v>117.83333333333333</v>
      </c>
      <c r="F250" s="209">
        <f>VLOOKUP($B250,'2017'!$A$5:$Q$1425,COUNTA(Upload!$E$3:F$3)+2,FALSE)</f>
        <v>117.83333333333333</v>
      </c>
      <c r="G250" s="209">
        <f>VLOOKUP($B250,'2017'!$A$5:$Q$1425,COUNTA(Upload!$E$3:G$3)+2,FALSE)</f>
        <v>117.83333333333333</v>
      </c>
      <c r="H250" s="209">
        <f>VLOOKUP($B250,'2017'!$A$5:$Q$1425,COUNTA(Upload!$E$3:H$3)+2,FALSE)</f>
        <v>117.83333333333333</v>
      </c>
      <c r="I250" s="209">
        <f>VLOOKUP($B250,'2017'!$A$5:$Q$1425,COUNTA(Upload!$E$3:I$3)+2,FALSE)</f>
        <v>117.83333333333333</v>
      </c>
      <c r="J250" s="209">
        <f>VLOOKUP($B250,'2017'!$A$5:$Q$1425,COUNTA(Upload!$E$3:J$3)+2,FALSE)</f>
        <v>117.83333333333333</v>
      </c>
      <c r="K250" s="209">
        <f>VLOOKUP($B250,'2017'!$A$5:$Q$1425,COUNTA(Upload!$E$3:K$3)+2,FALSE)</f>
        <v>117.83333333333333</v>
      </c>
      <c r="L250" s="209">
        <f>VLOOKUP($B250,'2017'!$A$5:$Q$1425,COUNTA(Upload!$E$3:L$3)+2,FALSE)</f>
        <v>117.83333333333333</v>
      </c>
      <c r="M250" s="209">
        <f>VLOOKUP($B250,'2017'!$A$5:$Q$1425,COUNTA(Upload!$E$3:M$3)+2,FALSE)</f>
        <v>117.83333333333333</v>
      </c>
      <c r="N250" s="209">
        <f>VLOOKUP($B250,'2017'!$A$5:$Q$1425,COUNTA(Upload!$E$3:N$3)+2,FALSE)</f>
        <v>117.83333333333333</v>
      </c>
      <c r="O250" s="209">
        <f>VLOOKUP($B250,'2017'!$A$5:$Q$1425,COUNTA(Upload!$E$3:O$3)+2,FALSE)</f>
        <v>117.83333333333333</v>
      </c>
      <c r="P250" s="209">
        <f>VLOOKUP($B250,'2017'!$A$5:$Q$1425,COUNTA(Upload!$E$3:P$3)+2,FALSE)</f>
        <v>117.83333333333333</v>
      </c>
      <c r="T250" s="161"/>
    </row>
    <row r="251" spans="1:20" s="118" customFormat="1" ht="10.5" customHeight="1">
      <c r="A251" s="207" t="s">
        <v>70</v>
      </c>
      <c r="B251" s="412" t="s">
        <v>1039</v>
      </c>
      <c r="C251" s="208" t="str">
        <f>+Setup!$B$21</f>
        <v>WC-PropName</v>
      </c>
      <c r="D251" s="208"/>
      <c r="E251" s="209">
        <f>VLOOKUP($B251,'2017'!$A$5:$Q$1425,COUNTA(Upload!$E$3:E$3)+2,FALSE)</f>
        <v>0</v>
      </c>
      <c r="F251" s="209">
        <f>VLOOKUP($B251,'2017'!$A$5:$Q$1425,COUNTA(Upload!$E$3:F$3)+2,FALSE)</f>
        <v>0</v>
      </c>
      <c r="G251" s="209">
        <f>VLOOKUP($B251,'2017'!$A$5:$Q$1425,COUNTA(Upload!$E$3:G$3)+2,FALSE)</f>
        <v>0</v>
      </c>
      <c r="H251" s="209">
        <f>VLOOKUP($B251,'2017'!$A$5:$Q$1425,COUNTA(Upload!$E$3:H$3)+2,FALSE)</f>
        <v>0</v>
      </c>
      <c r="I251" s="209">
        <f>VLOOKUP($B251,'2017'!$A$5:$Q$1425,COUNTA(Upload!$E$3:I$3)+2,FALSE)</f>
        <v>0</v>
      </c>
      <c r="J251" s="209">
        <f>VLOOKUP($B251,'2017'!$A$5:$Q$1425,COUNTA(Upload!$E$3:J$3)+2,FALSE)</f>
        <v>0</v>
      </c>
      <c r="K251" s="209">
        <f>VLOOKUP($B251,'2017'!$A$5:$Q$1425,COUNTA(Upload!$E$3:K$3)+2,FALSE)</f>
        <v>0</v>
      </c>
      <c r="L251" s="209">
        <f>VLOOKUP($B251,'2017'!$A$5:$Q$1425,COUNTA(Upload!$E$3:L$3)+2,FALSE)</f>
        <v>0</v>
      </c>
      <c r="M251" s="209">
        <f>VLOOKUP($B251,'2017'!$A$5:$Q$1425,COUNTA(Upload!$E$3:M$3)+2,FALSE)</f>
        <v>0</v>
      </c>
      <c r="N251" s="209">
        <f>VLOOKUP($B251,'2017'!$A$5:$Q$1425,COUNTA(Upload!$E$3:N$3)+2,FALSE)</f>
        <v>0</v>
      </c>
      <c r="O251" s="209">
        <f>VLOOKUP($B251,'2017'!$A$5:$Q$1425,COUNTA(Upload!$E$3:O$3)+2,FALSE)</f>
        <v>0</v>
      </c>
      <c r="P251" s="209">
        <f>VLOOKUP($B251,'2017'!$A$5:$Q$1425,COUNTA(Upload!$E$3:P$3)+2,FALSE)</f>
        <v>0</v>
      </c>
      <c r="T251" s="161"/>
    </row>
    <row r="252" spans="1:20" s="118" customFormat="1" ht="10.5" customHeight="1">
      <c r="A252" s="207" t="s">
        <v>70</v>
      </c>
      <c r="B252" s="412" t="s">
        <v>1040</v>
      </c>
      <c r="C252" s="208" t="str">
        <f>+Setup!$B$21</f>
        <v>WC-PropName</v>
      </c>
      <c r="D252" s="208"/>
      <c r="E252" s="209">
        <f>VLOOKUP($B252,'2017'!$A$5:$Q$1425,COUNTA(Upload!$E$3:E$3)+2,FALSE)</f>
        <v>154.58333333333334</v>
      </c>
      <c r="F252" s="209">
        <f>VLOOKUP($B252,'2017'!$A$5:$Q$1425,COUNTA(Upload!$E$3:F$3)+2,FALSE)</f>
        <v>154.58333333333334</v>
      </c>
      <c r="G252" s="209">
        <f>VLOOKUP($B252,'2017'!$A$5:$Q$1425,COUNTA(Upload!$E$3:G$3)+2,FALSE)</f>
        <v>154.58333333333334</v>
      </c>
      <c r="H252" s="209">
        <f>VLOOKUP($B252,'2017'!$A$5:$Q$1425,COUNTA(Upload!$E$3:H$3)+2,FALSE)</f>
        <v>154.58333333333334</v>
      </c>
      <c r="I252" s="209">
        <f>VLOOKUP($B252,'2017'!$A$5:$Q$1425,COUNTA(Upload!$E$3:I$3)+2,FALSE)</f>
        <v>154.58333333333334</v>
      </c>
      <c r="J252" s="209">
        <f>VLOOKUP($B252,'2017'!$A$5:$Q$1425,COUNTA(Upload!$E$3:J$3)+2,FALSE)</f>
        <v>154.58333333333334</v>
      </c>
      <c r="K252" s="209">
        <f>VLOOKUP($B252,'2017'!$A$5:$Q$1425,COUNTA(Upload!$E$3:K$3)+2,FALSE)</f>
        <v>154.58333333333334</v>
      </c>
      <c r="L252" s="209">
        <f>VLOOKUP($B252,'2017'!$A$5:$Q$1425,COUNTA(Upload!$E$3:L$3)+2,FALSE)</f>
        <v>154.58333333333334</v>
      </c>
      <c r="M252" s="209">
        <f>VLOOKUP($B252,'2017'!$A$5:$Q$1425,COUNTA(Upload!$E$3:M$3)+2,FALSE)</f>
        <v>154.58333333333334</v>
      </c>
      <c r="N252" s="209">
        <f>VLOOKUP($B252,'2017'!$A$5:$Q$1425,COUNTA(Upload!$E$3:N$3)+2,FALSE)</f>
        <v>154.58333333333334</v>
      </c>
      <c r="O252" s="209">
        <f>VLOOKUP($B252,'2017'!$A$5:$Q$1425,COUNTA(Upload!$E$3:O$3)+2,FALSE)</f>
        <v>154.58333333333334</v>
      </c>
      <c r="P252" s="209">
        <f>VLOOKUP($B252,'2017'!$A$5:$Q$1425,COUNTA(Upload!$E$3:P$3)+2,FALSE)</f>
        <v>154.58333333333334</v>
      </c>
      <c r="T252" s="161"/>
    </row>
    <row r="253" spans="1:20" s="118" customFormat="1" ht="10.5" customHeight="1">
      <c r="A253" s="207" t="s">
        <v>70</v>
      </c>
      <c r="B253" s="412" t="s">
        <v>1042</v>
      </c>
      <c r="C253" s="208" t="str">
        <f>+Setup!$B$21</f>
        <v>WC-PropName</v>
      </c>
      <c r="D253" s="208"/>
      <c r="E253" s="209">
        <f>VLOOKUP($B253,'2017'!$A$5:$Q$1425,COUNTA(Upload!$E$3:E$3)+2,FALSE)</f>
        <v>660.25</v>
      </c>
      <c r="F253" s="209">
        <f>VLOOKUP($B253,'2017'!$A$5:$Q$1425,COUNTA(Upload!$E$3:F$3)+2,FALSE)</f>
        <v>660.25</v>
      </c>
      <c r="G253" s="209">
        <f>VLOOKUP($B253,'2017'!$A$5:$Q$1425,COUNTA(Upload!$E$3:G$3)+2,FALSE)</f>
        <v>660.25</v>
      </c>
      <c r="H253" s="209">
        <f>VLOOKUP($B253,'2017'!$A$5:$Q$1425,COUNTA(Upload!$E$3:H$3)+2,FALSE)</f>
        <v>660.25</v>
      </c>
      <c r="I253" s="209">
        <f>VLOOKUP($B253,'2017'!$A$5:$Q$1425,COUNTA(Upload!$E$3:I$3)+2,FALSE)</f>
        <v>660.25</v>
      </c>
      <c r="J253" s="209">
        <f>VLOOKUP($B253,'2017'!$A$5:$Q$1425,COUNTA(Upload!$E$3:J$3)+2,FALSE)</f>
        <v>660.25</v>
      </c>
      <c r="K253" s="209">
        <f>VLOOKUP($B253,'2017'!$A$5:$Q$1425,COUNTA(Upload!$E$3:K$3)+2,FALSE)</f>
        <v>660.25</v>
      </c>
      <c r="L253" s="209">
        <f>VLOOKUP($B253,'2017'!$A$5:$Q$1425,COUNTA(Upload!$E$3:L$3)+2,FALSE)</f>
        <v>660.25</v>
      </c>
      <c r="M253" s="209">
        <f>VLOOKUP($B253,'2017'!$A$5:$Q$1425,COUNTA(Upload!$E$3:M$3)+2,FALSE)</f>
        <v>660.25</v>
      </c>
      <c r="N253" s="209">
        <f>VLOOKUP($B253,'2017'!$A$5:$Q$1425,COUNTA(Upload!$E$3:N$3)+2,FALSE)</f>
        <v>660.25</v>
      </c>
      <c r="O253" s="209">
        <f>VLOOKUP($B253,'2017'!$A$5:$Q$1425,COUNTA(Upload!$E$3:O$3)+2,FALSE)</f>
        <v>660.25</v>
      </c>
      <c r="P253" s="209">
        <f>VLOOKUP($B253,'2017'!$A$5:$Q$1425,COUNTA(Upload!$E$3:P$3)+2,FALSE)</f>
        <v>660.25</v>
      </c>
      <c r="T253" s="161"/>
    </row>
    <row r="254" spans="1:20" s="118" customFormat="1" ht="10.5" customHeight="1">
      <c r="A254" s="207" t="s">
        <v>70</v>
      </c>
      <c r="B254" s="412" t="s">
        <v>1044</v>
      </c>
      <c r="C254" s="208" t="str">
        <f>+Setup!$B$21</f>
        <v>WC-PropName</v>
      </c>
      <c r="D254" s="208"/>
      <c r="E254" s="209">
        <f>VLOOKUP($B254,'2017'!$A$5:$Q$1425,COUNTA(Upload!$E$3:E$3)+2,FALSE)</f>
        <v>0</v>
      </c>
      <c r="F254" s="209">
        <f>VLOOKUP($B254,'2017'!$A$5:$Q$1425,COUNTA(Upload!$E$3:F$3)+2,FALSE)</f>
        <v>0</v>
      </c>
      <c r="G254" s="209">
        <f>VLOOKUP($B254,'2017'!$A$5:$Q$1425,COUNTA(Upload!$E$3:G$3)+2,FALSE)</f>
        <v>0</v>
      </c>
      <c r="H254" s="209">
        <f>VLOOKUP($B254,'2017'!$A$5:$Q$1425,COUNTA(Upload!$E$3:H$3)+2,FALSE)</f>
        <v>0</v>
      </c>
      <c r="I254" s="209">
        <f>VLOOKUP($B254,'2017'!$A$5:$Q$1425,COUNTA(Upload!$E$3:I$3)+2,FALSE)</f>
        <v>0</v>
      </c>
      <c r="J254" s="209">
        <f>VLOOKUP($B254,'2017'!$A$5:$Q$1425,COUNTA(Upload!$E$3:J$3)+2,FALSE)</f>
        <v>0</v>
      </c>
      <c r="K254" s="209">
        <f>VLOOKUP($B254,'2017'!$A$5:$Q$1425,COUNTA(Upload!$E$3:K$3)+2,FALSE)</f>
        <v>0</v>
      </c>
      <c r="L254" s="209">
        <f>VLOOKUP($B254,'2017'!$A$5:$Q$1425,COUNTA(Upload!$E$3:L$3)+2,FALSE)</f>
        <v>0</v>
      </c>
      <c r="M254" s="209">
        <f>VLOOKUP($B254,'2017'!$A$5:$Q$1425,COUNTA(Upload!$E$3:M$3)+2,FALSE)</f>
        <v>0</v>
      </c>
      <c r="N254" s="209">
        <f>VLOOKUP($B254,'2017'!$A$5:$Q$1425,COUNTA(Upload!$E$3:N$3)+2,FALSE)</f>
        <v>0</v>
      </c>
      <c r="O254" s="209">
        <f>VLOOKUP($B254,'2017'!$A$5:$Q$1425,COUNTA(Upload!$E$3:O$3)+2,FALSE)</f>
        <v>0</v>
      </c>
      <c r="P254" s="209">
        <f>VLOOKUP($B254,'2017'!$A$5:$Q$1425,COUNTA(Upload!$E$3:P$3)+2,FALSE)</f>
        <v>0</v>
      </c>
      <c r="T254" s="161"/>
    </row>
    <row r="255" spans="1:20" s="118" customFormat="1" ht="10.5" customHeight="1">
      <c r="A255" s="207" t="s">
        <v>70</v>
      </c>
      <c r="B255" s="412" t="s">
        <v>1046</v>
      </c>
      <c r="C255" s="208" t="str">
        <f>+Setup!$B$21</f>
        <v>WC-PropName</v>
      </c>
      <c r="D255" s="208"/>
      <c r="E255" s="209">
        <f>VLOOKUP($B255,'2017'!$A$5:$Q$1425,COUNTA(Upload!$E$3:E$3)+2,FALSE)</f>
        <v>6718.5</v>
      </c>
      <c r="F255" s="209">
        <f>VLOOKUP($B255,'2017'!$A$5:$Q$1425,COUNTA(Upload!$E$3:F$3)+2,FALSE)</f>
        <v>6718.5</v>
      </c>
      <c r="G255" s="209">
        <f>VLOOKUP($B255,'2017'!$A$5:$Q$1425,COUNTA(Upload!$E$3:G$3)+2,FALSE)</f>
        <v>6718.5</v>
      </c>
      <c r="H255" s="209">
        <f>VLOOKUP($B255,'2017'!$A$5:$Q$1425,COUNTA(Upload!$E$3:H$3)+2,FALSE)</f>
        <v>6718.5</v>
      </c>
      <c r="I255" s="209">
        <f>VLOOKUP($B255,'2017'!$A$5:$Q$1425,COUNTA(Upload!$E$3:I$3)+2,FALSE)</f>
        <v>6718.5</v>
      </c>
      <c r="J255" s="209">
        <f>VLOOKUP($B255,'2017'!$A$5:$Q$1425,COUNTA(Upload!$E$3:J$3)+2,FALSE)</f>
        <v>6718.5</v>
      </c>
      <c r="K255" s="209">
        <f>VLOOKUP($B255,'2017'!$A$5:$Q$1425,COUNTA(Upload!$E$3:K$3)+2,FALSE)</f>
        <v>6718.5</v>
      </c>
      <c r="L255" s="209">
        <f>VLOOKUP($B255,'2017'!$A$5:$Q$1425,COUNTA(Upload!$E$3:L$3)+2,FALSE)</f>
        <v>6718.5</v>
      </c>
      <c r="M255" s="209">
        <f>VLOOKUP($B255,'2017'!$A$5:$Q$1425,COUNTA(Upload!$E$3:M$3)+2,FALSE)</f>
        <v>6718.5</v>
      </c>
      <c r="N255" s="209">
        <f>VLOOKUP($B255,'2017'!$A$5:$Q$1425,COUNTA(Upload!$E$3:N$3)+2,FALSE)</f>
        <v>6718.5</v>
      </c>
      <c r="O255" s="209">
        <f>VLOOKUP($B255,'2017'!$A$5:$Q$1425,COUNTA(Upload!$E$3:O$3)+2,FALSE)</f>
        <v>6718.5</v>
      </c>
      <c r="P255" s="209">
        <f>VLOOKUP($B255,'2017'!$A$5:$Q$1425,COUNTA(Upload!$E$3:P$3)+2,FALSE)</f>
        <v>6718.5</v>
      </c>
      <c r="T255" s="161"/>
    </row>
    <row r="256" spans="1:20" s="118" customFormat="1" ht="10.5" customHeight="1">
      <c r="A256" s="207" t="s">
        <v>70</v>
      </c>
      <c r="B256" s="412" t="s">
        <v>1048</v>
      </c>
      <c r="C256" s="208" t="str">
        <f>+Setup!$B$21</f>
        <v>WC-PropName</v>
      </c>
      <c r="D256" s="208"/>
      <c r="E256" s="209">
        <f>VLOOKUP($B256,'2017'!$A$5:$Q$1425,COUNTA(Upload!$E$3:E$3)+2,FALSE)</f>
        <v>2775.6666666666665</v>
      </c>
      <c r="F256" s="209">
        <f>VLOOKUP($B256,'2017'!$A$5:$Q$1425,COUNTA(Upload!$E$3:F$3)+2,FALSE)</f>
        <v>2775.6666666666665</v>
      </c>
      <c r="G256" s="209">
        <f>VLOOKUP($B256,'2017'!$A$5:$Q$1425,COUNTA(Upload!$E$3:G$3)+2,FALSE)</f>
        <v>2775.6666666666665</v>
      </c>
      <c r="H256" s="209">
        <f>VLOOKUP($B256,'2017'!$A$5:$Q$1425,COUNTA(Upload!$E$3:H$3)+2,FALSE)</f>
        <v>2775.6666666666665</v>
      </c>
      <c r="I256" s="209">
        <f>VLOOKUP($B256,'2017'!$A$5:$Q$1425,COUNTA(Upload!$E$3:I$3)+2,FALSE)</f>
        <v>2775.6666666666665</v>
      </c>
      <c r="J256" s="209">
        <f>VLOOKUP($B256,'2017'!$A$5:$Q$1425,COUNTA(Upload!$E$3:J$3)+2,FALSE)</f>
        <v>2775.6666666666665</v>
      </c>
      <c r="K256" s="209">
        <f>VLOOKUP($B256,'2017'!$A$5:$Q$1425,COUNTA(Upload!$E$3:K$3)+2,FALSE)</f>
        <v>2775.6666666666665</v>
      </c>
      <c r="L256" s="209">
        <f>VLOOKUP($B256,'2017'!$A$5:$Q$1425,COUNTA(Upload!$E$3:L$3)+2,FALSE)</f>
        <v>2775.6666666666665</v>
      </c>
      <c r="M256" s="209">
        <f>VLOOKUP($B256,'2017'!$A$5:$Q$1425,COUNTA(Upload!$E$3:M$3)+2,FALSE)</f>
        <v>2775.6666666666665</v>
      </c>
      <c r="N256" s="209">
        <f>VLOOKUP($B256,'2017'!$A$5:$Q$1425,COUNTA(Upload!$E$3:N$3)+2,FALSE)</f>
        <v>2775.6666666666665</v>
      </c>
      <c r="O256" s="209">
        <f>VLOOKUP($B256,'2017'!$A$5:$Q$1425,COUNTA(Upload!$E$3:O$3)+2,FALSE)</f>
        <v>2775.6666666666665</v>
      </c>
      <c r="P256" s="209">
        <f>VLOOKUP($B256,'2017'!$A$5:$Q$1425,COUNTA(Upload!$E$3:P$3)+2,FALSE)</f>
        <v>2775.6666666666665</v>
      </c>
      <c r="T256" s="161"/>
    </row>
    <row r="257" spans="1:20" s="118" customFormat="1" ht="10.5" customHeight="1">
      <c r="A257" s="207" t="s">
        <v>70</v>
      </c>
      <c r="B257" s="412" t="s">
        <v>1052</v>
      </c>
      <c r="C257" s="208" t="str">
        <f>+Setup!$B$21</f>
        <v>WC-PropName</v>
      </c>
      <c r="D257" s="208"/>
      <c r="E257" s="209">
        <f>VLOOKUP($B257,'2017'!$A$5:$Q$1425,COUNTA(Upload!$E$3:E$3)+2,FALSE)</f>
        <v>0</v>
      </c>
      <c r="F257" s="209">
        <f>VLOOKUP($B257,'2017'!$A$5:$Q$1425,COUNTA(Upload!$E$3:F$3)+2,FALSE)</f>
        <v>0</v>
      </c>
      <c r="G257" s="209">
        <f>VLOOKUP($B257,'2017'!$A$5:$Q$1425,COUNTA(Upload!$E$3:G$3)+2,FALSE)</f>
        <v>0</v>
      </c>
      <c r="H257" s="209">
        <f>VLOOKUP($B257,'2017'!$A$5:$Q$1425,COUNTA(Upload!$E$3:H$3)+2,FALSE)</f>
        <v>0</v>
      </c>
      <c r="I257" s="209">
        <f>VLOOKUP($B257,'2017'!$A$5:$Q$1425,COUNTA(Upload!$E$3:I$3)+2,FALSE)</f>
        <v>0</v>
      </c>
      <c r="J257" s="209">
        <f>VLOOKUP($B257,'2017'!$A$5:$Q$1425,COUNTA(Upload!$E$3:J$3)+2,FALSE)</f>
        <v>0</v>
      </c>
      <c r="K257" s="209">
        <f>VLOOKUP($B257,'2017'!$A$5:$Q$1425,COUNTA(Upload!$E$3:K$3)+2,FALSE)</f>
        <v>0</v>
      </c>
      <c r="L257" s="209">
        <f>VLOOKUP($B257,'2017'!$A$5:$Q$1425,COUNTA(Upload!$E$3:L$3)+2,FALSE)</f>
        <v>0</v>
      </c>
      <c r="M257" s="209">
        <f>VLOOKUP($B257,'2017'!$A$5:$Q$1425,COUNTA(Upload!$E$3:M$3)+2,FALSE)</f>
        <v>0</v>
      </c>
      <c r="N257" s="209">
        <f>VLOOKUP($B257,'2017'!$A$5:$Q$1425,COUNTA(Upload!$E$3:N$3)+2,FALSE)</f>
        <v>0</v>
      </c>
      <c r="O257" s="209">
        <f>VLOOKUP($B257,'2017'!$A$5:$Q$1425,COUNTA(Upload!$E$3:O$3)+2,FALSE)</f>
        <v>0</v>
      </c>
      <c r="P257" s="209">
        <f>VLOOKUP($B257,'2017'!$A$5:$Q$1425,COUNTA(Upload!$E$3:P$3)+2,FALSE)</f>
        <v>0</v>
      </c>
      <c r="T257" s="161"/>
    </row>
    <row r="258" spans="1:20" s="118" customFormat="1" ht="10.5" customHeight="1">
      <c r="A258" s="207" t="s">
        <v>70</v>
      </c>
      <c r="B258" s="412" t="s">
        <v>1053</v>
      </c>
      <c r="C258" s="208" t="str">
        <f>+Setup!$B$21</f>
        <v>WC-PropName</v>
      </c>
      <c r="D258" s="208"/>
      <c r="E258" s="209">
        <f>VLOOKUP($B258,'2017'!$A$5:$Q$1425,COUNTA(Upload!$E$3:E$3)+2,FALSE)</f>
        <v>0</v>
      </c>
      <c r="F258" s="209">
        <f>VLOOKUP($B258,'2017'!$A$5:$Q$1425,COUNTA(Upload!$E$3:F$3)+2,FALSE)</f>
        <v>0</v>
      </c>
      <c r="G258" s="209">
        <f>VLOOKUP($B258,'2017'!$A$5:$Q$1425,COUNTA(Upload!$E$3:G$3)+2,FALSE)</f>
        <v>0</v>
      </c>
      <c r="H258" s="209">
        <f>VLOOKUP($B258,'2017'!$A$5:$Q$1425,COUNTA(Upload!$E$3:H$3)+2,FALSE)</f>
        <v>0</v>
      </c>
      <c r="I258" s="209">
        <f>VLOOKUP($B258,'2017'!$A$5:$Q$1425,COUNTA(Upload!$E$3:I$3)+2,FALSE)</f>
        <v>0</v>
      </c>
      <c r="J258" s="209">
        <f>VLOOKUP($B258,'2017'!$A$5:$Q$1425,COUNTA(Upload!$E$3:J$3)+2,FALSE)</f>
        <v>0</v>
      </c>
      <c r="K258" s="209">
        <f>VLOOKUP($B258,'2017'!$A$5:$Q$1425,COUNTA(Upload!$E$3:K$3)+2,FALSE)</f>
        <v>0</v>
      </c>
      <c r="L258" s="209">
        <f>VLOOKUP($B258,'2017'!$A$5:$Q$1425,COUNTA(Upload!$E$3:L$3)+2,FALSE)</f>
        <v>0</v>
      </c>
      <c r="M258" s="209">
        <f>VLOOKUP($B258,'2017'!$A$5:$Q$1425,COUNTA(Upload!$E$3:M$3)+2,FALSE)</f>
        <v>0</v>
      </c>
      <c r="N258" s="209">
        <f>VLOOKUP($B258,'2017'!$A$5:$Q$1425,COUNTA(Upload!$E$3:N$3)+2,FALSE)</f>
        <v>0</v>
      </c>
      <c r="O258" s="209">
        <f>VLOOKUP($B258,'2017'!$A$5:$Q$1425,COUNTA(Upload!$E$3:O$3)+2,FALSE)</f>
        <v>0</v>
      </c>
      <c r="P258" s="209">
        <f>VLOOKUP($B258,'2017'!$A$5:$Q$1425,COUNTA(Upload!$E$3:P$3)+2,FALSE)</f>
        <v>0</v>
      </c>
      <c r="T258" s="161"/>
    </row>
    <row r="259" spans="1:20" s="118" customFormat="1" ht="10.5" customHeight="1">
      <c r="A259" s="207" t="s">
        <v>70</v>
      </c>
      <c r="B259" s="412" t="s">
        <v>1054</v>
      </c>
      <c r="C259" s="208" t="str">
        <f>+Setup!$B$21</f>
        <v>WC-PropName</v>
      </c>
      <c r="D259" s="208"/>
      <c r="E259" s="209">
        <f>VLOOKUP($B259,'2017'!$A$5:$Q$1425,COUNTA(Upload!$E$3:E$3)+2,FALSE)</f>
        <v>233.33333333333334</v>
      </c>
      <c r="F259" s="209">
        <f>VLOOKUP($B259,'2017'!$A$5:$Q$1425,COUNTA(Upload!$E$3:F$3)+2,FALSE)</f>
        <v>233.33333333333334</v>
      </c>
      <c r="G259" s="209">
        <f>VLOOKUP($B259,'2017'!$A$5:$Q$1425,COUNTA(Upload!$E$3:G$3)+2,FALSE)</f>
        <v>233.33333333333334</v>
      </c>
      <c r="H259" s="209">
        <f>VLOOKUP($B259,'2017'!$A$5:$Q$1425,COUNTA(Upload!$E$3:H$3)+2,FALSE)</f>
        <v>233.33333333333334</v>
      </c>
      <c r="I259" s="209">
        <f>VLOOKUP($B259,'2017'!$A$5:$Q$1425,COUNTA(Upload!$E$3:I$3)+2,FALSE)</f>
        <v>233.33333333333334</v>
      </c>
      <c r="J259" s="209">
        <f>VLOOKUP($B259,'2017'!$A$5:$Q$1425,COUNTA(Upload!$E$3:J$3)+2,FALSE)</f>
        <v>233.33333333333334</v>
      </c>
      <c r="K259" s="209">
        <f>VLOOKUP($B259,'2017'!$A$5:$Q$1425,COUNTA(Upload!$E$3:K$3)+2,FALSE)</f>
        <v>233.33333333333334</v>
      </c>
      <c r="L259" s="209">
        <f>VLOOKUP($B259,'2017'!$A$5:$Q$1425,COUNTA(Upload!$E$3:L$3)+2,FALSE)</f>
        <v>233.33333333333334</v>
      </c>
      <c r="M259" s="209">
        <f>VLOOKUP($B259,'2017'!$A$5:$Q$1425,COUNTA(Upload!$E$3:M$3)+2,FALSE)</f>
        <v>233.33333333333334</v>
      </c>
      <c r="N259" s="209">
        <f>VLOOKUP($B259,'2017'!$A$5:$Q$1425,COUNTA(Upload!$E$3:N$3)+2,FALSE)</f>
        <v>233.33333333333334</v>
      </c>
      <c r="O259" s="209">
        <f>VLOOKUP($B259,'2017'!$A$5:$Q$1425,COUNTA(Upload!$E$3:O$3)+2,FALSE)</f>
        <v>233.33333333333334</v>
      </c>
      <c r="P259" s="209">
        <f>VLOOKUP($B259,'2017'!$A$5:$Q$1425,COUNTA(Upload!$E$3:P$3)+2,FALSE)</f>
        <v>233.33333333333334</v>
      </c>
      <c r="T259" s="161"/>
    </row>
    <row r="260" spans="1:20" s="118" customFormat="1" ht="10.5" customHeight="1">
      <c r="A260" s="207" t="s">
        <v>70</v>
      </c>
      <c r="B260" s="412" t="s">
        <v>1056</v>
      </c>
      <c r="C260" s="208" t="str">
        <f>+Setup!$B$21</f>
        <v>WC-PropName</v>
      </c>
      <c r="D260" s="208"/>
      <c r="E260" s="209">
        <f>VLOOKUP($B260,'2017'!$A$5:$Q$1425,COUNTA(Upload!$E$3:E$3)+2,FALSE)</f>
        <v>10528.166666666666</v>
      </c>
      <c r="F260" s="209">
        <f>VLOOKUP($B260,'2017'!$A$5:$Q$1425,COUNTA(Upload!$E$3:F$3)+2,FALSE)</f>
        <v>10528.166666666666</v>
      </c>
      <c r="G260" s="209">
        <f>VLOOKUP($B260,'2017'!$A$5:$Q$1425,COUNTA(Upload!$E$3:G$3)+2,FALSE)</f>
        <v>10528.166666666666</v>
      </c>
      <c r="H260" s="209">
        <f>VLOOKUP($B260,'2017'!$A$5:$Q$1425,COUNTA(Upload!$E$3:H$3)+2,FALSE)</f>
        <v>10528.166666666666</v>
      </c>
      <c r="I260" s="209">
        <f>VLOOKUP($B260,'2017'!$A$5:$Q$1425,COUNTA(Upload!$E$3:I$3)+2,FALSE)</f>
        <v>10528.166666666666</v>
      </c>
      <c r="J260" s="209">
        <f>VLOOKUP($B260,'2017'!$A$5:$Q$1425,COUNTA(Upload!$E$3:J$3)+2,FALSE)</f>
        <v>10528.166666666666</v>
      </c>
      <c r="K260" s="209">
        <f>VLOOKUP($B260,'2017'!$A$5:$Q$1425,COUNTA(Upload!$E$3:K$3)+2,FALSE)</f>
        <v>10528.166666666666</v>
      </c>
      <c r="L260" s="209">
        <f>VLOOKUP($B260,'2017'!$A$5:$Q$1425,COUNTA(Upload!$E$3:L$3)+2,FALSE)</f>
        <v>10528.166666666666</v>
      </c>
      <c r="M260" s="209">
        <f>VLOOKUP($B260,'2017'!$A$5:$Q$1425,COUNTA(Upload!$E$3:M$3)+2,FALSE)</f>
        <v>10528.166666666666</v>
      </c>
      <c r="N260" s="209">
        <f>VLOOKUP($B260,'2017'!$A$5:$Q$1425,COUNTA(Upload!$E$3:N$3)+2,FALSE)</f>
        <v>10528.166666666666</v>
      </c>
      <c r="O260" s="209">
        <f>VLOOKUP($B260,'2017'!$A$5:$Q$1425,COUNTA(Upload!$E$3:O$3)+2,FALSE)</f>
        <v>10528.166666666666</v>
      </c>
      <c r="P260" s="209">
        <f>VLOOKUP($B260,'2017'!$A$5:$Q$1425,COUNTA(Upload!$E$3:P$3)+2,FALSE)</f>
        <v>10528.166666666666</v>
      </c>
      <c r="T260" s="161"/>
    </row>
    <row r="261" spans="1:20" s="118" customFormat="1" ht="10.5" customHeight="1">
      <c r="A261" s="207" t="s">
        <v>70</v>
      </c>
      <c r="B261" s="412" t="s">
        <v>1058</v>
      </c>
      <c r="C261" s="208" t="str">
        <f>+Setup!$B$21</f>
        <v>WC-PropName</v>
      </c>
      <c r="D261" s="208"/>
      <c r="E261" s="209">
        <f>VLOOKUP($B261,'2017'!$A$5:$Q$1425,COUNTA(Upload!$E$3:E$3)+2,FALSE)</f>
        <v>0</v>
      </c>
      <c r="F261" s="209">
        <f>VLOOKUP($B261,'2017'!$A$5:$Q$1425,COUNTA(Upload!$E$3:F$3)+2,FALSE)</f>
        <v>0</v>
      </c>
      <c r="G261" s="209">
        <f>VLOOKUP($B261,'2017'!$A$5:$Q$1425,COUNTA(Upload!$E$3:G$3)+2,FALSE)</f>
        <v>0</v>
      </c>
      <c r="H261" s="209">
        <f>VLOOKUP($B261,'2017'!$A$5:$Q$1425,COUNTA(Upload!$E$3:H$3)+2,FALSE)</f>
        <v>0</v>
      </c>
      <c r="I261" s="209">
        <f>VLOOKUP($B261,'2017'!$A$5:$Q$1425,COUNTA(Upload!$E$3:I$3)+2,FALSE)</f>
        <v>0</v>
      </c>
      <c r="J261" s="209">
        <f>VLOOKUP($B261,'2017'!$A$5:$Q$1425,COUNTA(Upload!$E$3:J$3)+2,FALSE)</f>
        <v>0</v>
      </c>
      <c r="K261" s="209">
        <f>VLOOKUP($B261,'2017'!$A$5:$Q$1425,COUNTA(Upload!$E$3:K$3)+2,FALSE)</f>
        <v>0</v>
      </c>
      <c r="L261" s="209">
        <f>VLOOKUP($B261,'2017'!$A$5:$Q$1425,COUNTA(Upload!$E$3:L$3)+2,FALSE)</f>
        <v>0</v>
      </c>
      <c r="M261" s="209">
        <f>VLOOKUP($B261,'2017'!$A$5:$Q$1425,COUNTA(Upload!$E$3:M$3)+2,FALSE)</f>
        <v>0</v>
      </c>
      <c r="N261" s="209">
        <f>VLOOKUP($B261,'2017'!$A$5:$Q$1425,COUNTA(Upload!$E$3:N$3)+2,FALSE)</f>
        <v>0</v>
      </c>
      <c r="O261" s="209">
        <f>VLOOKUP($B261,'2017'!$A$5:$Q$1425,COUNTA(Upload!$E$3:O$3)+2,FALSE)</f>
        <v>0</v>
      </c>
      <c r="P261" s="209">
        <f>VLOOKUP($B261,'2017'!$A$5:$Q$1425,COUNTA(Upload!$E$3:P$3)+2,FALSE)</f>
        <v>0</v>
      </c>
      <c r="T261" s="161"/>
    </row>
    <row r="262" spans="1:20" s="118" customFormat="1" ht="10.5" customHeight="1">
      <c r="A262" s="207" t="s">
        <v>70</v>
      </c>
      <c r="B262" s="412" t="s">
        <v>1060</v>
      </c>
      <c r="C262" s="208" t="str">
        <f>+Setup!$B$21</f>
        <v>WC-PropName</v>
      </c>
      <c r="D262" s="208"/>
      <c r="E262" s="209">
        <f>VLOOKUP($B262,'2017'!$A$5:$Q$1425,COUNTA(Upload!$E$3:E$3)+2,FALSE)</f>
        <v>2397.1666666666665</v>
      </c>
      <c r="F262" s="209">
        <f>VLOOKUP($B262,'2017'!$A$5:$Q$1425,COUNTA(Upload!$E$3:F$3)+2,FALSE)</f>
        <v>2397.1666666666665</v>
      </c>
      <c r="G262" s="209">
        <f>VLOOKUP($B262,'2017'!$A$5:$Q$1425,COUNTA(Upload!$E$3:G$3)+2,FALSE)</f>
        <v>2397.1666666666665</v>
      </c>
      <c r="H262" s="209">
        <f>VLOOKUP($B262,'2017'!$A$5:$Q$1425,COUNTA(Upload!$E$3:H$3)+2,FALSE)</f>
        <v>2397.1666666666665</v>
      </c>
      <c r="I262" s="209">
        <f>VLOOKUP($B262,'2017'!$A$5:$Q$1425,COUNTA(Upload!$E$3:I$3)+2,FALSE)</f>
        <v>2397.1666666666665</v>
      </c>
      <c r="J262" s="209">
        <f>VLOOKUP($B262,'2017'!$A$5:$Q$1425,COUNTA(Upload!$E$3:J$3)+2,FALSE)</f>
        <v>2397.1666666666665</v>
      </c>
      <c r="K262" s="209">
        <f>VLOOKUP($B262,'2017'!$A$5:$Q$1425,COUNTA(Upload!$E$3:K$3)+2,FALSE)</f>
        <v>2397.1666666666665</v>
      </c>
      <c r="L262" s="209">
        <f>VLOOKUP($B262,'2017'!$A$5:$Q$1425,COUNTA(Upload!$E$3:L$3)+2,FALSE)</f>
        <v>2397.1666666666665</v>
      </c>
      <c r="M262" s="209">
        <f>VLOOKUP($B262,'2017'!$A$5:$Q$1425,COUNTA(Upload!$E$3:M$3)+2,FALSE)</f>
        <v>2397.1666666666665</v>
      </c>
      <c r="N262" s="209">
        <f>VLOOKUP($B262,'2017'!$A$5:$Q$1425,COUNTA(Upload!$E$3:N$3)+2,FALSE)</f>
        <v>2397.1666666666665</v>
      </c>
      <c r="O262" s="209">
        <f>VLOOKUP($B262,'2017'!$A$5:$Q$1425,COUNTA(Upload!$E$3:O$3)+2,FALSE)</f>
        <v>2397.1666666666665</v>
      </c>
      <c r="P262" s="209">
        <f>VLOOKUP($B262,'2017'!$A$5:$Q$1425,COUNTA(Upload!$E$3:P$3)+2,FALSE)</f>
        <v>2397.1666666666665</v>
      </c>
      <c r="T262" s="161"/>
    </row>
    <row r="263" spans="1:20" s="118" customFormat="1" ht="10.5" customHeight="1">
      <c r="A263" s="207" t="s">
        <v>70</v>
      </c>
      <c r="B263" s="412" t="s">
        <v>1063</v>
      </c>
      <c r="C263" s="208" t="str">
        <f>+Setup!$B$21</f>
        <v>WC-PropName</v>
      </c>
      <c r="D263" s="208"/>
      <c r="E263" s="209">
        <f>VLOOKUP($B263,'2017'!$A$5:$Q$1425,COUNTA(Upload!$E$3:E$3)+2,FALSE)</f>
        <v>0</v>
      </c>
      <c r="F263" s="209">
        <f>VLOOKUP($B263,'2017'!$A$5:$Q$1425,COUNTA(Upload!$E$3:F$3)+2,FALSE)</f>
        <v>0</v>
      </c>
      <c r="G263" s="209">
        <f>VLOOKUP($B263,'2017'!$A$5:$Q$1425,COUNTA(Upload!$E$3:G$3)+2,FALSE)</f>
        <v>0</v>
      </c>
      <c r="H263" s="209">
        <f>VLOOKUP($B263,'2017'!$A$5:$Q$1425,COUNTA(Upload!$E$3:H$3)+2,FALSE)</f>
        <v>0</v>
      </c>
      <c r="I263" s="209">
        <f>VLOOKUP($B263,'2017'!$A$5:$Q$1425,COUNTA(Upload!$E$3:I$3)+2,FALSE)</f>
        <v>0</v>
      </c>
      <c r="J263" s="209">
        <f>VLOOKUP($B263,'2017'!$A$5:$Q$1425,COUNTA(Upload!$E$3:J$3)+2,FALSE)</f>
        <v>0</v>
      </c>
      <c r="K263" s="209">
        <f>VLOOKUP($B263,'2017'!$A$5:$Q$1425,COUNTA(Upload!$E$3:K$3)+2,FALSE)</f>
        <v>0</v>
      </c>
      <c r="L263" s="209">
        <f>VLOOKUP($B263,'2017'!$A$5:$Q$1425,COUNTA(Upload!$E$3:L$3)+2,FALSE)</f>
        <v>0</v>
      </c>
      <c r="M263" s="209">
        <f>VLOOKUP($B263,'2017'!$A$5:$Q$1425,COUNTA(Upload!$E$3:M$3)+2,FALSE)</f>
        <v>0</v>
      </c>
      <c r="N263" s="209">
        <f>VLOOKUP($B263,'2017'!$A$5:$Q$1425,COUNTA(Upload!$E$3:N$3)+2,FALSE)</f>
        <v>0</v>
      </c>
      <c r="O263" s="209">
        <f>VLOOKUP($B263,'2017'!$A$5:$Q$1425,COUNTA(Upload!$E$3:O$3)+2,FALSE)</f>
        <v>0</v>
      </c>
      <c r="P263" s="209">
        <f>VLOOKUP($B263,'2017'!$A$5:$Q$1425,COUNTA(Upload!$E$3:P$3)+2,FALSE)</f>
        <v>0</v>
      </c>
      <c r="T263" s="161"/>
    </row>
    <row r="264" spans="1:20" s="118" customFormat="1" ht="10.5" customHeight="1">
      <c r="A264" s="207" t="s">
        <v>70</v>
      </c>
      <c r="B264" s="412" t="s">
        <v>1067</v>
      </c>
      <c r="C264" s="208" t="str">
        <f>+Setup!$B$21</f>
        <v>WC-PropName</v>
      </c>
      <c r="D264" s="208"/>
      <c r="E264" s="209">
        <f>VLOOKUP($B264,'2017'!$A$5:$Q$1425,COUNTA(Upload!$E$3:E$3)+2,FALSE)</f>
        <v>2595.6666666666665</v>
      </c>
      <c r="F264" s="209">
        <f>VLOOKUP($B264,'2017'!$A$5:$Q$1425,COUNTA(Upload!$E$3:F$3)+2,FALSE)</f>
        <v>2595.6666666666665</v>
      </c>
      <c r="G264" s="209">
        <f>VLOOKUP($B264,'2017'!$A$5:$Q$1425,COUNTA(Upload!$E$3:G$3)+2,FALSE)</f>
        <v>2595.6666666666665</v>
      </c>
      <c r="H264" s="209">
        <f>VLOOKUP($B264,'2017'!$A$5:$Q$1425,COUNTA(Upload!$E$3:H$3)+2,FALSE)</f>
        <v>2595.6666666666665</v>
      </c>
      <c r="I264" s="209">
        <f>VLOOKUP($B264,'2017'!$A$5:$Q$1425,COUNTA(Upload!$E$3:I$3)+2,FALSE)</f>
        <v>2595.6666666666665</v>
      </c>
      <c r="J264" s="209">
        <f>VLOOKUP($B264,'2017'!$A$5:$Q$1425,COUNTA(Upload!$E$3:J$3)+2,FALSE)</f>
        <v>2595.6666666666665</v>
      </c>
      <c r="K264" s="209">
        <f>VLOOKUP($B264,'2017'!$A$5:$Q$1425,COUNTA(Upload!$E$3:K$3)+2,FALSE)</f>
        <v>2595.6666666666665</v>
      </c>
      <c r="L264" s="209">
        <f>VLOOKUP($B264,'2017'!$A$5:$Q$1425,COUNTA(Upload!$E$3:L$3)+2,FALSE)</f>
        <v>2595.6666666666665</v>
      </c>
      <c r="M264" s="209">
        <f>VLOOKUP($B264,'2017'!$A$5:$Q$1425,COUNTA(Upload!$E$3:M$3)+2,FALSE)</f>
        <v>2595.6666666666665</v>
      </c>
      <c r="N264" s="209">
        <f>VLOOKUP($B264,'2017'!$A$5:$Q$1425,COUNTA(Upload!$E$3:N$3)+2,FALSE)</f>
        <v>2595.6666666666665</v>
      </c>
      <c r="O264" s="209">
        <f>VLOOKUP($B264,'2017'!$A$5:$Q$1425,COUNTA(Upload!$E$3:O$3)+2,FALSE)</f>
        <v>2595.6666666666665</v>
      </c>
      <c r="P264" s="209">
        <f>VLOOKUP($B264,'2017'!$A$5:$Q$1425,COUNTA(Upload!$E$3:P$3)+2,FALSE)</f>
        <v>2595.6666666666665</v>
      </c>
      <c r="T264" s="161"/>
    </row>
    <row r="265" spans="1:20" s="118" customFormat="1" ht="10.5" customHeight="1">
      <c r="A265" s="207" t="s">
        <v>70</v>
      </c>
      <c r="B265" s="412" t="s">
        <v>1069</v>
      </c>
      <c r="C265" s="208" t="str">
        <f>+Setup!$B$21</f>
        <v>WC-PropName</v>
      </c>
      <c r="D265" s="208"/>
      <c r="E265" s="209">
        <f>VLOOKUP($B265,'2017'!$A$5:$Q$1425,COUNTA(Upload!$E$3:E$3)+2,FALSE)</f>
        <v>196</v>
      </c>
      <c r="F265" s="209">
        <f>VLOOKUP($B265,'2017'!$A$5:$Q$1425,COUNTA(Upload!$E$3:F$3)+2,FALSE)</f>
        <v>196</v>
      </c>
      <c r="G265" s="209">
        <f>VLOOKUP($B265,'2017'!$A$5:$Q$1425,COUNTA(Upload!$E$3:G$3)+2,FALSE)</f>
        <v>196</v>
      </c>
      <c r="H265" s="209">
        <f>VLOOKUP($B265,'2017'!$A$5:$Q$1425,COUNTA(Upload!$E$3:H$3)+2,FALSE)</f>
        <v>196</v>
      </c>
      <c r="I265" s="209">
        <f>VLOOKUP($B265,'2017'!$A$5:$Q$1425,COUNTA(Upload!$E$3:I$3)+2,FALSE)</f>
        <v>196</v>
      </c>
      <c r="J265" s="209">
        <f>VLOOKUP($B265,'2017'!$A$5:$Q$1425,COUNTA(Upload!$E$3:J$3)+2,FALSE)</f>
        <v>196</v>
      </c>
      <c r="K265" s="209">
        <f>VLOOKUP($B265,'2017'!$A$5:$Q$1425,COUNTA(Upload!$E$3:K$3)+2,FALSE)</f>
        <v>196</v>
      </c>
      <c r="L265" s="209">
        <f>VLOOKUP($B265,'2017'!$A$5:$Q$1425,COUNTA(Upload!$E$3:L$3)+2,FALSE)</f>
        <v>196</v>
      </c>
      <c r="M265" s="209">
        <f>VLOOKUP($B265,'2017'!$A$5:$Q$1425,COUNTA(Upload!$E$3:M$3)+2,FALSE)</f>
        <v>196</v>
      </c>
      <c r="N265" s="209">
        <f>VLOOKUP($B265,'2017'!$A$5:$Q$1425,COUNTA(Upload!$E$3:N$3)+2,FALSE)</f>
        <v>196</v>
      </c>
      <c r="O265" s="209">
        <f>VLOOKUP($B265,'2017'!$A$5:$Q$1425,COUNTA(Upload!$E$3:O$3)+2,FALSE)</f>
        <v>196</v>
      </c>
      <c r="P265" s="209">
        <f>VLOOKUP($B265,'2017'!$A$5:$Q$1425,COUNTA(Upload!$E$3:P$3)+2,FALSE)</f>
        <v>196</v>
      </c>
      <c r="T265" s="161"/>
    </row>
    <row r="266" spans="1:20" s="118" customFormat="1" ht="10.5" customHeight="1">
      <c r="A266" s="207" t="s">
        <v>70</v>
      </c>
      <c r="B266" s="412" t="s">
        <v>1071</v>
      </c>
      <c r="C266" s="208" t="str">
        <f>+Setup!$B$21</f>
        <v>WC-PropName</v>
      </c>
      <c r="D266" s="208"/>
      <c r="E266" s="209">
        <f>VLOOKUP($B266,'2017'!$A$5:$Q$1425,COUNTA(Upload!$E$3:E$3)+2,FALSE)</f>
        <v>353.66666666666669</v>
      </c>
      <c r="F266" s="209">
        <f>VLOOKUP($B266,'2017'!$A$5:$Q$1425,COUNTA(Upload!$E$3:F$3)+2,FALSE)</f>
        <v>353.66666666666669</v>
      </c>
      <c r="G266" s="209">
        <f>VLOOKUP($B266,'2017'!$A$5:$Q$1425,COUNTA(Upload!$E$3:G$3)+2,FALSE)</f>
        <v>353.66666666666669</v>
      </c>
      <c r="H266" s="209">
        <f>VLOOKUP($B266,'2017'!$A$5:$Q$1425,COUNTA(Upload!$E$3:H$3)+2,FALSE)</f>
        <v>353.66666666666669</v>
      </c>
      <c r="I266" s="209">
        <f>VLOOKUP($B266,'2017'!$A$5:$Q$1425,COUNTA(Upload!$E$3:I$3)+2,FALSE)</f>
        <v>353.66666666666669</v>
      </c>
      <c r="J266" s="209">
        <f>VLOOKUP($B266,'2017'!$A$5:$Q$1425,COUNTA(Upload!$E$3:J$3)+2,FALSE)</f>
        <v>353.66666666666669</v>
      </c>
      <c r="K266" s="209">
        <f>VLOOKUP($B266,'2017'!$A$5:$Q$1425,COUNTA(Upload!$E$3:K$3)+2,FALSE)</f>
        <v>353.66666666666669</v>
      </c>
      <c r="L266" s="209">
        <f>VLOOKUP($B266,'2017'!$A$5:$Q$1425,COUNTA(Upload!$E$3:L$3)+2,FALSE)</f>
        <v>353.66666666666669</v>
      </c>
      <c r="M266" s="209">
        <f>VLOOKUP($B266,'2017'!$A$5:$Q$1425,COUNTA(Upload!$E$3:M$3)+2,FALSE)</f>
        <v>353.66666666666669</v>
      </c>
      <c r="N266" s="209">
        <f>VLOOKUP($B266,'2017'!$A$5:$Q$1425,COUNTA(Upload!$E$3:N$3)+2,FALSE)</f>
        <v>353.66666666666669</v>
      </c>
      <c r="O266" s="209">
        <f>VLOOKUP($B266,'2017'!$A$5:$Q$1425,COUNTA(Upload!$E$3:O$3)+2,FALSE)</f>
        <v>353.66666666666669</v>
      </c>
      <c r="P266" s="209">
        <f>VLOOKUP($B266,'2017'!$A$5:$Q$1425,COUNTA(Upload!$E$3:P$3)+2,FALSE)</f>
        <v>353.66666666666669</v>
      </c>
      <c r="T266" s="161"/>
    </row>
    <row r="267" spans="1:20" s="118" customFormat="1" ht="10.5" customHeight="1">
      <c r="A267" s="207" t="s">
        <v>70</v>
      </c>
      <c r="B267" s="412" t="s">
        <v>1073</v>
      </c>
      <c r="C267" s="208" t="str">
        <f>+Setup!$B$21</f>
        <v>WC-PropName</v>
      </c>
      <c r="D267" s="208"/>
      <c r="E267" s="209">
        <f>VLOOKUP($B267,'2017'!$A$5:$Q$1425,COUNTA(Upload!$E$3:E$3)+2,FALSE)</f>
        <v>241.66666666666666</v>
      </c>
      <c r="F267" s="209">
        <f>VLOOKUP($B267,'2017'!$A$5:$Q$1425,COUNTA(Upload!$E$3:F$3)+2,FALSE)</f>
        <v>241.66666666666666</v>
      </c>
      <c r="G267" s="209">
        <f>VLOOKUP($B267,'2017'!$A$5:$Q$1425,COUNTA(Upload!$E$3:G$3)+2,FALSE)</f>
        <v>241.66666666666666</v>
      </c>
      <c r="H267" s="209">
        <f>VLOOKUP($B267,'2017'!$A$5:$Q$1425,COUNTA(Upload!$E$3:H$3)+2,FALSE)</f>
        <v>241.66666666666666</v>
      </c>
      <c r="I267" s="209">
        <f>VLOOKUP($B267,'2017'!$A$5:$Q$1425,COUNTA(Upload!$E$3:I$3)+2,FALSE)</f>
        <v>241.66666666666666</v>
      </c>
      <c r="J267" s="209">
        <f>VLOOKUP($B267,'2017'!$A$5:$Q$1425,COUNTA(Upload!$E$3:J$3)+2,FALSE)</f>
        <v>241.66666666666666</v>
      </c>
      <c r="K267" s="209">
        <f>VLOOKUP($B267,'2017'!$A$5:$Q$1425,COUNTA(Upload!$E$3:K$3)+2,FALSE)</f>
        <v>241.66666666666666</v>
      </c>
      <c r="L267" s="209">
        <f>VLOOKUP($B267,'2017'!$A$5:$Q$1425,COUNTA(Upload!$E$3:L$3)+2,FALSE)</f>
        <v>241.66666666666666</v>
      </c>
      <c r="M267" s="209">
        <f>VLOOKUP($B267,'2017'!$A$5:$Q$1425,COUNTA(Upload!$E$3:M$3)+2,FALSE)</f>
        <v>241.66666666666666</v>
      </c>
      <c r="N267" s="209">
        <f>VLOOKUP($B267,'2017'!$A$5:$Q$1425,COUNTA(Upload!$E$3:N$3)+2,FALSE)</f>
        <v>241.66666666666666</v>
      </c>
      <c r="O267" s="209">
        <f>VLOOKUP($B267,'2017'!$A$5:$Q$1425,COUNTA(Upload!$E$3:O$3)+2,FALSE)</f>
        <v>241.66666666666666</v>
      </c>
      <c r="P267" s="209">
        <f>VLOOKUP($B267,'2017'!$A$5:$Q$1425,COUNTA(Upload!$E$3:P$3)+2,FALSE)</f>
        <v>241.66666666666666</v>
      </c>
      <c r="T267" s="161"/>
    </row>
    <row r="268" spans="1:20" s="118" customFormat="1" ht="10.5" customHeight="1">
      <c r="A268" s="207" t="s">
        <v>70</v>
      </c>
      <c r="B268" s="412" t="s">
        <v>1075</v>
      </c>
      <c r="C268" s="208" t="str">
        <f>+Setup!$B$21</f>
        <v>WC-PropName</v>
      </c>
      <c r="D268" s="208"/>
      <c r="E268" s="209">
        <f>VLOOKUP($B268,'2017'!$A$5:$Q$1425,COUNTA(Upload!$E$3:E$3)+2,FALSE)</f>
        <v>25</v>
      </c>
      <c r="F268" s="209">
        <f>VLOOKUP($B268,'2017'!$A$5:$Q$1425,COUNTA(Upload!$E$3:F$3)+2,FALSE)</f>
        <v>25</v>
      </c>
      <c r="G268" s="209">
        <f>VLOOKUP($B268,'2017'!$A$5:$Q$1425,COUNTA(Upload!$E$3:G$3)+2,FALSE)</f>
        <v>25</v>
      </c>
      <c r="H268" s="209">
        <f>VLOOKUP($B268,'2017'!$A$5:$Q$1425,COUNTA(Upload!$E$3:H$3)+2,FALSE)</f>
        <v>25</v>
      </c>
      <c r="I268" s="209">
        <f>VLOOKUP($B268,'2017'!$A$5:$Q$1425,COUNTA(Upload!$E$3:I$3)+2,FALSE)</f>
        <v>25</v>
      </c>
      <c r="J268" s="209">
        <f>VLOOKUP($B268,'2017'!$A$5:$Q$1425,COUNTA(Upload!$E$3:J$3)+2,FALSE)</f>
        <v>25</v>
      </c>
      <c r="K268" s="209">
        <f>VLOOKUP($B268,'2017'!$A$5:$Q$1425,COUNTA(Upload!$E$3:K$3)+2,FALSE)</f>
        <v>25</v>
      </c>
      <c r="L268" s="209">
        <f>VLOOKUP($B268,'2017'!$A$5:$Q$1425,COUNTA(Upload!$E$3:L$3)+2,FALSE)</f>
        <v>25</v>
      </c>
      <c r="M268" s="209">
        <f>VLOOKUP($B268,'2017'!$A$5:$Q$1425,COUNTA(Upload!$E$3:M$3)+2,FALSE)</f>
        <v>25</v>
      </c>
      <c r="N268" s="209">
        <f>VLOOKUP($B268,'2017'!$A$5:$Q$1425,COUNTA(Upload!$E$3:N$3)+2,FALSE)</f>
        <v>25</v>
      </c>
      <c r="O268" s="209">
        <f>VLOOKUP($B268,'2017'!$A$5:$Q$1425,COUNTA(Upload!$E$3:O$3)+2,FALSE)</f>
        <v>25</v>
      </c>
      <c r="P268" s="209">
        <f>VLOOKUP($B268,'2017'!$A$5:$Q$1425,COUNTA(Upload!$E$3:P$3)+2,FALSE)</f>
        <v>25</v>
      </c>
      <c r="T268" s="161"/>
    </row>
    <row r="269" spans="1:20" s="118" customFormat="1" ht="10.5" customHeight="1">
      <c r="A269" s="207" t="s">
        <v>70</v>
      </c>
      <c r="B269" s="412" t="s">
        <v>1077</v>
      </c>
      <c r="C269" s="208" t="str">
        <f>+Setup!$B$21</f>
        <v>WC-PropName</v>
      </c>
      <c r="D269" s="208"/>
      <c r="E269" s="209">
        <f>VLOOKUP($B269,'2017'!$A$5:$Q$1425,COUNTA(Upload!$E$3:E$3)+2,FALSE)</f>
        <v>3465.1666666666665</v>
      </c>
      <c r="F269" s="209">
        <f>VLOOKUP($B269,'2017'!$A$5:$Q$1425,COUNTA(Upload!$E$3:F$3)+2,FALSE)</f>
        <v>3465.1666666666665</v>
      </c>
      <c r="G269" s="209">
        <f>VLOOKUP($B269,'2017'!$A$5:$Q$1425,COUNTA(Upload!$E$3:G$3)+2,FALSE)</f>
        <v>3465.1666666666665</v>
      </c>
      <c r="H269" s="209">
        <f>VLOOKUP($B269,'2017'!$A$5:$Q$1425,COUNTA(Upload!$E$3:H$3)+2,FALSE)</f>
        <v>3465.1666666666665</v>
      </c>
      <c r="I269" s="209">
        <f>VLOOKUP($B269,'2017'!$A$5:$Q$1425,COUNTA(Upload!$E$3:I$3)+2,FALSE)</f>
        <v>3465.1666666666665</v>
      </c>
      <c r="J269" s="209">
        <f>VLOOKUP($B269,'2017'!$A$5:$Q$1425,COUNTA(Upload!$E$3:J$3)+2,FALSE)</f>
        <v>3465.1666666666665</v>
      </c>
      <c r="K269" s="209">
        <f>VLOOKUP($B269,'2017'!$A$5:$Q$1425,COUNTA(Upload!$E$3:K$3)+2,FALSE)</f>
        <v>3465.1666666666665</v>
      </c>
      <c r="L269" s="209">
        <f>VLOOKUP($B269,'2017'!$A$5:$Q$1425,COUNTA(Upload!$E$3:L$3)+2,FALSE)</f>
        <v>3465.1666666666665</v>
      </c>
      <c r="M269" s="209">
        <f>VLOOKUP($B269,'2017'!$A$5:$Q$1425,COUNTA(Upload!$E$3:M$3)+2,FALSE)</f>
        <v>3465.1666666666665</v>
      </c>
      <c r="N269" s="209">
        <f>VLOOKUP($B269,'2017'!$A$5:$Q$1425,COUNTA(Upload!$E$3:N$3)+2,FALSE)</f>
        <v>3465.1666666666665</v>
      </c>
      <c r="O269" s="209">
        <f>VLOOKUP($B269,'2017'!$A$5:$Q$1425,COUNTA(Upload!$E$3:O$3)+2,FALSE)</f>
        <v>3465.1666666666665</v>
      </c>
      <c r="P269" s="209">
        <f>VLOOKUP($B269,'2017'!$A$5:$Q$1425,COUNTA(Upload!$E$3:P$3)+2,FALSE)</f>
        <v>3465.1666666666665</v>
      </c>
      <c r="T269" s="161"/>
    </row>
    <row r="270" spans="1:20" s="118" customFormat="1" ht="10.5" customHeight="1">
      <c r="A270" s="207" t="s">
        <v>70</v>
      </c>
      <c r="B270" s="412" t="s">
        <v>1079</v>
      </c>
      <c r="C270" s="208" t="str">
        <f>+Setup!$B$21</f>
        <v>WC-PropName</v>
      </c>
      <c r="D270" s="208"/>
      <c r="E270" s="209">
        <f>VLOOKUP($B270,'2017'!$A$5:$Q$1425,COUNTA(Upload!$E$3:E$3)+2,FALSE)</f>
        <v>72</v>
      </c>
      <c r="F270" s="209">
        <f>VLOOKUP($B270,'2017'!$A$5:$Q$1425,COUNTA(Upload!$E$3:F$3)+2,FALSE)</f>
        <v>72</v>
      </c>
      <c r="G270" s="209">
        <f>VLOOKUP($B270,'2017'!$A$5:$Q$1425,COUNTA(Upload!$E$3:G$3)+2,FALSE)</f>
        <v>72</v>
      </c>
      <c r="H270" s="209">
        <f>VLOOKUP($B270,'2017'!$A$5:$Q$1425,COUNTA(Upload!$E$3:H$3)+2,FALSE)</f>
        <v>72</v>
      </c>
      <c r="I270" s="209">
        <f>VLOOKUP($B270,'2017'!$A$5:$Q$1425,COUNTA(Upload!$E$3:I$3)+2,FALSE)</f>
        <v>72</v>
      </c>
      <c r="J270" s="209">
        <f>VLOOKUP($B270,'2017'!$A$5:$Q$1425,COUNTA(Upload!$E$3:J$3)+2,FALSE)</f>
        <v>72</v>
      </c>
      <c r="K270" s="209">
        <f>VLOOKUP($B270,'2017'!$A$5:$Q$1425,COUNTA(Upload!$E$3:K$3)+2,FALSE)</f>
        <v>72</v>
      </c>
      <c r="L270" s="209">
        <f>VLOOKUP($B270,'2017'!$A$5:$Q$1425,COUNTA(Upload!$E$3:L$3)+2,FALSE)</f>
        <v>72</v>
      </c>
      <c r="M270" s="209">
        <f>VLOOKUP($B270,'2017'!$A$5:$Q$1425,COUNTA(Upload!$E$3:M$3)+2,FALSE)</f>
        <v>72</v>
      </c>
      <c r="N270" s="209">
        <f>VLOOKUP($B270,'2017'!$A$5:$Q$1425,COUNTA(Upload!$E$3:N$3)+2,FALSE)</f>
        <v>72</v>
      </c>
      <c r="O270" s="209">
        <f>VLOOKUP($B270,'2017'!$A$5:$Q$1425,COUNTA(Upload!$E$3:O$3)+2,FALSE)</f>
        <v>72</v>
      </c>
      <c r="P270" s="209">
        <f>VLOOKUP($B270,'2017'!$A$5:$Q$1425,COUNTA(Upload!$E$3:P$3)+2,FALSE)</f>
        <v>72</v>
      </c>
      <c r="T270" s="161"/>
    </row>
    <row r="271" spans="1:20" s="118" customFormat="1" ht="10.5" customHeight="1">
      <c r="A271" s="207" t="s">
        <v>70</v>
      </c>
      <c r="B271" s="412" t="s">
        <v>1081</v>
      </c>
      <c r="C271" s="208" t="str">
        <f>+Setup!$B$21</f>
        <v>WC-PropName</v>
      </c>
      <c r="D271" s="208"/>
      <c r="E271" s="209">
        <f>VLOOKUP($B271,'2017'!$A$5:$Q$1425,COUNTA(Upload!$E$3:E$3)+2,FALSE)</f>
        <v>0</v>
      </c>
      <c r="F271" s="209">
        <f>VLOOKUP($B271,'2017'!$A$5:$Q$1425,COUNTA(Upload!$E$3:F$3)+2,FALSE)</f>
        <v>0</v>
      </c>
      <c r="G271" s="209">
        <f>VLOOKUP($B271,'2017'!$A$5:$Q$1425,COUNTA(Upload!$E$3:G$3)+2,FALSE)</f>
        <v>0</v>
      </c>
      <c r="H271" s="209">
        <f>VLOOKUP($B271,'2017'!$A$5:$Q$1425,COUNTA(Upload!$E$3:H$3)+2,FALSE)</f>
        <v>0</v>
      </c>
      <c r="I271" s="209">
        <f>VLOOKUP($B271,'2017'!$A$5:$Q$1425,COUNTA(Upload!$E$3:I$3)+2,FALSE)</f>
        <v>0</v>
      </c>
      <c r="J271" s="209">
        <f>VLOOKUP($B271,'2017'!$A$5:$Q$1425,COUNTA(Upload!$E$3:J$3)+2,FALSE)</f>
        <v>0</v>
      </c>
      <c r="K271" s="209">
        <f>VLOOKUP($B271,'2017'!$A$5:$Q$1425,COUNTA(Upload!$E$3:K$3)+2,FALSE)</f>
        <v>0</v>
      </c>
      <c r="L271" s="209">
        <f>VLOOKUP($B271,'2017'!$A$5:$Q$1425,COUNTA(Upload!$E$3:L$3)+2,FALSE)</f>
        <v>0</v>
      </c>
      <c r="M271" s="209">
        <f>VLOOKUP($B271,'2017'!$A$5:$Q$1425,COUNTA(Upload!$E$3:M$3)+2,FALSE)</f>
        <v>0</v>
      </c>
      <c r="N271" s="209">
        <f>VLOOKUP($B271,'2017'!$A$5:$Q$1425,COUNTA(Upload!$E$3:N$3)+2,FALSE)</f>
        <v>0</v>
      </c>
      <c r="O271" s="209">
        <f>VLOOKUP($B271,'2017'!$A$5:$Q$1425,COUNTA(Upload!$E$3:O$3)+2,FALSE)</f>
        <v>0</v>
      </c>
      <c r="P271" s="209">
        <f>VLOOKUP($B271,'2017'!$A$5:$Q$1425,COUNTA(Upload!$E$3:P$3)+2,FALSE)</f>
        <v>0</v>
      </c>
      <c r="T271" s="161"/>
    </row>
    <row r="272" spans="1:20" s="118" customFormat="1" ht="10.5" customHeight="1">
      <c r="A272" s="207" t="s">
        <v>70</v>
      </c>
      <c r="B272" s="412" t="s">
        <v>1083</v>
      </c>
      <c r="C272" s="208" t="str">
        <f>+Setup!$B$21</f>
        <v>WC-PropName</v>
      </c>
      <c r="D272" s="208"/>
      <c r="E272" s="209">
        <f>VLOOKUP($B272,'2017'!$A$5:$Q$1425,COUNTA(Upload!$E$3:E$3)+2,FALSE)</f>
        <v>104.16666666666667</v>
      </c>
      <c r="F272" s="209">
        <f>VLOOKUP($B272,'2017'!$A$5:$Q$1425,COUNTA(Upload!$E$3:F$3)+2,FALSE)</f>
        <v>104.16666666666667</v>
      </c>
      <c r="G272" s="209">
        <f>VLOOKUP($B272,'2017'!$A$5:$Q$1425,COUNTA(Upload!$E$3:G$3)+2,FALSE)</f>
        <v>104.16666666666667</v>
      </c>
      <c r="H272" s="209">
        <f>VLOOKUP($B272,'2017'!$A$5:$Q$1425,COUNTA(Upload!$E$3:H$3)+2,FALSE)</f>
        <v>104.16666666666667</v>
      </c>
      <c r="I272" s="209">
        <f>VLOOKUP($B272,'2017'!$A$5:$Q$1425,COUNTA(Upload!$E$3:I$3)+2,FALSE)</f>
        <v>104.16666666666667</v>
      </c>
      <c r="J272" s="209">
        <f>VLOOKUP($B272,'2017'!$A$5:$Q$1425,COUNTA(Upload!$E$3:J$3)+2,FALSE)</f>
        <v>104.16666666666667</v>
      </c>
      <c r="K272" s="209">
        <f>VLOOKUP($B272,'2017'!$A$5:$Q$1425,COUNTA(Upload!$E$3:K$3)+2,FALSE)</f>
        <v>104.16666666666667</v>
      </c>
      <c r="L272" s="209">
        <f>VLOOKUP($B272,'2017'!$A$5:$Q$1425,COUNTA(Upload!$E$3:L$3)+2,FALSE)</f>
        <v>104.16666666666667</v>
      </c>
      <c r="M272" s="209">
        <f>VLOOKUP($B272,'2017'!$A$5:$Q$1425,COUNTA(Upload!$E$3:M$3)+2,FALSE)</f>
        <v>104.16666666666667</v>
      </c>
      <c r="N272" s="209">
        <f>VLOOKUP($B272,'2017'!$A$5:$Q$1425,COUNTA(Upload!$E$3:N$3)+2,FALSE)</f>
        <v>104.16666666666667</v>
      </c>
      <c r="O272" s="209">
        <f>VLOOKUP($B272,'2017'!$A$5:$Q$1425,COUNTA(Upload!$E$3:O$3)+2,FALSE)</f>
        <v>104.16666666666667</v>
      </c>
      <c r="P272" s="209">
        <f>VLOOKUP($B272,'2017'!$A$5:$Q$1425,COUNTA(Upload!$E$3:P$3)+2,FALSE)</f>
        <v>104.16666666666667</v>
      </c>
      <c r="T272" s="161"/>
    </row>
    <row r="273" spans="1:20" s="118" customFormat="1" ht="10.5" customHeight="1">
      <c r="A273" s="207" t="s">
        <v>70</v>
      </c>
      <c r="B273" s="412" t="s">
        <v>1085</v>
      </c>
      <c r="C273" s="208" t="str">
        <f>+Setup!$B$21</f>
        <v>WC-PropName</v>
      </c>
      <c r="D273" s="208"/>
      <c r="E273" s="209">
        <f>VLOOKUP($B273,'2017'!$A$5:$Q$1425,COUNTA(Upload!$E$3:E$3)+2,FALSE)</f>
        <v>402.91666666666669</v>
      </c>
      <c r="F273" s="209">
        <f>VLOOKUP($B273,'2017'!$A$5:$Q$1425,COUNTA(Upload!$E$3:F$3)+2,FALSE)</f>
        <v>402.91666666666669</v>
      </c>
      <c r="G273" s="209">
        <f>VLOOKUP($B273,'2017'!$A$5:$Q$1425,COUNTA(Upload!$E$3:G$3)+2,FALSE)</f>
        <v>402.91666666666669</v>
      </c>
      <c r="H273" s="209">
        <f>VLOOKUP($B273,'2017'!$A$5:$Q$1425,COUNTA(Upload!$E$3:H$3)+2,FALSE)</f>
        <v>402.91666666666669</v>
      </c>
      <c r="I273" s="209">
        <f>VLOOKUP($B273,'2017'!$A$5:$Q$1425,COUNTA(Upload!$E$3:I$3)+2,FALSE)</f>
        <v>402.91666666666669</v>
      </c>
      <c r="J273" s="209">
        <f>VLOOKUP($B273,'2017'!$A$5:$Q$1425,COUNTA(Upload!$E$3:J$3)+2,FALSE)</f>
        <v>402.91666666666669</v>
      </c>
      <c r="K273" s="209">
        <f>VLOOKUP($B273,'2017'!$A$5:$Q$1425,COUNTA(Upload!$E$3:K$3)+2,FALSE)</f>
        <v>402.91666666666669</v>
      </c>
      <c r="L273" s="209">
        <f>VLOOKUP($B273,'2017'!$A$5:$Q$1425,COUNTA(Upload!$E$3:L$3)+2,FALSE)</f>
        <v>402.91666666666669</v>
      </c>
      <c r="M273" s="209">
        <f>VLOOKUP($B273,'2017'!$A$5:$Q$1425,COUNTA(Upload!$E$3:M$3)+2,FALSE)</f>
        <v>402.91666666666669</v>
      </c>
      <c r="N273" s="209">
        <f>VLOOKUP($B273,'2017'!$A$5:$Q$1425,COUNTA(Upload!$E$3:N$3)+2,FALSE)</f>
        <v>402.91666666666669</v>
      </c>
      <c r="O273" s="209">
        <f>VLOOKUP($B273,'2017'!$A$5:$Q$1425,COUNTA(Upload!$E$3:O$3)+2,FALSE)</f>
        <v>402.91666666666669</v>
      </c>
      <c r="P273" s="209">
        <f>VLOOKUP($B273,'2017'!$A$5:$Q$1425,COUNTA(Upload!$E$3:P$3)+2,FALSE)</f>
        <v>402.91666666666669</v>
      </c>
      <c r="T273" s="161"/>
    </row>
    <row r="274" spans="1:20" s="118" customFormat="1" ht="10.5" customHeight="1">
      <c r="A274" s="207" t="s">
        <v>70</v>
      </c>
      <c r="B274" s="412" t="s">
        <v>1087</v>
      </c>
      <c r="C274" s="208" t="str">
        <f>+Setup!$B$21</f>
        <v>WC-PropName</v>
      </c>
      <c r="D274" s="208"/>
      <c r="E274" s="209">
        <f>VLOOKUP($B274,'2017'!$A$5:$Q$1425,COUNTA(Upload!$E$3:E$3)+2,FALSE)</f>
        <v>720.41666666666663</v>
      </c>
      <c r="F274" s="209">
        <f>VLOOKUP($B274,'2017'!$A$5:$Q$1425,COUNTA(Upload!$E$3:F$3)+2,FALSE)</f>
        <v>720.41666666666663</v>
      </c>
      <c r="G274" s="209">
        <f>VLOOKUP($B274,'2017'!$A$5:$Q$1425,COUNTA(Upload!$E$3:G$3)+2,FALSE)</f>
        <v>720.41666666666663</v>
      </c>
      <c r="H274" s="209">
        <f>VLOOKUP($B274,'2017'!$A$5:$Q$1425,COUNTA(Upload!$E$3:H$3)+2,FALSE)</f>
        <v>720.41666666666663</v>
      </c>
      <c r="I274" s="209">
        <f>VLOOKUP($B274,'2017'!$A$5:$Q$1425,COUNTA(Upload!$E$3:I$3)+2,FALSE)</f>
        <v>720.41666666666663</v>
      </c>
      <c r="J274" s="209">
        <f>VLOOKUP($B274,'2017'!$A$5:$Q$1425,COUNTA(Upload!$E$3:J$3)+2,FALSE)</f>
        <v>720.41666666666663</v>
      </c>
      <c r="K274" s="209">
        <f>VLOOKUP($B274,'2017'!$A$5:$Q$1425,COUNTA(Upload!$E$3:K$3)+2,FALSE)</f>
        <v>720.41666666666663</v>
      </c>
      <c r="L274" s="209">
        <f>VLOOKUP($B274,'2017'!$A$5:$Q$1425,COUNTA(Upload!$E$3:L$3)+2,FALSE)</f>
        <v>720.41666666666663</v>
      </c>
      <c r="M274" s="209">
        <f>VLOOKUP($B274,'2017'!$A$5:$Q$1425,COUNTA(Upload!$E$3:M$3)+2,FALSE)</f>
        <v>720.41666666666663</v>
      </c>
      <c r="N274" s="209">
        <f>VLOOKUP($B274,'2017'!$A$5:$Q$1425,COUNTA(Upload!$E$3:N$3)+2,FALSE)</f>
        <v>720.41666666666663</v>
      </c>
      <c r="O274" s="209">
        <f>VLOOKUP($B274,'2017'!$A$5:$Q$1425,COUNTA(Upload!$E$3:O$3)+2,FALSE)</f>
        <v>720.41666666666663</v>
      </c>
      <c r="P274" s="209">
        <f>VLOOKUP($B274,'2017'!$A$5:$Q$1425,COUNTA(Upload!$E$3:P$3)+2,FALSE)</f>
        <v>720.41666666666663</v>
      </c>
      <c r="T274" s="161"/>
    </row>
    <row r="275" spans="1:20" s="118" customFormat="1" ht="10.5" customHeight="1">
      <c r="A275" s="207" t="s">
        <v>70</v>
      </c>
      <c r="B275" s="412" t="s">
        <v>1089</v>
      </c>
      <c r="C275" s="208" t="str">
        <f>+Setup!$B$21</f>
        <v>WC-PropName</v>
      </c>
      <c r="D275" s="208"/>
      <c r="E275" s="209">
        <f>VLOOKUP($B275,'2017'!$A$5:$Q$1425,COUNTA(Upload!$E$3:E$3)+2,FALSE)</f>
        <v>41.416666666666664</v>
      </c>
      <c r="F275" s="209">
        <f>VLOOKUP($B275,'2017'!$A$5:$Q$1425,COUNTA(Upload!$E$3:F$3)+2,FALSE)</f>
        <v>41.416666666666664</v>
      </c>
      <c r="G275" s="209">
        <f>VLOOKUP($B275,'2017'!$A$5:$Q$1425,COUNTA(Upload!$E$3:G$3)+2,FALSE)</f>
        <v>41.416666666666664</v>
      </c>
      <c r="H275" s="209">
        <f>VLOOKUP($B275,'2017'!$A$5:$Q$1425,COUNTA(Upload!$E$3:H$3)+2,FALSE)</f>
        <v>41.416666666666664</v>
      </c>
      <c r="I275" s="209">
        <f>VLOOKUP($B275,'2017'!$A$5:$Q$1425,COUNTA(Upload!$E$3:I$3)+2,FALSE)</f>
        <v>41.416666666666664</v>
      </c>
      <c r="J275" s="209">
        <f>VLOOKUP($B275,'2017'!$A$5:$Q$1425,COUNTA(Upload!$E$3:J$3)+2,FALSE)</f>
        <v>41.416666666666664</v>
      </c>
      <c r="K275" s="209">
        <f>VLOOKUP($B275,'2017'!$A$5:$Q$1425,COUNTA(Upload!$E$3:K$3)+2,FALSE)</f>
        <v>41.416666666666664</v>
      </c>
      <c r="L275" s="209">
        <f>VLOOKUP($B275,'2017'!$A$5:$Q$1425,COUNTA(Upload!$E$3:L$3)+2,FALSE)</f>
        <v>41.416666666666664</v>
      </c>
      <c r="M275" s="209">
        <f>VLOOKUP($B275,'2017'!$A$5:$Q$1425,COUNTA(Upload!$E$3:M$3)+2,FALSE)</f>
        <v>41.416666666666664</v>
      </c>
      <c r="N275" s="209">
        <f>VLOOKUP($B275,'2017'!$A$5:$Q$1425,COUNTA(Upload!$E$3:N$3)+2,FALSE)</f>
        <v>41.416666666666664</v>
      </c>
      <c r="O275" s="209">
        <f>VLOOKUP($B275,'2017'!$A$5:$Q$1425,COUNTA(Upload!$E$3:O$3)+2,FALSE)</f>
        <v>41.416666666666664</v>
      </c>
      <c r="P275" s="209">
        <f>VLOOKUP($B275,'2017'!$A$5:$Q$1425,COUNTA(Upload!$E$3:P$3)+2,FALSE)</f>
        <v>41.416666666666664</v>
      </c>
      <c r="T275" s="161"/>
    </row>
    <row r="276" spans="1:20" s="118" customFormat="1" ht="10.5" customHeight="1">
      <c r="A276" s="207" t="s">
        <v>70</v>
      </c>
      <c r="B276" s="412" t="s">
        <v>1091</v>
      </c>
      <c r="C276" s="208" t="str">
        <f>+Setup!$B$21</f>
        <v>WC-PropName</v>
      </c>
      <c r="D276" s="208"/>
      <c r="E276" s="209">
        <f>VLOOKUP($B276,'2017'!$A$5:$Q$1425,COUNTA(Upload!$E$3:E$3)+2,FALSE)</f>
        <v>0</v>
      </c>
      <c r="F276" s="209">
        <f>VLOOKUP($B276,'2017'!$A$5:$Q$1425,COUNTA(Upload!$E$3:F$3)+2,FALSE)</f>
        <v>0</v>
      </c>
      <c r="G276" s="209">
        <f>VLOOKUP($B276,'2017'!$A$5:$Q$1425,COUNTA(Upload!$E$3:G$3)+2,FALSE)</f>
        <v>0</v>
      </c>
      <c r="H276" s="209">
        <f>VLOOKUP($B276,'2017'!$A$5:$Q$1425,COUNTA(Upload!$E$3:H$3)+2,FALSE)</f>
        <v>0</v>
      </c>
      <c r="I276" s="209">
        <f>VLOOKUP($B276,'2017'!$A$5:$Q$1425,COUNTA(Upload!$E$3:I$3)+2,FALSE)</f>
        <v>0</v>
      </c>
      <c r="J276" s="209">
        <f>VLOOKUP($B276,'2017'!$A$5:$Q$1425,COUNTA(Upload!$E$3:J$3)+2,FALSE)</f>
        <v>0</v>
      </c>
      <c r="K276" s="209">
        <f>VLOOKUP($B276,'2017'!$A$5:$Q$1425,COUNTA(Upload!$E$3:K$3)+2,FALSE)</f>
        <v>0</v>
      </c>
      <c r="L276" s="209">
        <f>VLOOKUP($B276,'2017'!$A$5:$Q$1425,COUNTA(Upload!$E$3:L$3)+2,FALSE)</f>
        <v>0</v>
      </c>
      <c r="M276" s="209">
        <f>VLOOKUP($B276,'2017'!$A$5:$Q$1425,COUNTA(Upload!$E$3:M$3)+2,FALSE)</f>
        <v>0</v>
      </c>
      <c r="N276" s="209">
        <f>VLOOKUP($B276,'2017'!$A$5:$Q$1425,COUNTA(Upload!$E$3:N$3)+2,FALSE)</f>
        <v>0</v>
      </c>
      <c r="O276" s="209">
        <f>VLOOKUP($B276,'2017'!$A$5:$Q$1425,COUNTA(Upload!$E$3:O$3)+2,FALSE)</f>
        <v>0</v>
      </c>
      <c r="P276" s="209">
        <f>VLOOKUP($B276,'2017'!$A$5:$Q$1425,COUNTA(Upload!$E$3:P$3)+2,FALSE)</f>
        <v>0</v>
      </c>
      <c r="T276" s="161"/>
    </row>
    <row r="277" spans="1:20" s="118" customFormat="1" ht="10.5" customHeight="1">
      <c r="A277" s="207" t="s">
        <v>70</v>
      </c>
      <c r="B277" s="412" t="s">
        <v>1092</v>
      </c>
      <c r="C277" s="208" t="str">
        <f>+Setup!$B$21</f>
        <v>WC-PropName</v>
      </c>
      <c r="D277" s="208"/>
      <c r="E277" s="209">
        <f>VLOOKUP($B277,'2017'!$A$5:$Q$1425,COUNTA(Upload!$E$3:E$3)+2,FALSE)</f>
        <v>0</v>
      </c>
      <c r="F277" s="209">
        <f>VLOOKUP($B277,'2017'!$A$5:$Q$1425,COUNTA(Upload!$E$3:F$3)+2,FALSE)</f>
        <v>0</v>
      </c>
      <c r="G277" s="209">
        <f>VLOOKUP($B277,'2017'!$A$5:$Q$1425,COUNTA(Upload!$E$3:G$3)+2,FALSE)</f>
        <v>0</v>
      </c>
      <c r="H277" s="209">
        <f>VLOOKUP($B277,'2017'!$A$5:$Q$1425,COUNTA(Upload!$E$3:H$3)+2,FALSE)</f>
        <v>0</v>
      </c>
      <c r="I277" s="209">
        <f>VLOOKUP($B277,'2017'!$A$5:$Q$1425,COUNTA(Upload!$E$3:I$3)+2,FALSE)</f>
        <v>0</v>
      </c>
      <c r="J277" s="209">
        <f>VLOOKUP($B277,'2017'!$A$5:$Q$1425,COUNTA(Upload!$E$3:J$3)+2,FALSE)</f>
        <v>0</v>
      </c>
      <c r="K277" s="209">
        <f>VLOOKUP($B277,'2017'!$A$5:$Q$1425,COUNTA(Upload!$E$3:K$3)+2,FALSE)</f>
        <v>0</v>
      </c>
      <c r="L277" s="209">
        <f>VLOOKUP($B277,'2017'!$A$5:$Q$1425,COUNTA(Upload!$E$3:L$3)+2,FALSE)</f>
        <v>0</v>
      </c>
      <c r="M277" s="209">
        <f>VLOOKUP($B277,'2017'!$A$5:$Q$1425,COUNTA(Upload!$E$3:M$3)+2,FALSE)</f>
        <v>0</v>
      </c>
      <c r="N277" s="209">
        <f>VLOOKUP($B277,'2017'!$A$5:$Q$1425,COUNTA(Upload!$E$3:N$3)+2,FALSE)</f>
        <v>0</v>
      </c>
      <c r="O277" s="209">
        <f>VLOOKUP($B277,'2017'!$A$5:$Q$1425,COUNTA(Upload!$E$3:O$3)+2,FALSE)</f>
        <v>0</v>
      </c>
      <c r="P277" s="209">
        <f>VLOOKUP($B277,'2017'!$A$5:$Q$1425,COUNTA(Upload!$E$3:P$3)+2,FALSE)</f>
        <v>0</v>
      </c>
      <c r="T277" s="161"/>
    </row>
    <row r="278" spans="1:20" s="118" customFormat="1" ht="10.5" customHeight="1">
      <c r="A278" s="207" t="s">
        <v>70</v>
      </c>
      <c r="B278" s="412" t="s">
        <v>1109</v>
      </c>
      <c r="C278" s="208" t="str">
        <f>+Setup!$B$21</f>
        <v>WC-PropName</v>
      </c>
      <c r="D278" s="208"/>
      <c r="E278" s="209">
        <f>VLOOKUP($B278,'2017'!$A$5:$Q$1425,COUNTA(Upload!$E$3:E$3)+2,FALSE)</f>
        <v>41552.5</v>
      </c>
      <c r="F278" s="209">
        <f>VLOOKUP($B278,'2017'!$A$5:$Q$1425,COUNTA(Upload!$E$3:F$3)+2,FALSE)</f>
        <v>41552.5</v>
      </c>
      <c r="G278" s="209">
        <f>VLOOKUP($B278,'2017'!$A$5:$Q$1425,COUNTA(Upload!$E$3:G$3)+2,FALSE)</f>
        <v>41552.5</v>
      </c>
      <c r="H278" s="209">
        <f>VLOOKUP($B278,'2017'!$A$5:$Q$1425,COUNTA(Upload!$E$3:H$3)+2,FALSE)</f>
        <v>41552.5</v>
      </c>
      <c r="I278" s="209">
        <f>VLOOKUP($B278,'2017'!$A$5:$Q$1425,COUNTA(Upload!$E$3:I$3)+2,FALSE)</f>
        <v>41552.5</v>
      </c>
      <c r="J278" s="209">
        <f>VLOOKUP($B278,'2017'!$A$5:$Q$1425,COUNTA(Upload!$E$3:J$3)+2,FALSE)</f>
        <v>41552.5</v>
      </c>
      <c r="K278" s="209">
        <f>VLOOKUP($B278,'2017'!$A$5:$Q$1425,COUNTA(Upload!$E$3:K$3)+2,FALSE)</f>
        <v>41552.5</v>
      </c>
      <c r="L278" s="209">
        <f>VLOOKUP($B278,'2017'!$A$5:$Q$1425,COUNTA(Upload!$E$3:L$3)+2,FALSE)</f>
        <v>41552.5</v>
      </c>
      <c r="M278" s="209">
        <f>VLOOKUP($B278,'2017'!$A$5:$Q$1425,COUNTA(Upload!$E$3:M$3)+2,FALSE)</f>
        <v>41552.5</v>
      </c>
      <c r="N278" s="209">
        <f>VLOOKUP($B278,'2017'!$A$5:$Q$1425,COUNTA(Upload!$E$3:N$3)+2,FALSE)</f>
        <v>41552.5</v>
      </c>
      <c r="O278" s="209">
        <f>VLOOKUP($B278,'2017'!$A$5:$Q$1425,COUNTA(Upload!$E$3:O$3)+2,FALSE)</f>
        <v>41552.5</v>
      </c>
      <c r="P278" s="209">
        <f>VLOOKUP($B278,'2017'!$A$5:$Q$1425,COUNTA(Upload!$E$3:P$3)+2,FALSE)</f>
        <v>41552.5</v>
      </c>
      <c r="T278" s="161"/>
    </row>
    <row r="279" spans="1:20" s="118" customFormat="1" ht="10.5" customHeight="1">
      <c r="A279" s="207" t="s">
        <v>70</v>
      </c>
      <c r="B279" s="412" t="s">
        <v>1111</v>
      </c>
      <c r="C279" s="208" t="str">
        <f>+Setup!$B$21</f>
        <v>WC-PropName</v>
      </c>
      <c r="D279" s="208"/>
      <c r="E279" s="209">
        <f>VLOOKUP($B279,'2017'!$A$5:$Q$1425,COUNTA(Upload!$E$3:E$3)+2,FALSE)</f>
        <v>0</v>
      </c>
      <c r="F279" s="209">
        <f>VLOOKUP($B279,'2017'!$A$5:$Q$1425,COUNTA(Upload!$E$3:F$3)+2,FALSE)</f>
        <v>0</v>
      </c>
      <c r="G279" s="209">
        <f>VLOOKUP($B279,'2017'!$A$5:$Q$1425,COUNTA(Upload!$E$3:G$3)+2,FALSE)</f>
        <v>0</v>
      </c>
      <c r="H279" s="209">
        <f>VLOOKUP($B279,'2017'!$A$5:$Q$1425,COUNTA(Upload!$E$3:H$3)+2,FALSE)</f>
        <v>0</v>
      </c>
      <c r="I279" s="209">
        <f>VLOOKUP($B279,'2017'!$A$5:$Q$1425,COUNTA(Upload!$E$3:I$3)+2,FALSE)</f>
        <v>0</v>
      </c>
      <c r="J279" s="209">
        <f>VLOOKUP($B279,'2017'!$A$5:$Q$1425,COUNTA(Upload!$E$3:J$3)+2,FALSE)</f>
        <v>0</v>
      </c>
      <c r="K279" s="209">
        <f>VLOOKUP($B279,'2017'!$A$5:$Q$1425,COUNTA(Upload!$E$3:K$3)+2,FALSE)</f>
        <v>0</v>
      </c>
      <c r="L279" s="209">
        <f>VLOOKUP($B279,'2017'!$A$5:$Q$1425,COUNTA(Upload!$E$3:L$3)+2,FALSE)</f>
        <v>0</v>
      </c>
      <c r="M279" s="209">
        <f>VLOOKUP($B279,'2017'!$A$5:$Q$1425,COUNTA(Upload!$E$3:M$3)+2,FALSE)</f>
        <v>0</v>
      </c>
      <c r="N279" s="209">
        <f>VLOOKUP($B279,'2017'!$A$5:$Q$1425,COUNTA(Upload!$E$3:N$3)+2,FALSE)</f>
        <v>0</v>
      </c>
      <c r="O279" s="209">
        <f>VLOOKUP($B279,'2017'!$A$5:$Q$1425,COUNTA(Upload!$E$3:O$3)+2,FALSE)</f>
        <v>0</v>
      </c>
      <c r="P279" s="209">
        <f>VLOOKUP($B279,'2017'!$A$5:$Q$1425,COUNTA(Upload!$E$3:P$3)+2,FALSE)</f>
        <v>0</v>
      </c>
      <c r="T279" s="161"/>
    </row>
    <row r="280" spans="1:20" s="118" customFormat="1" ht="10.5" customHeight="1">
      <c r="A280" s="207" t="s">
        <v>70</v>
      </c>
      <c r="B280" s="412" t="s">
        <v>1113</v>
      </c>
      <c r="C280" s="208" t="str">
        <f>+Setup!$B$21</f>
        <v>WC-PropName</v>
      </c>
      <c r="D280" s="208"/>
      <c r="E280" s="209">
        <f>VLOOKUP($B280,'2017'!$A$5:$Q$1425,COUNTA(Upload!$E$3:E$3)+2,FALSE)</f>
        <v>0</v>
      </c>
      <c r="F280" s="209">
        <f>VLOOKUP($B280,'2017'!$A$5:$Q$1425,COUNTA(Upload!$E$3:F$3)+2,FALSE)</f>
        <v>0</v>
      </c>
      <c r="G280" s="209">
        <f>VLOOKUP($B280,'2017'!$A$5:$Q$1425,COUNTA(Upload!$E$3:G$3)+2,FALSE)</f>
        <v>0</v>
      </c>
      <c r="H280" s="209">
        <f>VLOOKUP($B280,'2017'!$A$5:$Q$1425,COUNTA(Upload!$E$3:H$3)+2,FALSE)</f>
        <v>0</v>
      </c>
      <c r="I280" s="209">
        <f>VLOOKUP($B280,'2017'!$A$5:$Q$1425,COUNTA(Upload!$E$3:I$3)+2,FALSE)</f>
        <v>0</v>
      </c>
      <c r="J280" s="209">
        <f>VLOOKUP($B280,'2017'!$A$5:$Q$1425,COUNTA(Upload!$E$3:J$3)+2,FALSE)</f>
        <v>0</v>
      </c>
      <c r="K280" s="209">
        <f>VLOOKUP($B280,'2017'!$A$5:$Q$1425,COUNTA(Upload!$E$3:K$3)+2,FALSE)</f>
        <v>0</v>
      </c>
      <c r="L280" s="209">
        <f>VLOOKUP($B280,'2017'!$A$5:$Q$1425,COUNTA(Upload!$E$3:L$3)+2,FALSE)</f>
        <v>0</v>
      </c>
      <c r="M280" s="209">
        <f>VLOOKUP($B280,'2017'!$A$5:$Q$1425,COUNTA(Upload!$E$3:M$3)+2,FALSE)</f>
        <v>0</v>
      </c>
      <c r="N280" s="209">
        <f>VLOOKUP($B280,'2017'!$A$5:$Q$1425,COUNTA(Upload!$E$3:N$3)+2,FALSE)</f>
        <v>0</v>
      </c>
      <c r="O280" s="209">
        <f>VLOOKUP($B280,'2017'!$A$5:$Q$1425,COUNTA(Upload!$E$3:O$3)+2,FALSE)</f>
        <v>0</v>
      </c>
      <c r="P280" s="209">
        <f>VLOOKUP($B280,'2017'!$A$5:$Q$1425,COUNTA(Upload!$E$3:P$3)+2,FALSE)</f>
        <v>0</v>
      </c>
      <c r="T280" s="161"/>
    </row>
    <row r="281" spans="1:20" s="118" customFormat="1" ht="10.5" customHeight="1">
      <c r="A281" s="207" t="s">
        <v>70</v>
      </c>
      <c r="B281" s="412" t="s">
        <v>1114</v>
      </c>
      <c r="C281" s="208" t="str">
        <f>+Setup!$B$21</f>
        <v>WC-PropName</v>
      </c>
      <c r="D281" s="208"/>
      <c r="E281" s="209">
        <f>VLOOKUP($B281,'2017'!$A$5:$Q$1425,COUNTA(Upload!$E$3:E$3)+2,FALSE)</f>
        <v>0</v>
      </c>
      <c r="F281" s="209">
        <f>VLOOKUP($B281,'2017'!$A$5:$Q$1425,COUNTA(Upload!$E$3:F$3)+2,FALSE)</f>
        <v>0</v>
      </c>
      <c r="G281" s="209">
        <f>VLOOKUP($B281,'2017'!$A$5:$Q$1425,COUNTA(Upload!$E$3:G$3)+2,FALSE)</f>
        <v>0</v>
      </c>
      <c r="H281" s="209">
        <f>VLOOKUP($B281,'2017'!$A$5:$Q$1425,COUNTA(Upload!$E$3:H$3)+2,FALSE)</f>
        <v>0</v>
      </c>
      <c r="I281" s="209">
        <f>VLOOKUP($B281,'2017'!$A$5:$Q$1425,COUNTA(Upload!$E$3:I$3)+2,FALSE)</f>
        <v>0</v>
      </c>
      <c r="J281" s="209">
        <f>VLOOKUP($B281,'2017'!$A$5:$Q$1425,COUNTA(Upload!$E$3:J$3)+2,FALSE)</f>
        <v>0</v>
      </c>
      <c r="K281" s="209">
        <f>VLOOKUP($B281,'2017'!$A$5:$Q$1425,COUNTA(Upload!$E$3:K$3)+2,FALSE)</f>
        <v>0</v>
      </c>
      <c r="L281" s="209">
        <f>VLOOKUP($B281,'2017'!$A$5:$Q$1425,COUNTA(Upload!$E$3:L$3)+2,FALSE)</f>
        <v>0</v>
      </c>
      <c r="M281" s="209">
        <f>VLOOKUP($B281,'2017'!$A$5:$Q$1425,COUNTA(Upload!$E$3:M$3)+2,FALSE)</f>
        <v>0</v>
      </c>
      <c r="N281" s="209">
        <f>VLOOKUP($B281,'2017'!$A$5:$Q$1425,COUNTA(Upload!$E$3:N$3)+2,FALSE)</f>
        <v>0</v>
      </c>
      <c r="O281" s="209">
        <f>VLOOKUP($B281,'2017'!$A$5:$Q$1425,COUNTA(Upload!$E$3:O$3)+2,FALSE)</f>
        <v>0</v>
      </c>
      <c r="P281" s="209">
        <f>VLOOKUP($B281,'2017'!$A$5:$Q$1425,COUNTA(Upload!$E$3:P$3)+2,FALSE)</f>
        <v>0</v>
      </c>
      <c r="T281" s="161"/>
    </row>
    <row r="282" spans="1:20" s="118" customFormat="1" ht="10.5" customHeight="1">
      <c r="A282" s="207" t="s">
        <v>70</v>
      </c>
      <c r="B282" s="412" t="s">
        <v>1098</v>
      </c>
      <c r="C282" s="208" t="str">
        <f>+Setup!$B$21</f>
        <v>WC-PropName</v>
      </c>
      <c r="D282" s="208"/>
      <c r="E282" s="209">
        <f>VLOOKUP($B282,'2017'!$A$5:$Q$1425,COUNTA(Upload!$E$3:E$3)+2,FALSE)</f>
        <v>0</v>
      </c>
      <c r="F282" s="209">
        <f>VLOOKUP($B282,'2017'!$A$5:$Q$1425,COUNTA(Upload!$E$3:F$3)+2,FALSE)</f>
        <v>0</v>
      </c>
      <c r="G282" s="209">
        <f>VLOOKUP($B282,'2017'!$A$5:$Q$1425,COUNTA(Upload!$E$3:G$3)+2,FALSE)</f>
        <v>0</v>
      </c>
      <c r="H282" s="209">
        <f>VLOOKUP($B282,'2017'!$A$5:$Q$1425,COUNTA(Upload!$E$3:H$3)+2,FALSE)</f>
        <v>0</v>
      </c>
      <c r="I282" s="209">
        <f>VLOOKUP($B282,'2017'!$A$5:$Q$1425,COUNTA(Upload!$E$3:I$3)+2,FALSE)</f>
        <v>0</v>
      </c>
      <c r="J282" s="209">
        <f>VLOOKUP($B282,'2017'!$A$5:$Q$1425,COUNTA(Upload!$E$3:J$3)+2,FALSE)</f>
        <v>0</v>
      </c>
      <c r="K282" s="209">
        <f>VLOOKUP($B282,'2017'!$A$5:$Q$1425,COUNTA(Upload!$E$3:K$3)+2,FALSE)</f>
        <v>0</v>
      </c>
      <c r="L282" s="209">
        <f>VLOOKUP($B282,'2017'!$A$5:$Q$1425,COUNTA(Upload!$E$3:L$3)+2,FALSE)</f>
        <v>0</v>
      </c>
      <c r="M282" s="209">
        <f>VLOOKUP($B282,'2017'!$A$5:$Q$1425,COUNTA(Upload!$E$3:M$3)+2,FALSE)</f>
        <v>0</v>
      </c>
      <c r="N282" s="209">
        <f>VLOOKUP($B282,'2017'!$A$5:$Q$1425,COUNTA(Upload!$E$3:N$3)+2,FALSE)</f>
        <v>0</v>
      </c>
      <c r="O282" s="209">
        <f>VLOOKUP($B282,'2017'!$A$5:$Q$1425,COUNTA(Upload!$E$3:O$3)+2,FALSE)</f>
        <v>0</v>
      </c>
      <c r="P282" s="209">
        <f>VLOOKUP($B282,'2017'!$A$5:$Q$1425,COUNTA(Upload!$E$3:P$3)+2,FALSE)</f>
        <v>0</v>
      </c>
      <c r="T282" s="161"/>
    </row>
    <row r="283" spans="1:20" s="118" customFormat="1" ht="10.5" customHeight="1">
      <c r="A283" s="207" t="s">
        <v>70</v>
      </c>
      <c r="B283" s="412" t="s">
        <v>1099</v>
      </c>
      <c r="C283" s="208" t="str">
        <f>+Setup!$B$21</f>
        <v>WC-PropName</v>
      </c>
      <c r="D283" s="208"/>
      <c r="E283" s="209">
        <f>VLOOKUP($B283,'2017'!$A$5:$Q$1425,COUNTA(Upload!$E$3:E$3)+2,FALSE)</f>
        <v>0</v>
      </c>
      <c r="F283" s="209">
        <f>VLOOKUP($B283,'2017'!$A$5:$Q$1425,COUNTA(Upload!$E$3:F$3)+2,FALSE)</f>
        <v>0</v>
      </c>
      <c r="G283" s="209">
        <f>VLOOKUP($B283,'2017'!$A$5:$Q$1425,COUNTA(Upload!$E$3:G$3)+2,FALSE)</f>
        <v>0</v>
      </c>
      <c r="H283" s="209">
        <f>VLOOKUP($B283,'2017'!$A$5:$Q$1425,COUNTA(Upload!$E$3:H$3)+2,FALSE)</f>
        <v>0</v>
      </c>
      <c r="I283" s="209">
        <f>VLOOKUP($B283,'2017'!$A$5:$Q$1425,COUNTA(Upload!$E$3:I$3)+2,FALSE)</f>
        <v>0</v>
      </c>
      <c r="J283" s="209">
        <f>VLOOKUP($B283,'2017'!$A$5:$Q$1425,COUNTA(Upload!$E$3:J$3)+2,FALSE)</f>
        <v>0</v>
      </c>
      <c r="K283" s="209">
        <f>VLOOKUP($B283,'2017'!$A$5:$Q$1425,COUNTA(Upload!$E$3:K$3)+2,FALSE)</f>
        <v>0</v>
      </c>
      <c r="L283" s="209">
        <f>VLOOKUP($B283,'2017'!$A$5:$Q$1425,COUNTA(Upload!$E$3:L$3)+2,FALSE)</f>
        <v>0</v>
      </c>
      <c r="M283" s="209">
        <f>VLOOKUP($B283,'2017'!$A$5:$Q$1425,COUNTA(Upload!$E$3:M$3)+2,FALSE)</f>
        <v>0</v>
      </c>
      <c r="N283" s="209">
        <f>VLOOKUP($B283,'2017'!$A$5:$Q$1425,COUNTA(Upload!$E$3:N$3)+2,FALSE)</f>
        <v>0</v>
      </c>
      <c r="O283" s="209">
        <f>VLOOKUP($B283,'2017'!$A$5:$Q$1425,COUNTA(Upload!$E$3:O$3)+2,FALSE)</f>
        <v>0</v>
      </c>
      <c r="P283" s="209">
        <f>VLOOKUP($B283,'2017'!$A$5:$Q$1425,COUNTA(Upload!$E$3:P$3)+2,FALSE)</f>
        <v>0</v>
      </c>
      <c r="T283" s="161"/>
    </row>
    <row r="284" spans="1:20" s="118" customFormat="1" ht="10.5" customHeight="1">
      <c r="A284" s="207" t="s">
        <v>70</v>
      </c>
      <c r="B284" s="412" t="s">
        <v>1100</v>
      </c>
      <c r="C284" s="208" t="str">
        <f>+Setup!$B$21</f>
        <v>WC-PropName</v>
      </c>
      <c r="D284" s="208"/>
      <c r="E284" s="209">
        <f>VLOOKUP($B284,'2017'!$A$5:$Q$1425,COUNTA(Upload!$E$3:E$3)+2,FALSE)</f>
        <v>0</v>
      </c>
      <c r="F284" s="209">
        <f>VLOOKUP($B284,'2017'!$A$5:$Q$1425,COUNTA(Upload!$E$3:F$3)+2,FALSE)</f>
        <v>0</v>
      </c>
      <c r="G284" s="209">
        <f>VLOOKUP($B284,'2017'!$A$5:$Q$1425,COUNTA(Upload!$E$3:G$3)+2,FALSE)</f>
        <v>0</v>
      </c>
      <c r="H284" s="209">
        <f>VLOOKUP($B284,'2017'!$A$5:$Q$1425,COUNTA(Upload!$E$3:H$3)+2,FALSE)</f>
        <v>0</v>
      </c>
      <c r="I284" s="209">
        <f>VLOOKUP($B284,'2017'!$A$5:$Q$1425,COUNTA(Upload!$E$3:I$3)+2,FALSE)</f>
        <v>0</v>
      </c>
      <c r="J284" s="209">
        <f>VLOOKUP($B284,'2017'!$A$5:$Q$1425,COUNTA(Upload!$E$3:J$3)+2,FALSE)</f>
        <v>0</v>
      </c>
      <c r="K284" s="209">
        <f>VLOOKUP($B284,'2017'!$A$5:$Q$1425,COUNTA(Upload!$E$3:K$3)+2,FALSE)</f>
        <v>0</v>
      </c>
      <c r="L284" s="209">
        <f>VLOOKUP($B284,'2017'!$A$5:$Q$1425,COUNTA(Upload!$E$3:L$3)+2,FALSE)</f>
        <v>0</v>
      </c>
      <c r="M284" s="209">
        <f>VLOOKUP($B284,'2017'!$A$5:$Q$1425,COUNTA(Upload!$E$3:M$3)+2,FALSE)</f>
        <v>0</v>
      </c>
      <c r="N284" s="209">
        <f>VLOOKUP($B284,'2017'!$A$5:$Q$1425,COUNTA(Upload!$E$3:N$3)+2,FALSE)</f>
        <v>0</v>
      </c>
      <c r="O284" s="209">
        <f>VLOOKUP($B284,'2017'!$A$5:$Q$1425,COUNTA(Upload!$E$3:O$3)+2,FALSE)</f>
        <v>0</v>
      </c>
      <c r="P284" s="209">
        <f>VLOOKUP($B284,'2017'!$A$5:$Q$1425,COUNTA(Upload!$E$3:P$3)+2,FALSE)</f>
        <v>0</v>
      </c>
      <c r="T284" s="161"/>
    </row>
    <row r="285" spans="1:20" s="118" customFormat="1" ht="10.5" customHeight="1">
      <c r="A285" s="207" t="s">
        <v>70</v>
      </c>
      <c r="B285" s="412" t="s">
        <v>1101</v>
      </c>
      <c r="C285" s="208" t="str">
        <f>+Setup!$B$21</f>
        <v>WC-PropName</v>
      </c>
      <c r="D285" s="208"/>
      <c r="E285" s="209">
        <f>VLOOKUP($B285,'2017'!$A$5:$Q$1425,COUNTA(Upload!$E$3:E$3)+2,FALSE)</f>
        <v>0</v>
      </c>
      <c r="F285" s="209">
        <f>VLOOKUP($B285,'2017'!$A$5:$Q$1425,COUNTA(Upload!$E$3:F$3)+2,FALSE)</f>
        <v>0</v>
      </c>
      <c r="G285" s="209">
        <f>VLOOKUP($B285,'2017'!$A$5:$Q$1425,COUNTA(Upload!$E$3:G$3)+2,FALSE)</f>
        <v>0</v>
      </c>
      <c r="H285" s="209">
        <f>VLOOKUP($B285,'2017'!$A$5:$Q$1425,COUNTA(Upload!$E$3:H$3)+2,FALSE)</f>
        <v>0</v>
      </c>
      <c r="I285" s="209">
        <f>VLOOKUP($B285,'2017'!$A$5:$Q$1425,COUNTA(Upload!$E$3:I$3)+2,FALSE)</f>
        <v>0</v>
      </c>
      <c r="J285" s="209">
        <f>VLOOKUP($B285,'2017'!$A$5:$Q$1425,COUNTA(Upload!$E$3:J$3)+2,FALSE)</f>
        <v>0</v>
      </c>
      <c r="K285" s="209">
        <f>VLOOKUP($B285,'2017'!$A$5:$Q$1425,COUNTA(Upload!$E$3:K$3)+2,FALSE)</f>
        <v>0</v>
      </c>
      <c r="L285" s="209">
        <f>VLOOKUP($B285,'2017'!$A$5:$Q$1425,COUNTA(Upload!$E$3:L$3)+2,FALSE)</f>
        <v>0</v>
      </c>
      <c r="M285" s="209">
        <f>VLOOKUP($B285,'2017'!$A$5:$Q$1425,COUNTA(Upload!$E$3:M$3)+2,FALSE)</f>
        <v>0</v>
      </c>
      <c r="N285" s="209">
        <f>VLOOKUP($B285,'2017'!$A$5:$Q$1425,COUNTA(Upload!$E$3:N$3)+2,FALSE)</f>
        <v>0</v>
      </c>
      <c r="O285" s="209">
        <f>VLOOKUP($B285,'2017'!$A$5:$Q$1425,COUNTA(Upload!$E$3:O$3)+2,FALSE)</f>
        <v>0</v>
      </c>
      <c r="P285" s="209">
        <f>VLOOKUP($B285,'2017'!$A$5:$Q$1425,COUNTA(Upload!$E$3:P$3)+2,FALSE)</f>
        <v>0</v>
      </c>
      <c r="T285" s="161"/>
    </row>
    <row r="286" spans="1:20" s="118" customFormat="1" ht="10.5" customHeight="1">
      <c r="A286" s="207" t="s">
        <v>70</v>
      </c>
      <c r="B286" s="412" t="s">
        <v>1102</v>
      </c>
      <c r="C286" s="208" t="str">
        <f>+Setup!$B$21</f>
        <v>WC-PropName</v>
      </c>
      <c r="D286" s="208"/>
      <c r="E286" s="209">
        <f>VLOOKUP($B286,'2017'!$A$5:$Q$1425,COUNTA(Upload!$E$3:E$3)+2,FALSE)</f>
        <v>248.66666666666666</v>
      </c>
      <c r="F286" s="209">
        <f>VLOOKUP($B286,'2017'!$A$5:$Q$1425,COUNTA(Upload!$E$3:F$3)+2,FALSE)</f>
        <v>248.66666666666666</v>
      </c>
      <c r="G286" s="209">
        <f>VLOOKUP($B286,'2017'!$A$5:$Q$1425,COUNTA(Upload!$E$3:G$3)+2,FALSE)</f>
        <v>248.66666666666666</v>
      </c>
      <c r="H286" s="209">
        <f>VLOOKUP($B286,'2017'!$A$5:$Q$1425,COUNTA(Upload!$E$3:H$3)+2,FALSE)</f>
        <v>248.66666666666666</v>
      </c>
      <c r="I286" s="209">
        <f>VLOOKUP($B286,'2017'!$A$5:$Q$1425,COUNTA(Upload!$E$3:I$3)+2,FALSE)</f>
        <v>248.66666666666666</v>
      </c>
      <c r="J286" s="209">
        <f>VLOOKUP($B286,'2017'!$A$5:$Q$1425,COUNTA(Upload!$E$3:J$3)+2,FALSE)</f>
        <v>248.66666666666666</v>
      </c>
      <c r="K286" s="209">
        <f>VLOOKUP($B286,'2017'!$A$5:$Q$1425,COUNTA(Upload!$E$3:K$3)+2,FALSE)</f>
        <v>248.66666666666666</v>
      </c>
      <c r="L286" s="209">
        <f>VLOOKUP($B286,'2017'!$A$5:$Q$1425,COUNTA(Upload!$E$3:L$3)+2,FALSE)</f>
        <v>248.66666666666666</v>
      </c>
      <c r="M286" s="209">
        <f>VLOOKUP($B286,'2017'!$A$5:$Q$1425,COUNTA(Upload!$E$3:M$3)+2,FALSE)</f>
        <v>248.66666666666666</v>
      </c>
      <c r="N286" s="209">
        <f>VLOOKUP($B286,'2017'!$A$5:$Q$1425,COUNTA(Upload!$E$3:N$3)+2,FALSE)</f>
        <v>248.66666666666666</v>
      </c>
      <c r="O286" s="209">
        <f>VLOOKUP($B286,'2017'!$A$5:$Q$1425,COUNTA(Upload!$E$3:O$3)+2,FALSE)</f>
        <v>248.66666666666666</v>
      </c>
      <c r="P286" s="209">
        <f>VLOOKUP($B286,'2017'!$A$5:$Q$1425,COUNTA(Upload!$E$3:P$3)+2,FALSE)</f>
        <v>248.66666666666666</v>
      </c>
      <c r="T286" s="161"/>
    </row>
    <row r="287" spans="1:20" s="118" customFormat="1" ht="10.5" customHeight="1">
      <c r="A287" s="207" t="s">
        <v>70</v>
      </c>
      <c r="B287" s="412" t="s">
        <v>1104</v>
      </c>
      <c r="C287" s="208" t="str">
        <f>+Setup!$B$21</f>
        <v>WC-PropName</v>
      </c>
      <c r="D287" s="208"/>
      <c r="E287" s="209">
        <f>VLOOKUP($B287,'2017'!$A$5:$Q$1425,COUNTA(Upload!$E$3:E$3)+2,FALSE)</f>
        <v>-282</v>
      </c>
      <c r="F287" s="209">
        <f>VLOOKUP($B287,'2017'!$A$5:$Q$1425,COUNTA(Upload!$E$3:F$3)+2,FALSE)</f>
        <v>-282</v>
      </c>
      <c r="G287" s="209">
        <f>VLOOKUP($B287,'2017'!$A$5:$Q$1425,COUNTA(Upload!$E$3:G$3)+2,FALSE)</f>
        <v>-282</v>
      </c>
      <c r="H287" s="209">
        <f>VLOOKUP($B287,'2017'!$A$5:$Q$1425,COUNTA(Upload!$E$3:H$3)+2,FALSE)</f>
        <v>-282</v>
      </c>
      <c r="I287" s="209">
        <f>VLOOKUP($B287,'2017'!$A$5:$Q$1425,COUNTA(Upload!$E$3:I$3)+2,FALSE)</f>
        <v>-282</v>
      </c>
      <c r="J287" s="209">
        <f>VLOOKUP($B287,'2017'!$A$5:$Q$1425,COUNTA(Upload!$E$3:J$3)+2,FALSE)</f>
        <v>-282</v>
      </c>
      <c r="K287" s="209">
        <f>VLOOKUP($B287,'2017'!$A$5:$Q$1425,COUNTA(Upload!$E$3:K$3)+2,FALSE)</f>
        <v>-282</v>
      </c>
      <c r="L287" s="209">
        <f>VLOOKUP($B287,'2017'!$A$5:$Q$1425,COUNTA(Upload!$E$3:L$3)+2,FALSE)</f>
        <v>-282</v>
      </c>
      <c r="M287" s="209">
        <f>VLOOKUP($B287,'2017'!$A$5:$Q$1425,COUNTA(Upload!$E$3:M$3)+2,FALSE)</f>
        <v>-282</v>
      </c>
      <c r="N287" s="209">
        <f>VLOOKUP($B287,'2017'!$A$5:$Q$1425,COUNTA(Upload!$E$3:N$3)+2,FALSE)</f>
        <v>-282</v>
      </c>
      <c r="O287" s="209">
        <f>VLOOKUP($B287,'2017'!$A$5:$Q$1425,COUNTA(Upload!$E$3:O$3)+2,FALSE)</f>
        <v>-282</v>
      </c>
      <c r="P287" s="209">
        <f>VLOOKUP($B287,'2017'!$A$5:$Q$1425,COUNTA(Upload!$E$3:P$3)+2,FALSE)</f>
        <v>-282</v>
      </c>
      <c r="T287" s="161"/>
    </row>
    <row r="288" spans="1:20" s="118" customFormat="1" ht="10.5" customHeight="1">
      <c r="A288" s="207" t="s">
        <v>70</v>
      </c>
      <c r="B288" s="412" t="s">
        <v>1118</v>
      </c>
      <c r="C288" s="208" t="str">
        <f>+Setup!$B$21</f>
        <v>WC-PropName</v>
      </c>
      <c r="D288" s="208"/>
      <c r="E288" s="209">
        <f>VLOOKUP($B288,'2017'!$A$5:$Q$1425,COUNTA(Upload!$E$3:E$3)+2,FALSE)</f>
        <v>0</v>
      </c>
      <c r="F288" s="209">
        <f>VLOOKUP($B288,'2017'!$A$5:$Q$1425,COUNTA(Upload!$E$3:F$3)+2,FALSE)</f>
        <v>0</v>
      </c>
      <c r="G288" s="209">
        <f>VLOOKUP($B288,'2017'!$A$5:$Q$1425,COUNTA(Upload!$E$3:G$3)+2,FALSE)</f>
        <v>0</v>
      </c>
      <c r="H288" s="209">
        <f>VLOOKUP($B288,'2017'!$A$5:$Q$1425,COUNTA(Upload!$E$3:H$3)+2,FALSE)</f>
        <v>0</v>
      </c>
      <c r="I288" s="209">
        <f>VLOOKUP($B288,'2017'!$A$5:$Q$1425,COUNTA(Upload!$E$3:I$3)+2,FALSE)</f>
        <v>0</v>
      </c>
      <c r="J288" s="209">
        <f>VLOOKUP($B288,'2017'!$A$5:$Q$1425,COUNTA(Upload!$E$3:J$3)+2,FALSE)</f>
        <v>0</v>
      </c>
      <c r="K288" s="209">
        <f>VLOOKUP($B288,'2017'!$A$5:$Q$1425,COUNTA(Upload!$E$3:K$3)+2,FALSE)</f>
        <v>0</v>
      </c>
      <c r="L288" s="209">
        <f>VLOOKUP($B288,'2017'!$A$5:$Q$1425,COUNTA(Upload!$E$3:L$3)+2,FALSE)</f>
        <v>0</v>
      </c>
      <c r="M288" s="209">
        <f>VLOOKUP($B288,'2017'!$A$5:$Q$1425,COUNTA(Upload!$E$3:M$3)+2,FALSE)</f>
        <v>0</v>
      </c>
      <c r="N288" s="209">
        <f>VLOOKUP($B288,'2017'!$A$5:$Q$1425,COUNTA(Upload!$E$3:N$3)+2,FALSE)</f>
        <v>0</v>
      </c>
      <c r="O288" s="209">
        <f>VLOOKUP($B288,'2017'!$A$5:$Q$1425,COUNTA(Upload!$E$3:O$3)+2,FALSE)</f>
        <v>0</v>
      </c>
      <c r="P288" s="209">
        <f>VLOOKUP($B288,'2017'!$A$5:$Q$1425,COUNTA(Upload!$E$3:P$3)+2,FALSE)</f>
        <v>0</v>
      </c>
      <c r="T288" s="161"/>
    </row>
    <row r="289" spans="1:20" s="118" customFormat="1" ht="10.5" customHeight="1">
      <c r="A289" s="207" t="s">
        <v>70</v>
      </c>
      <c r="B289" s="412" t="s">
        <v>1120</v>
      </c>
      <c r="C289" s="208" t="str">
        <f>+Setup!$B$21</f>
        <v>WC-PropName</v>
      </c>
      <c r="D289" s="208"/>
      <c r="E289" s="209">
        <f>VLOOKUP($B289,'2017'!$A$5:$Q$1425,COUNTA(Upload!$E$3:E$3)+2,FALSE)</f>
        <v>0</v>
      </c>
      <c r="F289" s="209">
        <f>VLOOKUP($B289,'2017'!$A$5:$Q$1425,COUNTA(Upload!$E$3:F$3)+2,FALSE)</f>
        <v>0</v>
      </c>
      <c r="G289" s="209">
        <f>VLOOKUP($B289,'2017'!$A$5:$Q$1425,COUNTA(Upload!$E$3:G$3)+2,FALSE)</f>
        <v>0</v>
      </c>
      <c r="H289" s="209">
        <f>VLOOKUP($B289,'2017'!$A$5:$Q$1425,COUNTA(Upload!$E$3:H$3)+2,FALSE)</f>
        <v>0</v>
      </c>
      <c r="I289" s="209">
        <f>VLOOKUP($B289,'2017'!$A$5:$Q$1425,COUNTA(Upload!$E$3:I$3)+2,FALSE)</f>
        <v>0</v>
      </c>
      <c r="J289" s="209">
        <f>VLOOKUP($B289,'2017'!$A$5:$Q$1425,COUNTA(Upload!$E$3:J$3)+2,FALSE)</f>
        <v>0</v>
      </c>
      <c r="K289" s="209">
        <f>VLOOKUP($B289,'2017'!$A$5:$Q$1425,COUNTA(Upload!$E$3:K$3)+2,FALSE)</f>
        <v>0</v>
      </c>
      <c r="L289" s="209">
        <f>VLOOKUP($B289,'2017'!$A$5:$Q$1425,COUNTA(Upload!$E$3:L$3)+2,FALSE)</f>
        <v>0</v>
      </c>
      <c r="M289" s="209">
        <f>VLOOKUP($B289,'2017'!$A$5:$Q$1425,COUNTA(Upload!$E$3:M$3)+2,FALSE)</f>
        <v>0</v>
      </c>
      <c r="N289" s="209">
        <f>VLOOKUP($B289,'2017'!$A$5:$Q$1425,COUNTA(Upload!$E$3:N$3)+2,FALSE)</f>
        <v>0</v>
      </c>
      <c r="O289" s="209">
        <f>VLOOKUP($B289,'2017'!$A$5:$Q$1425,COUNTA(Upload!$E$3:O$3)+2,FALSE)</f>
        <v>0</v>
      </c>
      <c r="P289" s="209">
        <f>VLOOKUP($B289,'2017'!$A$5:$Q$1425,COUNTA(Upload!$E$3:P$3)+2,FALSE)</f>
        <v>0</v>
      </c>
      <c r="T289" s="161"/>
    </row>
    <row r="290" spans="1:20" s="118" customFormat="1" ht="10.5" customHeight="1">
      <c r="A290" s="207" t="s">
        <v>70</v>
      </c>
      <c r="B290" s="412" t="s">
        <v>1123</v>
      </c>
      <c r="C290" s="208" t="str">
        <f>+Setup!$B$21</f>
        <v>WC-PropName</v>
      </c>
      <c r="D290" s="208"/>
      <c r="E290" s="209">
        <f>VLOOKUP($B290,'2017'!$A$5:$Q$1425,COUNTA(Upload!$E$3:E$3)+2,FALSE)</f>
        <v>0</v>
      </c>
      <c r="F290" s="209">
        <f>VLOOKUP($B290,'2017'!$A$5:$Q$1425,COUNTA(Upload!$E$3:F$3)+2,FALSE)</f>
        <v>0</v>
      </c>
      <c r="G290" s="209">
        <f>VLOOKUP($B290,'2017'!$A$5:$Q$1425,COUNTA(Upload!$E$3:G$3)+2,FALSE)</f>
        <v>0</v>
      </c>
      <c r="H290" s="209">
        <f>VLOOKUP($B290,'2017'!$A$5:$Q$1425,COUNTA(Upload!$E$3:H$3)+2,FALSE)</f>
        <v>0</v>
      </c>
      <c r="I290" s="209">
        <f>VLOOKUP($B290,'2017'!$A$5:$Q$1425,COUNTA(Upload!$E$3:I$3)+2,FALSE)</f>
        <v>0</v>
      </c>
      <c r="J290" s="209">
        <f>VLOOKUP($B290,'2017'!$A$5:$Q$1425,COUNTA(Upload!$E$3:J$3)+2,FALSE)</f>
        <v>0</v>
      </c>
      <c r="K290" s="209">
        <f>VLOOKUP($B290,'2017'!$A$5:$Q$1425,COUNTA(Upload!$E$3:K$3)+2,FALSE)</f>
        <v>0</v>
      </c>
      <c r="L290" s="209">
        <f>VLOOKUP($B290,'2017'!$A$5:$Q$1425,COUNTA(Upload!$E$3:L$3)+2,FALSE)</f>
        <v>0</v>
      </c>
      <c r="M290" s="209">
        <f>VLOOKUP($B290,'2017'!$A$5:$Q$1425,COUNTA(Upload!$E$3:M$3)+2,FALSE)</f>
        <v>0</v>
      </c>
      <c r="N290" s="209">
        <f>VLOOKUP($B290,'2017'!$A$5:$Q$1425,COUNTA(Upload!$E$3:N$3)+2,FALSE)</f>
        <v>0</v>
      </c>
      <c r="O290" s="209">
        <f>VLOOKUP($B290,'2017'!$A$5:$Q$1425,COUNTA(Upload!$E$3:O$3)+2,FALSE)</f>
        <v>0</v>
      </c>
      <c r="P290" s="209">
        <f>VLOOKUP($B290,'2017'!$A$5:$Q$1425,COUNTA(Upload!$E$3:P$3)+2,FALSE)</f>
        <v>0</v>
      </c>
      <c r="T290" s="161"/>
    </row>
    <row r="291" spans="1:20" s="118" customFormat="1" ht="10.5" customHeight="1">
      <c r="A291" s="207" t="s">
        <v>70</v>
      </c>
      <c r="B291" s="412" t="s">
        <v>1124</v>
      </c>
      <c r="C291" s="208" t="str">
        <f>+Setup!$B$21</f>
        <v>WC-PropName</v>
      </c>
      <c r="D291" s="208"/>
      <c r="E291" s="209">
        <f>VLOOKUP($B291,'2017'!$A$5:$Q$1425,COUNTA(Upload!$E$3:E$3)+2,FALSE)</f>
        <v>0</v>
      </c>
      <c r="F291" s="209">
        <f>VLOOKUP($B291,'2017'!$A$5:$Q$1425,COUNTA(Upload!$E$3:F$3)+2,FALSE)</f>
        <v>0</v>
      </c>
      <c r="G291" s="209">
        <f>VLOOKUP($B291,'2017'!$A$5:$Q$1425,COUNTA(Upload!$E$3:G$3)+2,FALSE)</f>
        <v>0</v>
      </c>
      <c r="H291" s="209">
        <f>VLOOKUP($B291,'2017'!$A$5:$Q$1425,COUNTA(Upload!$E$3:H$3)+2,FALSE)</f>
        <v>0</v>
      </c>
      <c r="I291" s="209">
        <f>VLOOKUP($B291,'2017'!$A$5:$Q$1425,COUNTA(Upload!$E$3:I$3)+2,FALSE)</f>
        <v>0</v>
      </c>
      <c r="J291" s="209">
        <f>VLOOKUP($B291,'2017'!$A$5:$Q$1425,COUNTA(Upload!$E$3:J$3)+2,FALSE)</f>
        <v>0</v>
      </c>
      <c r="K291" s="209">
        <f>VLOOKUP($B291,'2017'!$A$5:$Q$1425,COUNTA(Upload!$E$3:K$3)+2,FALSE)</f>
        <v>0</v>
      </c>
      <c r="L291" s="209">
        <f>VLOOKUP($B291,'2017'!$A$5:$Q$1425,COUNTA(Upload!$E$3:L$3)+2,FALSE)</f>
        <v>0</v>
      </c>
      <c r="M291" s="209">
        <f>VLOOKUP($B291,'2017'!$A$5:$Q$1425,COUNTA(Upload!$E$3:M$3)+2,FALSE)</f>
        <v>0</v>
      </c>
      <c r="N291" s="209">
        <f>VLOOKUP($B291,'2017'!$A$5:$Q$1425,COUNTA(Upload!$E$3:N$3)+2,FALSE)</f>
        <v>0</v>
      </c>
      <c r="O291" s="209">
        <f>VLOOKUP($B291,'2017'!$A$5:$Q$1425,COUNTA(Upload!$E$3:O$3)+2,FALSE)</f>
        <v>0</v>
      </c>
      <c r="P291" s="209">
        <f>VLOOKUP($B291,'2017'!$A$5:$Q$1425,COUNTA(Upload!$E$3:P$3)+2,FALSE)</f>
        <v>0</v>
      </c>
      <c r="S291" s="5"/>
      <c r="T291" s="161"/>
    </row>
    <row r="292" spans="1:20" s="118" customFormat="1" ht="10.5" customHeight="1">
      <c r="A292" s="207" t="s">
        <v>70</v>
      </c>
      <c r="B292" s="412" t="s">
        <v>1125</v>
      </c>
      <c r="C292" s="208" t="str">
        <f>+Setup!$B$21</f>
        <v>WC-PropName</v>
      </c>
      <c r="D292" s="208"/>
      <c r="E292" s="209">
        <f>VLOOKUP($B292,'2017'!$A$5:$Q$1425,COUNTA(Upload!$E$3:E$3)+2,FALSE)</f>
        <v>0</v>
      </c>
      <c r="F292" s="209">
        <f>VLOOKUP($B292,'2017'!$A$5:$Q$1425,COUNTA(Upload!$E$3:F$3)+2,FALSE)</f>
        <v>0</v>
      </c>
      <c r="G292" s="209">
        <f>VLOOKUP($B292,'2017'!$A$5:$Q$1425,COUNTA(Upload!$E$3:G$3)+2,FALSE)</f>
        <v>0</v>
      </c>
      <c r="H292" s="209">
        <f>VLOOKUP($B292,'2017'!$A$5:$Q$1425,COUNTA(Upload!$E$3:H$3)+2,FALSE)</f>
        <v>0</v>
      </c>
      <c r="I292" s="209">
        <f>VLOOKUP($B292,'2017'!$A$5:$Q$1425,COUNTA(Upload!$E$3:I$3)+2,FALSE)</f>
        <v>0</v>
      </c>
      <c r="J292" s="209">
        <f>VLOOKUP($B292,'2017'!$A$5:$Q$1425,COUNTA(Upload!$E$3:J$3)+2,FALSE)</f>
        <v>0</v>
      </c>
      <c r="K292" s="209">
        <f>VLOOKUP($B292,'2017'!$A$5:$Q$1425,COUNTA(Upload!$E$3:K$3)+2,FALSE)</f>
        <v>0</v>
      </c>
      <c r="L292" s="209">
        <f>VLOOKUP($B292,'2017'!$A$5:$Q$1425,COUNTA(Upload!$E$3:L$3)+2,FALSE)</f>
        <v>0</v>
      </c>
      <c r="M292" s="209">
        <f>VLOOKUP($B292,'2017'!$A$5:$Q$1425,COUNTA(Upload!$E$3:M$3)+2,FALSE)</f>
        <v>0</v>
      </c>
      <c r="N292" s="209">
        <f>VLOOKUP($B292,'2017'!$A$5:$Q$1425,COUNTA(Upload!$E$3:N$3)+2,FALSE)</f>
        <v>0</v>
      </c>
      <c r="O292" s="209">
        <f>VLOOKUP($B292,'2017'!$A$5:$Q$1425,COUNTA(Upload!$E$3:O$3)+2,FALSE)</f>
        <v>0</v>
      </c>
      <c r="P292" s="209">
        <f>VLOOKUP($B292,'2017'!$A$5:$Q$1425,COUNTA(Upload!$E$3:P$3)+2,FALSE)</f>
        <v>0</v>
      </c>
      <c r="S292" s="5"/>
      <c r="T292" s="161"/>
    </row>
    <row r="293" spans="1:20" s="118" customFormat="1" ht="10.5" customHeight="1">
      <c r="A293" s="207" t="s">
        <v>70</v>
      </c>
      <c r="B293" s="412" t="s">
        <v>1126</v>
      </c>
      <c r="C293" s="208" t="str">
        <f>+Setup!$B$21</f>
        <v>WC-PropName</v>
      </c>
      <c r="D293" s="208"/>
      <c r="E293" s="209">
        <f>VLOOKUP($B293,'2017'!$A$5:$Q$1425,COUNTA(Upload!$E$3:E$3)+2,FALSE)</f>
        <v>0</v>
      </c>
      <c r="F293" s="209">
        <f>VLOOKUP($B293,'2017'!$A$5:$Q$1425,COUNTA(Upload!$E$3:F$3)+2,FALSE)</f>
        <v>0</v>
      </c>
      <c r="G293" s="209">
        <f>VLOOKUP($B293,'2017'!$A$5:$Q$1425,COUNTA(Upload!$E$3:G$3)+2,FALSE)</f>
        <v>0</v>
      </c>
      <c r="H293" s="209">
        <f>VLOOKUP($B293,'2017'!$A$5:$Q$1425,COUNTA(Upload!$E$3:H$3)+2,FALSE)</f>
        <v>0</v>
      </c>
      <c r="I293" s="209">
        <f>VLOOKUP($B293,'2017'!$A$5:$Q$1425,COUNTA(Upload!$E$3:I$3)+2,FALSE)</f>
        <v>0</v>
      </c>
      <c r="J293" s="209">
        <f>VLOOKUP($B293,'2017'!$A$5:$Q$1425,COUNTA(Upload!$E$3:J$3)+2,FALSE)</f>
        <v>0</v>
      </c>
      <c r="K293" s="209">
        <f>VLOOKUP($B293,'2017'!$A$5:$Q$1425,COUNTA(Upload!$E$3:K$3)+2,FALSE)</f>
        <v>0</v>
      </c>
      <c r="L293" s="209">
        <f>VLOOKUP($B293,'2017'!$A$5:$Q$1425,COUNTA(Upload!$E$3:L$3)+2,FALSE)</f>
        <v>0</v>
      </c>
      <c r="M293" s="209">
        <f>VLOOKUP($B293,'2017'!$A$5:$Q$1425,COUNTA(Upload!$E$3:M$3)+2,FALSE)</f>
        <v>0</v>
      </c>
      <c r="N293" s="209">
        <f>VLOOKUP($B293,'2017'!$A$5:$Q$1425,COUNTA(Upload!$E$3:N$3)+2,FALSE)</f>
        <v>0</v>
      </c>
      <c r="O293" s="209">
        <f>VLOOKUP($B293,'2017'!$A$5:$Q$1425,COUNTA(Upload!$E$3:O$3)+2,FALSE)</f>
        <v>0</v>
      </c>
      <c r="P293" s="209">
        <f>VLOOKUP($B293,'2017'!$A$5:$Q$1425,COUNTA(Upload!$E$3:P$3)+2,FALSE)</f>
        <v>0</v>
      </c>
      <c r="S293" s="5"/>
      <c r="T293" s="161"/>
    </row>
    <row r="294" spans="1:20" s="118" customFormat="1" ht="10.5" customHeight="1">
      <c r="A294" s="207" t="s">
        <v>70</v>
      </c>
      <c r="B294" s="412" t="s">
        <v>1127</v>
      </c>
      <c r="C294" s="208" t="str">
        <f>+Setup!$B$21</f>
        <v>WC-PropName</v>
      </c>
      <c r="D294" s="208"/>
      <c r="E294" s="209">
        <f>VLOOKUP($B294,'2017'!$A$5:$Q$1425,COUNTA(Upload!$E$3:E$3)+2,FALSE)</f>
        <v>0</v>
      </c>
      <c r="F294" s="209">
        <f>VLOOKUP($B294,'2017'!$A$5:$Q$1425,COUNTA(Upload!$E$3:F$3)+2,FALSE)</f>
        <v>0</v>
      </c>
      <c r="G294" s="209">
        <f>VLOOKUP($B294,'2017'!$A$5:$Q$1425,COUNTA(Upload!$E$3:G$3)+2,FALSE)</f>
        <v>0</v>
      </c>
      <c r="H294" s="209">
        <f>VLOOKUP($B294,'2017'!$A$5:$Q$1425,COUNTA(Upload!$E$3:H$3)+2,FALSE)</f>
        <v>0</v>
      </c>
      <c r="I294" s="209">
        <f>VLOOKUP($B294,'2017'!$A$5:$Q$1425,COUNTA(Upload!$E$3:I$3)+2,FALSE)</f>
        <v>0</v>
      </c>
      <c r="J294" s="209">
        <f>VLOOKUP($B294,'2017'!$A$5:$Q$1425,COUNTA(Upload!$E$3:J$3)+2,FALSE)</f>
        <v>0</v>
      </c>
      <c r="K294" s="209">
        <f>VLOOKUP($B294,'2017'!$A$5:$Q$1425,COUNTA(Upload!$E$3:K$3)+2,FALSE)</f>
        <v>0</v>
      </c>
      <c r="L294" s="209">
        <f>VLOOKUP($B294,'2017'!$A$5:$Q$1425,COUNTA(Upload!$E$3:L$3)+2,FALSE)</f>
        <v>0</v>
      </c>
      <c r="M294" s="209">
        <f>VLOOKUP($B294,'2017'!$A$5:$Q$1425,COUNTA(Upload!$E$3:M$3)+2,FALSE)</f>
        <v>0</v>
      </c>
      <c r="N294" s="209">
        <f>VLOOKUP($B294,'2017'!$A$5:$Q$1425,COUNTA(Upload!$E$3:N$3)+2,FALSE)</f>
        <v>0</v>
      </c>
      <c r="O294" s="209">
        <f>VLOOKUP($B294,'2017'!$A$5:$Q$1425,COUNTA(Upload!$E$3:O$3)+2,FALSE)</f>
        <v>0</v>
      </c>
      <c r="P294" s="209">
        <f>VLOOKUP($B294,'2017'!$A$5:$Q$1425,COUNTA(Upload!$E$3:P$3)+2,FALSE)</f>
        <v>0</v>
      </c>
      <c r="S294" s="9"/>
      <c r="T294" s="161"/>
    </row>
    <row r="295" spans="1:20" s="118" customFormat="1" ht="10.5" customHeight="1">
      <c r="A295" s="207" t="s">
        <v>70</v>
      </c>
      <c r="B295" s="412" t="s">
        <v>1128</v>
      </c>
      <c r="C295" s="208" t="str">
        <f>+Setup!$B$21</f>
        <v>WC-PropName</v>
      </c>
      <c r="D295" s="208"/>
      <c r="E295" s="209">
        <f>VLOOKUP($B295,'2017'!$A$5:$Q$1425,COUNTA(Upload!$E$3:E$3)+2,FALSE)</f>
        <v>0</v>
      </c>
      <c r="F295" s="209">
        <f>VLOOKUP($B295,'2017'!$A$5:$Q$1425,COUNTA(Upload!$E$3:F$3)+2,FALSE)</f>
        <v>0</v>
      </c>
      <c r="G295" s="209">
        <f>VLOOKUP($B295,'2017'!$A$5:$Q$1425,COUNTA(Upload!$E$3:G$3)+2,FALSE)</f>
        <v>0</v>
      </c>
      <c r="H295" s="209">
        <f>VLOOKUP($B295,'2017'!$A$5:$Q$1425,COUNTA(Upload!$E$3:H$3)+2,FALSE)</f>
        <v>0</v>
      </c>
      <c r="I295" s="209">
        <f>VLOOKUP($B295,'2017'!$A$5:$Q$1425,COUNTA(Upload!$E$3:I$3)+2,FALSE)</f>
        <v>0</v>
      </c>
      <c r="J295" s="209">
        <f>VLOOKUP($B295,'2017'!$A$5:$Q$1425,COUNTA(Upload!$E$3:J$3)+2,FALSE)</f>
        <v>0</v>
      </c>
      <c r="K295" s="209">
        <f>VLOOKUP($B295,'2017'!$A$5:$Q$1425,COUNTA(Upload!$E$3:K$3)+2,FALSE)</f>
        <v>0</v>
      </c>
      <c r="L295" s="209">
        <f>VLOOKUP($B295,'2017'!$A$5:$Q$1425,COUNTA(Upload!$E$3:L$3)+2,FALSE)</f>
        <v>0</v>
      </c>
      <c r="M295" s="209">
        <f>VLOOKUP($B295,'2017'!$A$5:$Q$1425,COUNTA(Upload!$E$3:M$3)+2,FALSE)</f>
        <v>0</v>
      </c>
      <c r="N295" s="209">
        <f>VLOOKUP($B295,'2017'!$A$5:$Q$1425,COUNTA(Upload!$E$3:N$3)+2,FALSE)</f>
        <v>0</v>
      </c>
      <c r="O295" s="209">
        <f>VLOOKUP($B295,'2017'!$A$5:$Q$1425,COUNTA(Upload!$E$3:O$3)+2,FALSE)</f>
        <v>0</v>
      </c>
      <c r="P295" s="209">
        <f>VLOOKUP($B295,'2017'!$A$5:$Q$1425,COUNTA(Upload!$E$3:P$3)+2,FALSE)</f>
        <v>0</v>
      </c>
      <c r="T295" s="161"/>
    </row>
    <row r="296" spans="1:20" s="118" customFormat="1" ht="10.5" customHeight="1">
      <c r="A296" s="207" t="s">
        <v>70</v>
      </c>
      <c r="B296" s="412" t="s">
        <v>1129</v>
      </c>
      <c r="C296" s="208" t="str">
        <f>+Setup!$B$21</f>
        <v>WC-PropName</v>
      </c>
      <c r="D296" s="208"/>
      <c r="E296" s="209">
        <f>VLOOKUP($B296,'2017'!$A$5:$Q$1425,COUNTA(Upload!$E$3:E$3)+2,FALSE)</f>
        <v>0</v>
      </c>
      <c r="F296" s="209">
        <f>VLOOKUP($B296,'2017'!$A$5:$Q$1425,COUNTA(Upload!$E$3:F$3)+2,FALSE)</f>
        <v>0</v>
      </c>
      <c r="G296" s="209">
        <f>VLOOKUP($B296,'2017'!$A$5:$Q$1425,COUNTA(Upload!$E$3:G$3)+2,FALSE)</f>
        <v>0</v>
      </c>
      <c r="H296" s="209">
        <f>VLOOKUP($B296,'2017'!$A$5:$Q$1425,COUNTA(Upload!$E$3:H$3)+2,FALSE)</f>
        <v>0</v>
      </c>
      <c r="I296" s="209">
        <f>VLOOKUP($B296,'2017'!$A$5:$Q$1425,COUNTA(Upload!$E$3:I$3)+2,FALSE)</f>
        <v>0</v>
      </c>
      <c r="J296" s="209">
        <f>VLOOKUP($B296,'2017'!$A$5:$Q$1425,COUNTA(Upload!$E$3:J$3)+2,FALSE)</f>
        <v>0</v>
      </c>
      <c r="K296" s="209">
        <f>VLOOKUP($B296,'2017'!$A$5:$Q$1425,COUNTA(Upload!$E$3:K$3)+2,FALSE)</f>
        <v>0</v>
      </c>
      <c r="L296" s="209">
        <f>VLOOKUP($B296,'2017'!$A$5:$Q$1425,COUNTA(Upload!$E$3:L$3)+2,FALSE)</f>
        <v>0</v>
      </c>
      <c r="M296" s="209">
        <f>VLOOKUP($B296,'2017'!$A$5:$Q$1425,COUNTA(Upload!$E$3:M$3)+2,FALSE)</f>
        <v>0</v>
      </c>
      <c r="N296" s="209">
        <f>VLOOKUP($B296,'2017'!$A$5:$Q$1425,COUNTA(Upload!$E$3:N$3)+2,FALSE)</f>
        <v>0</v>
      </c>
      <c r="O296" s="209">
        <f>VLOOKUP($B296,'2017'!$A$5:$Q$1425,COUNTA(Upload!$E$3:O$3)+2,FALSE)</f>
        <v>0</v>
      </c>
      <c r="P296" s="209">
        <f>VLOOKUP($B296,'2017'!$A$5:$Q$1425,COUNTA(Upload!$E$3:P$3)+2,FALSE)</f>
        <v>0</v>
      </c>
      <c r="T296" s="161"/>
    </row>
    <row r="297" spans="1:20" s="118" customFormat="1" ht="10.5" customHeight="1">
      <c r="A297" s="207" t="s">
        <v>70</v>
      </c>
      <c r="B297" s="412" t="s">
        <v>1130</v>
      </c>
      <c r="C297" s="208" t="str">
        <f>+Setup!$B$21</f>
        <v>WC-PropName</v>
      </c>
      <c r="D297" s="208"/>
      <c r="E297" s="209">
        <f>VLOOKUP($B297,'2017'!$A$5:$Q$1425,COUNTA(Upload!$E$3:E$3)+2,FALSE)</f>
        <v>0</v>
      </c>
      <c r="F297" s="209">
        <f>VLOOKUP($B297,'2017'!$A$5:$Q$1425,COUNTA(Upload!$E$3:F$3)+2,FALSE)</f>
        <v>0</v>
      </c>
      <c r="G297" s="209">
        <f>VLOOKUP($B297,'2017'!$A$5:$Q$1425,COUNTA(Upload!$E$3:G$3)+2,FALSE)</f>
        <v>0</v>
      </c>
      <c r="H297" s="209">
        <f>VLOOKUP($B297,'2017'!$A$5:$Q$1425,COUNTA(Upload!$E$3:H$3)+2,FALSE)</f>
        <v>0</v>
      </c>
      <c r="I297" s="209">
        <f>VLOOKUP($B297,'2017'!$A$5:$Q$1425,COUNTA(Upload!$E$3:I$3)+2,FALSE)</f>
        <v>0</v>
      </c>
      <c r="J297" s="209">
        <f>VLOOKUP($B297,'2017'!$A$5:$Q$1425,COUNTA(Upload!$E$3:J$3)+2,FALSE)</f>
        <v>0</v>
      </c>
      <c r="K297" s="209">
        <f>VLOOKUP($B297,'2017'!$A$5:$Q$1425,COUNTA(Upload!$E$3:K$3)+2,FALSE)</f>
        <v>0</v>
      </c>
      <c r="L297" s="209">
        <f>VLOOKUP($B297,'2017'!$A$5:$Q$1425,COUNTA(Upload!$E$3:L$3)+2,FALSE)</f>
        <v>0</v>
      </c>
      <c r="M297" s="209">
        <f>VLOOKUP($B297,'2017'!$A$5:$Q$1425,COUNTA(Upload!$E$3:M$3)+2,FALSE)</f>
        <v>0</v>
      </c>
      <c r="N297" s="209">
        <f>VLOOKUP($B297,'2017'!$A$5:$Q$1425,COUNTA(Upload!$E$3:N$3)+2,FALSE)</f>
        <v>0</v>
      </c>
      <c r="O297" s="209">
        <f>VLOOKUP($B297,'2017'!$A$5:$Q$1425,COUNTA(Upload!$E$3:O$3)+2,FALSE)</f>
        <v>0</v>
      </c>
      <c r="P297" s="209">
        <f>VLOOKUP($B297,'2017'!$A$5:$Q$1425,COUNTA(Upload!$E$3:P$3)+2,FALSE)</f>
        <v>0</v>
      </c>
      <c r="T297" s="161"/>
    </row>
    <row r="298" spans="1:20" s="118" customFormat="1" ht="10.5" customHeight="1">
      <c r="A298" s="207" t="s">
        <v>70</v>
      </c>
      <c r="B298" s="412" t="s">
        <v>1131</v>
      </c>
      <c r="C298" s="208" t="str">
        <f>+Setup!$B$21</f>
        <v>WC-PropName</v>
      </c>
      <c r="D298" s="208"/>
      <c r="E298" s="209">
        <f>VLOOKUP($B298,'2017'!$A$5:$Q$1425,COUNTA(Upload!$E$3:E$3)+2,FALSE)</f>
        <v>0</v>
      </c>
      <c r="F298" s="209">
        <f>VLOOKUP($B298,'2017'!$A$5:$Q$1425,COUNTA(Upload!$E$3:F$3)+2,FALSE)</f>
        <v>0</v>
      </c>
      <c r="G298" s="209">
        <f>VLOOKUP($B298,'2017'!$A$5:$Q$1425,COUNTA(Upload!$E$3:G$3)+2,FALSE)</f>
        <v>0</v>
      </c>
      <c r="H298" s="209">
        <f>VLOOKUP($B298,'2017'!$A$5:$Q$1425,COUNTA(Upload!$E$3:H$3)+2,FALSE)</f>
        <v>0</v>
      </c>
      <c r="I298" s="209">
        <f>VLOOKUP($B298,'2017'!$A$5:$Q$1425,COUNTA(Upload!$E$3:I$3)+2,FALSE)</f>
        <v>0</v>
      </c>
      <c r="J298" s="209">
        <f>VLOOKUP($B298,'2017'!$A$5:$Q$1425,COUNTA(Upload!$E$3:J$3)+2,FALSE)</f>
        <v>0</v>
      </c>
      <c r="K298" s="209">
        <f>VLOOKUP($B298,'2017'!$A$5:$Q$1425,COUNTA(Upload!$E$3:K$3)+2,FALSE)</f>
        <v>0</v>
      </c>
      <c r="L298" s="209">
        <f>VLOOKUP($B298,'2017'!$A$5:$Q$1425,COUNTA(Upload!$E$3:L$3)+2,FALSE)</f>
        <v>0</v>
      </c>
      <c r="M298" s="209">
        <f>VLOOKUP($B298,'2017'!$A$5:$Q$1425,COUNTA(Upload!$E$3:M$3)+2,FALSE)</f>
        <v>0</v>
      </c>
      <c r="N298" s="209">
        <f>VLOOKUP($B298,'2017'!$A$5:$Q$1425,COUNTA(Upload!$E$3:N$3)+2,FALSE)</f>
        <v>0</v>
      </c>
      <c r="O298" s="209">
        <f>VLOOKUP($B298,'2017'!$A$5:$Q$1425,COUNTA(Upload!$E$3:O$3)+2,FALSE)</f>
        <v>0</v>
      </c>
      <c r="P298" s="209">
        <f>VLOOKUP($B298,'2017'!$A$5:$Q$1425,COUNTA(Upload!$E$3:P$3)+2,FALSE)</f>
        <v>0</v>
      </c>
      <c r="T298" s="161"/>
    </row>
    <row r="299" spans="1:20" s="118" customFormat="1" ht="10.5" customHeight="1">
      <c r="A299" s="207"/>
      <c r="B299" s="207"/>
      <c r="C299" s="208"/>
      <c r="D299" s="208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T299"/>
    </row>
    <row r="300" spans="1:20" s="118" customFormat="1" ht="10.5" customHeight="1">
      <c r="A300" s="207"/>
      <c r="B300"/>
      <c r="C300" s="208"/>
      <c r="D300" s="208"/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T300"/>
    </row>
    <row r="301" spans="1:20" s="118" customFormat="1" ht="10.5" customHeight="1">
      <c r="A301" s="207"/>
      <c r="B301"/>
      <c r="C301" s="208"/>
      <c r="D301" s="208"/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T301"/>
    </row>
    <row r="302" spans="1:20" s="118" customFormat="1" ht="10.5" customHeight="1">
      <c r="A302" s="207"/>
      <c r="B302"/>
      <c r="C302" s="208"/>
      <c r="D302" s="208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T302"/>
    </row>
    <row r="303" spans="1:20" s="118" customFormat="1" ht="10.5" customHeight="1">
      <c r="A303" s="207"/>
      <c r="B303"/>
      <c r="C303" s="208"/>
      <c r="D303" s="208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T303"/>
    </row>
    <row r="304" spans="1:20" s="118" customFormat="1" ht="10.5" customHeight="1">
      <c r="A304" s="207"/>
      <c r="B304"/>
      <c r="C304" s="208"/>
      <c r="D304" s="208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T304"/>
    </row>
    <row r="305" spans="1:20" s="118" customFormat="1" ht="10.5" customHeight="1">
      <c r="A305" s="207"/>
      <c r="B305"/>
      <c r="C305" s="208"/>
      <c r="D305" s="208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T305"/>
    </row>
    <row r="306" spans="1:20" s="118" customFormat="1" ht="10.5" customHeight="1">
      <c r="A306" s="207"/>
      <c r="B306"/>
      <c r="C306" s="208"/>
      <c r="D306" s="208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T306"/>
    </row>
    <row r="307" spans="1:20" s="118" customFormat="1" ht="10.5" customHeight="1">
      <c r="A307" s="207"/>
      <c r="B307"/>
      <c r="C307" s="208"/>
      <c r="D307" s="208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T307"/>
    </row>
    <row r="308" spans="1:20" s="118" customFormat="1" ht="10.5" customHeight="1">
      <c r="A308" s="207"/>
      <c r="B308"/>
      <c r="C308" s="208"/>
      <c r="D308" s="208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T308"/>
    </row>
    <row r="309" spans="1:20" s="118" customFormat="1" ht="10.5" customHeight="1">
      <c r="A309" s="207"/>
      <c r="B309"/>
      <c r="C309" s="208"/>
      <c r="D309" s="208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T309"/>
    </row>
    <row r="310" spans="1:20" s="118" customFormat="1" ht="10.5" customHeight="1">
      <c r="A310" s="207"/>
      <c r="B310"/>
      <c r="C310" s="208"/>
      <c r="D310" s="208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T310"/>
    </row>
    <row r="311" spans="1:20" s="118" customFormat="1" ht="10.5" customHeight="1">
      <c r="A311" s="207"/>
      <c r="B311"/>
      <c r="C311" s="208"/>
      <c r="D311" s="208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T311"/>
    </row>
    <row r="312" spans="1:20" s="118" customFormat="1" ht="10.5" customHeight="1">
      <c r="A312" s="207"/>
      <c r="B312"/>
      <c r="C312" s="208"/>
      <c r="D312" s="208"/>
      <c r="E312" s="209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09"/>
      <c r="T312"/>
    </row>
    <row r="313" spans="1:20" s="118" customFormat="1" ht="10.5" customHeight="1">
      <c r="A313" s="207"/>
      <c r="B313"/>
      <c r="C313" s="208"/>
      <c r="D313" s="208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T313"/>
    </row>
    <row r="314" spans="1:20" s="118" customFormat="1" ht="10.5" customHeight="1">
      <c r="A314" s="207"/>
      <c r="B314"/>
      <c r="C314" s="208"/>
      <c r="D314" s="208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T314"/>
    </row>
    <row r="315" spans="1:20" s="118" customFormat="1" ht="10.5" customHeight="1">
      <c r="A315" s="207"/>
      <c r="B315"/>
      <c r="C315" s="208"/>
      <c r="D315" s="208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T315"/>
    </row>
    <row r="316" spans="1:20" s="118" customFormat="1" ht="10.5" customHeight="1">
      <c r="A316" s="207"/>
      <c r="B316"/>
      <c r="C316" s="208"/>
      <c r="D316" s="208"/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T316"/>
    </row>
    <row r="317" spans="1:20" s="118" customFormat="1" ht="10.5" customHeight="1">
      <c r="A317" s="207"/>
      <c r="B317"/>
      <c r="C317" s="208"/>
      <c r="D317" s="208"/>
      <c r="E317" s="209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T317"/>
    </row>
    <row r="318" spans="1:20" s="118" customFormat="1" ht="10.5" customHeight="1">
      <c r="A318" s="207"/>
      <c r="B318"/>
      <c r="C318" s="208"/>
      <c r="D318" s="208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T318"/>
    </row>
    <row r="319" spans="1:20" s="118" customFormat="1" ht="10.5" customHeight="1">
      <c r="A319" s="207"/>
      <c r="B319"/>
      <c r="C319" s="208"/>
      <c r="D319" s="208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T319"/>
    </row>
    <row r="320" spans="1:20" s="118" customFormat="1" ht="10.5" customHeight="1">
      <c r="A320" s="207"/>
      <c r="B320"/>
      <c r="C320" s="208"/>
      <c r="D320" s="208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T320"/>
    </row>
    <row r="321" spans="1:20" s="118" customFormat="1" ht="10.5" customHeight="1">
      <c r="A321" s="207"/>
      <c r="B321"/>
      <c r="C321" s="208"/>
      <c r="D321" s="208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T321"/>
    </row>
    <row r="322" spans="1:20" s="118" customFormat="1" ht="10.5" customHeight="1">
      <c r="A322" s="207"/>
      <c r="B322"/>
      <c r="C322" s="208"/>
      <c r="D322" s="208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T322"/>
    </row>
    <row r="323" spans="1:20" s="118" customFormat="1" ht="10.5" customHeight="1">
      <c r="A323" s="207"/>
      <c r="B323"/>
      <c r="C323" s="208"/>
      <c r="D323" s="208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T323"/>
    </row>
    <row r="324" spans="1:20" s="118" customFormat="1" ht="10.5" customHeight="1">
      <c r="A324" s="207"/>
      <c r="B324"/>
      <c r="C324" s="208"/>
      <c r="D324" s="208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T324"/>
    </row>
    <row r="325" spans="1:20" s="118" customFormat="1" ht="10.5" customHeight="1">
      <c r="A325" s="207"/>
      <c r="B325"/>
      <c r="C325" s="208"/>
      <c r="D325" s="208"/>
      <c r="E325" s="209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T325"/>
    </row>
    <row r="326" spans="1:20" s="118" customFormat="1" ht="10.5" customHeight="1">
      <c r="A326" s="207"/>
      <c r="B326"/>
      <c r="C326" s="208"/>
      <c r="D326" s="208"/>
      <c r="E326" s="209"/>
      <c r="F326" s="209"/>
      <c r="G326" s="209"/>
      <c r="H326" s="209"/>
      <c r="I326" s="209"/>
      <c r="J326" s="209"/>
      <c r="K326" s="209"/>
      <c r="L326" s="209"/>
      <c r="M326" s="209"/>
      <c r="N326" s="209"/>
      <c r="O326" s="209"/>
      <c r="P326" s="209"/>
      <c r="T326"/>
    </row>
    <row r="327" spans="1:20" s="118" customFormat="1" ht="10.5" customHeight="1">
      <c r="A327" s="207"/>
      <c r="B327"/>
      <c r="C327" s="208"/>
      <c r="D327" s="208"/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T327"/>
    </row>
    <row r="328" spans="1:20" s="118" customFormat="1" ht="10.5" customHeight="1">
      <c r="A328" s="207"/>
      <c r="B328"/>
      <c r="C328" s="208"/>
      <c r="D328" s="208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T328"/>
    </row>
    <row r="329" spans="1:20" s="118" customFormat="1" ht="10.5" customHeight="1">
      <c r="A329" s="207"/>
      <c r="B329"/>
      <c r="C329" s="208"/>
      <c r="D329" s="208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T329"/>
    </row>
    <row r="330" spans="1:20" s="118" customFormat="1" ht="10.5" customHeight="1">
      <c r="A330" s="207"/>
      <c r="B330"/>
      <c r="C330" s="208"/>
      <c r="D330" s="208"/>
      <c r="E330" s="209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T330"/>
    </row>
    <row r="331" spans="1:20" s="118" customFormat="1" ht="10.5" customHeight="1">
      <c r="A331" s="207"/>
      <c r="B331"/>
      <c r="C331" s="208"/>
      <c r="D331" s="208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T331"/>
    </row>
    <row r="332" spans="1:20" s="118" customFormat="1" ht="10.5" customHeight="1">
      <c r="A332" s="207"/>
      <c r="B332"/>
      <c r="C332" s="208"/>
      <c r="D332" s="208"/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T332"/>
    </row>
    <row r="333" spans="1:20" s="118" customFormat="1" ht="10.5" customHeight="1">
      <c r="A333" s="207"/>
      <c r="B333"/>
      <c r="C333" s="208"/>
      <c r="D333" s="208"/>
      <c r="E333" s="209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T333"/>
    </row>
    <row r="334" spans="1:20" s="118" customFormat="1" ht="10.5" customHeight="1">
      <c r="A334" s="207"/>
      <c r="B334"/>
      <c r="C334" s="208"/>
      <c r="D334" s="208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T334"/>
    </row>
    <row r="335" spans="1:20" s="118" customFormat="1" ht="10.5" customHeight="1">
      <c r="A335" s="207"/>
      <c r="B335"/>
      <c r="C335" s="208"/>
      <c r="D335" s="208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T335"/>
    </row>
    <row r="336" spans="1:20" s="118" customFormat="1" ht="10.5" customHeight="1">
      <c r="A336" s="207"/>
      <c r="B336"/>
      <c r="C336" s="208"/>
      <c r="D336" s="208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T336"/>
    </row>
    <row r="337" spans="1:20" s="118" customFormat="1" ht="10.5" customHeight="1">
      <c r="A337" s="207"/>
      <c r="B337"/>
      <c r="C337" s="208"/>
      <c r="D337" s="208"/>
      <c r="E337" s="209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T337"/>
    </row>
    <row r="338" spans="1:20" s="118" customFormat="1" ht="10.5" customHeight="1">
      <c r="A338" s="207"/>
      <c r="B338"/>
      <c r="C338" s="208"/>
      <c r="D338" s="208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T338"/>
    </row>
    <row r="339" spans="1:20" s="118" customFormat="1" ht="10.5" customHeight="1">
      <c r="A339" s="207"/>
      <c r="B339"/>
      <c r="C339" s="208"/>
      <c r="D339" s="208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T339"/>
    </row>
    <row r="340" spans="1:20">
      <c r="B340"/>
      <c r="S340" s="118"/>
      <c r="T340"/>
    </row>
    <row r="341" spans="1:20">
      <c r="B341"/>
      <c r="S341" s="118"/>
      <c r="T341"/>
    </row>
    <row r="342" spans="1:20">
      <c r="B342"/>
      <c r="S342" s="118"/>
      <c r="T342"/>
    </row>
    <row r="343" spans="1:20">
      <c r="B343"/>
      <c r="S343" s="118"/>
      <c r="T343"/>
    </row>
    <row r="344" spans="1:20">
      <c r="B344"/>
      <c r="S344" s="118"/>
      <c r="T344"/>
    </row>
    <row r="345" spans="1:20">
      <c r="B345"/>
      <c r="S345" s="118"/>
      <c r="T345"/>
    </row>
    <row r="346" spans="1:20">
      <c r="B346"/>
      <c r="S346" s="118"/>
      <c r="T346"/>
    </row>
    <row r="347" spans="1:20">
      <c r="B347"/>
      <c r="S347" s="118"/>
      <c r="T347"/>
    </row>
    <row r="348" spans="1:20">
      <c r="B348"/>
      <c r="S348" s="118"/>
      <c r="T348"/>
    </row>
    <row r="349" spans="1:20">
      <c r="B349"/>
      <c r="S349" s="118"/>
      <c r="T349"/>
    </row>
    <row r="350" spans="1:20">
      <c r="B350"/>
      <c r="S350" s="118"/>
      <c r="T350"/>
    </row>
    <row r="351" spans="1:20">
      <c r="B351"/>
      <c r="S351" s="118"/>
      <c r="T351"/>
    </row>
    <row r="352" spans="1:20">
      <c r="B352"/>
      <c r="S352" s="118"/>
      <c r="T352"/>
    </row>
    <row r="353" spans="2:20">
      <c r="B353"/>
      <c r="S353" s="118"/>
      <c r="T353"/>
    </row>
    <row r="354" spans="2:20">
      <c r="B354"/>
      <c r="S354" s="118"/>
      <c r="T354"/>
    </row>
    <row r="355" spans="2:20">
      <c r="B355"/>
      <c r="S355" s="118"/>
      <c r="T355"/>
    </row>
    <row r="356" spans="2:20">
      <c r="B356"/>
      <c r="S356" s="118"/>
      <c r="T356"/>
    </row>
    <row r="357" spans="2:20">
      <c r="B357"/>
      <c r="S357" s="118"/>
      <c r="T357"/>
    </row>
    <row r="358" spans="2:20">
      <c r="B358"/>
      <c r="S358" s="118"/>
      <c r="T358"/>
    </row>
    <row r="359" spans="2:20">
      <c r="B359"/>
      <c r="S359" s="118"/>
      <c r="T359"/>
    </row>
    <row r="360" spans="2:20">
      <c r="B360"/>
      <c r="S360" s="118"/>
      <c r="T360"/>
    </row>
    <row r="361" spans="2:20">
      <c r="B361"/>
      <c r="S361" s="118"/>
      <c r="T361"/>
    </row>
    <row r="362" spans="2:20">
      <c r="B362"/>
      <c r="S362" s="118"/>
      <c r="T362"/>
    </row>
    <row r="363" spans="2:20">
      <c r="B363"/>
      <c r="S363" s="118"/>
      <c r="T363"/>
    </row>
    <row r="364" spans="2:20">
      <c r="B364"/>
      <c r="S364" s="118"/>
      <c r="T364"/>
    </row>
    <row r="365" spans="2:20">
      <c r="B365"/>
      <c r="S365" s="118"/>
      <c r="T365"/>
    </row>
    <row r="366" spans="2:20">
      <c r="B366"/>
      <c r="S366" s="118"/>
      <c r="T366"/>
    </row>
    <row r="367" spans="2:20">
      <c r="B367"/>
      <c r="S367" s="118"/>
      <c r="T367"/>
    </row>
    <row r="368" spans="2:20">
      <c r="B368"/>
      <c r="S368" s="118"/>
      <c r="T368"/>
    </row>
    <row r="369" spans="2:20">
      <c r="B369"/>
      <c r="S369" s="118"/>
      <c r="T369"/>
    </row>
    <row r="370" spans="2:20">
      <c r="B370"/>
      <c r="S370" s="118"/>
      <c r="T370"/>
    </row>
    <row r="371" spans="2:20">
      <c r="B371"/>
      <c r="S371" s="118"/>
      <c r="T371"/>
    </row>
    <row r="372" spans="2:20">
      <c r="B372"/>
      <c r="S372" s="118"/>
      <c r="T372"/>
    </row>
    <row r="373" spans="2:20">
      <c r="B373"/>
      <c r="S373" s="118"/>
      <c r="T373"/>
    </row>
    <row r="374" spans="2:20">
      <c r="B374"/>
      <c r="S374" s="118"/>
      <c r="T374"/>
    </row>
    <row r="375" spans="2:20">
      <c r="B375"/>
      <c r="S375" s="118"/>
      <c r="T375"/>
    </row>
    <row r="376" spans="2:20">
      <c r="B376"/>
      <c r="S376" s="118"/>
      <c r="T376"/>
    </row>
    <row r="377" spans="2:20">
      <c r="B377"/>
      <c r="S377" s="118"/>
      <c r="T377"/>
    </row>
    <row r="378" spans="2:20">
      <c r="B378"/>
      <c r="S378" s="118"/>
      <c r="T378"/>
    </row>
    <row r="379" spans="2:20">
      <c r="B379"/>
      <c r="S379" s="118"/>
      <c r="T379"/>
    </row>
    <row r="380" spans="2:20">
      <c r="B380"/>
      <c r="S380" s="118"/>
      <c r="T380"/>
    </row>
    <row r="381" spans="2:20">
      <c r="B381"/>
      <c r="S381" s="118"/>
      <c r="T381"/>
    </row>
    <row r="382" spans="2:20">
      <c r="B382"/>
      <c r="S382" s="118"/>
      <c r="T382"/>
    </row>
    <row r="383" spans="2:20">
      <c r="B383"/>
      <c r="S383" s="118"/>
      <c r="T383"/>
    </row>
    <row r="384" spans="2:20">
      <c r="B384"/>
      <c r="S384" s="118"/>
      <c r="T384"/>
    </row>
    <row r="385" spans="2:20">
      <c r="B385"/>
      <c r="S385" s="118"/>
      <c r="T385"/>
    </row>
    <row r="386" spans="2:20">
      <c r="B386"/>
      <c r="S386" s="118"/>
      <c r="T386"/>
    </row>
    <row r="387" spans="2:20">
      <c r="B387"/>
      <c r="S387" s="118"/>
      <c r="T387"/>
    </row>
    <row r="388" spans="2:20">
      <c r="B388"/>
      <c r="S388" s="118"/>
      <c r="T388"/>
    </row>
    <row r="389" spans="2:20">
      <c r="B389"/>
      <c r="S389" s="118"/>
      <c r="T389"/>
    </row>
    <row r="390" spans="2:20">
      <c r="B390"/>
      <c r="S390" s="118"/>
      <c r="T390"/>
    </row>
    <row r="391" spans="2:20">
      <c r="B391"/>
      <c r="S391" s="118"/>
      <c r="T391"/>
    </row>
    <row r="392" spans="2:20">
      <c r="B392"/>
      <c r="S392" s="118"/>
      <c r="T392"/>
    </row>
    <row r="393" spans="2:20">
      <c r="B393"/>
      <c r="S393" s="118"/>
      <c r="T393"/>
    </row>
    <row r="394" spans="2:20">
      <c r="B394"/>
      <c r="S394" s="118"/>
      <c r="T394"/>
    </row>
    <row r="395" spans="2:20">
      <c r="B395"/>
      <c r="S395" s="118"/>
      <c r="T395"/>
    </row>
    <row r="396" spans="2:20">
      <c r="B396"/>
      <c r="S396" s="118"/>
      <c r="T396"/>
    </row>
    <row r="397" spans="2:20">
      <c r="B397"/>
      <c r="S397" s="118"/>
      <c r="T397"/>
    </row>
    <row r="398" spans="2:20">
      <c r="B398"/>
      <c r="S398" s="118"/>
      <c r="T398"/>
    </row>
    <row r="399" spans="2:20">
      <c r="B399"/>
      <c r="S399" s="118"/>
      <c r="T399"/>
    </row>
    <row r="400" spans="2:20">
      <c r="B400"/>
      <c r="S400" s="118"/>
      <c r="T400"/>
    </row>
    <row r="401" spans="2:20">
      <c r="B401"/>
      <c r="S401" s="118"/>
      <c r="T401"/>
    </row>
    <row r="402" spans="2:20">
      <c r="B402"/>
      <c r="S402" s="118"/>
      <c r="T402"/>
    </row>
    <row r="403" spans="2:20">
      <c r="B403"/>
      <c r="S403" s="118"/>
      <c r="T403"/>
    </row>
    <row r="404" spans="2:20">
      <c r="B404"/>
      <c r="S404" s="118"/>
      <c r="T404"/>
    </row>
    <row r="405" spans="2:20">
      <c r="B405"/>
      <c r="S405" s="118"/>
      <c r="T405"/>
    </row>
    <row r="406" spans="2:20">
      <c r="B406"/>
      <c r="S406" s="118"/>
      <c r="T406"/>
    </row>
    <row r="407" spans="2:20">
      <c r="B407"/>
      <c r="S407" s="118"/>
      <c r="T407"/>
    </row>
    <row r="408" spans="2:20">
      <c r="B408"/>
      <c r="S408" s="118"/>
      <c r="T408"/>
    </row>
    <row r="409" spans="2:20">
      <c r="B409"/>
      <c r="S409" s="118"/>
      <c r="T409"/>
    </row>
    <row r="410" spans="2:20">
      <c r="B410"/>
      <c r="S410" s="118"/>
      <c r="T410"/>
    </row>
    <row r="411" spans="2:20">
      <c r="B411"/>
      <c r="S411" s="118"/>
      <c r="T411"/>
    </row>
    <row r="412" spans="2:20">
      <c r="B412"/>
      <c r="S412" s="118"/>
      <c r="T412"/>
    </row>
    <row r="413" spans="2:20">
      <c r="B413"/>
      <c r="S413" s="118"/>
      <c r="T413"/>
    </row>
    <row r="414" spans="2:20">
      <c r="B414"/>
      <c r="S414" s="118"/>
      <c r="T414"/>
    </row>
    <row r="415" spans="2:20">
      <c r="B415"/>
      <c r="S415" s="118"/>
      <c r="T415"/>
    </row>
    <row r="416" spans="2:20">
      <c r="B416"/>
      <c r="S416" s="118"/>
      <c r="T416"/>
    </row>
    <row r="417" spans="2:20">
      <c r="B417"/>
      <c r="S417" s="118"/>
      <c r="T417"/>
    </row>
    <row r="418" spans="2:20">
      <c r="B418"/>
      <c r="T418"/>
    </row>
    <row r="419" spans="2:20">
      <c r="B419"/>
      <c r="T419"/>
    </row>
    <row r="420" spans="2:20">
      <c r="B420"/>
      <c r="T420"/>
    </row>
    <row r="421" spans="2:20">
      <c r="B421"/>
      <c r="T421"/>
    </row>
    <row r="422" spans="2:20">
      <c r="B422"/>
      <c r="T422"/>
    </row>
    <row r="423" spans="2:20">
      <c r="B423"/>
      <c r="T423"/>
    </row>
    <row r="424" spans="2:20">
      <c r="B424"/>
      <c r="T424"/>
    </row>
    <row r="425" spans="2:20">
      <c r="B425"/>
      <c r="T425"/>
    </row>
    <row r="426" spans="2:20">
      <c r="B426"/>
      <c r="T426"/>
    </row>
    <row r="427" spans="2:20">
      <c r="B427"/>
      <c r="T427"/>
    </row>
    <row r="428" spans="2:20">
      <c r="B428"/>
      <c r="T428"/>
    </row>
    <row r="429" spans="2:20">
      <c r="B429"/>
      <c r="T429"/>
    </row>
    <row r="430" spans="2:20">
      <c r="B430"/>
      <c r="T430"/>
    </row>
    <row r="431" spans="2:20">
      <c r="T431"/>
    </row>
  </sheetData>
  <sortState ref="A135:T150">
    <sortCondition ref="B135:B150"/>
  </sortState>
  <phoneticPr fontId="18" type="noConversion"/>
  <conditionalFormatting sqref="T5:T298">
    <cfRule type="expression" dxfId="1" priority="5">
      <formula>+S9="x"</formula>
    </cfRule>
  </conditionalFormatting>
  <conditionalFormatting sqref="T5:T298">
    <cfRule type="expression" dxfId="0" priority="1" stopIfTrue="1">
      <formula>#REF!</formula>
    </cfRule>
  </conditionalFormatting>
  <printOptions gridLines="1"/>
  <pageMargins left="0.7" right="0.7" top="0.25" bottom="0.25" header="0.3" footer="0.3"/>
  <pageSetup scale="82" fitToHeight="5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Help</vt:lpstr>
      <vt:lpstr>Setup</vt:lpstr>
      <vt:lpstr>Input</vt:lpstr>
      <vt:lpstr>Summary</vt:lpstr>
      <vt:lpstr>2017</vt:lpstr>
      <vt:lpstr>2016</vt:lpstr>
      <vt:lpstr>2015</vt:lpstr>
      <vt:lpstr>Graphs</vt:lpstr>
      <vt:lpstr>Upload</vt:lpstr>
      <vt:lpstr>Sheet1</vt:lpstr>
      <vt:lpstr>Expirations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SSeegmiller</dc:creator>
  <cp:lastModifiedBy>Mike Ballard</cp:lastModifiedBy>
  <cp:lastPrinted>2016-10-15T15:58:36Z</cp:lastPrinted>
  <dcterms:created xsi:type="dcterms:W3CDTF">2008-08-25T23:41:47Z</dcterms:created>
  <dcterms:modified xsi:type="dcterms:W3CDTF">2017-09-20T16:03:47Z</dcterms:modified>
</cp:coreProperties>
</file>