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5"/>
  <workbookPr defaultThemeVersion="124226"/>
  <mc:AlternateContent xmlns:mc="http://schemas.openxmlformats.org/markup-compatibility/2006">
    <mc:Choice Requires="x15">
      <x15ac:absPath xmlns:x15ac="http://schemas.microsoft.com/office/spreadsheetml/2010/11/ac" url="C:\Users\damie\Downloads\"/>
    </mc:Choice>
  </mc:AlternateContent>
  <xr:revisionPtr revIDLastSave="0" documentId="13_ncr:1_{B466C307-A3AC-4DDB-ABAD-83A2801E42FF}" xr6:coauthVersionLast="47" xr6:coauthVersionMax="47" xr10:uidLastSave="{00000000-0000-0000-0000-000000000000}"/>
  <bookViews>
    <workbookView xWindow="-108" yWindow="-108" windowWidth="23256" windowHeight="13896" xr2:uid="{00000000-000D-0000-FFFF-FFFF00000000}"/>
  </bookViews>
  <sheets>
    <sheet name="FR" sheetId="7" r:id="rId1"/>
    <sheet name="Sheet1" sheetId="8" state="hidden" r:id="rId2"/>
  </sheets>
  <definedNames>
    <definedName name="_xlnm.Print_Area" localSheetId="0">FR!$A$1:$L$82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83" i="7" l="1"/>
  <c r="D84" i="7" s="1"/>
  <c r="K47" i="7" s="1"/>
  <c r="F8" i="7"/>
  <c r="J58" i="7" s="1"/>
  <c r="G57" i="7"/>
  <c r="G58" i="7" s="1"/>
  <c r="F9" i="7"/>
  <c r="D90" i="7"/>
  <c r="D92" i="7" s="1"/>
  <c r="K54" i="7" s="1"/>
  <c r="G77" i="7"/>
  <c r="D89" i="7"/>
  <c r="K42" i="7"/>
  <c r="K55" i="7"/>
  <c r="K19" i="7"/>
  <c r="K27" i="7"/>
  <c r="H58" i="7"/>
  <c r="K33" i="7"/>
  <c r="K29" i="7"/>
  <c r="D9" i="7"/>
  <c r="D8" i="7"/>
  <c r="F11" i="7"/>
  <c r="F58" i="7" l="1"/>
  <c r="I58" i="7" s="1"/>
  <c r="K31" i="7"/>
  <c r="K37" i="7" s="1"/>
  <c r="D86" i="7"/>
  <c r="K49" i="7" s="1"/>
  <c r="K58" i="7"/>
  <c r="K32" i="7" s="1"/>
  <c r="K40" i="7" l="1"/>
  <c r="D85" i="7" s="1"/>
  <c r="D87" i="7" s="1"/>
  <c r="D88" i="7" s="1"/>
  <c r="K52" i="7" s="1"/>
  <c r="G76" i="7"/>
  <c r="K41" i="7"/>
  <c r="G59" i="7"/>
  <c r="K6" i="7" s="1"/>
  <c r="K28" i="7"/>
  <c r="G73" i="7"/>
  <c r="K38" i="7"/>
  <c r="G61" i="7" l="1"/>
  <c r="G75" i="7" s="1"/>
  <c r="G63" i="7"/>
  <c r="G67" i="7" s="1"/>
  <c r="K8" i="7" l="1"/>
  <c r="I22" i="7" s="1"/>
  <c r="H57" i="7"/>
  <c r="G72" i="7" s="1"/>
  <c r="F67" i="7"/>
  <c r="G71" i="7"/>
  <c r="F71" i="7" s="1"/>
  <c r="F66" i="7" l="1"/>
  <c r="K11" i="7"/>
  <c r="G66" i="7"/>
  <c r="J11" i="7"/>
  <c r="K24" i="7" s="1"/>
  <c r="K51" i="7" s="1"/>
  <c r="K53" i="7" s="1"/>
</calcChain>
</file>

<file path=xl/sharedStrings.xml><?xml version="1.0" encoding="utf-8"?>
<sst xmlns="http://schemas.openxmlformats.org/spreadsheetml/2006/main" count="106" uniqueCount="98">
  <si>
    <t>Disclaimer</t>
  </si>
  <si>
    <t xml:space="preserve">La présente simulation ne vise à fournir qu'une première estimation, à titre purement indicatif, de la capacité en investissement en Tax Shelter suivant l'article 194ter du Code des impôts sur les revenus ("CIR").
Le simulateur se réfère à différentes rubriques telles que définies dans le bilan BNB et la déclaration ISOC pour les exercices concernés. Il est recommandé aux investisseurs de faire valider le résultat du présent simulateur par leurs conseillers fiscaux et comptables, compte-tenu de leur situation particulière. 
EXERCICE D'IMPOSITION 2022 ET 2023
</t>
  </si>
  <si>
    <t>Contexte</t>
  </si>
  <si>
    <t xml:space="preserve">Un investissement Tax Shelter diminue la base imposable de 421% du montant investi et de facto l’impôt dû par une société réalisant un tel investissement. Il a donc une incidence directe sur le montant des versements anticipés à réaliser. Plus l’investissement Tax Shelter est important, moins l’investisseur devra réaliser de versements anticipés. Et plus la personne morale optimalise son bénéfice. 
Il y a donc un intérêt financier pour l'investisseur à effectuer un investissement en Tax Shelter au même moment qu'il effectue ses versements anticipés. Plus ces 2 opérations se font tôt dans l’année, plus le concept est avantageux compte tenu de l’effet dégressif de la bonification pour versement anticipé (en 2022 - Q 1 : 9%, Q2 : 7,50 ; Q3 : 6% ; Q4 : 4,50%).  </t>
  </si>
  <si>
    <t xml:space="preserve">  → Zones à compléter.</t>
  </si>
  <si>
    <t>9903 Bénéfice comptable avant impôts</t>
  </si>
  <si>
    <t>oui</t>
  </si>
  <si>
    <t>Résultat optimal:</t>
  </si>
  <si>
    <t>La société est-elle une PME au regard de la loi ?</t>
  </si>
  <si>
    <t>non</t>
  </si>
  <si>
    <t>►Exonération fiscale maximum</t>
  </si>
  <si>
    <t>Taux d'imposition</t>
  </si>
  <si>
    <t xml:space="preserve">►Investissement Tax Shelter Optimal </t>
  </si>
  <si>
    <r>
      <t xml:space="preserve">     </t>
    </r>
    <r>
      <rPr>
        <sz val="18"/>
        <color indexed="8"/>
        <rFont val="Arial Narrow"/>
        <family val="2"/>
      </rPr>
      <t xml:space="preserve"> (max. absolu : 475.059 €)</t>
    </r>
  </si>
  <si>
    <t>Eligibilité de l'investisseur</t>
  </si>
  <si>
    <t>►Rendement Net Opération Tax Shelter</t>
  </si>
  <si>
    <t>695 Distribution de Tantièmes</t>
  </si>
  <si>
    <t>789 Prélèvements sur réserves exonérées</t>
  </si>
  <si>
    <t>689 Transferts comptables exonérés</t>
  </si>
  <si>
    <t>Variations des réserves imposables sur l'exercice</t>
  </si>
  <si>
    <t>Choix de l'Investisseur:</t>
  </si>
  <si>
    <t>1009 Provisions imposables</t>
  </si>
  <si>
    <t>1020 Réductions de valeur imposables</t>
  </si>
  <si>
    <t xml:space="preserve">►Exonération fiscale </t>
  </si>
  <si>
    <t>1021 Excédents d'amortissements</t>
  </si>
  <si>
    <t>1022 Autres sous-évaluations d'actif</t>
  </si>
  <si>
    <t xml:space="preserve">►Investissement Tax Shelter </t>
  </si>
  <si>
    <t>1023 Surestimations du passif</t>
  </si>
  <si>
    <t xml:space="preserve">      Maximum autorisé: </t>
  </si>
  <si>
    <t>1010 Autres réserves figurant au bilan</t>
  </si>
  <si>
    <t>1011 Autres réserves imposables</t>
  </si>
  <si>
    <t>Majorations de la situation de début des réserves</t>
  </si>
  <si>
    <t>1051 Plus-values sur actions</t>
  </si>
  <si>
    <r>
      <t xml:space="preserve">Bénéfice comptable </t>
    </r>
    <r>
      <rPr>
        <b/>
        <sz val="18"/>
        <color rgb="FFFF0000"/>
        <rFont val="Arial Narrow"/>
        <family val="2"/>
      </rPr>
      <t>sans</t>
    </r>
    <r>
      <rPr>
        <b/>
        <sz val="18"/>
        <rFont val="Arial Narrow"/>
        <family val="2"/>
      </rPr>
      <t xml:space="preserve"> Tax Shelter</t>
    </r>
  </si>
  <si>
    <t>1052 Reprises RDV sur actions</t>
  </si>
  <si>
    <t>Montant impôt à payer (réduit / normal)</t>
  </si>
  <si>
    <t>1053 Exonération définitive tax shelter audiovisuel</t>
  </si>
  <si>
    <t>(cotisation sur RL)</t>
  </si>
  <si>
    <t>1059 Exonération définitive tax shelter scénique</t>
  </si>
  <si>
    <t>1054 Exonération primes et subsides régionaux</t>
  </si>
  <si>
    <r>
      <t xml:space="preserve">Bénéfice comptable </t>
    </r>
    <r>
      <rPr>
        <b/>
        <sz val="18"/>
        <color rgb="FFFF0000"/>
        <rFont val="Arial Narrow"/>
        <family val="2"/>
      </rPr>
      <t>avec</t>
    </r>
    <r>
      <rPr>
        <b/>
        <sz val="18"/>
        <rFont val="Arial Narrow"/>
        <family val="2"/>
      </rPr>
      <t xml:space="preserve"> Tax Shelter</t>
    </r>
  </si>
  <si>
    <t>1058 Exonération définitive pour revenus de l'innovation</t>
  </si>
  <si>
    <t>1055 Exonération plan de réorganisation</t>
  </si>
  <si>
    <t>1056 Autres</t>
  </si>
  <si>
    <t>1061 Diminuations des réserves</t>
  </si>
  <si>
    <t>1240 Dépenses non admises (hors impôts de la période)</t>
  </si>
  <si>
    <r>
      <t xml:space="preserve">►Solde VAI </t>
    </r>
    <r>
      <rPr>
        <b/>
        <sz val="18"/>
        <color rgb="FFFF0000"/>
        <rFont val="Arial Narrow"/>
        <family val="2"/>
      </rPr>
      <t>avec</t>
    </r>
    <r>
      <rPr>
        <b/>
        <sz val="18"/>
        <rFont val="Arial Narrow"/>
        <family val="2"/>
      </rPr>
      <t xml:space="preserve"> une opération Tax Shelter </t>
    </r>
  </si>
  <si>
    <t>1201 Régularisations d'impôts</t>
  </si>
  <si>
    <r>
      <t xml:space="preserve">►Solde VAI </t>
    </r>
    <r>
      <rPr>
        <b/>
        <sz val="18"/>
        <color rgb="FFFF0000"/>
        <rFont val="Arial Narrow"/>
        <family val="2"/>
      </rPr>
      <t>sans</t>
    </r>
    <r>
      <rPr>
        <b/>
        <sz val="18"/>
        <rFont val="Arial Narrow"/>
        <family val="2"/>
      </rPr>
      <t xml:space="preserve"> Tax Shelter </t>
    </r>
  </si>
  <si>
    <t>1320 Dividendes</t>
  </si>
  <si>
    <t>1012 Réserve de liquidation (nette / hors cotisation distincte)</t>
  </si>
  <si>
    <r>
      <t xml:space="preserve">►Majoration </t>
    </r>
    <r>
      <rPr>
        <b/>
        <sz val="18"/>
        <color rgb="FFFF0000"/>
        <rFont val="Arial Narrow"/>
        <family val="2"/>
      </rPr>
      <t>avec</t>
    </r>
    <r>
      <rPr>
        <b/>
        <sz val="18"/>
        <rFont val="Arial Narrow"/>
        <family val="2"/>
      </rPr>
      <t xml:space="preserve"> une opération Tax Shelter</t>
    </r>
  </si>
  <si>
    <r>
      <t xml:space="preserve">►Majoration </t>
    </r>
    <r>
      <rPr>
        <b/>
        <sz val="18"/>
        <color rgb="FFFF0000"/>
        <rFont val="Arial Narrow"/>
        <family val="2"/>
      </rPr>
      <t>sans</t>
    </r>
    <r>
      <rPr>
        <b/>
        <sz val="18"/>
        <rFont val="Arial Narrow"/>
        <family val="2"/>
      </rPr>
      <t xml:space="preserve"> Tax Shelter</t>
    </r>
  </si>
  <si>
    <t>Déductions fiscales</t>
  </si>
  <si>
    <t>►Bonification</t>
  </si>
  <si>
    <t>1432 Eléments non imposables</t>
  </si>
  <si>
    <t>1433 RDT</t>
  </si>
  <si>
    <t>1434 Déductions pour revenus de brevets</t>
  </si>
  <si>
    <t>1439 Déductions pour revenus de l'innovation</t>
  </si>
  <si>
    <t xml:space="preserve">►Rentabilité fiscale net de l'investissement </t>
  </si>
  <si>
    <t>1435 Déductions pour capital à risque</t>
  </si>
  <si>
    <t>1436 Pertes antérieures</t>
  </si>
  <si>
    <t xml:space="preserve">►Rentabilité financière net de l'investissement </t>
  </si>
  <si>
    <t>1437 Déduction pour investissement</t>
  </si>
  <si>
    <t>(prime financière)</t>
  </si>
  <si>
    <t xml:space="preserve">►Rentabilité totale net de l'investissement </t>
  </si>
  <si>
    <t>Versements anticipés</t>
  </si>
  <si>
    <t>VA 1</t>
  </si>
  <si>
    <t>►Rentabilité totale net avec effet sur majoration</t>
  </si>
  <si>
    <t>VA 2</t>
  </si>
  <si>
    <t>(effet sur la majoration de 6,75%)</t>
  </si>
  <si>
    <t>VA 3</t>
  </si>
  <si>
    <r>
      <t xml:space="preserve">►Rentabilité totale des </t>
    </r>
    <r>
      <rPr>
        <b/>
        <u/>
        <sz val="18"/>
        <rFont val="Arial Narrow"/>
        <family val="2"/>
      </rPr>
      <t>versements anticipés</t>
    </r>
  </si>
  <si>
    <t>VA 4</t>
  </si>
  <si>
    <t>(effet sur bonification)</t>
  </si>
  <si>
    <t>Bénéfice comptable</t>
  </si>
  <si>
    <t>(4) Montant impôt à payer (réduit / normal / cotisation sur RL)</t>
  </si>
  <si>
    <t>(5) Bénéfice réservé imposable</t>
  </si>
  <si>
    <t>=</t>
  </si>
  <si>
    <r>
      <t xml:space="preserve">     </t>
    </r>
    <r>
      <rPr>
        <sz val="18"/>
        <color theme="0"/>
        <rFont val="Arial Narrow"/>
        <family val="2"/>
      </rPr>
      <t xml:space="preserve"> (max. absolu : 475.059 €)</t>
    </r>
  </si>
  <si>
    <t>Return financier net</t>
  </si>
  <si>
    <t>E12M de référence</t>
  </si>
  <si>
    <t>Taux  Euribor 12M</t>
  </si>
  <si>
    <t xml:space="preserve">Return fiscal </t>
  </si>
  <si>
    <t>Exonération fiscale valorisée  au taux d'imposition</t>
  </si>
  <si>
    <t>►Solde VAI avec une opération Tax Shelter (VA 4)</t>
  </si>
  <si>
    <t>►Solde VAI sans Tax Shelter (VA 4)</t>
  </si>
  <si>
    <t>►Majoration avec une opération Tax Shelter</t>
  </si>
  <si>
    <t>►Majoration sans Tax Shelter</t>
  </si>
  <si>
    <t>Cadre VA et majoration</t>
  </si>
  <si>
    <t>Tax Shelter choisi</t>
  </si>
  <si>
    <t>Rendement fiscal 5,25%</t>
  </si>
  <si>
    <t>Différence majoration</t>
  </si>
  <si>
    <t>rendement primse net 5,20%</t>
  </si>
  <si>
    <t>Bonificatio VA</t>
  </si>
  <si>
    <t>VA</t>
  </si>
  <si>
    <t>rendement avec VA</t>
  </si>
  <si>
    <t>Test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</si>
</sst>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_ * #,##0_ ;_ * \-#,##0_ ;_ * &quot;-&quot;??_ ;_ @_ "/>
    <numFmt numFmtId="166" formatCode="&quot;€&quot;\ #,##0.00"/>
    <numFmt numFmtId="167" formatCode="0.000%"/>
  </numFmts>
  <fonts count="27">
    <font>
      <sz val="11"/>
      <color theme="1"/>
      <name val="Calibri"/>
      <family val="2"/>
      <scheme val="minor"/>
    </font>
    <font>
      <sz val="11"/>
      <color theme="1"/>
      <name val="Calibri"/>
      <family val="2"/>
      <scheme val="minor"/>
    </font>
    <font>
      <sz val="11"/>
      <color rgb="FFC30045"/>
      <name val="Calibri"/>
      <family val="2"/>
      <scheme val="minor"/>
    </font>
    <font>
      <sz val="11"/>
      <color rgb="FF51626F"/>
      <name val="Calibri"/>
      <family val="2"/>
      <scheme val="minor"/>
    </font>
    <font>
      <b/>
      <sz val="18"/>
      <name val="Arial Narrow"/>
      <family val="2"/>
    </font>
    <font>
      <sz val="18"/>
      <name val="Arial Narrow"/>
      <family val="2"/>
    </font>
    <font>
      <sz val="18"/>
      <color rgb="FF333399"/>
      <name val="Arial Narrow"/>
      <family val="2"/>
    </font>
    <font>
      <b/>
      <sz val="18"/>
      <color theme="1"/>
      <name val="Arial Narrow"/>
      <family val="2"/>
    </font>
    <font>
      <sz val="18"/>
      <color theme="1"/>
      <name val="Arial Narrow"/>
      <family val="2"/>
    </font>
    <font>
      <b/>
      <sz val="18"/>
      <color indexed="8"/>
      <name val="Arial Narrow"/>
      <family val="2"/>
    </font>
    <font>
      <b/>
      <sz val="18"/>
      <color theme="0"/>
      <name val="Arial Narrow"/>
      <family val="2"/>
    </font>
    <font>
      <sz val="18"/>
      <color indexed="8"/>
      <name val="Arial Narrow"/>
      <family val="2"/>
    </font>
    <font>
      <sz val="18"/>
      <color rgb="FF51626F"/>
      <name val="Arial Narrow"/>
      <family val="2"/>
    </font>
    <font>
      <sz val="18"/>
      <color theme="0"/>
      <name val="Arial Narrow"/>
      <family val="2"/>
    </font>
    <font>
      <sz val="18"/>
      <color rgb="FFFF0000"/>
      <name val="Arial Narrow"/>
      <family val="2"/>
    </font>
    <font>
      <b/>
      <sz val="18"/>
      <color rgb="FF333399"/>
      <name val="Arial Narrow"/>
      <family val="2"/>
    </font>
    <font>
      <b/>
      <sz val="16"/>
      <color theme="1"/>
      <name val="Arial Narrow"/>
      <family val="2"/>
    </font>
    <font>
      <b/>
      <sz val="16"/>
      <color rgb="FF333399"/>
      <name val="Arial Narrow"/>
      <family val="2"/>
    </font>
    <font>
      <b/>
      <sz val="11"/>
      <color theme="1"/>
      <name val="Calibri"/>
      <family val="2"/>
      <scheme val="minor"/>
    </font>
    <font>
      <b/>
      <sz val="20"/>
      <color rgb="FF333399"/>
      <name val="Arial Narrow"/>
      <family val="2"/>
    </font>
    <font>
      <b/>
      <sz val="18"/>
      <color rgb="FFFF0000"/>
      <name val="Arial Narrow"/>
      <family val="2"/>
    </font>
    <font>
      <sz val="16"/>
      <name val="Arial Narrow"/>
      <family val="2"/>
    </font>
    <font>
      <sz val="11"/>
      <color theme="0"/>
      <name val="Calibri"/>
      <family val="2"/>
      <scheme val="minor"/>
    </font>
    <font>
      <b/>
      <u/>
      <sz val="18"/>
      <name val="Arial Narrow"/>
      <family val="2"/>
    </font>
    <font>
      <b/>
      <sz val="24"/>
      <color theme="0"/>
      <name val="Arial Narrow"/>
      <family val="2"/>
    </font>
    <font>
      <b/>
      <sz val="22"/>
      <color theme="0"/>
      <name val="Arial Narrow"/>
      <family val="2"/>
    </font>
    <font>
      <sz val="11"/>
      <color rgb="FFFF0000"/>
      <name val="Calibri"/>
      <family val="2"/>
      <scheme val="minor"/>
    </font>
  </fonts>
  <fills count="7">
    <fill>
      <patternFill patternType="none"/>
    </fill>
    <fill>
      <patternFill patternType="gray125"/>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thin">
        <color rgb="FFFFFFFF"/>
      </left>
      <right style="thin">
        <color rgb="FFFFFFFF"/>
      </right>
      <top style="thin">
        <color rgb="FFFFFFFF"/>
      </top>
      <bottom style="thin">
        <color rgb="FFFFFFFF"/>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style="medium">
        <color theme="0"/>
      </bottom>
      <diagonal/>
    </border>
    <border>
      <left/>
      <right/>
      <top/>
      <bottom style="thin">
        <color theme="0"/>
      </bottom>
      <diagonal/>
    </border>
    <border>
      <left style="medium">
        <color theme="0"/>
      </left>
      <right style="medium">
        <color theme="0"/>
      </right>
      <top/>
      <bottom style="medium">
        <color theme="0"/>
      </bottom>
      <diagonal/>
    </border>
    <border>
      <left style="medium">
        <color indexed="64"/>
      </left>
      <right/>
      <top style="medium">
        <color indexed="64"/>
      </top>
      <bottom/>
      <diagonal/>
    </border>
    <border>
      <left/>
      <right style="medium">
        <color indexed="64"/>
      </right>
      <top style="medium">
        <color indexed="64"/>
      </top>
      <bottom/>
      <diagonal/>
    </border>
    <border>
      <left style="medium">
        <color rgb="FF333399"/>
      </left>
      <right style="medium">
        <color rgb="FF333399"/>
      </right>
      <top style="medium">
        <color rgb="FF333399"/>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56">
    <xf numFmtId="0" fontId="0" fillId="0" borderId="0" xfId="0"/>
    <xf numFmtId="0" fontId="2" fillId="0" borderId="0" xfId="0" applyFont="1"/>
    <xf numFmtId="0" fontId="3" fillId="0" borderId="0" xfId="0" applyFont="1"/>
    <xf numFmtId="3" fontId="4" fillId="0" borderId="0" xfId="0" applyNumberFormat="1" applyFont="1" applyAlignment="1">
      <alignment horizontal="center" vertical="center"/>
    </xf>
    <xf numFmtId="0" fontId="7" fillId="0" borderId="0" xfId="0" applyFont="1"/>
    <xf numFmtId="0" fontId="8" fillId="0" borderId="0" xfId="0" applyFont="1"/>
    <xf numFmtId="0" fontId="7" fillId="0" borderId="0" xfId="0" quotePrefix="1" applyFont="1" applyAlignment="1">
      <alignment horizontal="left"/>
    </xf>
    <xf numFmtId="165" fontId="8" fillId="0" borderId="0" xfId="1" applyNumberFormat="1" applyFont="1" applyBorder="1" applyAlignment="1">
      <alignment horizontal="center"/>
    </xf>
    <xf numFmtId="0" fontId="9" fillId="0" borderId="0" xfId="0" applyFont="1"/>
    <xf numFmtId="9" fontId="8" fillId="0" borderId="0" xfId="0" applyNumberFormat="1" applyFont="1" applyAlignment="1">
      <alignment horizontal="center"/>
    </xf>
    <xf numFmtId="9" fontId="5" fillId="0" borderId="0" xfId="0" applyNumberFormat="1" applyFont="1" applyAlignment="1">
      <alignment horizontal="center"/>
    </xf>
    <xf numFmtId="0" fontId="12" fillId="0" borderId="0" xfId="0" applyFont="1"/>
    <xf numFmtId="10" fontId="7" fillId="0" borderId="0" xfId="0" applyNumberFormat="1" applyFont="1" applyAlignment="1">
      <alignment horizontal="right"/>
    </xf>
    <xf numFmtId="165" fontId="5" fillId="0" borderId="0" xfId="1" applyNumberFormat="1" applyFont="1" applyFill="1" applyBorder="1" applyAlignment="1">
      <alignment horizontal="left" vertical="center"/>
    </xf>
    <xf numFmtId="3" fontId="5" fillId="0" borderId="0" xfId="0" applyNumberFormat="1" applyFont="1"/>
    <xf numFmtId="0" fontId="13" fillId="0" borderId="0" xfId="0" applyFont="1"/>
    <xf numFmtId="0" fontId="5" fillId="0" borderId="0" xfId="0" applyFont="1"/>
    <xf numFmtId="0" fontId="4" fillId="0" borderId="0" xfId="0" applyFont="1" applyAlignment="1">
      <alignment horizontal="center" vertical="center" wrapText="1"/>
    </xf>
    <xf numFmtId="10" fontId="4" fillId="2" borderId="0" xfId="2" applyNumberFormat="1" applyFont="1" applyFill="1" applyBorder="1" applyAlignment="1">
      <alignment horizontal="center"/>
    </xf>
    <xf numFmtId="10" fontId="15" fillId="2" borderId="0" xfId="2" applyNumberFormat="1" applyFont="1" applyFill="1" applyBorder="1" applyAlignment="1">
      <alignment horizontal="center"/>
    </xf>
    <xf numFmtId="0" fontId="7" fillId="0" borderId="7" xfId="0" applyFont="1" applyBorder="1"/>
    <xf numFmtId="0" fontId="8" fillId="0" borderId="8" xfId="0" applyFont="1" applyBorder="1"/>
    <xf numFmtId="0" fontId="16" fillId="0" borderId="2" xfId="0" applyFont="1" applyBorder="1" applyAlignment="1">
      <alignment horizontal="left" indent="10"/>
    </xf>
    <xf numFmtId="0" fontId="8" fillId="0" borderId="3" xfId="0" applyFont="1" applyBorder="1"/>
    <xf numFmtId="0" fontId="16" fillId="0" borderId="4" xfId="0" applyFont="1" applyBorder="1" applyAlignment="1">
      <alignment horizontal="left" indent="10"/>
    </xf>
    <xf numFmtId="0" fontId="8" fillId="0" borderId="5" xfId="0" applyFont="1" applyBorder="1"/>
    <xf numFmtId="2" fontId="4" fillId="2" borderId="0" xfId="2" applyNumberFormat="1" applyFont="1" applyFill="1" applyBorder="1" applyAlignment="1">
      <alignment horizontal="center"/>
    </xf>
    <xf numFmtId="0" fontId="15" fillId="0" borderId="7" xfId="0" applyFont="1" applyBorder="1"/>
    <xf numFmtId="0" fontId="6" fillId="0" borderId="8" xfId="0" applyFont="1" applyBorder="1"/>
    <xf numFmtId="0" fontId="15" fillId="0" borderId="2" xfId="0" applyFont="1" applyBorder="1"/>
    <xf numFmtId="0" fontId="6" fillId="0" borderId="3" xfId="0" applyFont="1" applyBorder="1"/>
    <xf numFmtId="0" fontId="6" fillId="0" borderId="5" xfId="0" applyFont="1" applyBorder="1"/>
    <xf numFmtId="0" fontId="7" fillId="0" borderId="12" xfId="0" applyFont="1" applyBorder="1"/>
    <xf numFmtId="0" fontId="8" fillId="0" borderId="12" xfId="0" applyFont="1" applyBorder="1"/>
    <xf numFmtId="0" fontId="9" fillId="0" borderId="12" xfId="0" applyFont="1" applyBorder="1"/>
    <xf numFmtId="0" fontId="4" fillId="4" borderId="12" xfId="0" applyFont="1" applyFill="1" applyBorder="1" applyAlignment="1">
      <alignment horizontal="left"/>
    </xf>
    <xf numFmtId="10" fontId="7" fillId="0" borderId="12" xfId="0" applyNumberFormat="1" applyFont="1" applyBorder="1" applyAlignment="1">
      <alignment horizontal="right"/>
    </xf>
    <xf numFmtId="0" fontId="12" fillId="0" borderId="12" xfId="0" applyFont="1" applyBorder="1"/>
    <xf numFmtId="10" fontId="7" fillId="0" borderId="6" xfId="0" applyNumberFormat="1" applyFont="1" applyBorder="1" applyAlignment="1">
      <alignment horizontal="right"/>
    </xf>
    <xf numFmtId="0" fontId="12" fillId="0" borderId="6" xfId="0" applyFont="1" applyBorder="1"/>
    <xf numFmtId="0" fontId="17" fillId="0" borderId="2" xfId="0" applyFont="1" applyBorder="1" applyAlignment="1">
      <alignment horizontal="left" indent="11"/>
    </xf>
    <xf numFmtId="0" fontId="17" fillId="0" borderId="4" xfId="0" applyFont="1" applyBorder="1" applyAlignment="1">
      <alignment horizontal="left" indent="11"/>
    </xf>
    <xf numFmtId="4" fontId="4" fillId="5" borderId="15" xfId="0" applyNumberFormat="1" applyFont="1" applyFill="1" applyBorder="1" applyAlignment="1" applyProtection="1">
      <alignment horizontal="center" vertical="center"/>
      <protection locked="0"/>
    </xf>
    <xf numFmtId="2" fontId="4" fillId="5" borderId="14" xfId="2" applyNumberFormat="1" applyFont="1" applyFill="1" applyBorder="1" applyAlignment="1" applyProtection="1">
      <alignment horizontal="center"/>
      <protection locked="0"/>
    </xf>
    <xf numFmtId="2" fontId="4" fillId="5" borderId="13" xfId="2" applyNumberFormat="1" applyFont="1" applyFill="1" applyBorder="1" applyAlignment="1" applyProtection="1">
      <alignment horizontal="center"/>
      <protection locked="0"/>
    </xf>
    <xf numFmtId="2" fontId="4" fillId="0" borderId="13" xfId="2" applyNumberFormat="1" applyFont="1" applyFill="1" applyBorder="1" applyAlignment="1" applyProtection="1">
      <alignment horizontal="center"/>
    </xf>
    <xf numFmtId="0" fontId="8" fillId="6" borderId="0" xfId="0" applyFont="1" applyFill="1"/>
    <xf numFmtId="165" fontId="8" fillId="6" borderId="0" xfId="1" applyNumberFormat="1" applyFont="1" applyFill="1" applyBorder="1" applyAlignment="1">
      <alignment horizontal="center"/>
    </xf>
    <xf numFmtId="10" fontId="4" fillId="6" borderId="15" xfId="2" applyNumberFormat="1" applyFont="1" applyFill="1" applyBorder="1" applyAlignment="1">
      <alignment horizontal="center"/>
    </xf>
    <xf numFmtId="0" fontId="15" fillId="0" borderId="4" xfId="0" applyFont="1" applyBorder="1"/>
    <xf numFmtId="0" fontId="4" fillId="0" borderId="12" xfId="0" applyFont="1" applyBorder="1"/>
    <xf numFmtId="0" fontId="4" fillId="0" borderId="6" xfId="0" applyFont="1" applyBorder="1"/>
    <xf numFmtId="0" fontId="4" fillId="0" borderId="0" xfId="0" applyFont="1"/>
    <xf numFmtId="9" fontId="14" fillId="0" borderId="12" xfId="0" applyNumberFormat="1" applyFont="1" applyBorder="1" applyAlignment="1">
      <alignment horizontal="right"/>
    </xf>
    <xf numFmtId="10" fontId="7" fillId="0" borderId="12" xfId="0" applyNumberFormat="1" applyFont="1" applyBorder="1"/>
    <xf numFmtId="0" fontId="19" fillId="0" borderId="0" xfId="0" applyFont="1"/>
    <xf numFmtId="166" fontId="19" fillId="0" borderId="0" xfId="0" applyNumberFormat="1" applyFont="1"/>
    <xf numFmtId="166" fontId="19" fillId="0" borderId="1" xfId="0" applyNumberFormat="1" applyFont="1" applyBorder="1"/>
    <xf numFmtId="9" fontId="14" fillId="0" borderId="0" xfId="0" applyNumberFormat="1" applyFont="1" applyAlignment="1">
      <alignment horizontal="right"/>
    </xf>
    <xf numFmtId="166" fontId="15" fillId="0" borderId="0" xfId="0" applyNumberFormat="1" applyFont="1"/>
    <xf numFmtId="166" fontId="20" fillId="0" borderId="0" xfId="0" applyNumberFormat="1" applyFont="1" applyAlignment="1">
      <alignment horizontal="left"/>
    </xf>
    <xf numFmtId="0" fontId="20" fillId="0" borderId="0" xfId="0" applyFont="1" applyAlignment="1">
      <alignment horizontal="center"/>
    </xf>
    <xf numFmtId="166" fontId="7" fillId="0" borderId="0" xfId="0" applyNumberFormat="1" applyFont="1"/>
    <xf numFmtId="165" fontId="10" fillId="0" borderId="0" xfId="1" applyNumberFormat="1" applyFont="1" applyBorder="1" applyAlignment="1">
      <alignment horizontal="center"/>
    </xf>
    <xf numFmtId="0" fontId="4" fillId="0" borderId="0" xfId="0" applyFont="1" applyAlignment="1">
      <alignment horizontal="center" vertical="center"/>
    </xf>
    <xf numFmtId="166" fontId="4" fillId="0" borderId="0" xfId="1" applyNumberFormat="1" applyFont="1" applyBorder="1"/>
    <xf numFmtId="166" fontId="4" fillId="0" borderId="0" xfId="0" applyNumberFormat="1" applyFont="1"/>
    <xf numFmtId="166" fontId="15" fillId="0" borderId="1" xfId="0" applyNumberFormat="1" applyFont="1" applyBorder="1"/>
    <xf numFmtId="164" fontId="4" fillId="0" borderId="0" xfId="1" applyFont="1" applyBorder="1" applyAlignment="1"/>
    <xf numFmtId="164" fontId="15" fillId="0" borderId="0" xfId="1" applyFont="1" applyBorder="1" applyAlignment="1"/>
    <xf numFmtId="0" fontId="4" fillId="0" borderId="16" xfId="0" applyFont="1" applyBorder="1"/>
    <xf numFmtId="10" fontId="7" fillId="0" borderId="16" xfId="0" applyNumberFormat="1" applyFont="1" applyBorder="1" applyAlignment="1">
      <alignment horizontal="right"/>
    </xf>
    <xf numFmtId="0" fontId="12" fillId="0" borderId="16" xfId="0" applyFont="1" applyBorder="1"/>
    <xf numFmtId="4" fontId="4" fillId="5" borderId="17" xfId="0" applyNumberFormat="1" applyFont="1" applyFill="1" applyBorder="1" applyAlignment="1" applyProtection="1">
      <alignment horizontal="center"/>
      <protection locked="0"/>
    </xf>
    <xf numFmtId="0" fontId="18" fillId="0" borderId="0" xfId="0" applyFont="1"/>
    <xf numFmtId="4" fontId="0" fillId="4" borderId="0" xfId="0" applyNumberFormat="1" applyFill="1" applyAlignment="1">
      <alignment horizontal="center"/>
    </xf>
    <xf numFmtId="4" fontId="0" fillId="5" borderId="20" xfId="0" applyNumberFormat="1" applyFill="1" applyBorder="1" applyAlignment="1">
      <alignment horizontal="center"/>
    </xf>
    <xf numFmtId="0" fontId="8" fillId="0" borderId="18" xfId="0" applyFont="1" applyBorder="1"/>
    <xf numFmtId="0" fontId="8" fillId="0" borderId="21" xfId="0" applyFont="1" applyBorder="1"/>
    <xf numFmtId="0" fontId="19" fillId="0" borderId="21" xfId="0" applyFont="1" applyBorder="1"/>
    <xf numFmtId="0" fontId="8" fillId="0" borderId="19" xfId="0" applyFont="1" applyBorder="1"/>
    <xf numFmtId="0" fontId="8" fillId="0" borderId="22" xfId="0" applyFont="1" applyBorder="1"/>
    <xf numFmtId="0" fontId="8" fillId="0" borderId="24" xfId="0" applyFont="1" applyBorder="1"/>
    <xf numFmtId="0" fontId="13" fillId="0" borderId="25" xfId="0" applyFont="1" applyBorder="1"/>
    <xf numFmtId="0" fontId="0" fillId="0" borderId="23" xfId="0" applyBorder="1"/>
    <xf numFmtId="0" fontId="4" fillId="0" borderId="25" xfId="0" applyFont="1" applyBorder="1"/>
    <xf numFmtId="0" fontId="5" fillId="0" borderId="25" xfId="0" applyFont="1" applyBorder="1"/>
    <xf numFmtId="165" fontId="5" fillId="0" borderId="25" xfId="1" applyNumberFormat="1" applyFont="1" applyBorder="1" applyAlignment="1">
      <alignment horizontal="center"/>
    </xf>
    <xf numFmtId="10" fontId="4" fillId="2" borderId="25" xfId="2" applyNumberFormat="1" applyFont="1" applyFill="1" applyBorder="1" applyAlignment="1">
      <alignment horizontal="center"/>
    </xf>
    <xf numFmtId="3" fontId="5" fillId="0" borderId="25" xfId="0" applyNumberFormat="1" applyFont="1" applyBorder="1"/>
    <xf numFmtId="165" fontId="5" fillId="0" borderId="25" xfId="1" applyNumberFormat="1" applyFont="1" applyFill="1" applyBorder="1" applyAlignment="1">
      <alignment horizontal="left" vertical="center"/>
    </xf>
    <xf numFmtId="0" fontId="8" fillId="0" borderId="25" xfId="0" applyFont="1" applyBorder="1"/>
    <xf numFmtId="0" fontId="8" fillId="0" borderId="26" xfId="0" applyFont="1" applyBorder="1"/>
    <xf numFmtId="0" fontId="18" fillId="0" borderId="0" xfId="0" applyFont="1" applyAlignment="1">
      <alignment vertical="center"/>
    </xf>
    <xf numFmtId="166" fontId="7" fillId="5" borderId="0" xfId="0" applyNumberFormat="1" applyFont="1" applyFill="1" applyProtection="1">
      <protection locked="0"/>
    </xf>
    <xf numFmtId="0" fontId="4" fillId="0" borderId="7" xfId="0" applyFont="1" applyBorder="1"/>
    <xf numFmtId="165" fontId="5" fillId="0" borderId="2" xfId="1" applyNumberFormat="1" applyFont="1" applyFill="1" applyBorder="1" applyAlignment="1">
      <alignment horizontal="left" vertical="center"/>
    </xf>
    <xf numFmtId="0" fontId="4" fillId="0" borderId="2" xfId="0" applyFont="1" applyBorder="1"/>
    <xf numFmtId="0" fontId="21" fillId="0" borderId="2" xfId="0" applyFont="1" applyBorder="1"/>
    <xf numFmtId="0" fontId="21" fillId="0" borderId="4" xfId="0" applyFont="1" applyBorder="1"/>
    <xf numFmtId="10" fontId="15" fillId="0" borderId="8" xfId="0" applyNumberFormat="1" applyFont="1" applyBorder="1"/>
    <xf numFmtId="166" fontId="6" fillId="0" borderId="3" xfId="0" applyNumberFormat="1" applyFont="1" applyBorder="1"/>
    <xf numFmtId="10" fontId="15" fillId="0" borderId="3" xfId="0" applyNumberFormat="1" applyFont="1" applyBorder="1"/>
    <xf numFmtId="166" fontId="6" fillId="0" borderId="5" xfId="0" applyNumberFormat="1" applyFont="1" applyBorder="1"/>
    <xf numFmtId="0" fontId="5" fillId="0" borderId="27" xfId="0" applyFont="1" applyBorder="1"/>
    <xf numFmtId="0" fontId="5" fillId="0" borderId="12" xfId="0" applyFont="1" applyBorder="1"/>
    <xf numFmtId="0" fontId="22" fillId="0" borderId="0" xfId="0" applyFont="1"/>
    <xf numFmtId="0" fontId="10" fillId="0" borderId="0" xfId="0" applyFont="1"/>
    <xf numFmtId="165" fontId="13" fillId="0" borderId="0" xfId="1" applyNumberFormat="1" applyFont="1" applyBorder="1" applyAlignment="1">
      <alignment horizontal="center"/>
    </xf>
    <xf numFmtId="164" fontId="10" fillId="0" borderId="0" xfId="1" applyFont="1" applyFill="1" applyBorder="1" applyAlignment="1">
      <alignment horizontal="center" vertical="center"/>
    </xf>
    <xf numFmtId="3" fontId="13" fillId="0" borderId="0" xfId="0" applyNumberFormat="1" applyFont="1"/>
    <xf numFmtId="165" fontId="13" fillId="0" borderId="0" xfId="1" applyNumberFormat="1" applyFont="1" applyFill="1" applyBorder="1" applyAlignment="1">
      <alignment horizontal="left" vertical="center"/>
    </xf>
    <xf numFmtId="10" fontId="13" fillId="0" borderId="0" xfId="0" applyNumberFormat="1" applyFont="1"/>
    <xf numFmtId="0" fontId="13" fillId="0" borderId="0" xfId="0" quotePrefix="1" applyFont="1" applyAlignment="1">
      <alignment horizontal="right"/>
    </xf>
    <xf numFmtId="4" fontId="13" fillId="0" borderId="0" xfId="1" applyNumberFormat="1" applyFont="1" applyFill="1" applyBorder="1" applyAlignment="1">
      <alignment horizontal="center"/>
    </xf>
    <xf numFmtId="0" fontId="13" fillId="0" borderId="0" xfId="0" applyFont="1" applyAlignment="1">
      <alignment horizontal="left"/>
    </xf>
    <xf numFmtId="4" fontId="13" fillId="0" borderId="0" xfId="0" applyNumberFormat="1" applyFont="1"/>
    <xf numFmtId="4" fontId="13" fillId="0" borderId="0" xfId="0" applyNumberFormat="1" applyFont="1" applyAlignment="1">
      <alignment horizontal="center"/>
    </xf>
    <xf numFmtId="10" fontId="13" fillId="0" borderId="0" xfId="0" applyNumberFormat="1" applyFont="1" applyAlignment="1">
      <alignment horizontal="left"/>
    </xf>
    <xf numFmtId="165" fontId="13" fillId="0" borderId="0" xfId="1" applyNumberFormat="1" applyFont="1" applyBorder="1"/>
    <xf numFmtId="0" fontId="10" fillId="0" borderId="0" xfId="0" applyFont="1" applyAlignment="1">
      <alignment horizontal="center"/>
    </xf>
    <xf numFmtId="10" fontId="13" fillId="0" borderId="0" xfId="0" applyNumberFormat="1" applyFont="1" applyAlignment="1">
      <alignment horizontal="center"/>
    </xf>
    <xf numFmtId="9" fontId="13" fillId="0" borderId="0" xfId="0" applyNumberFormat="1" applyFont="1" applyAlignment="1">
      <alignment horizontal="center"/>
    </xf>
    <xf numFmtId="4" fontId="24" fillId="0" borderId="0" xfId="0" applyNumberFormat="1" applyFont="1" applyAlignment="1">
      <alignment horizontal="center"/>
    </xf>
    <xf numFmtId="10" fontId="13" fillId="0" borderId="0" xfId="2" applyNumberFormat="1" applyFont="1" applyBorder="1"/>
    <xf numFmtId="9" fontId="13" fillId="0" borderId="0" xfId="0" applyNumberFormat="1" applyFont="1"/>
    <xf numFmtId="0" fontId="10" fillId="4" borderId="0" xfId="0" applyFont="1" applyFill="1" applyAlignment="1">
      <alignment horizontal="left"/>
    </xf>
    <xf numFmtId="10" fontId="10" fillId="4" borderId="0" xfId="0" applyNumberFormat="1" applyFont="1" applyFill="1" applyAlignment="1">
      <alignment horizontal="center"/>
    </xf>
    <xf numFmtId="166" fontId="24" fillId="4" borderId="0" xfId="0" applyNumberFormat="1" applyFont="1" applyFill="1" applyAlignment="1">
      <alignment horizontal="center"/>
    </xf>
    <xf numFmtId="1" fontId="13" fillId="0" borderId="0" xfId="0" applyNumberFormat="1" applyFont="1"/>
    <xf numFmtId="10" fontId="10" fillId="0" borderId="0" xfId="0" applyNumberFormat="1" applyFont="1" applyAlignment="1">
      <alignment horizontal="center"/>
    </xf>
    <xf numFmtId="166" fontId="10" fillId="0" borderId="0" xfId="0" applyNumberFormat="1" applyFont="1" applyAlignment="1">
      <alignment horizontal="center"/>
    </xf>
    <xf numFmtId="167" fontId="10" fillId="0" borderId="0" xfId="2" applyNumberFormat="1" applyFont="1" applyFill="1" applyBorder="1" applyAlignment="1" applyProtection="1">
      <alignment horizontal="center"/>
    </xf>
    <xf numFmtId="0" fontId="13" fillId="0" borderId="0" xfId="0" applyFont="1" applyAlignment="1">
      <alignment horizontal="right"/>
    </xf>
    <xf numFmtId="10" fontId="10" fillId="0" borderId="0" xfId="0" applyNumberFormat="1" applyFont="1" applyAlignment="1">
      <alignment horizontal="right"/>
    </xf>
    <xf numFmtId="4" fontId="25" fillId="0" borderId="0" xfId="0" applyNumberFormat="1" applyFont="1" applyAlignment="1">
      <alignment horizontal="center"/>
    </xf>
    <xf numFmtId="0" fontId="13" fillId="0" borderId="0" xfId="0" applyFont="1" applyAlignment="1">
      <alignment horizontal="center"/>
    </xf>
    <xf numFmtId="4" fontId="10" fillId="0" borderId="0" xfId="0" applyNumberFormat="1" applyFont="1" applyAlignment="1">
      <alignment horizontal="center"/>
    </xf>
    <xf numFmtId="4" fontId="22" fillId="4" borderId="0" xfId="0" applyNumberFormat="1" applyFont="1" applyFill="1" applyAlignment="1">
      <alignment horizontal="center"/>
    </xf>
    <xf numFmtId="3" fontId="22" fillId="0" borderId="0" xfId="0" applyNumberFormat="1" applyFont="1"/>
    <xf numFmtId="166" fontId="22" fillId="0" borderId="0" xfId="0" applyNumberFormat="1" applyFont="1"/>
    <xf numFmtId="164" fontId="22" fillId="0" borderId="0" xfId="0" applyNumberFormat="1" applyFont="1"/>
    <xf numFmtId="10" fontId="22" fillId="0" borderId="0" xfId="2" applyNumberFormat="1" applyFont="1"/>
    <xf numFmtId="4" fontId="22" fillId="0" borderId="0" xfId="0" applyNumberFormat="1" applyFont="1"/>
    <xf numFmtId="0" fontId="26" fillId="0" borderId="0" xfId="0" applyFont="1"/>
    <xf numFmtId="0" fontId="10" fillId="0" borderId="0" xfId="0" applyFont="1" applyAlignment="1">
      <alignment horizontal="right" wrapText="1" indent="2"/>
    </xf>
    <xf numFmtId="0" fontId="4" fillId="3" borderId="18"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0" borderId="9" xfId="0" applyFont="1" applyBorder="1" applyAlignment="1">
      <alignment horizontal="center" vertical="top" wrapText="1"/>
    </xf>
    <xf numFmtId="0" fontId="4" fillId="0" borderId="11" xfId="0" applyFont="1" applyBorder="1" applyAlignment="1">
      <alignment horizontal="center" vertical="top" wrapText="1"/>
    </xf>
    <xf numFmtId="0" fontId="4" fillId="0" borderId="10" xfId="0" applyFont="1" applyBorder="1" applyAlignment="1">
      <alignment horizontal="center" vertical="top" wrapText="1"/>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0" borderId="11" xfId="0" applyFont="1" applyBorder="1" applyAlignment="1">
      <alignment horizontal="center" vertical="center" wrapText="1"/>
    </xf>
    <xf numFmtId="0" fontId="4" fillId="0" borderId="10" xfId="0" applyFont="1" applyBorder="1" applyAlignment="1">
      <alignment horizontal="center" vertical="center" wrapText="1"/>
    </xf>
    <xf numFmtId="10" fontId="13" fillId="0" borderId="0" xfId="0" applyNumberFormat="1" applyFont="1" applyAlignment="1">
      <alignment horizontal="left" wrapText="1"/>
    </xf>
  </cellXfs>
  <cellStyles count="3">
    <cellStyle name="Milliers" xfId="1" builtinId="3"/>
    <cellStyle name="Normal" xfId="0" builtinId="0"/>
    <cellStyle name="Pourcentage" xfId="2" builtinId="5"/>
  </cellStyles>
  <dxfs count="0"/>
  <tableStyles count="0" defaultTableStyle="TableStyleMedium2" defaultPivotStyle="PivotStyleLight16"/>
  <colors>
    <mruColors>
      <color rgb="FF333399"/>
      <color rgb="FFFFFFFF"/>
      <color rgb="FFC30045"/>
      <color rgb="FFDC1E5F"/>
      <color rgb="FFFF81AE"/>
      <color rgb="FF51626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5</xdr:col>
      <xdr:colOff>1190625</xdr:colOff>
      <xdr:row>5</xdr:row>
      <xdr:rowOff>250031</xdr:rowOff>
    </xdr:from>
    <xdr:ext cx="184731" cy="26456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1644313" y="4488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02"/>
  <sheetViews>
    <sheetView showGridLines="0" tabSelected="1" zoomScale="60" zoomScaleNormal="60" zoomScaleSheetLayoutView="80" zoomScalePageLayoutView="70" workbookViewId="0">
      <selection activeCell="F6" sqref="F6"/>
    </sheetView>
  </sheetViews>
  <sheetFormatPr defaultColWidth="9.28515625" defaultRowHeight="22.15" customHeight="1"/>
  <cols>
    <col min="3" max="3" width="36.5703125" customWidth="1"/>
    <col min="4" max="4" width="56.5703125" customWidth="1"/>
    <col min="5" max="5" width="22.7109375" customWidth="1"/>
    <col min="6" max="11" width="30.7109375" customWidth="1"/>
    <col min="12" max="12" width="6.28515625" customWidth="1"/>
    <col min="14" max="14" width="19.28515625" customWidth="1"/>
    <col min="15" max="17" width="15.42578125" customWidth="1"/>
  </cols>
  <sheetData>
    <row r="1" spans="2:12" ht="99" customHeight="1" thickBot="1">
      <c r="B1" s="146" t="s">
        <v>0</v>
      </c>
      <c r="C1" s="147"/>
      <c r="D1" s="148" t="s">
        <v>1</v>
      </c>
      <c r="E1" s="149"/>
      <c r="F1" s="149"/>
      <c r="G1" s="149"/>
      <c r="H1" s="149"/>
      <c r="I1" s="149"/>
      <c r="J1" s="149"/>
      <c r="K1" s="149"/>
      <c r="L1" s="150"/>
    </row>
    <row r="2" spans="2:12" ht="170.25" customHeight="1" thickBot="1">
      <c r="B2" s="151" t="s">
        <v>2</v>
      </c>
      <c r="C2" s="152"/>
      <c r="D2" s="153" t="s">
        <v>3</v>
      </c>
      <c r="E2" s="153"/>
      <c r="F2" s="153"/>
      <c r="G2" s="153"/>
      <c r="H2" s="153"/>
      <c r="I2" s="153"/>
      <c r="J2" s="153"/>
      <c r="K2" s="153"/>
      <c r="L2" s="154"/>
    </row>
    <row r="3" spans="2:12" ht="20.25" customHeight="1" thickBot="1">
      <c r="B3" s="75"/>
      <c r="C3" s="74"/>
      <c r="D3" s="17"/>
      <c r="E3" s="17"/>
      <c r="F3" s="76"/>
      <c r="G3" s="93" t="s">
        <v>4</v>
      </c>
      <c r="H3" s="17"/>
      <c r="I3" s="17"/>
      <c r="J3" s="17"/>
      <c r="K3" s="17"/>
      <c r="L3" s="17"/>
    </row>
    <row r="4" spans="2:12" ht="25.15">
      <c r="B4" s="77"/>
      <c r="C4" s="78"/>
      <c r="D4" s="78"/>
      <c r="E4" s="78"/>
      <c r="F4" s="78"/>
      <c r="G4" s="78"/>
      <c r="H4" s="79"/>
      <c r="I4" s="78"/>
      <c r="J4" s="78"/>
      <c r="K4" s="78"/>
      <c r="L4" s="80"/>
    </row>
    <row r="5" spans="2:12" ht="30" customHeight="1" thickBot="1">
      <c r="B5" s="81"/>
      <c r="C5" s="4" t="s">
        <v>5</v>
      </c>
      <c r="D5" s="5"/>
      <c r="E5" s="63" t="s">
        <v>6</v>
      </c>
      <c r="F5" s="73">
        <v>100000</v>
      </c>
      <c r="G5" s="14"/>
      <c r="H5" s="55" t="s">
        <v>7</v>
      </c>
      <c r="I5" s="5"/>
      <c r="J5" s="58"/>
      <c r="K5" s="56"/>
      <c r="L5" s="84"/>
    </row>
    <row r="6" spans="2:12" ht="30.75" customHeight="1" thickBot="1">
      <c r="B6" s="81"/>
      <c r="C6" s="4" t="s">
        <v>8</v>
      </c>
      <c r="D6" s="5"/>
      <c r="E6" s="63" t="s">
        <v>9</v>
      </c>
      <c r="F6" s="42" t="s">
        <v>9</v>
      </c>
      <c r="G6" s="3"/>
      <c r="H6" s="32" t="s">
        <v>10</v>
      </c>
      <c r="I6" s="33"/>
      <c r="J6" s="53">
        <v>0.5</v>
      </c>
      <c r="K6" s="57">
        <f>MAX((MIN((G59*E61),(G58/F9),2000000,(F5-F13-F14+F15-F38-F39-F58-G58-H58-F40))),0)</f>
        <v>37500</v>
      </c>
      <c r="L6" s="84"/>
    </row>
    <row r="7" spans="2:12" ht="31.5" customHeight="1" thickBot="1">
      <c r="B7" s="81"/>
      <c r="C7" s="6" t="s">
        <v>11</v>
      </c>
      <c r="D7" s="5"/>
      <c r="E7" s="7"/>
      <c r="F7" s="14"/>
      <c r="G7" s="14"/>
      <c r="H7" s="4"/>
      <c r="I7" s="5"/>
      <c r="J7" s="9"/>
      <c r="K7" s="56"/>
      <c r="L7" s="84"/>
    </row>
    <row r="8" spans="2:12" ht="28.5" customHeight="1" thickBot="1">
      <c r="B8" s="81"/>
      <c r="C8" s="4"/>
      <c r="D8" s="46" t="str">
        <f>IF(F6="non", " ", "Taux d'imposition sur la 1ère tranche imposable de 100.000 Eur")</f>
        <v xml:space="preserve"> </v>
      </c>
      <c r="E8" s="47"/>
      <c r="F8" s="48" t="str">
        <f>IF(F6="non", " ", 20%)</f>
        <v xml:space="preserve"> </v>
      </c>
      <c r="G8" s="14"/>
      <c r="H8" s="34" t="s">
        <v>12</v>
      </c>
      <c r="I8" s="33"/>
      <c r="J8" s="53">
        <v>4.21</v>
      </c>
      <c r="K8" s="57">
        <f>IF(AND(F5&lt;111000, F6="oui"),"Pas d'investissement TS ",IF(G61/E63&lt; 475059, G61/E63, 475059))</f>
        <v>8907.3634204275531</v>
      </c>
      <c r="L8" s="84"/>
    </row>
    <row r="9" spans="2:12" ht="25.5" customHeight="1" thickBot="1">
      <c r="B9" s="81"/>
      <c r="C9" s="4"/>
      <c r="D9" s="46" t="str">
        <f>IF(F6="non", "Taux d'imposition unique de", "Taux d'imposition sur la base imposable &gt; 100.000 Eur")</f>
        <v>Taux d'imposition unique de</v>
      </c>
      <c r="E9" s="47"/>
      <c r="F9" s="48">
        <f>25%</f>
        <v>0.25</v>
      </c>
      <c r="G9" s="14"/>
      <c r="H9" s="8" t="s">
        <v>13</v>
      </c>
      <c r="I9" s="5"/>
      <c r="J9" s="10"/>
      <c r="K9" s="55"/>
      <c r="L9" s="84"/>
    </row>
    <row r="10" spans="2:12" ht="29.25" customHeight="1">
      <c r="B10" s="81"/>
      <c r="C10" s="4"/>
      <c r="D10" s="5"/>
      <c r="E10" s="7"/>
      <c r="F10" s="18"/>
      <c r="G10" s="14"/>
      <c r="H10" s="8"/>
      <c r="I10" s="5"/>
      <c r="J10" s="10"/>
      <c r="K10" s="56"/>
      <c r="L10" s="84"/>
    </row>
    <row r="11" spans="2:12" ht="27" customHeight="1">
      <c r="B11" s="81"/>
      <c r="C11" s="4" t="s">
        <v>14</v>
      </c>
      <c r="D11" s="5"/>
      <c r="E11" s="7"/>
      <c r="F11" s="19" t="str">
        <f>IF(AND(F5&lt;111000, F6="oui"),"Non éligible au Tax Shelter. Uniquement versements anticipés",IF(AND(F5&lt;162000, F6="oui"),"Eligible au Tax Shelter mais en retirant la 1ère tranche imposable au taux réduit, de l'exonération fiscale maximum","Eligible au Tax Shelter"))</f>
        <v>Eligible au Tax Shelter</v>
      </c>
      <c r="G11" s="14"/>
      <c r="H11" s="35" t="s">
        <v>15</v>
      </c>
      <c r="I11" s="33"/>
      <c r="J11" s="54">
        <f>IF(AND(F5&lt;111000, F6="oui"),"pas d'investissement TS",(G67+G71)/G63)</f>
        <v>0.10447500000000004</v>
      </c>
      <c r="K11" s="57">
        <f>IF(AND(F5&lt;111000, F6="oui"), "pas d'investissement TS",G67+G71)</f>
        <v>930.59679334916893</v>
      </c>
      <c r="L11" s="84"/>
    </row>
    <row r="12" spans="2:12" ht="22.15" customHeight="1">
      <c r="B12" s="81"/>
      <c r="C12" s="4"/>
      <c r="D12" s="5"/>
      <c r="E12" s="7"/>
      <c r="F12" s="18"/>
      <c r="G12" s="14"/>
      <c r="H12" s="13"/>
      <c r="I12" s="15"/>
      <c r="J12" s="5"/>
      <c r="K12" s="5"/>
      <c r="L12" s="84"/>
    </row>
    <row r="13" spans="2:12" ht="22.15" customHeight="1">
      <c r="B13" s="81"/>
      <c r="C13" s="4" t="s">
        <v>16</v>
      </c>
      <c r="D13" s="5"/>
      <c r="E13" s="7"/>
      <c r="F13" s="43">
        <v>0</v>
      </c>
      <c r="G13" s="14"/>
      <c r="H13" s="13"/>
      <c r="I13" s="15"/>
      <c r="J13" s="5"/>
      <c r="K13" s="5"/>
      <c r="L13" s="84"/>
    </row>
    <row r="14" spans="2:12" ht="22.15" customHeight="1">
      <c r="B14" s="81"/>
      <c r="C14" s="4" t="s">
        <v>17</v>
      </c>
      <c r="D14" s="5"/>
      <c r="E14" s="7"/>
      <c r="F14" s="43">
        <v>0</v>
      </c>
      <c r="G14" s="14"/>
      <c r="H14" s="13"/>
      <c r="I14" s="15"/>
      <c r="J14" s="5"/>
      <c r="K14" s="5"/>
      <c r="L14" s="84"/>
    </row>
    <row r="15" spans="2:12" ht="22.15" customHeight="1">
      <c r="B15" s="81"/>
      <c r="C15" s="4" t="s">
        <v>18</v>
      </c>
      <c r="D15" s="5"/>
      <c r="E15" s="7"/>
      <c r="F15" s="43">
        <v>0</v>
      </c>
      <c r="G15" s="14"/>
      <c r="H15" s="13"/>
      <c r="I15" s="15"/>
      <c r="J15" s="5"/>
      <c r="K15" s="5"/>
      <c r="L15" s="84"/>
    </row>
    <row r="16" spans="2:12" ht="22.15" customHeight="1">
      <c r="B16" s="81"/>
      <c r="C16" s="4"/>
      <c r="D16" s="5"/>
      <c r="E16" s="7"/>
      <c r="F16" s="26"/>
      <c r="G16" s="14"/>
      <c r="H16" s="13"/>
      <c r="I16" s="15"/>
      <c r="J16" s="5"/>
      <c r="K16" s="5"/>
      <c r="L16" s="84"/>
    </row>
    <row r="17" spans="2:12" ht="22.15" customHeight="1">
      <c r="B17" s="81"/>
      <c r="C17" s="20" t="s">
        <v>19</v>
      </c>
      <c r="D17" s="21"/>
      <c r="E17" s="7"/>
      <c r="F17" s="26"/>
      <c r="G17" s="14"/>
      <c r="H17" s="55" t="s">
        <v>20</v>
      </c>
      <c r="I17" s="15"/>
      <c r="J17" s="5"/>
      <c r="K17" s="5"/>
      <c r="L17" s="84"/>
    </row>
    <row r="18" spans="2:12" ht="22.15" customHeight="1">
      <c r="B18" s="81"/>
      <c r="C18" s="22" t="s">
        <v>21</v>
      </c>
      <c r="D18" s="23"/>
      <c r="E18" s="7"/>
      <c r="F18" s="44">
        <v>0</v>
      </c>
      <c r="G18" s="14"/>
      <c r="H18" s="55"/>
      <c r="I18" s="5"/>
      <c r="J18" s="5"/>
      <c r="K18" s="5"/>
      <c r="L18" s="84"/>
    </row>
    <row r="19" spans="2:12" ht="22.15" customHeight="1">
      <c r="B19" s="81"/>
      <c r="C19" s="22" t="s">
        <v>22</v>
      </c>
      <c r="D19" s="23"/>
      <c r="E19" s="7"/>
      <c r="F19" s="44">
        <v>0</v>
      </c>
      <c r="G19" s="14"/>
      <c r="H19" s="32" t="s">
        <v>23</v>
      </c>
      <c r="I19" s="33"/>
      <c r="J19" s="53">
        <v>0.5</v>
      </c>
      <c r="K19" s="67">
        <f>K21*J21</f>
        <v>168400</v>
      </c>
      <c r="L19" s="84"/>
    </row>
    <row r="20" spans="2:12" ht="22.15" customHeight="1">
      <c r="B20" s="81"/>
      <c r="C20" s="22" t="s">
        <v>24</v>
      </c>
      <c r="D20" s="23"/>
      <c r="E20" s="7"/>
      <c r="F20" s="44">
        <v>0</v>
      </c>
      <c r="G20" s="14"/>
      <c r="H20" s="4"/>
      <c r="I20" s="5"/>
      <c r="J20" s="9"/>
      <c r="K20" s="5"/>
      <c r="L20" s="84"/>
    </row>
    <row r="21" spans="2:12" ht="22.5" customHeight="1">
      <c r="B21" s="81"/>
      <c r="C21" s="22" t="s">
        <v>25</v>
      </c>
      <c r="D21" s="23"/>
      <c r="E21" s="7"/>
      <c r="F21" s="44">
        <v>0</v>
      </c>
      <c r="G21" s="14"/>
      <c r="H21" s="34" t="s">
        <v>26</v>
      </c>
      <c r="I21" s="33"/>
      <c r="J21" s="53">
        <v>4.21</v>
      </c>
      <c r="K21" s="94">
        <v>40000</v>
      </c>
      <c r="L21" s="84"/>
    </row>
    <row r="22" spans="2:12" ht="22.15" customHeight="1">
      <c r="B22" s="81"/>
      <c r="C22" s="22" t="s">
        <v>27</v>
      </c>
      <c r="D22" s="23"/>
      <c r="E22" s="7"/>
      <c r="F22" s="44">
        <v>0</v>
      </c>
      <c r="G22" s="14"/>
      <c r="H22" s="61" t="s">
        <v>28</v>
      </c>
      <c r="I22" s="60">
        <f>K8</f>
        <v>8907.3634204275531</v>
      </c>
      <c r="J22" s="10"/>
      <c r="K22" s="5"/>
      <c r="L22" s="84"/>
    </row>
    <row r="23" spans="2:12" ht="22.15" customHeight="1">
      <c r="B23" s="81"/>
      <c r="C23" s="22" t="s">
        <v>29</v>
      </c>
      <c r="D23" s="23"/>
      <c r="E23" s="7"/>
      <c r="F23" s="44">
        <v>0</v>
      </c>
      <c r="G23" s="14"/>
      <c r="H23" s="8"/>
      <c r="I23" s="5"/>
      <c r="J23" s="10"/>
      <c r="K23" s="5"/>
      <c r="L23" s="84"/>
    </row>
    <row r="24" spans="2:12" ht="22.15" customHeight="1">
      <c r="B24" s="81"/>
      <c r="C24" s="24" t="s">
        <v>30</v>
      </c>
      <c r="D24" s="25"/>
      <c r="E24" s="7"/>
      <c r="F24" s="44">
        <v>0</v>
      </c>
      <c r="G24" s="14"/>
      <c r="H24" s="35" t="s">
        <v>15</v>
      </c>
      <c r="I24" s="33"/>
      <c r="J24" s="54">
        <v>0.1045</v>
      </c>
      <c r="K24" s="67">
        <f>K21*J11</f>
        <v>4179.0000000000018</v>
      </c>
      <c r="L24" s="84"/>
    </row>
    <row r="25" spans="2:12" ht="22.15" customHeight="1">
      <c r="B25" s="81"/>
      <c r="C25" s="4"/>
      <c r="D25" s="5"/>
      <c r="E25" s="7"/>
      <c r="F25" s="26"/>
      <c r="G25" s="14"/>
      <c r="H25" s="13"/>
      <c r="I25" s="15"/>
      <c r="J25" s="5"/>
      <c r="K25" s="5"/>
      <c r="L25" s="84"/>
    </row>
    <row r="26" spans="2:12" ht="22.15" customHeight="1">
      <c r="B26" s="81"/>
      <c r="C26" s="20" t="s">
        <v>31</v>
      </c>
      <c r="D26" s="21"/>
      <c r="E26" s="7"/>
      <c r="F26" s="45"/>
      <c r="G26" s="14"/>
      <c r="H26" s="13"/>
      <c r="I26" s="15"/>
      <c r="J26" s="5"/>
      <c r="K26" s="5"/>
      <c r="L26" s="84"/>
    </row>
    <row r="27" spans="2:12" ht="22.15" customHeight="1">
      <c r="B27" s="81"/>
      <c r="C27" s="22" t="s">
        <v>32</v>
      </c>
      <c r="D27" s="23"/>
      <c r="E27" s="7"/>
      <c r="F27" s="44">
        <v>0</v>
      </c>
      <c r="G27" s="14"/>
      <c r="H27" s="52" t="s">
        <v>33</v>
      </c>
      <c r="I27" s="15"/>
      <c r="J27" s="5"/>
      <c r="K27" s="62">
        <f>F5-F13+F14-F15+SUM(F18:F24)-SUM(F26:F35)+F37+F38-SUM(F43:F49)</f>
        <v>100000</v>
      </c>
      <c r="L27" s="84"/>
    </row>
    <row r="28" spans="2:12" ht="22.15" customHeight="1">
      <c r="B28" s="81"/>
      <c r="C28" s="22" t="s">
        <v>34</v>
      </c>
      <c r="D28" s="23"/>
      <c r="E28" s="7"/>
      <c r="F28" s="44">
        <v>0</v>
      </c>
      <c r="G28" s="14"/>
      <c r="H28" s="52" t="s">
        <v>35</v>
      </c>
      <c r="I28" s="15"/>
      <c r="J28" s="5"/>
      <c r="K28" s="65">
        <f>I58</f>
        <v>25000</v>
      </c>
      <c r="L28" s="84"/>
    </row>
    <row r="29" spans="2:12" ht="22.15" customHeight="1">
      <c r="B29" s="81"/>
      <c r="C29" s="22" t="s">
        <v>36</v>
      </c>
      <c r="D29" s="23"/>
      <c r="E29" s="7"/>
      <c r="F29" s="44">
        <v>0</v>
      </c>
      <c r="G29" s="14"/>
      <c r="H29" s="13"/>
      <c r="I29" s="64" t="s">
        <v>37</v>
      </c>
      <c r="J29" s="5"/>
      <c r="K29" s="66">
        <f>H58</f>
        <v>0</v>
      </c>
      <c r="L29" s="84"/>
    </row>
    <row r="30" spans="2:12" ht="22.15" customHeight="1">
      <c r="B30" s="81"/>
      <c r="C30" s="22" t="s">
        <v>38</v>
      </c>
      <c r="D30" s="23"/>
      <c r="E30" s="7"/>
      <c r="F30" s="44">
        <v>0</v>
      </c>
      <c r="G30" s="14"/>
      <c r="H30" s="52"/>
      <c r="I30" s="15"/>
      <c r="J30" s="5"/>
      <c r="K30" s="59"/>
      <c r="L30" s="84"/>
    </row>
    <row r="31" spans="2:12" ht="22.15" customHeight="1">
      <c r="B31" s="81"/>
      <c r="C31" s="22" t="s">
        <v>39</v>
      </c>
      <c r="D31" s="23"/>
      <c r="E31" s="7"/>
      <c r="F31" s="44">
        <v>0</v>
      </c>
      <c r="G31" s="14"/>
      <c r="H31" s="52" t="s">
        <v>40</v>
      </c>
      <c r="I31" s="15"/>
      <c r="J31" s="5"/>
      <c r="K31" s="59">
        <f>G57-K19</f>
        <v>-68400</v>
      </c>
      <c r="L31" s="84"/>
    </row>
    <row r="32" spans="2:12" ht="22.15" customHeight="1">
      <c r="B32" s="81"/>
      <c r="C32" s="22" t="s">
        <v>41</v>
      </c>
      <c r="D32" s="23"/>
      <c r="E32" s="7"/>
      <c r="F32" s="44">
        <v>0</v>
      </c>
      <c r="G32" s="14"/>
      <c r="H32" s="52" t="s">
        <v>35</v>
      </c>
      <c r="I32" s="15"/>
      <c r="J32" s="5"/>
      <c r="K32" s="59">
        <f>J58+K58</f>
        <v>-17100</v>
      </c>
      <c r="L32" s="84"/>
    </row>
    <row r="33" spans="2:12" ht="22.15" customHeight="1">
      <c r="B33" s="81"/>
      <c r="C33" s="22" t="s">
        <v>42</v>
      </c>
      <c r="D33" s="23"/>
      <c r="E33" s="7"/>
      <c r="F33" s="44">
        <v>0</v>
      </c>
      <c r="G33" s="14"/>
      <c r="H33" s="13"/>
      <c r="I33" s="64" t="s">
        <v>37</v>
      </c>
      <c r="J33" s="5"/>
      <c r="K33" s="59">
        <f>H58</f>
        <v>0</v>
      </c>
      <c r="L33" s="84"/>
    </row>
    <row r="34" spans="2:12" ht="22.15" customHeight="1">
      <c r="B34" s="81"/>
      <c r="C34" s="22" t="s">
        <v>43</v>
      </c>
      <c r="D34" s="23"/>
      <c r="E34" s="7"/>
      <c r="F34" s="44">
        <v>0</v>
      </c>
      <c r="G34" s="14"/>
      <c r="H34" s="13"/>
      <c r="I34" s="15"/>
      <c r="J34" s="5"/>
      <c r="K34" s="5"/>
      <c r="L34" s="84"/>
    </row>
    <row r="35" spans="2:12" ht="22.15" customHeight="1">
      <c r="B35" s="81"/>
      <c r="C35" s="24" t="s">
        <v>44</v>
      </c>
      <c r="D35" s="25"/>
      <c r="E35" s="7"/>
      <c r="F35" s="44">
        <v>0</v>
      </c>
      <c r="G35" s="14"/>
      <c r="H35" s="13"/>
      <c r="I35" s="15"/>
      <c r="J35" s="5"/>
      <c r="K35" s="5"/>
      <c r="L35" s="84"/>
    </row>
    <row r="36" spans="2:12" ht="22.15" customHeight="1">
      <c r="B36" s="81"/>
      <c r="C36" s="4"/>
      <c r="D36" s="5"/>
      <c r="E36" s="7"/>
      <c r="F36" s="26"/>
      <c r="G36" s="14"/>
      <c r="H36" s="13"/>
      <c r="I36" s="15"/>
      <c r="J36" s="5"/>
      <c r="K36" s="5"/>
      <c r="L36" s="84"/>
    </row>
    <row r="37" spans="2:12" ht="22.15" customHeight="1">
      <c r="B37" s="81"/>
      <c r="C37" s="27" t="s">
        <v>45</v>
      </c>
      <c r="D37" s="28"/>
      <c r="E37" s="7"/>
      <c r="F37" s="43">
        <v>0</v>
      </c>
      <c r="G37" s="14"/>
      <c r="H37" s="50" t="s">
        <v>46</v>
      </c>
      <c r="I37" s="36"/>
      <c r="J37" s="37"/>
      <c r="K37" s="59">
        <f>IF(F6="oui",(100000*0.204)+(K31-100000)*0.25,K31*0.25)-F52-F53-F54-F55</f>
        <v>-17100</v>
      </c>
      <c r="L37" s="84"/>
    </row>
    <row r="38" spans="2:12" ht="22.15" customHeight="1">
      <c r="B38" s="81"/>
      <c r="C38" s="29" t="s">
        <v>47</v>
      </c>
      <c r="D38" s="30"/>
      <c r="E38" s="7"/>
      <c r="F38" s="43">
        <v>0</v>
      </c>
      <c r="G38" s="14"/>
      <c r="H38" s="51" t="s">
        <v>48</v>
      </c>
      <c r="I38" s="38"/>
      <c r="J38" s="39"/>
      <c r="K38" s="66">
        <f>I58-F52-F53-F54-F55</f>
        <v>25000</v>
      </c>
      <c r="L38" s="84"/>
    </row>
    <row r="39" spans="2:12" ht="22.15" customHeight="1">
      <c r="B39" s="81"/>
      <c r="C39" s="29" t="s">
        <v>49</v>
      </c>
      <c r="D39" s="30"/>
      <c r="E39" s="7"/>
      <c r="F39" s="43">
        <v>0</v>
      </c>
      <c r="G39" s="14"/>
      <c r="H39" s="11"/>
      <c r="I39" s="12"/>
      <c r="J39" s="11"/>
      <c r="K39" s="16"/>
      <c r="L39" s="84"/>
    </row>
    <row r="40" spans="2:12" ht="22.15" customHeight="1">
      <c r="B40" s="81"/>
      <c r="C40" s="49" t="s">
        <v>50</v>
      </c>
      <c r="D40" s="31"/>
      <c r="E40" s="7"/>
      <c r="F40" s="43">
        <v>0</v>
      </c>
      <c r="G40" s="14"/>
      <c r="H40" s="70" t="s">
        <v>51</v>
      </c>
      <c r="I40" s="71"/>
      <c r="J40" s="72"/>
      <c r="K40" s="68">
        <f>(F58+G58-(K19*F9))*6.75%</f>
        <v>-1154.25</v>
      </c>
      <c r="L40" s="84"/>
    </row>
    <row r="41" spans="2:12" ht="22.15" customHeight="1">
      <c r="B41" s="81"/>
      <c r="C41" s="4"/>
      <c r="D41" s="5"/>
      <c r="E41" s="7"/>
      <c r="F41" s="26"/>
      <c r="G41" s="14"/>
      <c r="H41" s="52" t="s">
        <v>52</v>
      </c>
      <c r="I41" s="12"/>
      <c r="J41" s="11"/>
      <c r="K41" s="68">
        <f>(F58+G58)*6.75%</f>
        <v>1687.5</v>
      </c>
      <c r="L41" s="84"/>
    </row>
    <row r="42" spans="2:12" ht="22.15" customHeight="1">
      <c r="B42" s="81"/>
      <c r="C42" s="20" t="s">
        <v>53</v>
      </c>
      <c r="D42" s="21"/>
      <c r="E42" s="7"/>
      <c r="F42" s="26"/>
      <c r="G42" s="14"/>
      <c r="H42" s="70" t="s">
        <v>54</v>
      </c>
      <c r="I42" s="12"/>
      <c r="J42" s="11"/>
      <c r="K42" s="69">
        <f>F52*9%+F53*7.5%+F54*6%+F55*4.5%</f>
        <v>0</v>
      </c>
      <c r="L42" s="84"/>
    </row>
    <row r="43" spans="2:12" ht="22.15" customHeight="1">
      <c r="B43" s="81"/>
      <c r="C43" s="22" t="s">
        <v>55</v>
      </c>
      <c r="D43" s="23"/>
      <c r="E43" s="7"/>
      <c r="F43" s="43">
        <v>0</v>
      </c>
      <c r="G43" s="14"/>
      <c r="H43" s="13"/>
      <c r="I43" s="15"/>
      <c r="J43" s="5"/>
      <c r="K43" s="5"/>
      <c r="L43" s="84"/>
    </row>
    <row r="44" spans="2:12" ht="22.15" customHeight="1">
      <c r="B44" s="81"/>
      <c r="C44" s="22" t="s">
        <v>56</v>
      </c>
      <c r="D44" s="23"/>
      <c r="E44" s="7"/>
      <c r="F44" s="43">
        <v>0</v>
      </c>
      <c r="G44" s="14"/>
      <c r="H44" s="13"/>
      <c r="I44" s="15"/>
      <c r="J44" s="5"/>
      <c r="K44" s="5"/>
      <c r="L44" s="84"/>
    </row>
    <row r="45" spans="2:12" ht="22.15" customHeight="1">
      <c r="B45" s="81"/>
      <c r="C45" s="22" t="s">
        <v>57</v>
      </c>
      <c r="D45" s="23"/>
      <c r="E45" s="7"/>
      <c r="F45" s="43">
        <v>0</v>
      </c>
      <c r="G45" s="14"/>
      <c r="H45" s="13"/>
      <c r="I45" s="15"/>
      <c r="J45" s="5"/>
      <c r="K45" s="5"/>
      <c r="L45" s="84"/>
    </row>
    <row r="46" spans="2:12" ht="22.15" customHeight="1">
      <c r="B46" s="81"/>
      <c r="C46" s="22" t="s">
        <v>58</v>
      </c>
      <c r="D46" s="23"/>
      <c r="E46" s="7"/>
      <c r="F46" s="43">
        <v>0</v>
      </c>
      <c r="G46" s="14"/>
      <c r="H46" s="95" t="s">
        <v>59</v>
      </c>
      <c r="I46" s="104"/>
      <c r="J46" s="104"/>
      <c r="K46" s="100">
        <v>5.2499999999999998E-2</v>
      </c>
      <c r="L46" s="84"/>
    </row>
    <row r="47" spans="2:12" ht="22.15" customHeight="1">
      <c r="B47" s="81"/>
      <c r="C47" s="22" t="s">
        <v>60</v>
      </c>
      <c r="D47" s="23"/>
      <c r="E47" s="7"/>
      <c r="F47" s="43">
        <v>0</v>
      </c>
      <c r="G47" s="14"/>
      <c r="H47" s="96"/>
      <c r="I47" s="16"/>
      <c r="J47" s="16"/>
      <c r="K47" s="101">
        <f>D84</f>
        <v>2100</v>
      </c>
      <c r="L47" s="84"/>
    </row>
    <row r="48" spans="2:12" ht="22.15" customHeight="1">
      <c r="B48" s="81"/>
      <c r="C48" s="22" t="s">
        <v>61</v>
      </c>
      <c r="D48" s="23"/>
      <c r="E48" s="7"/>
      <c r="F48" s="43">
        <v>0</v>
      </c>
      <c r="G48" s="14"/>
      <c r="H48" s="97" t="s">
        <v>62</v>
      </c>
      <c r="I48" s="16"/>
      <c r="J48" s="16"/>
      <c r="K48" s="102">
        <v>5.1999999999999998E-2</v>
      </c>
      <c r="L48" s="84"/>
    </row>
    <row r="49" spans="1:14" ht="22.15" customHeight="1">
      <c r="B49" s="81"/>
      <c r="C49" s="24" t="s">
        <v>63</v>
      </c>
      <c r="D49" s="25"/>
      <c r="E49" s="7"/>
      <c r="F49" s="43">
        <v>0</v>
      </c>
      <c r="G49" s="14"/>
      <c r="H49" s="98" t="s">
        <v>64</v>
      </c>
      <c r="I49" s="16"/>
      <c r="J49" s="16"/>
      <c r="K49" s="101">
        <f>D86</f>
        <v>2079</v>
      </c>
      <c r="L49" s="84"/>
    </row>
    <row r="50" spans="1:14" ht="22.15" customHeight="1">
      <c r="B50" s="81"/>
      <c r="C50" s="4"/>
      <c r="D50" s="5"/>
      <c r="E50" s="7"/>
      <c r="F50" s="26"/>
      <c r="G50" s="14"/>
      <c r="H50" s="97" t="s">
        <v>65</v>
      </c>
      <c r="I50" s="16"/>
      <c r="J50" s="16"/>
      <c r="K50" s="102">
        <v>0.1045</v>
      </c>
      <c r="L50" s="84"/>
    </row>
    <row r="51" spans="1:14" ht="22.15" customHeight="1">
      <c r="B51" s="81"/>
      <c r="C51" s="27" t="s">
        <v>66</v>
      </c>
      <c r="D51" s="28"/>
      <c r="E51" s="7"/>
      <c r="F51" s="26"/>
      <c r="G51" s="14"/>
      <c r="H51" s="96"/>
      <c r="I51" s="16"/>
      <c r="J51" s="16"/>
      <c r="K51" s="101">
        <f>K24</f>
        <v>4179.0000000000018</v>
      </c>
      <c r="L51" s="84"/>
    </row>
    <row r="52" spans="1:14" ht="22.15" customHeight="1">
      <c r="B52" s="81"/>
      <c r="C52" s="40" t="s">
        <v>67</v>
      </c>
      <c r="D52" s="30"/>
      <c r="E52" s="7"/>
      <c r="F52" s="43">
        <v>0</v>
      </c>
      <c r="G52" s="14"/>
      <c r="H52" s="97" t="s">
        <v>68</v>
      </c>
      <c r="I52" s="16"/>
      <c r="J52" s="16"/>
      <c r="K52" s="102">
        <f>D88</f>
        <v>0.17551875</v>
      </c>
      <c r="L52" s="84"/>
    </row>
    <row r="53" spans="1:14" ht="22.15" customHeight="1">
      <c r="B53" s="81"/>
      <c r="C53" s="40" t="s">
        <v>69</v>
      </c>
      <c r="D53" s="30"/>
      <c r="E53" s="7"/>
      <c r="F53" s="43">
        <v>0</v>
      </c>
      <c r="G53" s="14"/>
      <c r="H53" s="98" t="s">
        <v>70</v>
      </c>
      <c r="I53" s="16"/>
      <c r="J53" s="16"/>
      <c r="K53" s="101">
        <f>K51+D85</f>
        <v>7020.7500000000018</v>
      </c>
      <c r="L53" s="84"/>
    </row>
    <row r="54" spans="1:14" ht="22.15" customHeight="1">
      <c r="B54" s="81"/>
      <c r="C54" s="40" t="s">
        <v>71</v>
      </c>
      <c r="D54" s="30"/>
      <c r="E54" s="7"/>
      <c r="F54" s="43">
        <v>0</v>
      </c>
      <c r="G54" s="14"/>
      <c r="H54" s="97" t="s">
        <v>72</v>
      </c>
      <c r="I54" s="16"/>
      <c r="J54" s="16"/>
      <c r="K54" s="102" t="str">
        <f>D92</f>
        <v>pas de bonification</v>
      </c>
      <c r="L54" s="84"/>
    </row>
    <row r="55" spans="1:14" ht="22.15" customHeight="1">
      <c r="B55" s="81"/>
      <c r="C55" s="41" t="s">
        <v>73</v>
      </c>
      <c r="D55" s="31"/>
      <c r="E55" s="7"/>
      <c r="F55" s="43">
        <v>0</v>
      </c>
      <c r="G55" s="14"/>
      <c r="H55" s="99" t="s">
        <v>74</v>
      </c>
      <c r="I55" s="105"/>
      <c r="J55" s="105"/>
      <c r="K55" s="103">
        <f>K42</f>
        <v>0</v>
      </c>
      <c r="L55" s="84"/>
    </row>
    <row r="56" spans="1:14" ht="22.15" customHeight="1" thickBot="1">
      <c r="B56" s="82"/>
      <c r="C56" s="85"/>
      <c r="D56" s="86"/>
      <c r="E56" s="87"/>
      <c r="F56" s="86"/>
      <c r="G56" s="88"/>
      <c r="H56" s="89"/>
      <c r="I56" s="90"/>
      <c r="J56" s="83"/>
      <c r="K56" s="91"/>
      <c r="L56" s="92"/>
    </row>
    <row r="57" spans="1:14" ht="22.15" customHeight="1">
      <c r="A57" s="144"/>
      <c r="B57" s="15"/>
      <c r="C57" s="107" t="s">
        <v>75</v>
      </c>
      <c r="D57" s="15"/>
      <c r="E57" s="108"/>
      <c r="F57" s="15"/>
      <c r="G57" s="109">
        <f>F5-F13+F14-F15+SUM(F18:F24)-SUM(F26:F35)+F37+F38-SUM(F43:F49)</f>
        <v>100000</v>
      </c>
      <c r="H57" s="110">
        <f>G57-G61</f>
        <v>62500</v>
      </c>
      <c r="I57" s="111"/>
      <c r="J57" s="15"/>
      <c r="K57" s="15"/>
      <c r="L57" s="15"/>
    </row>
    <row r="58" spans="1:14" ht="22.15" customHeight="1">
      <c r="A58" s="144"/>
      <c r="B58" s="15"/>
      <c r="C58" s="107" t="s">
        <v>76</v>
      </c>
      <c r="D58" s="112"/>
      <c r="E58" s="112"/>
      <c r="F58" s="113">
        <f>IF(F6="non",0,(MIN(G57,100000)*F8))</f>
        <v>0</v>
      </c>
      <c r="G58" s="114">
        <f>IF(F6="non",G57*F9,((MAX(0,(G57-100000))*F9)))</f>
        <v>25000</v>
      </c>
      <c r="H58" s="115">
        <f>10%*F40</f>
        <v>0</v>
      </c>
      <c r="I58" s="116">
        <f>F58+G58</f>
        <v>25000</v>
      </c>
      <c r="J58" s="15">
        <f>IF(F6="non",0,(MIN(K31,100000)*F8))</f>
        <v>0</v>
      </c>
      <c r="K58" s="15">
        <f>IF(F6="non",K31*F9,((MAX(0,(K31-100000))*F9)))</f>
        <v>-17100</v>
      </c>
      <c r="L58" s="15"/>
    </row>
    <row r="59" spans="1:14" ht="22.15" customHeight="1">
      <c r="A59" s="144"/>
      <c r="B59" s="15"/>
      <c r="C59" s="107" t="s">
        <v>77</v>
      </c>
      <c r="D59" s="15"/>
      <c r="E59" s="15"/>
      <c r="F59" s="113" t="s">
        <v>78</v>
      </c>
      <c r="G59" s="117">
        <f>F5-F58-G58-H58-F13+F14-F15-F39+(SUM(F18:F24))-SUM(F27:F35)</f>
        <v>75000</v>
      </c>
      <c r="H59" s="118"/>
      <c r="I59" s="15"/>
      <c r="J59" s="119"/>
      <c r="K59" s="15"/>
      <c r="L59" s="15"/>
      <c r="N59" s="1"/>
    </row>
    <row r="60" spans="1:14" ht="22.15" customHeight="1">
      <c r="A60" s="144"/>
      <c r="B60" s="15"/>
      <c r="C60" s="120"/>
      <c r="D60" s="15"/>
      <c r="E60" s="15"/>
      <c r="F60" s="15"/>
      <c r="G60" s="110"/>
      <c r="H60" s="121"/>
      <c r="I60" s="15"/>
      <c r="J60" s="119"/>
      <c r="K60" s="15"/>
      <c r="L60" s="15"/>
    </row>
    <row r="61" spans="1:14" ht="26.25" customHeight="1">
      <c r="A61" s="144"/>
      <c r="B61" s="15"/>
      <c r="C61" s="107" t="s">
        <v>10</v>
      </c>
      <c r="D61" s="15"/>
      <c r="E61" s="122">
        <v>0.5</v>
      </c>
      <c r="F61" s="15"/>
      <c r="G61" s="123">
        <f>MAX((MIN((G59*E61),(G58/F9),2000000,(F5-F13-F14+F15-F38-F39-F58-G58-H58-F40))),0)</f>
        <v>37500</v>
      </c>
      <c r="H61" s="155"/>
      <c r="I61" s="155"/>
      <c r="J61" s="155"/>
      <c r="K61" s="155"/>
      <c r="L61" s="155"/>
      <c r="N61" s="2"/>
    </row>
    <row r="62" spans="1:14" ht="23.45">
      <c r="A62" s="144"/>
      <c r="B62" s="15"/>
      <c r="C62" s="107"/>
      <c r="D62" s="15"/>
      <c r="E62" s="122"/>
      <c r="F62" s="15"/>
      <c r="G62" s="117"/>
      <c r="H62" s="155"/>
      <c r="I62" s="155"/>
      <c r="J62" s="155"/>
      <c r="K62" s="155"/>
      <c r="L62" s="155"/>
      <c r="N62" s="2"/>
    </row>
    <row r="63" spans="1:14" ht="30">
      <c r="A63" s="144"/>
      <c r="B63" s="15"/>
      <c r="C63" s="107" t="s">
        <v>12</v>
      </c>
      <c r="D63" s="15"/>
      <c r="E63" s="122">
        <v>4.21</v>
      </c>
      <c r="F63" s="15"/>
      <c r="G63" s="123">
        <f>IF(AND(F5&lt;111000, F6="oui"),"Pas d'investissement TS ",IF(G61/E63&lt; 475059, G61/E63, 475059))</f>
        <v>8907.3634204275531</v>
      </c>
      <c r="H63" s="116"/>
      <c r="I63" s="15"/>
      <c r="J63" s="124"/>
      <c r="K63" s="125"/>
      <c r="L63" s="15"/>
    </row>
    <row r="64" spans="1:14" ht="22.15" customHeight="1">
      <c r="A64" s="144"/>
      <c r="B64" s="15"/>
      <c r="C64" s="107" t="s">
        <v>79</v>
      </c>
      <c r="D64" s="15"/>
      <c r="E64" s="122"/>
      <c r="F64" s="15"/>
      <c r="G64" s="117"/>
      <c r="H64" s="112"/>
      <c r="I64" s="15"/>
      <c r="J64" s="124"/>
      <c r="K64" s="125"/>
      <c r="L64" s="15"/>
    </row>
    <row r="65" spans="1:12" ht="22.15" customHeight="1">
      <c r="A65" s="144"/>
      <c r="B65" s="15"/>
      <c r="C65" s="107"/>
      <c r="D65" s="15"/>
      <c r="E65" s="122"/>
      <c r="F65" s="15"/>
      <c r="G65" s="117"/>
      <c r="H65" s="112"/>
      <c r="I65" s="15"/>
      <c r="J65" s="124"/>
      <c r="K65" s="125"/>
      <c r="L65" s="15"/>
    </row>
    <row r="66" spans="1:12" ht="30">
      <c r="A66" s="144"/>
      <c r="B66" s="15"/>
      <c r="C66" s="126" t="s">
        <v>15</v>
      </c>
      <c r="D66" s="15"/>
      <c r="E66" s="15"/>
      <c r="F66" s="127">
        <f>IF(AND(F5&lt;111000, F6="oui"),"pas d'investissement TS",(G67+G71)/G63)</f>
        <v>0.10447500000000004</v>
      </c>
      <c r="G66" s="128">
        <f>IF(AND(F5&lt;111000, F6="oui"), "pas d'investissement TS",G67+G71)</f>
        <v>930.59679334916893</v>
      </c>
      <c r="H66" s="15"/>
      <c r="I66" s="129"/>
      <c r="J66" s="15"/>
      <c r="K66" s="125"/>
      <c r="L66" s="15"/>
    </row>
    <row r="67" spans="1:12" ht="22.15" customHeight="1">
      <c r="A67" s="144"/>
      <c r="B67" s="15"/>
      <c r="C67" s="107" t="s">
        <v>80</v>
      </c>
      <c r="D67" s="15"/>
      <c r="E67" s="15"/>
      <c r="F67" s="130">
        <f>IF(AND(F5&lt;111000, F6="oui"),"Pas d'investissement TS",G67/G63)</f>
        <v>5.1975E-2</v>
      </c>
      <c r="G67" s="131">
        <f>IF(AND(F5&lt;111000, F6="oui"),"pas d'investissement TS",G63*((4.5%+G69)*1.5*0.75))</f>
        <v>462.96021377672207</v>
      </c>
      <c r="H67" s="15"/>
      <c r="I67" s="15"/>
      <c r="J67" s="15"/>
      <c r="K67" s="15"/>
      <c r="L67" s="110"/>
    </row>
    <row r="68" spans="1:12" ht="22.15" customHeight="1">
      <c r="A68" s="144"/>
      <c r="B68" s="15"/>
      <c r="C68" s="107" t="s">
        <v>81</v>
      </c>
      <c r="D68" s="15"/>
      <c r="E68" s="15"/>
      <c r="F68" s="15"/>
      <c r="G68" s="15"/>
      <c r="H68" s="15"/>
      <c r="I68" s="15"/>
      <c r="J68" s="15"/>
      <c r="K68" s="15"/>
      <c r="L68" s="110"/>
    </row>
    <row r="69" spans="1:12" ht="22.15" customHeight="1">
      <c r="A69" s="144"/>
      <c r="B69" s="15"/>
      <c r="C69" s="107" t="s">
        <v>82</v>
      </c>
      <c r="D69" s="15"/>
      <c r="E69" s="15"/>
      <c r="F69" s="15"/>
      <c r="G69" s="132">
        <v>1.1999999999999999E-3</v>
      </c>
      <c r="H69" s="15"/>
      <c r="I69" s="133"/>
      <c r="J69" s="15"/>
      <c r="K69" s="15"/>
      <c r="L69" s="110"/>
    </row>
    <row r="70" spans="1:12" ht="22.15" customHeight="1">
      <c r="A70" s="144"/>
      <c r="B70" s="15"/>
      <c r="C70" s="107" t="s">
        <v>83</v>
      </c>
      <c r="D70" s="112"/>
      <c r="E70" s="15"/>
      <c r="F70" s="15"/>
      <c r="G70" s="121"/>
      <c r="H70" s="15"/>
      <c r="I70" s="15"/>
      <c r="J70" s="15"/>
      <c r="K70" s="15"/>
      <c r="L70" s="110"/>
    </row>
    <row r="71" spans="1:12" ht="22.15" customHeight="1">
      <c r="A71" s="144"/>
      <c r="B71" s="15"/>
      <c r="C71" s="145" t="s">
        <v>84</v>
      </c>
      <c r="D71" s="145"/>
      <c r="E71" s="15"/>
      <c r="F71" s="130">
        <f>IF(AND(F5&lt;111000, F6="oui"), "pas d'investissement TS",G71/G63)</f>
        <v>5.250000000000004E-2</v>
      </c>
      <c r="G71" s="131">
        <f>IF(AND(F5&lt;111000, F6="oui"),"pas d'investissement TS",G61*25%-G63)</f>
        <v>467.63657957244686</v>
      </c>
      <c r="H71" s="15"/>
      <c r="I71" s="15"/>
      <c r="J71" s="15"/>
      <c r="K71" s="15"/>
      <c r="L71" s="110"/>
    </row>
    <row r="72" spans="1:12" ht="28.15">
      <c r="A72" s="144"/>
      <c r="B72" s="15"/>
      <c r="C72" s="107" t="s">
        <v>85</v>
      </c>
      <c r="D72" s="134"/>
      <c r="E72" s="15"/>
      <c r="F72" s="15"/>
      <c r="G72" s="135">
        <f>IF(F6="OUI",(100000*0.204)+(H57-100000)*0.25,H57*0.25)-F52-F53-F54-F55</f>
        <v>15625</v>
      </c>
      <c r="H72" s="116"/>
      <c r="I72" s="136"/>
      <c r="J72" s="15"/>
      <c r="K72" s="15"/>
      <c r="L72" s="110"/>
    </row>
    <row r="73" spans="1:12" ht="28.15">
      <c r="A73" s="144"/>
      <c r="B73" s="15"/>
      <c r="C73" s="107" t="s">
        <v>86</v>
      </c>
      <c r="D73" s="134"/>
      <c r="E73" s="15"/>
      <c r="F73" s="15"/>
      <c r="G73" s="135">
        <f>I58-F52-F53-F54-F55</f>
        <v>25000</v>
      </c>
      <c r="H73" s="15"/>
      <c r="I73" s="136"/>
      <c r="J73" s="15"/>
      <c r="K73" s="15"/>
      <c r="L73" s="110"/>
    </row>
    <row r="74" spans="1:12" ht="22.15" customHeight="1">
      <c r="A74" s="144"/>
      <c r="B74" s="15"/>
      <c r="C74" s="15"/>
      <c r="D74" s="134"/>
      <c r="E74" s="15"/>
      <c r="F74" s="15"/>
      <c r="G74" s="117"/>
      <c r="H74" s="15"/>
      <c r="I74" s="136"/>
      <c r="J74" s="15"/>
      <c r="K74" s="15"/>
      <c r="L74" s="110"/>
    </row>
    <row r="75" spans="1:12" ht="22.15" customHeight="1">
      <c r="A75" s="144"/>
      <c r="B75" s="15"/>
      <c r="C75" s="107" t="s">
        <v>87</v>
      </c>
      <c r="D75" s="134"/>
      <c r="E75" s="15"/>
      <c r="F75" s="15"/>
      <c r="G75" s="137">
        <f>(F58+G58-(G61*F9))*6.75%</f>
        <v>1054.6875</v>
      </c>
      <c r="H75" s="15"/>
      <c r="I75" s="136"/>
      <c r="J75" s="15"/>
      <c r="K75" s="15"/>
      <c r="L75" s="110"/>
    </row>
    <row r="76" spans="1:12" ht="22.15" customHeight="1">
      <c r="A76" s="144"/>
      <c r="B76" s="15"/>
      <c r="C76" s="107" t="s">
        <v>88</v>
      </c>
      <c r="D76" s="134"/>
      <c r="E76" s="15"/>
      <c r="F76" s="15"/>
      <c r="G76" s="137">
        <f>(F58+G58)*6.75%</f>
        <v>1687.5</v>
      </c>
      <c r="H76" s="15"/>
      <c r="I76" s="136"/>
      <c r="J76" s="15"/>
      <c r="K76" s="15"/>
      <c r="L76" s="110"/>
    </row>
    <row r="77" spans="1:12" ht="22.15" customHeight="1">
      <c r="A77" s="144"/>
      <c r="B77" s="15"/>
      <c r="C77" s="107" t="s">
        <v>54</v>
      </c>
      <c r="D77" s="134"/>
      <c r="E77" s="15"/>
      <c r="F77" s="15"/>
      <c r="G77" s="137">
        <f>F52*9%+F53*7.5%+F54*6%+F55*4.5%</f>
        <v>0</v>
      </c>
      <c r="H77" s="15"/>
      <c r="I77" s="136"/>
      <c r="J77" s="15"/>
      <c r="K77" s="15"/>
      <c r="L77" s="110"/>
    </row>
    <row r="78" spans="1:12" ht="22.15" customHeight="1">
      <c r="A78" s="144"/>
      <c r="B78" s="15"/>
      <c r="C78" s="15"/>
      <c r="D78" s="15"/>
      <c r="E78" s="15"/>
      <c r="F78" s="15"/>
      <c r="G78" s="15"/>
      <c r="H78" s="15"/>
      <c r="I78" s="15"/>
      <c r="J78" s="15"/>
      <c r="K78" s="15"/>
      <c r="L78" s="15"/>
    </row>
    <row r="79" spans="1:12" ht="22.15" customHeight="1">
      <c r="A79" s="144"/>
      <c r="B79" s="106"/>
      <c r="C79" s="106"/>
      <c r="D79" s="106"/>
      <c r="E79" s="106"/>
      <c r="F79" s="106"/>
      <c r="G79" s="106"/>
      <c r="H79" s="106"/>
      <c r="I79" s="106"/>
      <c r="J79" s="106"/>
      <c r="K79" s="106"/>
      <c r="L79" s="106"/>
    </row>
    <row r="80" spans="1:12" ht="22.15" customHeight="1">
      <c r="A80" s="144"/>
      <c r="B80" s="138"/>
      <c r="C80" s="106"/>
      <c r="D80" s="106"/>
      <c r="E80" s="106"/>
      <c r="F80" s="106"/>
      <c r="G80" s="106"/>
      <c r="H80" s="106"/>
      <c r="I80" s="106"/>
      <c r="J80" s="106"/>
      <c r="K80" s="106"/>
      <c r="L80" s="106"/>
    </row>
    <row r="81" spans="1:12" ht="22.15" customHeight="1">
      <c r="A81" s="144"/>
      <c r="B81" s="106"/>
      <c r="C81" s="106"/>
      <c r="D81" s="106"/>
      <c r="E81" s="106"/>
      <c r="F81" s="139"/>
      <c r="G81" s="106"/>
      <c r="H81" s="106"/>
      <c r="I81" s="106"/>
      <c r="J81" s="106"/>
      <c r="K81" s="106"/>
      <c r="L81" s="106"/>
    </row>
    <row r="82" spans="1:12" ht="22.15" customHeight="1">
      <c r="A82" s="144"/>
      <c r="B82" s="106"/>
      <c r="C82" s="107" t="s">
        <v>89</v>
      </c>
      <c r="D82" s="106"/>
      <c r="E82" s="106"/>
      <c r="F82" s="106"/>
      <c r="G82" s="106"/>
      <c r="H82" s="106"/>
      <c r="I82" s="106"/>
      <c r="J82" s="106"/>
      <c r="K82" s="106"/>
      <c r="L82" s="106"/>
    </row>
    <row r="83" spans="1:12" ht="22.15" customHeight="1">
      <c r="A83" s="144"/>
      <c r="B83" s="106"/>
      <c r="C83" s="106" t="s">
        <v>90</v>
      </c>
      <c r="D83" s="140">
        <f>K21</f>
        <v>40000</v>
      </c>
      <c r="E83" s="106"/>
      <c r="F83" s="106"/>
      <c r="G83" s="106"/>
      <c r="H83" s="106"/>
      <c r="I83" s="106"/>
      <c r="J83" s="106"/>
      <c r="K83" s="106"/>
      <c r="L83" s="106"/>
    </row>
    <row r="84" spans="1:12" ht="22.15" customHeight="1">
      <c r="A84" s="144"/>
      <c r="B84" s="106"/>
      <c r="C84" s="106" t="s">
        <v>91</v>
      </c>
      <c r="D84" s="140">
        <f>D83*0.0525</f>
        <v>2100</v>
      </c>
      <c r="E84" s="106"/>
      <c r="F84" s="106"/>
      <c r="G84" s="106"/>
      <c r="H84" s="106"/>
      <c r="I84" s="106"/>
      <c r="J84" s="106"/>
      <c r="K84" s="106"/>
      <c r="L84" s="106"/>
    </row>
    <row r="85" spans="1:12" ht="22.15" customHeight="1">
      <c r="A85" s="144"/>
      <c r="B85" s="106"/>
      <c r="C85" s="106" t="s">
        <v>92</v>
      </c>
      <c r="D85" s="141">
        <f>K41-K40</f>
        <v>2841.75</v>
      </c>
      <c r="E85" s="106"/>
      <c r="F85" s="106"/>
      <c r="G85" s="106"/>
      <c r="H85" s="106"/>
      <c r="I85" s="106"/>
      <c r="J85" s="106"/>
      <c r="K85" s="106"/>
      <c r="L85" s="106"/>
    </row>
    <row r="86" spans="1:12" ht="22.15" customHeight="1">
      <c r="A86" s="144"/>
      <c r="B86" s="106"/>
      <c r="C86" s="106" t="s">
        <v>93</v>
      </c>
      <c r="D86" s="140">
        <f>D83*0.051975</f>
        <v>2079</v>
      </c>
      <c r="E86" s="106"/>
      <c r="F86" s="106"/>
      <c r="G86" s="106"/>
      <c r="H86" s="106"/>
      <c r="I86" s="106"/>
      <c r="J86" s="106"/>
      <c r="K86" s="106"/>
      <c r="L86" s="106"/>
    </row>
    <row r="87" spans="1:12" ht="22.15" customHeight="1">
      <c r="A87" s="144"/>
      <c r="B87" s="106"/>
      <c r="C87" s="106"/>
      <c r="D87" s="140">
        <f>SUM(D84:D86)</f>
        <v>7020.75</v>
      </c>
      <c r="E87" s="106"/>
      <c r="F87" s="106"/>
      <c r="G87" s="106"/>
      <c r="H87" s="106"/>
      <c r="I87" s="106"/>
      <c r="J87" s="106"/>
      <c r="K87" s="106"/>
      <c r="L87" s="106"/>
    </row>
    <row r="88" spans="1:12" ht="22.15" customHeight="1">
      <c r="A88" s="144"/>
      <c r="B88" s="106"/>
      <c r="C88" s="106"/>
      <c r="D88" s="142">
        <f>D87/D83</f>
        <v>0.17551875</v>
      </c>
      <c r="E88" s="106"/>
      <c r="F88" s="106"/>
      <c r="G88" s="106"/>
      <c r="H88" s="106"/>
      <c r="I88" s="106"/>
      <c r="J88" s="106"/>
      <c r="K88" s="106"/>
      <c r="L88" s="106"/>
    </row>
    <row r="89" spans="1:12" ht="22.15" customHeight="1">
      <c r="A89" s="144"/>
      <c r="B89" s="106"/>
      <c r="C89" s="106" t="s">
        <v>94</v>
      </c>
      <c r="D89" s="143">
        <f>G77</f>
        <v>0</v>
      </c>
      <c r="E89" s="106"/>
      <c r="F89" s="106"/>
      <c r="G89" s="106"/>
      <c r="H89" s="106"/>
      <c r="I89" s="106"/>
      <c r="J89" s="106"/>
      <c r="K89" s="106"/>
      <c r="L89" s="106"/>
    </row>
    <row r="90" spans="1:12" ht="22.15" customHeight="1">
      <c r="A90" s="144"/>
      <c r="B90" s="106"/>
      <c r="C90" s="106" t="s">
        <v>95</v>
      </c>
      <c r="D90" s="140">
        <f>SUM(F52:F55)</f>
        <v>0</v>
      </c>
      <c r="E90" s="106"/>
      <c r="F90" s="106"/>
      <c r="G90" s="106"/>
      <c r="H90" s="106"/>
      <c r="I90" s="106"/>
      <c r="J90" s="106"/>
      <c r="K90" s="106"/>
      <c r="L90" s="106"/>
    </row>
    <row r="91" spans="1:12" ht="22.15" customHeight="1">
      <c r="A91" s="144"/>
      <c r="B91" s="106"/>
      <c r="C91" s="106"/>
      <c r="D91" s="142"/>
      <c r="E91" s="106"/>
      <c r="F91" s="106"/>
      <c r="G91" s="106"/>
      <c r="H91" s="106"/>
      <c r="I91" s="106"/>
      <c r="J91" s="106"/>
      <c r="K91" s="106"/>
      <c r="L91" s="106"/>
    </row>
    <row r="92" spans="1:12" ht="22.15" customHeight="1">
      <c r="A92" s="144"/>
      <c r="B92" s="106"/>
      <c r="C92" s="106" t="s">
        <v>96</v>
      </c>
      <c r="D92" s="142" t="str">
        <f>IF(D90=0,"pas de bonification",D89/D90)</f>
        <v>pas de bonification</v>
      </c>
      <c r="E92" s="106"/>
      <c r="F92" s="106"/>
      <c r="G92" s="106"/>
      <c r="H92" s="106"/>
      <c r="I92" s="106"/>
      <c r="J92" s="106"/>
      <c r="K92" s="106"/>
      <c r="L92" s="106"/>
    </row>
    <row r="93" spans="1:12" ht="22.15" customHeight="1">
      <c r="A93" s="144"/>
      <c r="B93" s="106"/>
      <c r="C93" s="106"/>
      <c r="D93" s="106"/>
      <c r="E93" s="106"/>
      <c r="F93" s="106"/>
      <c r="G93" s="106"/>
      <c r="H93" s="106"/>
      <c r="I93" s="106"/>
      <c r="J93" s="106"/>
      <c r="K93" s="106"/>
      <c r="L93" s="106"/>
    </row>
    <row r="94" spans="1:12" ht="22.15" customHeight="1">
      <c r="A94" s="144"/>
      <c r="B94" s="106"/>
      <c r="C94" s="106"/>
      <c r="D94" s="106"/>
      <c r="E94" s="106"/>
      <c r="F94" s="106"/>
      <c r="G94" s="106"/>
      <c r="H94" s="106"/>
      <c r="I94" s="106"/>
      <c r="J94" s="106"/>
      <c r="K94" s="106"/>
      <c r="L94" s="106"/>
    </row>
    <row r="95" spans="1:12" ht="22.15" customHeight="1">
      <c r="A95" s="144"/>
      <c r="B95" s="106"/>
      <c r="C95" s="106"/>
      <c r="D95" s="106"/>
      <c r="E95" s="106"/>
      <c r="F95" s="106"/>
      <c r="G95" s="106"/>
      <c r="H95" s="106"/>
      <c r="I95" s="106"/>
      <c r="J95" s="106"/>
      <c r="K95" s="106"/>
      <c r="L95" s="106"/>
    </row>
    <row r="96" spans="1:12" ht="22.15" customHeight="1">
      <c r="A96" s="144"/>
      <c r="B96" s="106"/>
      <c r="C96" s="106"/>
      <c r="D96" s="106"/>
      <c r="E96" s="106"/>
      <c r="F96" s="106"/>
      <c r="G96" s="106"/>
      <c r="H96" s="106"/>
      <c r="I96" s="106"/>
      <c r="J96" s="106"/>
      <c r="K96" s="106"/>
      <c r="L96" s="106"/>
    </row>
    <row r="97" spans="1:12" ht="22.15" customHeight="1">
      <c r="A97" s="144"/>
      <c r="B97" s="144"/>
      <c r="C97" s="144"/>
      <c r="D97" s="144"/>
      <c r="E97" s="144"/>
      <c r="F97" s="144"/>
      <c r="G97" s="144"/>
      <c r="H97" s="144"/>
      <c r="I97" s="144"/>
      <c r="J97" s="144"/>
      <c r="K97" s="144"/>
      <c r="L97" s="144"/>
    </row>
    <row r="98" spans="1:12" ht="22.15" customHeight="1">
      <c r="A98" s="144"/>
      <c r="B98" s="144"/>
      <c r="C98" s="144"/>
      <c r="D98" s="144"/>
      <c r="E98" s="144"/>
      <c r="F98" s="144"/>
      <c r="G98" s="144"/>
      <c r="H98" s="144"/>
      <c r="I98" s="144"/>
      <c r="J98" s="144"/>
      <c r="K98" s="144"/>
      <c r="L98" s="144"/>
    </row>
    <row r="99" spans="1:12" ht="22.15" customHeight="1">
      <c r="A99" s="144"/>
      <c r="B99" s="144"/>
      <c r="C99" s="144"/>
      <c r="D99" s="144"/>
      <c r="E99" s="144"/>
      <c r="F99" s="144"/>
      <c r="G99" s="144"/>
      <c r="H99" s="144"/>
      <c r="I99" s="144"/>
      <c r="J99" s="144"/>
      <c r="K99" s="144"/>
      <c r="L99" s="144"/>
    </row>
    <row r="100" spans="1:12" ht="22.15" customHeight="1">
      <c r="B100" s="144"/>
      <c r="C100" s="144"/>
      <c r="D100" s="144"/>
      <c r="E100" s="144"/>
      <c r="F100" s="144"/>
      <c r="G100" s="144"/>
      <c r="H100" s="144"/>
      <c r="I100" s="144"/>
      <c r="J100" s="144"/>
      <c r="K100" s="144"/>
      <c r="L100" s="144"/>
    </row>
    <row r="101" spans="1:12" ht="22.15" customHeight="1">
      <c r="B101" s="144"/>
      <c r="C101" s="144"/>
      <c r="D101" s="144"/>
      <c r="E101" s="144"/>
      <c r="F101" s="144"/>
      <c r="G101" s="144"/>
      <c r="H101" s="144"/>
      <c r="I101" s="144"/>
      <c r="J101" s="144"/>
      <c r="K101" s="144"/>
      <c r="L101" s="144"/>
    </row>
    <row r="102" spans="1:12" ht="22.15" customHeight="1">
      <c r="B102" s="144"/>
      <c r="C102" s="144"/>
      <c r="D102" s="144"/>
      <c r="E102" s="144"/>
      <c r="F102" s="144"/>
      <c r="G102" s="144"/>
      <c r="H102" s="144"/>
      <c r="I102" s="144"/>
      <c r="J102" s="144"/>
      <c r="K102" s="144"/>
      <c r="L102" s="144"/>
    </row>
  </sheetData>
  <sheetProtection algorithmName="SHA-512" hashValue="gCiFGT9cqI5J3Qh3uFKUzNSf0q4Om7bz8Hm+fwx0MWjGdLP8akDeaPV/RSJYH5APR0tyeh1LgzWKxasoKPkBwQ==" saltValue="CHDxl/r7HL9DWTOJxB7n1g==" spinCount="100000" sheet="1" objects="1" scenarios="1"/>
  <dataConsolidate/>
  <mergeCells count="6">
    <mergeCell ref="C71:D71"/>
    <mergeCell ref="B1:C1"/>
    <mergeCell ref="D1:L1"/>
    <mergeCell ref="B2:C2"/>
    <mergeCell ref="D2:L2"/>
    <mergeCell ref="H61:L62"/>
  </mergeCells>
  <dataValidations count="1">
    <dataValidation type="list" allowBlank="1" showInputMessage="1" showErrorMessage="1" sqref="F6" xr:uid="{00000000-0002-0000-0000-000000000000}">
      <formula1>$E$5:$E$6</formula1>
    </dataValidation>
  </dataValidations>
  <pageMargins left="0.25" right="0.25" top="0.75" bottom="0.75" header="0.3" footer="0.3"/>
  <pageSetup paperSize="9" scale="3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D77F5D-EA8A-4922-BF13-B9C5F4499D21}">
  <dimension ref="A1"/>
  <sheetViews>
    <sheetView workbookViewId="0">
      <selection activeCell="A2" sqref="A2"/>
    </sheetView>
  </sheetViews>
  <sheetFormatPr defaultRowHeight="14.45"/>
  <sheetData>
    <row r="1" spans="1:1">
      <c r="A1" t="s">
        <v>97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3674A0A851C574689BBFBA908EEBCEB" ma:contentTypeVersion="10" ma:contentTypeDescription="Crée un document." ma:contentTypeScope="" ma:versionID="573a2d13492e980341662e5af2fe0fdc">
  <xsd:schema xmlns:xsd="http://www.w3.org/2001/XMLSchema" xmlns:xs="http://www.w3.org/2001/XMLSchema" xmlns:p="http://schemas.microsoft.com/office/2006/metadata/properties" xmlns:ns2="a9ca1ccf-b0a5-4e22-8905-31ecaa303fce" targetNamespace="http://schemas.microsoft.com/office/2006/metadata/properties" ma:root="true" ma:fieldsID="3d0dabd7e736368fc6e7ef10b8f39fab" ns2:_="">
    <xsd:import namespace="a9ca1ccf-b0a5-4e22-8905-31ecaa303fc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ca1ccf-b0a5-4e22-8905-31ecaa303f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4D0AFF3-7E83-4860-A19F-973A8691DD3F}"/>
</file>

<file path=customXml/itemProps2.xml><?xml version="1.0" encoding="utf-8"?>
<ds:datastoreItem xmlns:ds="http://schemas.openxmlformats.org/officeDocument/2006/customXml" ds:itemID="{9BEBFFF1-93B7-4747-8CF7-86710B96C6E0}"/>
</file>

<file path=customXml/itemProps3.xml><?xml version="1.0" encoding="utf-8"?>
<ds:datastoreItem xmlns:ds="http://schemas.openxmlformats.org/officeDocument/2006/customXml" ds:itemID="{E7F7B4A9-7675-4094-9812-9C37BCEE4491}"/>
</file>

<file path=docProps/app.xml><?xml version="1.0" encoding="utf-8"?>
<Properties xmlns="http://schemas.openxmlformats.org/officeDocument/2006/extended-properties" xmlns:vt="http://schemas.openxmlformats.org/officeDocument/2006/docPropsVTypes">
  <Application>Microsoft Excel Online</Application>
  <Manager/>
  <Company>BELFIUS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Dumoulin Christelle cd (Belfius)</dc:creator>
  <cp:keywords/>
  <dc:description/>
  <cp:lastModifiedBy>Thomas Riegel</cp:lastModifiedBy>
  <cp:revision/>
  <dcterms:created xsi:type="dcterms:W3CDTF">2018-09-24T07:45:35Z</dcterms:created>
  <dcterms:modified xsi:type="dcterms:W3CDTF">2022-07-04T13:42:04Z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0x010100B3674A0A851C574689BBFBA908EEBCEB</vt:lpwstr>
  </property>
</Properties>
</file>