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urabarberis/Desktop/"/>
    </mc:Choice>
  </mc:AlternateContent>
  <xr:revisionPtr revIDLastSave="0" documentId="13_ncr:1_{B61D14E3-7339-B24D-8BBA-27D2C9B2BAD6}" xr6:coauthVersionLast="46" xr6:coauthVersionMax="46" xr10:uidLastSave="{00000000-0000-0000-0000-000000000000}"/>
  <bookViews>
    <workbookView xWindow="1080" yWindow="500" windowWidth="32520" windowHeight="20500" activeTab="6" xr2:uid="{00000000-000D-0000-FFFF-FFFF00000000}"/>
  </bookViews>
  <sheets>
    <sheet name="P" sheetId="3" r:id="rId1"/>
    <sheet name="R" sheetId="1" r:id="rId2"/>
    <sheet name="I" sheetId="9" r:id="rId3"/>
    <sheet name="M" sheetId="12" r:id="rId4"/>
    <sheet name="E" sheetId="11" r:id="rId5"/>
    <sheet name="Droplist" sheetId="13" state="hidden" r:id="rId6"/>
    <sheet name="RESSOURCES" sheetId="8" r:id="rId7"/>
    <sheet name="Grid" sheetId="10" state="hidden" r:id="rId8"/>
    <sheet name="Chart Data" sheetId="2" state="hidden" r:id="rId9"/>
  </sheets>
  <definedNames>
    <definedName name="_xlnm.Print_Titles" localSheetId="4">E!$5:$5</definedName>
    <definedName name="_xlnm.Print_Titles" localSheetId="3">M!$18:$18</definedName>
    <definedName name="_xlnm.Print_Area" localSheetId="1">'R'!#REF!:INDEX('R'!$F:$F,MATCH(REPT("z",255),'R'!$B:$B))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" l="1"/>
  <c r="I3" i="10" l="1"/>
  <c r="J22" i="12" l="1"/>
  <c r="J23" i="12"/>
  <c r="J24" i="12"/>
  <c r="J25" i="12"/>
  <c r="J26" i="12"/>
  <c r="E22" i="12"/>
  <c r="E23" i="12"/>
  <c r="E24" i="12"/>
  <c r="E25" i="12"/>
  <c r="E26" i="12"/>
  <c r="J19" i="12" l="1"/>
  <c r="J20" i="12"/>
  <c r="C19" i="12"/>
  <c r="C21" i="12"/>
  <c r="D21" i="12"/>
  <c r="D20" i="1"/>
  <c r="D20" i="12"/>
  <c r="E20" i="12" s="1"/>
  <c r="D19" i="12"/>
  <c r="J21" i="12"/>
  <c r="E21" i="12" l="1"/>
  <c r="E19" i="12"/>
  <c r="C19" i="3"/>
  <c r="C5" i="9"/>
  <c r="C4" i="9"/>
  <c r="D16" i="3"/>
  <c r="D9" i="3"/>
  <c r="D8" i="3"/>
  <c r="D7" i="3"/>
  <c r="D6" i="3"/>
  <c r="D18" i="3"/>
  <c r="D15" i="3"/>
  <c r="D19" i="3" s="1"/>
  <c r="D17" i="3"/>
  <c r="E19" i="1"/>
  <c r="E15" i="1"/>
  <c r="E17" i="1"/>
  <c r="E18" i="1"/>
  <c r="G4" i="9" l="1"/>
  <c r="F4" i="9"/>
  <c r="F6" i="9" s="1"/>
  <c r="E4" i="9"/>
  <c r="D4" i="9"/>
  <c r="E5" i="9"/>
  <c r="F5" i="9"/>
  <c r="G5" i="9"/>
  <c r="D5" i="9"/>
  <c r="D6" i="9" s="1"/>
  <c r="E6" i="9"/>
  <c r="G6" i="9" l="1"/>
  <c r="E13" i="1" l="1"/>
  <c r="E12" i="1"/>
  <c r="E16" i="1"/>
  <c r="E10" i="1" l="1"/>
  <c r="E11" i="1"/>
  <c r="E14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D40" i="1" l="1"/>
  <c r="C40" i="1"/>
  <c r="C20" i="1"/>
  <c r="C7" i="2" l="1"/>
  <c r="C41" i="1"/>
  <c r="D7" i="2"/>
  <c r="D41" i="1"/>
  <c r="C6" i="2"/>
  <c r="C21" i="1"/>
  <c r="D6" i="2"/>
  <c r="D21" i="1"/>
  <c r="C4" i="1"/>
  <c r="D4" i="1"/>
  <c r="C5" i="1"/>
  <c r="D5" i="1"/>
  <c r="E20" i="1"/>
  <c r="E40" i="1"/>
  <c r="E5" i="1" l="1"/>
  <c r="E41" i="1"/>
  <c r="E4" i="1"/>
  <c r="E6" i="1" s="1"/>
  <c r="E7" i="1" s="1"/>
  <c r="E21" i="1"/>
  <c r="C6" i="1"/>
  <c r="D6" i="1"/>
  <c r="D5" i="2" l="1"/>
  <c r="D7" i="1"/>
  <c r="C10" i="9" s="1"/>
  <c r="C5" i="2"/>
  <c r="C7" i="1"/>
  <c r="C2" i="10" l="1"/>
  <c r="D2" i="10" s="1"/>
  <c r="F15" i="9"/>
  <c r="G14" i="9"/>
  <c r="F14" i="9"/>
  <c r="C11" i="9"/>
  <c r="C3" i="10"/>
  <c r="D3" i="10" s="1"/>
  <c r="E3" i="10" s="1"/>
  <c r="H14" i="9" l="1"/>
  <c r="C24" i="10"/>
  <c r="D24" i="10" s="1"/>
  <c r="C4" i="10"/>
  <c r="D4" i="10" s="1"/>
  <c r="E4" i="10" s="1"/>
  <c r="C25" i="10" l="1"/>
  <c r="D25" i="10" s="1"/>
  <c r="E25" i="10" s="1"/>
  <c r="C5" i="10"/>
  <c r="D5" i="10" s="1"/>
  <c r="E5" i="10" s="1"/>
  <c r="D10" i="9"/>
  <c r="C26" i="10" l="1"/>
  <c r="C6" i="10"/>
  <c r="D6" i="10" s="1"/>
  <c r="E6" i="10" s="1"/>
  <c r="C27" i="10" l="1"/>
  <c r="D26" i="10"/>
  <c r="E26" i="10" s="1"/>
  <c r="D11" i="9" s="1"/>
  <c r="C7" i="10"/>
  <c r="D27" i="10" l="1"/>
  <c r="E27" i="10" s="1"/>
  <c r="C28" i="10"/>
  <c r="E10" i="9"/>
  <c r="D7" i="10"/>
  <c r="C8" i="10"/>
  <c r="D28" i="10" l="1"/>
  <c r="E28" i="10" s="1"/>
  <c r="E11" i="9" s="1"/>
  <c r="C29" i="10"/>
  <c r="C30" i="10" s="1"/>
  <c r="E7" i="10"/>
  <c r="D8" i="10" s="1"/>
  <c r="E8" i="10" s="1"/>
  <c r="C31" i="10"/>
  <c r="C9" i="10"/>
  <c r="D29" i="10" l="1"/>
  <c r="E29" i="10" s="1"/>
  <c r="D30" i="10" s="1"/>
  <c r="E30" i="10" s="1"/>
  <c r="D31" i="10" s="1"/>
  <c r="E31" i="10" s="1"/>
  <c r="D9" i="10"/>
  <c r="E9" i="10" s="1"/>
  <c r="C10" i="10"/>
  <c r="C32" i="10"/>
  <c r="D10" i="10" l="1"/>
  <c r="E10" i="10" s="1"/>
  <c r="D32" i="10"/>
  <c r="E32" i="10" s="1"/>
  <c r="C11" i="10"/>
  <c r="D11" i="10" s="1"/>
  <c r="E11" i="10" s="1"/>
  <c r="C33" i="10"/>
  <c r="D33" i="10" l="1"/>
  <c r="E33" i="10" s="1"/>
  <c r="C34" i="10"/>
  <c r="F11" i="9"/>
  <c r="C12" i="10"/>
  <c r="D12" i="10" s="1"/>
  <c r="E12" i="10" s="1"/>
  <c r="D34" i="10" l="1"/>
  <c r="E34" i="10" s="1"/>
  <c r="F10" i="9"/>
  <c r="C13" i="10"/>
  <c r="D13" i="10"/>
  <c r="E13" i="10" s="1"/>
  <c r="C35" i="10"/>
  <c r="D35" i="10" s="1"/>
  <c r="E35" i="10" s="1"/>
  <c r="C36" i="10" l="1"/>
  <c r="D36" i="10" s="1"/>
  <c r="E36" i="10" s="1"/>
  <c r="C14" i="10"/>
  <c r="D14" i="10" s="1"/>
  <c r="E14" i="10" s="1"/>
  <c r="C15" i="10" l="1"/>
  <c r="D15" i="10" s="1"/>
  <c r="E15" i="10" s="1"/>
  <c r="C37" i="10"/>
  <c r="D37" i="10" s="1"/>
  <c r="E37" i="10" s="1"/>
  <c r="C38" i="10" l="1"/>
  <c r="D38" i="10" s="1"/>
  <c r="E38" i="10" s="1"/>
  <c r="C16" i="10"/>
  <c r="D16" i="10" s="1"/>
  <c r="E16" i="10" s="1"/>
  <c r="C17" i="10" l="1"/>
  <c r="D17" i="10"/>
  <c r="E17" i="10" s="1"/>
  <c r="C39" i="10"/>
  <c r="D39" i="10" s="1"/>
  <c r="E39" i="10" s="1"/>
  <c r="C40" i="10" l="1"/>
  <c r="D40" i="10" s="1"/>
  <c r="E40" i="10" s="1"/>
  <c r="C18" i="10"/>
  <c r="D18" i="10" s="1"/>
  <c r="E18" i="10" s="1"/>
  <c r="C19" i="10" l="1"/>
  <c r="D19" i="10" s="1"/>
  <c r="E19" i="10" s="1"/>
  <c r="C41" i="10"/>
  <c r="D41" i="10" s="1"/>
  <c r="E41" i="10" s="1"/>
  <c r="C42" i="10" l="1"/>
  <c r="D42" i="10" s="1"/>
  <c r="E42" i="10" s="1"/>
  <c r="C20" i="10"/>
  <c r="D20" i="10"/>
  <c r="E20" i="10" s="1"/>
  <c r="C21" i="10" l="1"/>
  <c r="D21" i="10"/>
  <c r="E21" i="10" s="1"/>
  <c r="C43" i="10"/>
  <c r="D43" i="10" s="1"/>
  <c r="E43" i="10" s="1"/>
  <c r="G11" i="9" l="1"/>
  <c r="G16" i="9" s="1"/>
  <c r="H16" i="9" s="1"/>
  <c r="G10" i="9"/>
  <c r="G15" i="9" s="1"/>
  <c r="H1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Guillaume Monges</author>
  </authors>
  <commentList>
    <comment ref="B6" authorId="0" shapeId="0" xr:uid="{5B6BF552-526D-AF4B-863F-8327BFF4895D}">
      <text>
        <r>
          <rPr>
            <b/>
            <sz val="10"/>
            <color rgb="FF000000"/>
            <rFont val="Tahoma"/>
            <family val="2"/>
          </rPr>
          <t>Guillaume Monges: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max 30% target 15%</t>
        </r>
      </text>
    </comment>
    <comment ref="B7" authorId="0" shapeId="0" xr:uid="{9E2333A0-D324-ED4E-B7C4-5F3C57240612}">
      <text>
        <r>
          <rPr>
            <b/>
            <sz val="10"/>
            <color rgb="FF000000"/>
            <rFont val="Tahoma"/>
            <family val="2"/>
          </rPr>
          <t>Guillaume Monges: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min 30% target 80%</t>
        </r>
      </text>
    </comment>
    <comment ref="B8" authorId="0" shapeId="0" xr:uid="{784DC298-A4B8-384F-BF5A-0EC017CC4EC1}">
      <text>
        <r>
          <rPr>
            <b/>
            <sz val="10"/>
            <color rgb="FF000000"/>
            <rFont val="Tahoma"/>
            <family val="2"/>
          </rPr>
          <t>Guillaume Monges: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max 2% target 1% </t>
        </r>
      </text>
    </comment>
    <comment ref="B9" authorId="0" shapeId="0" xr:uid="{9F085813-9186-D743-A45E-F6B158E0B655}">
      <text>
        <r>
          <rPr>
            <b/>
            <sz val="10"/>
            <color rgb="FF000000"/>
            <rFont val="Tahoma"/>
            <family val="2"/>
          </rPr>
          <t>Guillaume Monges: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max 15% target 10%
</t>
        </r>
      </text>
    </comment>
  </commentList>
</comments>
</file>

<file path=xl/sharedStrings.xml><?xml version="1.0" encoding="utf-8"?>
<sst xmlns="http://schemas.openxmlformats.org/spreadsheetml/2006/main" count="193" uniqueCount="131">
  <si>
    <t>Cash Flow</t>
  </si>
  <si>
    <t>Projected</t>
  </si>
  <si>
    <t>Actual</t>
  </si>
  <si>
    <t>Telephone</t>
  </si>
  <si>
    <t>Cable TV</t>
  </si>
  <si>
    <t>Internet</t>
  </si>
  <si>
    <t>CHART DATA</t>
  </si>
  <si>
    <t>Loyer</t>
  </si>
  <si>
    <t xml:space="preserve">Eau </t>
  </si>
  <si>
    <t xml:space="preserve">Electricité / Gaz </t>
  </si>
  <si>
    <t>Animaux</t>
  </si>
  <si>
    <t>Assurance</t>
  </si>
  <si>
    <t>Carte de credit</t>
  </si>
  <si>
    <t xml:space="preserve">Cadeau / Charité </t>
  </si>
  <si>
    <t>Total Revenu</t>
  </si>
  <si>
    <t>Total Dépense</t>
  </si>
  <si>
    <t>Total Cash Flow</t>
  </si>
  <si>
    <t>Projeté</t>
  </si>
  <si>
    <t>Actuel</t>
  </si>
  <si>
    <t>Delta</t>
  </si>
  <si>
    <t>Revenu Actif - Salaire</t>
  </si>
  <si>
    <t xml:space="preserve">Revenu Actif - Bonus </t>
  </si>
  <si>
    <t xml:space="preserve">Revenu Passif - Bourse : Trading </t>
  </si>
  <si>
    <t>Revenus Mensuels</t>
  </si>
  <si>
    <t>Dépenses Mensuelles</t>
  </si>
  <si>
    <t>Actions Réfléchies</t>
  </si>
  <si>
    <t xml:space="preserve">Revenu Passif - Bourse : Plus-values </t>
  </si>
  <si>
    <t>Revenu Passif - Immobilier : Plus-values</t>
  </si>
  <si>
    <t>Revenu Passif - Private Equity : Dividendes</t>
  </si>
  <si>
    <t>Revenu Passif - Private Equity : Plus-values</t>
  </si>
  <si>
    <t>Revenu Passif - Immobilier : Dividendes/ou Rentes</t>
  </si>
  <si>
    <t>Revenu Passif - Autres placements</t>
  </si>
  <si>
    <t>Total Revenus</t>
  </si>
  <si>
    <t>Total Dépenses</t>
  </si>
  <si>
    <t xml:space="preserve">% </t>
  </si>
  <si>
    <t>Voiture</t>
  </si>
  <si>
    <t xml:space="preserve">Total Patrimoine </t>
  </si>
  <si>
    <t>Immobilier</t>
  </si>
  <si>
    <t>Private Equity</t>
  </si>
  <si>
    <t>Actions Préalables</t>
  </si>
  <si>
    <t>Liquidité Bancaire</t>
  </si>
  <si>
    <t>Liquidités Bancaires</t>
  </si>
  <si>
    <t>Epargne mensuelle</t>
  </si>
  <si>
    <t>Maintenance / Reparation</t>
  </si>
  <si>
    <t xml:space="preserve">&gt; </t>
  </si>
  <si>
    <t>&gt;</t>
  </si>
  <si>
    <t>MA LISTE D'ACTIONS</t>
  </si>
  <si>
    <t>Total Dépenses (Annuel)</t>
  </si>
  <si>
    <t>Total Revenus (Annuel)</t>
  </si>
  <si>
    <t>Total Cash Flow (Annuel)</t>
  </si>
  <si>
    <t>Bourse</t>
  </si>
  <si>
    <t xml:space="preserve">Bourse </t>
  </si>
  <si>
    <t>Projection liquidité actuelle</t>
  </si>
  <si>
    <t>Cashflow Actuel (Annuel)</t>
  </si>
  <si>
    <t xml:space="preserve">Projection liquidité cashflow </t>
  </si>
  <si>
    <t>Alimentation</t>
  </si>
  <si>
    <t>Emprunt Immo</t>
  </si>
  <si>
    <t xml:space="preserve">Variables (Sorties, Habits, Cigarettes…) </t>
  </si>
  <si>
    <t xml:space="preserve">Creche/Ecole enfants </t>
  </si>
  <si>
    <t>Total Potentiel</t>
  </si>
  <si>
    <t xml:space="preserve">Jean Jacques </t>
  </si>
  <si>
    <t>Kevin</t>
  </si>
  <si>
    <t xml:space="preserve">Actions Identifiées </t>
  </si>
  <si>
    <t>*Investi &amp; Net d'inflation</t>
  </si>
  <si>
    <t>Actions Evolutives</t>
  </si>
  <si>
    <t>CHECKLIST</t>
  </si>
  <si>
    <t xml:space="preserve">Année </t>
  </si>
  <si>
    <t>Immo</t>
  </si>
  <si>
    <t xml:space="preserve">Actions Mesurées </t>
  </si>
  <si>
    <t>Total Patrimoine</t>
  </si>
  <si>
    <t>1 er achat immo</t>
  </si>
  <si>
    <t>2eme achat immo, job promotion</t>
  </si>
  <si>
    <t xml:space="preserve">1 er investissement en PE </t>
  </si>
  <si>
    <t xml:space="preserve">Fait </t>
  </si>
  <si>
    <t>A faire</t>
  </si>
  <si>
    <t>STATUS</t>
  </si>
  <si>
    <t>ACTIONS</t>
  </si>
  <si>
    <t>Ressources</t>
  </si>
  <si>
    <t xml:space="preserve">Bradley </t>
  </si>
  <si>
    <t>Revenus Actifs</t>
  </si>
  <si>
    <t>Revenus Passifs</t>
  </si>
  <si>
    <t>Notes</t>
  </si>
  <si>
    <t>Dépasser 1 source de revenu</t>
  </si>
  <si>
    <t xml:space="preserve">Acheter mon premier bien immobilier </t>
  </si>
  <si>
    <t xml:space="preserve">Investir minimum 30% de mon revenu mensuel </t>
  </si>
  <si>
    <t xml:space="preserve">Investir minimum 80% de mon revenu mensuel </t>
  </si>
  <si>
    <t xml:space="preserve">Investir minimum 60% de mon revenu mensuel </t>
  </si>
  <si>
    <t xml:space="preserve">Investir dans mon premier deal de private equity </t>
  </si>
  <si>
    <t>En cours</t>
  </si>
  <si>
    <t xml:space="preserve">Avoir 10% min d'investissement immédiatement liquide / mon total patrimoine </t>
  </si>
  <si>
    <t>Créer mon portefeuille en bourse - long-terme</t>
  </si>
  <si>
    <t>Créer mon portefeuille en bourse - court-terme</t>
  </si>
  <si>
    <t>Générer plus de 1'000€ de cashflow net avec l'immobilier</t>
  </si>
  <si>
    <t>Générer plus de 2'500€ de cashflow net avec l'immobilier</t>
  </si>
  <si>
    <t>Générer plus de 10'000€ de cashflow net avec l'immobilier</t>
  </si>
  <si>
    <t xml:space="preserve">Générer plus de 500€ de dividendes annuels </t>
  </si>
  <si>
    <t xml:space="preserve">Générer plus de 1'000€ de dividendes annuels </t>
  </si>
  <si>
    <t xml:space="preserve">Générer plus de 20'000€ de dividendes annuels </t>
  </si>
  <si>
    <t xml:space="preserve">Générer plus de 100€ de revenu de trading mensuel  </t>
  </si>
  <si>
    <t xml:space="preserve">Générer plus de 1'000€ de revenu de trading mensuel  </t>
  </si>
  <si>
    <t xml:space="preserve">Générer plus de 5'000€ de revenu de trading mensuel  </t>
  </si>
  <si>
    <t xml:space="preserve">Détenir plus de 500'000€ de patrimoine net </t>
  </si>
  <si>
    <t xml:space="preserve">Détenir plus de 1'000'000€ de patrimoine net </t>
  </si>
  <si>
    <t xml:space="preserve">Détenir plus de 5'000'000€ de patrimoine net </t>
  </si>
  <si>
    <t>Dépasser 10+ sources de revenus</t>
  </si>
  <si>
    <t>Dépasser 2+ sources de revenus</t>
  </si>
  <si>
    <t>Dépasser 3+ sources de revenus</t>
  </si>
  <si>
    <t>Dépasser 5+ sources de revenus</t>
  </si>
  <si>
    <t>Apprenez à investir dans l'immobilier (100% gratuit)</t>
  </si>
  <si>
    <t>Apprenez à investir en bourse (100% gratuit)</t>
  </si>
  <si>
    <t xml:space="preserve">Investissez avec nous </t>
  </si>
  <si>
    <t xml:space="preserve">https://myclubdeal.com </t>
  </si>
  <si>
    <t>https://yanndarwin.com/immo</t>
  </si>
  <si>
    <t>https://yanndarwin.com/epargne</t>
  </si>
  <si>
    <t>y=ax</t>
  </si>
  <si>
    <t xml:space="preserve">Jean Jacques épargne soigneusement mais n'investit pas </t>
  </si>
  <si>
    <t xml:space="preserve">Revenu Passif - Bourse : Dividendes </t>
  </si>
  <si>
    <t>https://greenbullpartners.com</t>
  </si>
  <si>
    <t>Contribuez à changer les finances des particuliers</t>
  </si>
  <si>
    <t>Formation</t>
  </si>
  <si>
    <t>Greenbull Partners</t>
  </si>
  <si>
    <t>Club deal</t>
  </si>
  <si>
    <t>https://yanndarwin.com/prime</t>
  </si>
  <si>
    <t xml:space="preserve">Mutiplier x = </t>
  </si>
  <si>
    <t>%</t>
  </si>
  <si>
    <t xml:space="preserve">Bradley investit intelligemment et démultiplie ses revenus </t>
  </si>
  <si>
    <t>Kevin investit intelligemment son épargne</t>
  </si>
  <si>
    <t xml:space="preserve">Partagez et téléchargez le fichier excel PRIME avec vos amis </t>
  </si>
  <si>
    <t>Cashflow Projeté (Annuel)</t>
  </si>
  <si>
    <t xml:space="preserve">https://yanndarwin.com/utilisation-prime </t>
  </si>
  <si>
    <t>Apprenez à utiliser le fichier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</si>
</sst>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#,##0.00;[Red]#,##0.00"/>
    <numFmt numFmtId="166" formatCode="&quot;$&quot;#,##0.00"/>
  </numFmts>
  <fonts count="41" x14ac:knownFonts="1">
    <font>
      <b/>
      <sz val="13"/>
      <color theme="2" tint="-0.24994659260841701"/>
      <name val="Calibri"/>
      <family val="2"/>
      <scheme val="minor"/>
    </font>
    <font>
      <b/>
      <sz val="16"/>
      <color theme="5"/>
      <name val="Calibri"/>
      <family val="2"/>
      <scheme val="major"/>
    </font>
    <font>
      <b/>
      <sz val="31"/>
      <color theme="4"/>
      <name val="Calibri"/>
      <family val="2"/>
      <scheme val="major"/>
    </font>
    <font>
      <b/>
      <sz val="25"/>
      <color theme="4"/>
      <name val="Calibri"/>
      <family val="2"/>
      <scheme val="major"/>
    </font>
    <font>
      <b/>
      <sz val="25"/>
      <color theme="5"/>
      <name val="Calibri"/>
      <family val="2"/>
      <scheme val="major"/>
    </font>
    <font>
      <b/>
      <sz val="13"/>
      <color theme="4"/>
      <name val="Calibri"/>
      <family val="2"/>
      <scheme val="minor"/>
    </font>
    <font>
      <b/>
      <sz val="25"/>
      <color theme="6"/>
      <name val="Calibri"/>
      <family val="2"/>
      <scheme val="major"/>
    </font>
    <font>
      <b/>
      <sz val="13"/>
      <name val="Calibri"/>
      <family val="2"/>
      <scheme val="minor"/>
    </font>
    <font>
      <b/>
      <sz val="9"/>
      <color theme="2" tint="-0.24994659260841701"/>
      <name val="Calibri"/>
      <family val="2"/>
      <scheme val="minor"/>
    </font>
    <font>
      <b/>
      <sz val="13"/>
      <color theme="2" tint="-0.24994659260841701"/>
      <name val="Calibri"/>
      <family val="2"/>
      <scheme val="minor"/>
    </font>
    <font>
      <b/>
      <sz val="13"/>
      <color theme="0"/>
      <name val="Calibri (Body)"/>
    </font>
    <font>
      <b/>
      <sz val="18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3"/>
      <color theme="1" tint="0.249977111117893"/>
      <name val="Calibri"/>
      <family val="2"/>
      <scheme val="minor"/>
    </font>
    <font>
      <b/>
      <u/>
      <sz val="11"/>
      <color theme="1" tint="0.249977111117893"/>
      <name val="Calibri"/>
      <family val="2"/>
      <scheme val="minor"/>
    </font>
    <font>
      <sz val="13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u/>
      <sz val="13"/>
      <color theme="0" tint="-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9"/>
      <color theme="1" tint="0.14996795556505021"/>
      <name val="Calibri"/>
      <family val="2"/>
      <scheme val="major"/>
    </font>
    <font>
      <sz val="12"/>
      <color theme="5" tint="0.39988402966399123"/>
      <name val="Calibri"/>
      <family val="2"/>
      <scheme val="minor"/>
    </font>
    <font>
      <sz val="12"/>
      <color theme="5"/>
      <name val="Calibri"/>
      <family val="2"/>
      <scheme val="major"/>
    </font>
    <font>
      <sz val="29"/>
      <color theme="5"/>
      <name val="Calibri"/>
      <family val="2"/>
      <scheme val="maj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</font>
    <font>
      <b/>
      <sz val="13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3"/>
      <color theme="2" tint="-0.24994659260841701"/>
      <name val="Calibri"/>
      <family val="2"/>
      <scheme val="minor"/>
    </font>
    <font>
      <sz val="13"/>
      <color theme="1" tint="0.34998626667073579"/>
      <name val="Calibri"/>
      <family val="2"/>
      <scheme val="minor"/>
    </font>
    <font>
      <b/>
      <sz val="13"/>
      <color theme="0" tint="-0.499984740745262"/>
      <name val="Calibri"/>
      <family val="2"/>
      <scheme val="minor"/>
    </font>
    <font>
      <b/>
      <u/>
      <sz val="13"/>
      <color theme="10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3" tint="0.499984740745262"/>
      <name val="Calibri"/>
      <family val="2"/>
      <scheme val="minor"/>
    </font>
    <font>
      <b/>
      <u/>
      <sz val="13"/>
      <color theme="3" tint="0.499984740745262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3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FF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2" tint="-9.9917600024414813E-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1" fillId="0" borderId="0">
      <alignment vertical="center" wrapText="1"/>
    </xf>
    <xf numFmtId="14" fontId="22" fillId="0" borderId="0">
      <alignment horizontal="left" vertical="center" wrapText="1"/>
    </xf>
    <xf numFmtId="0" fontId="23" fillId="0" borderId="0" applyNumberFormat="0" applyFill="0" applyAlignment="0" applyProtection="0"/>
    <xf numFmtId="0" fontId="5" fillId="0" borderId="0" applyNumberFormat="0" applyFill="0" applyAlignment="0" applyProtection="0"/>
    <xf numFmtId="0" fontId="24" fillId="0" borderId="0">
      <alignment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1" applyAlignment="1">
      <alignment vertical="center"/>
    </xf>
    <xf numFmtId="3" fontId="0" fillId="0" borderId="0" xfId="0" applyNumberFormat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3" fontId="10" fillId="2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vertical="center"/>
    </xf>
    <xf numFmtId="0" fontId="11" fillId="3" borderId="1" xfId="3" applyFont="1" applyFill="1" applyBorder="1" applyAlignment="1">
      <alignment vertical="center"/>
    </xf>
    <xf numFmtId="0" fontId="11" fillId="4" borderId="1" xfId="4" applyFont="1" applyFill="1" applyBorder="1" applyAlignment="1">
      <alignment vertical="center"/>
    </xf>
    <xf numFmtId="0" fontId="12" fillId="0" borderId="0" xfId="0" applyFont="1">
      <alignment vertical="center"/>
    </xf>
    <xf numFmtId="3" fontId="12" fillId="0" borderId="0" xfId="0" applyNumberFormat="1" applyFont="1">
      <alignment vertical="center"/>
    </xf>
    <xf numFmtId="0" fontId="0" fillId="0" borderId="0" xfId="0" applyBorder="1">
      <alignment vertical="center"/>
    </xf>
    <xf numFmtId="3" fontId="0" fillId="0" borderId="0" xfId="0" applyNumberFormat="1" applyBorder="1">
      <alignment vertical="center"/>
    </xf>
    <xf numFmtId="9" fontId="0" fillId="0" borderId="0" xfId="0" applyNumberFormat="1">
      <alignment vertical="center"/>
    </xf>
    <xf numFmtId="164" fontId="0" fillId="0" borderId="0" xfId="6" applyFont="1" applyAlignme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64" fontId="15" fillId="0" borderId="0" xfId="6" applyFont="1" applyAlignment="1">
      <alignment vertical="center"/>
    </xf>
    <xf numFmtId="0" fontId="15" fillId="0" borderId="3" xfId="0" applyFont="1" applyBorder="1">
      <alignment vertical="center"/>
    </xf>
    <xf numFmtId="9" fontId="15" fillId="0" borderId="0" xfId="7" applyNumberFormat="1" applyFont="1" applyAlignment="1">
      <alignment vertical="center"/>
    </xf>
    <xf numFmtId="10" fontId="17" fillId="0" borderId="0" xfId="7" applyNumberFormat="1" applyFont="1" applyAlignment="1">
      <alignment vertical="center"/>
    </xf>
    <xf numFmtId="3" fontId="15" fillId="0" borderId="0" xfId="0" applyNumberFormat="1" applyFont="1">
      <alignment vertical="center"/>
    </xf>
    <xf numFmtId="0" fontId="15" fillId="0" borderId="0" xfId="0" applyFont="1" applyBorder="1">
      <alignment vertical="center"/>
    </xf>
    <xf numFmtId="3" fontId="15" fillId="0" borderId="0" xfId="0" applyNumberFormat="1" applyFont="1" applyBorder="1">
      <alignment vertical="center"/>
    </xf>
    <xf numFmtId="0" fontId="15" fillId="5" borderId="0" xfId="0" applyFont="1" applyFill="1" applyBorder="1">
      <alignment vertical="center"/>
    </xf>
    <xf numFmtId="164" fontId="15" fillId="5" borderId="0" xfId="6" applyFont="1" applyFill="1" applyBorder="1" applyAlignment="1">
      <alignment vertical="center"/>
    </xf>
    <xf numFmtId="0" fontId="15" fillId="5" borderId="4" xfId="0" applyFont="1" applyFill="1" applyBorder="1">
      <alignment vertical="center"/>
    </xf>
    <xf numFmtId="3" fontId="15" fillId="5" borderId="4" xfId="0" applyNumberFormat="1" applyFont="1" applyFill="1" applyBorder="1">
      <alignment vertical="center"/>
    </xf>
    <xf numFmtId="0" fontId="15" fillId="7" borderId="4" xfId="0" applyFont="1" applyFill="1" applyBorder="1">
      <alignment vertical="center"/>
    </xf>
    <xf numFmtId="3" fontId="15" fillId="7" borderId="4" xfId="0" applyNumberFormat="1" applyFont="1" applyFill="1" applyBorder="1">
      <alignment vertical="center"/>
    </xf>
    <xf numFmtId="0" fontId="15" fillId="7" borderId="0" xfId="0" applyFont="1" applyFill="1" applyBorder="1">
      <alignment vertical="center"/>
    </xf>
    <xf numFmtId="164" fontId="15" fillId="7" borderId="0" xfId="6" applyFont="1" applyFill="1" applyBorder="1" applyAlignment="1">
      <alignment vertical="center"/>
    </xf>
    <xf numFmtId="0" fontId="15" fillId="8" borderId="0" xfId="0" applyFont="1" applyFill="1" applyBorder="1">
      <alignment vertical="center"/>
    </xf>
    <xf numFmtId="3" fontId="15" fillId="8" borderId="0" xfId="0" applyNumberFormat="1" applyFont="1" applyFill="1" applyBorder="1">
      <alignment vertical="center"/>
    </xf>
    <xf numFmtId="164" fontId="15" fillId="8" borderId="0" xfId="6" applyFont="1" applyFill="1" applyBorder="1" applyAlignment="1">
      <alignment vertical="center"/>
    </xf>
    <xf numFmtId="0" fontId="15" fillId="0" borderId="2" xfId="0" applyFont="1" applyBorder="1">
      <alignment vertical="center"/>
    </xf>
    <xf numFmtId="3" fontId="15" fillId="0" borderId="2" xfId="0" applyNumberFormat="1" applyFont="1" applyBorder="1">
      <alignment vertical="center"/>
    </xf>
    <xf numFmtId="164" fontId="0" fillId="0" borderId="0" xfId="0" applyNumberFormat="1" applyFill="1">
      <alignment vertical="center"/>
    </xf>
    <xf numFmtId="0" fontId="15" fillId="0" borderId="0" xfId="0" applyFont="1" applyFill="1">
      <alignment vertical="center"/>
    </xf>
    <xf numFmtId="0" fontId="15" fillId="0" borderId="2" xfId="0" applyFont="1" applyFill="1" applyBorder="1">
      <alignment vertical="center"/>
    </xf>
    <xf numFmtId="165" fontId="15" fillId="0" borderId="0" xfId="0" applyNumberFormat="1" applyFont="1" applyFill="1">
      <alignment vertical="center"/>
    </xf>
    <xf numFmtId="165" fontId="15" fillId="0" borderId="2" xfId="0" applyNumberFormat="1" applyFont="1" applyFill="1" applyBorder="1">
      <alignment vertical="center"/>
    </xf>
    <xf numFmtId="165" fontId="15" fillId="0" borderId="2" xfId="6" applyNumberFormat="1" applyFont="1" applyBorder="1" applyAlignment="1">
      <alignment vertical="center"/>
    </xf>
    <xf numFmtId="164" fontId="7" fillId="0" borderId="0" xfId="0" applyNumberFormat="1" applyFont="1">
      <alignment vertical="center"/>
    </xf>
    <xf numFmtId="9" fontId="7" fillId="0" borderId="0" xfId="7" applyFont="1" applyAlignment="1">
      <alignment vertical="center"/>
    </xf>
    <xf numFmtId="165" fontId="19" fillId="0" borderId="0" xfId="6" applyNumberFormat="1" applyFont="1" applyAlignment="1">
      <alignment vertical="center"/>
    </xf>
    <xf numFmtId="165" fontId="19" fillId="0" borderId="2" xfId="6" applyNumberFormat="1" applyFont="1" applyBorder="1" applyAlignment="1">
      <alignment vertical="center"/>
    </xf>
    <xf numFmtId="0" fontId="15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164" fontId="12" fillId="0" borderId="0" xfId="6" applyFont="1" applyAlignment="1">
      <alignment vertical="center"/>
    </xf>
    <xf numFmtId="165" fontId="15" fillId="0" borderId="0" xfId="0" applyNumberFormat="1" applyFont="1" applyFill="1" applyBorder="1">
      <alignment vertical="center"/>
    </xf>
    <xf numFmtId="165" fontId="19" fillId="0" borderId="0" xfId="6" applyNumberFormat="1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164" fontId="7" fillId="0" borderId="0" xfId="6" applyFont="1" applyAlignment="1">
      <alignment vertical="center"/>
    </xf>
    <xf numFmtId="0" fontId="21" fillId="0" borderId="0" xfId="8">
      <alignment vertical="center" wrapText="1"/>
    </xf>
    <xf numFmtId="0" fontId="23" fillId="0" borderId="0" xfId="10" applyAlignment="1">
      <alignment vertical="center"/>
    </xf>
    <xf numFmtId="0" fontId="5" fillId="0" borderId="0" xfId="11" applyAlignment="1">
      <alignment vertical="center"/>
    </xf>
    <xf numFmtId="164" fontId="17" fillId="10" borderId="0" xfId="6" applyFont="1" applyFill="1" applyAlignment="1">
      <alignment vertical="center"/>
    </xf>
    <xf numFmtId="164" fontId="15" fillId="10" borderId="0" xfId="6" applyFont="1" applyFill="1" applyAlignment="1">
      <alignment vertical="center"/>
    </xf>
    <xf numFmtId="3" fontId="15" fillId="10" borderId="0" xfId="0" applyNumberFormat="1" applyFont="1" applyFill="1">
      <alignment vertical="center"/>
    </xf>
    <xf numFmtId="3" fontId="15" fillId="10" borderId="0" xfId="0" applyNumberFormat="1" applyFont="1" applyFill="1" applyBorder="1">
      <alignment vertical="center"/>
    </xf>
    <xf numFmtId="3" fontId="15" fillId="10" borderId="2" xfId="0" applyNumberFormat="1" applyFont="1" applyFill="1" applyBorder="1">
      <alignment vertical="center"/>
    </xf>
    <xf numFmtId="0" fontId="27" fillId="0" borderId="5" xfId="13" applyFont="1" applyFill="1" applyBorder="1" applyAlignment="1">
      <alignment wrapText="1"/>
    </xf>
    <xf numFmtId="0" fontId="27" fillId="13" borderId="5" xfId="13" applyFont="1" applyFill="1" applyBorder="1" applyAlignment="1">
      <alignment wrapText="1"/>
    </xf>
    <xf numFmtId="0" fontId="27" fillId="12" borderId="5" xfId="13" applyFont="1" applyFill="1" applyBorder="1" applyAlignment="1">
      <alignment wrapText="1"/>
    </xf>
    <xf numFmtId="0" fontId="28" fillId="0" borderId="0" xfId="12" applyFont="1" applyAlignment="1">
      <alignment horizontal="center" vertical="center"/>
    </xf>
    <xf numFmtId="164" fontId="28" fillId="0" borderId="0" xfId="6" applyFont="1" applyAlignment="1">
      <alignment horizontal="center" vertical="center"/>
    </xf>
    <xf numFmtId="3" fontId="28" fillId="0" borderId="0" xfId="12" applyNumberFormat="1" applyFont="1" applyAlignment="1">
      <alignment horizontal="center" vertical="center"/>
    </xf>
    <xf numFmtId="0" fontId="28" fillId="0" borderId="0" xfId="12" applyFont="1" applyFill="1">
      <alignment vertical="center"/>
    </xf>
    <xf numFmtId="0" fontId="29" fillId="0" borderId="0" xfId="11" applyFont="1" applyFill="1" applyAlignment="1">
      <alignment vertical="center"/>
    </xf>
    <xf numFmtId="0" fontId="28" fillId="11" borderId="0" xfId="12" applyFont="1" applyFill="1">
      <alignment vertical="center"/>
    </xf>
    <xf numFmtId="0" fontId="28" fillId="0" borderId="0" xfId="12" applyFont="1">
      <alignment vertical="center"/>
    </xf>
    <xf numFmtId="0" fontId="27" fillId="7" borderId="5" xfId="13" applyFont="1" applyFill="1" applyBorder="1" applyAlignment="1">
      <alignment wrapText="1"/>
    </xf>
    <xf numFmtId="0" fontId="27" fillId="5" borderId="5" xfId="13" applyFont="1" applyFill="1" applyBorder="1" applyAlignment="1">
      <alignment wrapText="1"/>
    </xf>
    <xf numFmtId="164" fontId="19" fillId="0" borderId="0" xfId="0" applyNumberFormat="1" applyFont="1">
      <alignment vertical="center"/>
    </xf>
    <xf numFmtId="0" fontId="30" fillId="0" borderId="0" xfId="8" applyFont="1">
      <alignment vertical="center" wrapText="1"/>
    </xf>
    <xf numFmtId="0" fontId="31" fillId="0" borderId="0" xfId="8" applyFont="1">
      <alignment vertical="center" wrapText="1"/>
    </xf>
    <xf numFmtId="0" fontId="32" fillId="0" borderId="0" xfId="0" applyFont="1">
      <alignment vertical="center"/>
    </xf>
    <xf numFmtId="0" fontId="28" fillId="0" borderId="0" xfId="2" applyFont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vertical="center"/>
    </xf>
    <xf numFmtId="164" fontId="28" fillId="10" borderId="0" xfId="6" applyFont="1" applyFill="1" applyAlignment="1">
      <alignment horizontal="center" vertical="center"/>
    </xf>
    <xf numFmtId="166" fontId="28" fillId="10" borderId="0" xfId="6" applyNumberFormat="1" applyFont="1" applyFill="1" applyAlignment="1">
      <alignment horizontal="center" vertical="center"/>
    </xf>
    <xf numFmtId="10" fontId="28" fillId="10" borderId="0" xfId="2" applyNumberFormat="1" applyFont="1" applyFill="1" applyAlignment="1">
      <alignment horizontal="center" vertical="center"/>
    </xf>
    <xf numFmtId="166" fontId="28" fillId="10" borderId="0" xfId="2" applyNumberFormat="1" applyFont="1" applyFill="1" applyAlignment="1">
      <alignment horizontal="center" vertical="center"/>
    </xf>
    <xf numFmtId="166" fontId="28" fillId="10" borderId="0" xfId="12" applyNumberFormat="1" applyFont="1" applyFill="1" applyAlignment="1">
      <alignment horizontal="center" vertical="center"/>
    </xf>
    <xf numFmtId="165" fontId="15" fillId="14" borderId="0" xfId="0" applyNumberFormat="1" applyFont="1" applyFill="1">
      <alignment vertical="center"/>
    </xf>
    <xf numFmtId="0" fontId="34" fillId="0" borderId="0" xfId="0" applyFont="1">
      <alignment vertical="center"/>
    </xf>
    <xf numFmtId="164" fontId="34" fillId="0" borderId="0" xfId="6" applyFont="1" applyAlignment="1">
      <alignment vertical="center"/>
    </xf>
    <xf numFmtId="165" fontId="34" fillId="0" borderId="0" xfId="0" applyNumberFormat="1" applyFont="1">
      <alignment vertical="center"/>
    </xf>
    <xf numFmtId="14" fontId="33" fillId="0" borderId="0" xfId="9" applyFont="1" applyFill="1">
      <alignment horizontal="left" vertical="center" wrapText="1"/>
    </xf>
    <xf numFmtId="14" fontId="33" fillId="0" borderId="0" xfId="9" applyFont="1" applyFill="1" applyAlignment="1">
      <alignment horizontal="left" vertical="center" wrapText="1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5" applyFont="1">
      <alignment vertical="center"/>
    </xf>
    <xf numFmtId="0" fontId="18" fillId="9" borderId="0" xfId="11" applyFont="1" applyFill="1" applyAlignment="1">
      <alignment vertical="center"/>
    </xf>
    <xf numFmtId="0" fontId="18" fillId="9" borderId="0" xfId="0" applyFont="1" applyFill="1">
      <alignment vertical="center"/>
    </xf>
    <xf numFmtId="9" fontId="12" fillId="10" borderId="0" xfId="0" applyNumberFormat="1" applyFont="1" applyFill="1">
      <alignment vertical="center"/>
    </xf>
    <xf numFmtId="9" fontId="12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40" fillId="0" borderId="0" xfId="0" applyFont="1">
      <alignment vertical="center"/>
    </xf>
    <xf numFmtId="0" fontId="35" fillId="0" borderId="0" xfId="15">
      <alignment vertical="center"/>
    </xf>
    <xf numFmtId="0" fontId="15" fillId="6" borderId="9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5" fillId="6" borderId="12" xfId="0" applyFont="1" applyFill="1" applyBorder="1" applyAlignment="1">
      <alignment vertical="center" wrapText="1"/>
    </xf>
    <xf numFmtId="0" fontId="15" fillId="6" borderId="6" xfId="0" applyFont="1" applyFill="1" applyBorder="1" applyAlignment="1">
      <alignment vertical="center" wrapText="1"/>
    </xf>
    <xf numFmtId="0" fontId="15" fillId="6" borderId="7" xfId="0" applyFont="1" applyFill="1" applyBorder="1" applyAlignment="1">
      <alignment vertical="center" wrapText="1"/>
    </xf>
    <xf numFmtId="0" fontId="15" fillId="6" borderId="8" xfId="0" applyFont="1" applyFill="1" applyBorder="1" applyAlignment="1">
      <alignment vertical="center" wrapText="1"/>
    </xf>
    <xf numFmtId="0" fontId="18" fillId="9" borderId="0" xfId="0" applyFont="1" applyFill="1" applyAlignment="1">
      <alignment horizontal="center"/>
    </xf>
  </cellXfs>
  <cellStyles count="16">
    <cellStyle name="Date" xfId="9" xr:uid="{DBBC6B89-4E3F-A547-BCCE-4363D36B0FFF}"/>
    <cellStyle name="Heading 1 2" xfId="11" xr:uid="{7F341CE5-7CCE-CA48-913F-584AD8B1524E}"/>
    <cellStyle name="Heading 2 2" xfId="13" xr:uid="{CCFFA59B-685E-614A-961E-9536B06610F5}"/>
    <cellStyle name="Lien hypertexte" xfId="15" builtinId="8"/>
    <cellStyle name="Milliers" xfId="6" builtinId="3"/>
    <cellStyle name="Normal" xfId="0" builtinId="0" customBuiltin="1"/>
    <cellStyle name="Normal 2" xfId="8" xr:uid="{B1524445-6DF8-584F-B3B1-3538B8B97DFC}"/>
    <cellStyle name="Normal 3" xfId="12" xr:uid="{37659755-105E-5041-8160-90E353D6EA29}"/>
    <cellStyle name="Pourcentage" xfId="7" builtinId="5"/>
    <cellStyle name="Title 2" xfId="10" xr:uid="{79112821-1528-CE4F-943E-F0B319F73A6A}"/>
    <cellStyle name="Title 3" xfId="14" xr:uid="{6B05D822-CB98-AA40-AE36-6C4C5CE4E503}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</cellStyles>
  <dxfs count="93">
    <dxf>
      <font>
        <strike val="0"/>
        <outline val="0"/>
        <shadow val="0"/>
        <u val="none"/>
        <vertAlign val="baseline"/>
        <sz val="13"/>
        <color theme="1" tint="0.34998626667073579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3"/>
        <color theme="1" tint="0.3499862666707357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3"/>
        <color theme="1" tint="0.3499862666707357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</dxf>
    <dxf>
      <fill>
        <patternFill patternType="solid">
          <fgColor indexed="64"/>
          <bgColor theme="6" tint="0.79998168889431442"/>
        </patternFill>
      </fill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 (Body)"/>
        <scheme val="minor"/>
      </font>
      <numFmt numFmtId="3" formatCode="#,##0"/>
      <fill>
        <patternFill patternType="solid">
          <fgColor indexed="64"/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</dxf>
    <dxf>
      <border>
        <top style="thin">
          <color indexed="64"/>
        </top>
      </border>
    </dxf>
    <dxf>
      <fill>
        <patternFill>
          <fgColor indexed="64"/>
          <bgColor theme="5" tint="0.79998168889431442"/>
        </patternFill>
      </fill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 (Body)"/>
        <scheme val="minor"/>
      </font>
      <numFmt numFmtId="3" formatCode="#,##0"/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3"/>
        <color theme="1" tint="0.249977111117893"/>
        <name val="Calibri"/>
        <family val="2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4" tint="0.79998168889431442"/>
        </patternFill>
      </fill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 (Body)"/>
        <scheme val="minor"/>
      </font>
      <numFmt numFmtId="3" formatCode="#,##0"/>
      <fill>
        <patternFill patternType="solid">
          <fgColor indexed="64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  <dxf>
      <font>
        <b val="0"/>
        <i val="0"/>
        <color theme="5"/>
      </font>
      <fill>
        <patternFill patternType="none">
          <bgColor auto="1"/>
        </patternFill>
      </fill>
      <border diagonalUp="0" diagonalDown="0">
        <left/>
        <right/>
        <top style="medium">
          <color theme="2" tint="-9.9948118533890809E-2"/>
        </top>
        <bottom/>
        <vertical/>
        <horizontal/>
      </border>
    </dxf>
    <dxf>
      <font>
        <b val="0"/>
        <i val="0"/>
        <color theme="5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5" tint="0.39991454817346722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2" tint="-9.9948118533890809E-2"/>
        </bottom>
        <vertical/>
        <horizontal style="medium">
          <color theme="2" tint="-9.9948118533890809E-2"/>
        </horizontal>
      </border>
    </dxf>
    <dxf>
      <font>
        <b/>
        <i val="0"/>
        <color theme="2" tint="-0.499984740745262"/>
      </font>
    </dxf>
    <dxf>
      <font>
        <b/>
        <i val="0"/>
        <color theme="5"/>
      </font>
    </dxf>
    <dxf>
      <font>
        <b/>
        <i val="0"/>
        <color theme="2" tint="-0.24994659260841701"/>
      </font>
    </dxf>
    <dxf>
      <font>
        <b/>
        <i val="0"/>
        <color theme="2" tint="-0.499984740745262"/>
      </font>
    </dxf>
    <dxf>
      <font>
        <b/>
        <i val="0"/>
        <color theme="6"/>
      </font>
    </dxf>
    <dxf>
      <font>
        <b/>
        <i val="0"/>
        <color theme="2" tint="-0.24994659260841701"/>
      </font>
    </dxf>
    <dxf>
      <font>
        <b/>
        <i val="0"/>
        <color theme="2" tint="-0.499984740745262"/>
      </font>
    </dxf>
    <dxf>
      <font>
        <b/>
        <i val="0"/>
        <color theme="4"/>
      </font>
    </dxf>
    <dxf>
      <font>
        <b/>
        <i val="0"/>
        <color theme="2" tint="-0.24994659260841701"/>
      </font>
    </dxf>
  </dxfs>
  <tableStyles count="5" defaultTableStyle="Family budget cash flow" defaultPivotStyle="PivotStyleLight16">
    <tableStyle name="Family budget cash flow" pivot="0" count="3" xr9:uid="{00000000-0011-0000-FFFF-FFFF00000000}">
      <tableStyleElement type="wholeTable" dxfId="92"/>
      <tableStyleElement type="headerRow" dxfId="91"/>
      <tableStyleElement type="totalRow" dxfId="90"/>
    </tableStyle>
    <tableStyle name="Family budget expense" pivot="0" count="3" xr9:uid="{00000000-0011-0000-FFFF-FFFF01000000}">
      <tableStyleElement type="wholeTable" dxfId="89"/>
      <tableStyleElement type="headerRow" dxfId="88"/>
      <tableStyleElement type="totalRow" dxfId="87"/>
    </tableStyle>
    <tableStyle name="Family budget income" pivot="0" count="3" xr9:uid="{00000000-0011-0000-FFFF-FFFF02000000}">
      <tableStyleElement type="wholeTable" dxfId="86"/>
      <tableStyleElement type="headerRow" dxfId="85"/>
      <tableStyleElement type="totalRow" dxfId="84"/>
    </tableStyle>
    <tableStyle name="Online sales tracker" pivot="0" count="3" xr9:uid="{440318C9-5C8E-554C-A6A1-33FA100B2B25}">
      <tableStyleElement type="wholeTable" dxfId="83"/>
      <tableStyleElement type="headerRow" dxfId="82"/>
      <tableStyleElement type="totalRow" dxfId="81"/>
    </tableStyle>
    <tableStyle name="Tasks" pivot="0" count="3" xr9:uid="{7C42C44C-68A8-574A-A8F2-55661464D054}">
      <tableStyleElement type="wholeTable" dxfId="80"/>
      <tableStyleElement type="headerRow" dxfId="79"/>
      <tableStyleElement type="firstColumn" dxfId="78"/>
    </tableStyle>
  </tableStyles>
  <colors>
    <mruColors>
      <color rgb="FFF5FF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67-9A4D-9C30-F339F925D2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67-9A4D-9C30-F339F925D2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67-9A4D-9C30-F339F925D2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67-9A4D-9C30-F339F925D2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P!$B$15:$B$18</c:f>
              <c:strCache>
                <c:ptCount val="4"/>
                <c:pt idx="0">
                  <c:v>Liquidités Bancaires</c:v>
                </c:pt>
                <c:pt idx="1">
                  <c:v>Bourse</c:v>
                </c:pt>
                <c:pt idx="2">
                  <c:v>Immobilier</c:v>
                </c:pt>
                <c:pt idx="3">
                  <c:v>Private Equity</c:v>
                </c:pt>
              </c:strCache>
            </c:strRef>
          </c:cat>
          <c:val>
            <c:numRef>
              <c:f>P!$C$15:$C$18</c:f>
              <c:numCache>
                <c:formatCode>_(* #,##0.00_);_(* \(#,##0.00\);_(* "-"??_);_(@_)</c:formatCode>
                <c:ptCount val="4"/>
                <c:pt idx="0">
                  <c:v>35000</c:v>
                </c:pt>
                <c:pt idx="1">
                  <c:v>5000</c:v>
                </c:pt>
                <c:pt idx="2">
                  <c:v>250000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7-744D-8155-14AE8228CD8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67-9A4D-9C30-F339F925D2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267-9A4D-9C30-F339F925D2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267-9A4D-9C30-F339F925D2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267-9A4D-9C30-F339F925D2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P!$B$15:$B$18</c:f>
              <c:strCache>
                <c:ptCount val="4"/>
                <c:pt idx="0">
                  <c:v>Liquidités Bancaires</c:v>
                </c:pt>
                <c:pt idx="1">
                  <c:v>Bourse</c:v>
                </c:pt>
                <c:pt idx="2">
                  <c:v>Immobilier</c:v>
                </c:pt>
                <c:pt idx="3">
                  <c:v>Private Equity</c:v>
                </c:pt>
              </c:strCache>
            </c:strRef>
          </c:cat>
          <c:val>
            <c:numRef>
              <c:f>P!$D$15:$D$18</c:f>
              <c:numCache>
                <c:formatCode>0%</c:formatCode>
                <c:ptCount val="4"/>
                <c:pt idx="0">
                  <c:v>0.11666666666666667</c:v>
                </c:pt>
                <c:pt idx="1">
                  <c:v>1.6666666666666666E-2</c:v>
                </c:pt>
                <c:pt idx="2">
                  <c:v>0.83333333333333337</c:v>
                </c:pt>
                <c:pt idx="3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7-744D-8155-14AE8228CD8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3424549807382"/>
          <c:y val="7.7723977524878599E-2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v>Projeté </c:v>
          </c:tx>
          <c:spPr>
            <a:pattFill prst="narHorz">
              <a:fgClr>
                <a:schemeClr val="accent1">
                  <a:shade val="76000"/>
                </a:schemeClr>
              </a:fgClr>
              <a:bgClr>
                <a:schemeClr val="accent1">
                  <a:shade val="76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shade val="76000"/>
                </a:schemeClr>
              </a:inn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DD8-4A29-AA76-4E89536BAE5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D8-4A29-AA76-4E89536BAE5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DD8-4A29-AA76-4E89536BA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'Chart Data'!$B$5:$B$7</c:f>
              <c:strCache>
                <c:ptCount val="3"/>
                <c:pt idx="0">
                  <c:v>Cash Flow</c:v>
                </c:pt>
                <c:pt idx="1">
                  <c:v>Revenus Mensuels</c:v>
                </c:pt>
                <c:pt idx="2">
                  <c:v>Dépenses Mensuelles</c:v>
                </c:pt>
              </c:strCache>
            </c:strRef>
          </c:cat>
          <c:val>
            <c:numRef>
              <c:f>'Chart Data'!$C$5:$C$7</c:f>
              <c:numCache>
                <c:formatCode>General</c:formatCode>
                <c:ptCount val="3"/>
                <c:pt idx="0">
                  <c:v>5387</c:v>
                </c:pt>
                <c:pt idx="1">
                  <c:v>8000</c:v>
                </c:pt>
                <c:pt idx="2">
                  <c:v>2613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D8-4A29-AA76-4E89536BAE58}"/>
            </c:ext>
          </c:extLst>
        </c:ser>
        <c:ser>
          <c:idx val="1"/>
          <c:order val="1"/>
          <c:tx>
            <c:v>Actuel </c:v>
          </c:tx>
          <c:spPr>
            <a:pattFill prst="narHorz">
              <a:fgClr>
                <a:schemeClr val="accent1">
                  <a:tint val="77000"/>
                </a:schemeClr>
              </a:fgClr>
              <a:bgClr>
                <a:schemeClr val="accent1">
                  <a:tint val="77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tint val="77000"/>
                </a:schemeClr>
              </a:inn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DD8-4A29-AA76-4E89536BAE5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DD8-4A29-AA76-4E89536BAE5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DD8-4A29-AA76-4E89536BA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'Chart Data'!$B$5:$B$7</c:f>
              <c:strCache>
                <c:ptCount val="3"/>
                <c:pt idx="0">
                  <c:v>Cash Flow</c:v>
                </c:pt>
                <c:pt idx="1">
                  <c:v>Revenus Mensuels</c:v>
                </c:pt>
                <c:pt idx="2">
                  <c:v>Dépenses Mensuelles</c:v>
                </c:pt>
              </c:strCache>
            </c:strRef>
          </c:cat>
          <c:val>
            <c:numRef>
              <c:f>'Chart Data'!$D$5:$D$7</c:f>
              <c:numCache>
                <c:formatCode>General</c:formatCode>
                <c:ptCount val="3"/>
                <c:pt idx="0">
                  <c:v>1050</c:v>
                </c:pt>
                <c:pt idx="1">
                  <c:v>5000</c:v>
                </c:pt>
                <c:pt idx="2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D8-4A29-AA76-4E89536BAE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420927144"/>
        <c:axId val="420929496"/>
      </c:barChart>
      <c:catAx>
        <c:axId val="42092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0929496"/>
        <c:crosses val="autoZero"/>
        <c:auto val="1"/>
        <c:lblAlgn val="ctr"/>
        <c:lblOffset val="100"/>
        <c:noMultiLvlLbl val="0"/>
      </c:catAx>
      <c:valAx>
        <c:axId val="420929496"/>
        <c:scaling>
          <c:orientation val="minMax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092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5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REPARTITION </a:t>
            </a:r>
            <a:endParaRPr lang="en-US" sz="1600">
              <a:solidFill>
                <a:schemeClr val="tx1">
                  <a:lumMod val="95000"/>
                  <a:lumOff val="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5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0BA3-394C-ADD1-259181E36365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0BA3-394C-ADD1-259181E363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P!$B$15:$B$16</c:f>
              <c:strCache>
                <c:ptCount val="2"/>
                <c:pt idx="0">
                  <c:v>Liquidités Bancaires</c:v>
                </c:pt>
                <c:pt idx="1">
                  <c:v>Bourse</c:v>
                </c:pt>
              </c:strCache>
            </c:strRef>
          </c:cat>
          <c:val>
            <c:numRef>
              <c:f>P!$C$15:$C$16</c:f>
              <c:numCache>
                <c:formatCode>_(* #,##0.00_);_(* \(#,##0.00\);_(* "-"??_);_(@_)</c:formatCode>
                <c:ptCount val="2"/>
                <c:pt idx="0">
                  <c:v>35000</c:v>
                </c:pt>
                <c:pt idx="1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A3-394C-ADD1-259181E3636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>
                    <a:lumMod val="95000"/>
                    <a:lumOff val="5000"/>
                  </a:schemeClr>
                </a:solidFill>
              </a:rPr>
              <a:t>FAUT-IL</a:t>
            </a:r>
            <a:r>
              <a:rPr lang="en-US" b="1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VRAIMENT INVESTIR SON EPARGNE ? </a:t>
            </a:r>
            <a:endParaRPr lang="en-US" b="1">
              <a:solidFill>
                <a:schemeClr val="tx1">
                  <a:lumMod val="95000"/>
                  <a:lumOff val="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I!$E$14:$E$16</c:f>
              <c:strCache>
                <c:ptCount val="3"/>
                <c:pt idx="0">
                  <c:v>Jean Jacques </c:v>
                </c:pt>
                <c:pt idx="1">
                  <c:v>Kevin</c:v>
                </c:pt>
                <c:pt idx="2">
                  <c:v>Bradley </c:v>
                </c:pt>
              </c:strCache>
            </c:strRef>
          </c:cat>
          <c:val>
            <c:numRef>
              <c:f>I!$G$14:$G$16</c:f>
              <c:numCache>
                <c:formatCode>_(* #,##0.00_);_(* \(#,##0.00\);_(* "-"??_);_(@_)</c:formatCode>
                <c:ptCount val="3"/>
                <c:pt idx="0">
                  <c:v>225240.98764034006</c:v>
                </c:pt>
                <c:pt idx="1">
                  <c:v>1062931.4909495534</c:v>
                </c:pt>
                <c:pt idx="2">
                  <c:v>4341833.5719392747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1-DE40-A0CC-3BAE375D7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1401551"/>
        <c:axId val="961500831"/>
      </c:barChart>
      <c:catAx>
        <c:axId val="96140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1500831"/>
        <c:crosses val="autoZero"/>
        <c:auto val="1"/>
        <c:lblAlgn val="ctr"/>
        <c:lblOffset val="100"/>
        <c:noMultiLvlLbl val="0"/>
      </c:catAx>
      <c:valAx>
        <c:axId val="96150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140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70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</a:rPr>
              <a:t>Patrimoine</a:t>
            </a:r>
            <a:r>
              <a:rPr lang="en-US" sz="17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</a:rPr>
              <a:t> Croissance</a:t>
            </a:r>
            <a:endParaRPr lang="en-US" sz="1700">
              <a:solidFill>
                <a:schemeClr val="tx1">
                  <a:lumMod val="95000"/>
                  <a:lumOff val="5000"/>
                </a:schemeClr>
              </a:solidFill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j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17639697346429"/>
          <c:y val="0.21582130216491449"/>
          <c:w val="0.73706147753562934"/>
          <c:h val="0.603895949270398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M!$G$18</c:f>
              <c:strCache>
                <c:ptCount val="1"/>
                <c:pt idx="0">
                  <c:v>Immo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M!$B$19:$B$27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M!$G$19:$G$27</c:f>
              <c:numCache>
                <c:formatCode>_(* #,##0.00_);_(* \(#,##0.00\);_(* "-"??_);_(@_)</c:formatCode>
                <c:ptCount val="8"/>
                <c:pt idx="0">
                  <c:v>100000</c:v>
                </c:pt>
                <c:pt idx="1">
                  <c:v>250000</c:v>
                </c:pt>
                <c:pt idx="2">
                  <c:v>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A9-E94E-BF56-E194A320176F}"/>
            </c:ext>
          </c:extLst>
        </c:ser>
        <c:ser>
          <c:idx val="0"/>
          <c:order val="1"/>
          <c:tx>
            <c:strRef>
              <c:f>M!$F$18</c:f>
              <c:strCache>
                <c:ptCount val="1"/>
                <c:pt idx="0">
                  <c:v>Bourse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M!$F$19:$F$26</c:f>
              <c:numCache>
                <c:formatCode>_(* #,##0.00_);_(* \(#,##0.00\);_(* "-"??_);_(@_)</c:formatCode>
                <c:ptCount val="8"/>
                <c:pt idx="0">
                  <c:v>2000</c:v>
                </c:pt>
                <c:pt idx="1">
                  <c:v>3500</c:v>
                </c:pt>
                <c:pt idx="2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6A9-E94E-BF56-E194A320176F}"/>
            </c:ext>
          </c:extLst>
        </c:ser>
        <c:ser>
          <c:idx val="2"/>
          <c:order val="2"/>
          <c:tx>
            <c:strRef>
              <c:f>M!$H$18</c:f>
              <c:strCache>
                <c:ptCount val="1"/>
                <c:pt idx="0">
                  <c:v>Private Equity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M!$H$19:$H$26</c:f>
              <c:numCache>
                <c:formatCode>_(* #,##0.00_);_(* \(#,##0.00\);_(*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6A9-E94E-BF56-E194A320176F}"/>
            </c:ext>
          </c:extLst>
        </c:ser>
        <c:ser>
          <c:idx val="3"/>
          <c:order val="3"/>
          <c:tx>
            <c:strRef>
              <c:f>M!$I$18</c:f>
              <c:strCache>
                <c:ptCount val="1"/>
                <c:pt idx="0">
                  <c:v>Liquidités Bancaires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M!$I$19:$I$26</c:f>
              <c:numCache>
                <c:formatCode>_(* #,##0.00_);_(* \(#,##0.00\);_(* "-"??_);_(@_)</c:formatCode>
                <c:ptCount val="8"/>
                <c:pt idx="0">
                  <c:v>20000</c:v>
                </c:pt>
                <c:pt idx="1">
                  <c:v>15000</c:v>
                </c:pt>
                <c:pt idx="2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6A9-E94E-BF56-E194A3201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7716687"/>
        <c:axId val="977754239"/>
      </c:barChart>
      <c:catAx>
        <c:axId val="97771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7754239"/>
        <c:crosses val="autoZero"/>
        <c:auto val="1"/>
        <c:lblAlgn val="ctr"/>
        <c:lblOffset val="100"/>
        <c:noMultiLvlLbl val="0"/>
      </c:catAx>
      <c:valAx>
        <c:axId val="97775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771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70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</a:rPr>
              <a:t>Revenus Croissance</a:t>
            </a:r>
          </a:p>
        </c:rich>
      </c:tx>
      <c:layout>
        <c:manualLayout>
          <c:xMode val="edge"/>
          <c:yMode val="edge"/>
          <c:x val="0.36856828670154274"/>
          <c:y val="1.2574471605308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j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8880130499527296E-2"/>
          <c:y val="0.20011251506327377"/>
          <c:w val="0.89621472203927166"/>
          <c:h val="0.6906328013373949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M!$E$18</c:f>
              <c:strCache>
                <c:ptCount val="1"/>
                <c:pt idx="0">
                  <c:v>Total Revenus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0A-364A-980C-85447724F45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0A-364A-980C-85447724F45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0A-364A-980C-85447724F45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44-6545-AD17-9C796DA8E58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44-6545-AD17-9C796DA8E58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544-6545-AD17-9C796DA8E58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544-6545-AD17-9C796DA8E58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544-6545-AD17-9C796DA8E58C}"/>
              </c:ext>
            </c:extLst>
          </c:dPt>
          <c:cat>
            <c:numRef>
              <c:f>M!$B$19:$B$27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M!$E$19:$E$27</c:f>
              <c:numCache>
                <c:formatCode>#,##0</c:formatCode>
                <c:ptCount val="8"/>
                <c:pt idx="0">
                  <c:v>38400</c:v>
                </c:pt>
                <c:pt idx="1">
                  <c:v>55200</c:v>
                </c:pt>
                <c:pt idx="2">
                  <c:v>60000</c:v>
                </c:pt>
                <c:pt idx="3" formatCode="_(* #,##0.00_);_(* \(#,##0.00\);_(* &quot;-&quot;??_);_(@_)">
                  <c:v>0</c:v>
                </c:pt>
                <c:pt idx="4" formatCode="_(* #,##0.00_);_(* \(#,##0.00\);_(* &quot;-&quot;??_);_(@_)">
                  <c:v>0</c:v>
                </c:pt>
                <c:pt idx="5" formatCode="_(* #,##0.00_);_(* \(#,##0.00\);_(* &quot;-&quot;??_);_(@_)">
                  <c:v>0</c:v>
                </c:pt>
                <c:pt idx="6" formatCode="_(* #,##0.00_);_(* \(#,##0.00\);_(* &quot;-&quot;??_);_(@_)">
                  <c:v>0</c:v>
                </c:pt>
                <c:pt idx="7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0A-364A-980C-85447724F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0"/>
        <c:axId val="579611696"/>
        <c:axId val="579612872"/>
      </c:barChart>
      <c:catAx>
        <c:axId val="57961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9612872"/>
        <c:crosses val="autoZero"/>
        <c:auto val="1"/>
        <c:lblAlgn val="ctr"/>
        <c:lblOffset val="100"/>
        <c:noMultiLvlLbl val="0"/>
      </c:catAx>
      <c:valAx>
        <c:axId val="57961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961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331178</xdr:colOff>
      <xdr:row>19</xdr:row>
      <xdr:rowOff>196361</xdr:rowOff>
    </xdr:from>
    <xdr:to>
      <xdr:col>4</xdr:col>
      <xdr:colOff>68385</xdr:colOff>
      <xdr:row>32</xdr:row>
      <xdr:rowOff>145561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6CEFBBC-FE0A-7D46-A731-34323E97C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136770</xdr:colOff>
      <xdr:row>1</xdr:row>
      <xdr:rowOff>155525</xdr:rowOff>
    </xdr:from>
    <xdr:to>
      <xdr:col>18</xdr:col>
      <xdr:colOff>361463</xdr:colOff>
      <xdr:row>22</xdr:row>
      <xdr:rowOff>87923</xdr:rowOff>
    </xdr:to>
    <xdr:graphicFrame macro="">
      <xdr:nvGraphicFramePr>
        <xdr:cNvPr id="3" name="Budget Chart" descr="Column chart showing cash flow, monthly income and monthly expense values, both projected and actual." title="Budget 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60569</xdr:colOff>
      <xdr:row>16</xdr:row>
      <xdr:rowOff>126024</xdr:rowOff>
    </xdr:from>
    <xdr:to>
      <xdr:col>6</xdr:col>
      <xdr:colOff>1670538</xdr:colOff>
      <xdr:row>35</xdr:row>
      <xdr:rowOff>107461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FBB746-0AA8-BE49-8E71-6C1919BAC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1779954</xdr:colOff>
      <xdr:row>16</xdr:row>
      <xdr:rowOff>127000</xdr:rowOff>
    </xdr:from>
    <xdr:to>
      <xdr:col>13</xdr:col>
      <xdr:colOff>566615</xdr:colOff>
      <xdr:row>35</xdr:row>
      <xdr:rowOff>87922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323419-CFDF-0D4A-8E69-F20229981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704849</xdr:colOff>
      <xdr:row>2</xdr:row>
      <xdr:rowOff>0</xdr:rowOff>
    </xdr:from>
    <xdr:to>
      <xdr:col>11</xdr:col>
      <xdr:colOff>39076</xdr:colOff>
      <xdr:row>15</xdr:row>
      <xdr:rowOff>175846</xdr:rowOff>
    </xdr:to>
    <xdr:graphicFrame macro="">
      <xdr:nvGraphicFramePr>
        <xdr:cNvPr id="2" name="ProductIncomePctChart" descr="Chart each product in a pie chart, showing their percentage of a whole by income." title="Percent income per product chart">
          <a:extLst>
            <a:ext uri="{FF2B5EF4-FFF2-40B4-BE49-F238E27FC236}">
              <a16:creationId xmlns:a16="http://schemas.microsoft.com/office/drawing/2014/main" id="{CF1D52E4-7637-6146-B9D0-85105F40C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219076</xdr:colOff>
      <xdr:row>15</xdr:row>
      <xdr:rowOff>0</xdr:rowOff>
    </xdr:to>
    <xdr:graphicFrame macro="">
      <xdr:nvGraphicFramePr>
        <xdr:cNvPr id="3" name="ProductIncomeChart" descr="Chart each item in a clustered column chart." title="Product income per item chart">
          <a:extLst>
            <a:ext uri="{FF2B5EF4-FFF2-40B4-BE49-F238E27FC236}">
              <a16:creationId xmlns:a16="http://schemas.microsoft.com/office/drawing/2014/main" id="{D84BB954-8B53-324D-9961-DC0A789F4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shFlow" displayName="CashFlow" ref="B3:E6" totalsRowCount="1" headerRowDxfId="65" totalsRowDxfId="63" headerRowBorderDxfId="64" totalsRowBorderDxfId="62">
  <autoFilter ref="B3:E5" xr:uid="{00000000-0009-0000-0100-000001000000}"/>
  <tableColumns count="4">
    <tableColumn id="1" xr3:uid="{00000000-0010-0000-0000-000001000000}" name="Cash Flow" totalsRowLabel="Total Cash Flow" dataDxfId="61" totalsRowDxfId="60"/>
    <tableColumn id="3" xr3:uid="{00000000-0010-0000-0000-000003000000}" name="Projeté" totalsRowFunction="custom" dataDxfId="59" totalsRowDxfId="58">
      <totalsRowFormula>C4-C5</totalsRowFormula>
    </tableColumn>
    <tableColumn id="4" xr3:uid="{00000000-0010-0000-0000-000004000000}" name="Actuel" totalsRowFunction="custom" dataDxfId="57" totalsRowDxfId="56">
      <totalsRowFormula>D4-D5</totalsRowFormula>
    </tableColumn>
    <tableColumn id="5" xr3:uid="{00000000-0010-0000-0000-000005000000}" name="Delta" totalsRowFunction="sum" dataDxfId="55" totalsRowDxfId="54">
      <calculatedColumnFormula>Expense[[#Totals],[Delta]]</calculatedColumnFormula>
    </tableColumn>
  </tableColumns>
  <tableStyleInfo name="Family budget cash flow" showFirstColumn="0" showLastColumn="0" showRowStripes="1" showColumnStripes="0"/>
  <extLst>
    <ext xmlns:x14="http://schemas.microsoft.com/office/spreadsheetml/2009/9/main" uri="{504A1905-F514-4f6f-8877-14C23A59335A}">
      <x14:table altText="Cash flow table" altTextSummary="Income and expense values, both projected and actual, are calculated as well as the varianc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come" displayName="Income" ref="B9:E20" totalsRowCount="1" headerRowDxfId="53" totalsRowDxfId="51" headerRowBorderDxfId="52" totalsRowBorderDxfId="50">
  <autoFilter ref="B9:E19" xr:uid="{00000000-0009-0000-0100-000002000000}"/>
  <tableColumns count="4">
    <tableColumn id="1" xr3:uid="{00000000-0010-0000-0100-000001000000}" name="Revenus Mensuels" totalsRowLabel="Total Revenus" dataDxfId="49" totalsRowDxfId="48"/>
    <tableColumn id="3" xr3:uid="{00000000-0010-0000-0100-000003000000}" name="Projeté" totalsRowFunction="sum" dataDxfId="47" totalsRowDxfId="46"/>
    <tableColumn id="4" xr3:uid="{00000000-0010-0000-0100-000004000000}" name="Actuel" totalsRowFunction="sum" dataDxfId="45" totalsRowDxfId="44"/>
    <tableColumn id="5" xr3:uid="{00000000-0010-0000-0100-000005000000}" name="Delta" totalsRowFunction="sum" dataDxfId="43" totalsRowDxfId="42">
      <calculatedColumnFormula>Income[[#This Row],[Actuel]]-Income[[#This Row],[Projeté]]</calculatedColumnFormula>
    </tableColumn>
  </tableColumns>
  <tableStyleInfo name="Family budget income" showFirstColumn="0" showLastColumn="0" showRowStripes="1" showColumnStripes="0"/>
  <extLst>
    <ext xmlns:x14="http://schemas.microsoft.com/office/spreadsheetml/2009/9/main" uri="{504A1905-F514-4f6f-8877-14C23A59335A}">
      <x14:table altText="Monthly income table" altTextSummary="Enter monthly income items, both projected and actual values, while the variance is calculated for you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xpense" displayName="Expense" ref="B23:E40" totalsRowCount="1" headerRowDxfId="41" totalsRowDxfId="39" headerRowBorderDxfId="40">
  <autoFilter ref="B23:E39" xr:uid="{00000000-0009-0000-0100-000003000000}"/>
  <tableColumns count="4">
    <tableColumn id="1" xr3:uid="{00000000-0010-0000-0200-000001000000}" name="Dépenses Mensuelles" totalsRowLabel="Total Dépenses" dataDxfId="38" totalsRowDxfId="37"/>
    <tableColumn id="3" xr3:uid="{00000000-0010-0000-0200-000003000000}" name="Projeté" totalsRowFunction="sum" dataDxfId="36" totalsRowDxfId="35"/>
    <tableColumn id="4" xr3:uid="{00000000-0010-0000-0200-000004000000}" name="Actuel" totalsRowFunction="sum" dataDxfId="34" totalsRowDxfId="33"/>
    <tableColumn id="5" xr3:uid="{00000000-0010-0000-0200-000005000000}" name="Delta" totalsRowFunction="sum" dataDxfId="32" totalsRowDxfId="31">
      <calculatedColumnFormula>Expense[[#This Row],[Projeté]]-Expense[[#This Row],[Actuel]]</calculatedColumnFormula>
    </tableColumn>
  </tableColumns>
  <tableStyleInfo name="Family budget expense" showFirstColumn="0" showLastColumn="0" showRowStripes="1" showColumnStripes="0"/>
  <extLst>
    <ext xmlns:x14="http://schemas.microsoft.com/office/spreadsheetml/2009/9/main" uri="{504A1905-F514-4f6f-8877-14C23A59335A}">
      <x14:table altText="Monthly expense table" altTextSummary="Enter monthly expense items, both projected and actual values, while the variance is calculated for you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00D0692-66A8-6648-95D7-96EA0B1E5D85}" name="Table1" displayName="Table1" ref="B18:K27" totalsRowCount="1" headerRowDxfId="30" dataDxfId="28" totalsRowDxfId="27" headerRowBorderDxfId="29">
  <autoFilter ref="B18:K26" xr:uid="{00000000-0009-0000-0100-000001000000}"/>
  <tableColumns count="10">
    <tableColumn id="1" xr3:uid="{00000000-0010-0000-0000-000001000000}" name="Année " dataDxfId="26" totalsRowDxfId="25"/>
    <tableColumn id="2" xr3:uid="{00000000-0010-0000-0000-000002000000}" name="Revenus Passifs" dataDxfId="24" totalsRowDxfId="23"/>
    <tableColumn id="3" xr3:uid="{00000000-0010-0000-0000-000003000000}" name="Revenus Actifs" dataDxfId="22" totalsRowDxfId="21"/>
    <tableColumn id="4" xr3:uid="{00000000-0010-0000-0000-000004000000}" name="Total Revenus" dataDxfId="20" totalsRowDxfId="19" dataCellStyle="Normal 3">
      <calculatedColumnFormula>+Table1[[#This Row],[Revenus Actifs]]+Table1[[#This Row],[Revenus Passifs]]</calculatedColumnFormula>
    </tableColumn>
    <tableColumn id="5" xr3:uid="{00000000-0010-0000-0000-000005000000}" name="Bourse " dataDxfId="18" totalsRowDxfId="17">
      <calculatedColumnFormula>IFERROR(Table1[[#This Row],[Total Revenus]]*Table1[[#This Row],[Revenus Passifs]]*(1+Table1[[#This Row],[Revenus Actifs]]),0)</calculatedColumnFormula>
    </tableColumn>
    <tableColumn id="7" xr3:uid="{00000000-0010-0000-0000-000007000000}" name="Immo" dataDxfId="16" totalsRowDxfId="15"/>
    <tableColumn id="8" xr3:uid="{00000000-0010-0000-0000-000008000000}" name="Private Equity" dataDxfId="14" totalsRowDxfId="13"/>
    <tableColumn id="9" xr3:uid="{00000000-0010-0000-0000-000009000000}" name="Liquidités Bancaires" dataDxfId="12" totalsRowDxfId="11">
      <calculatedColumnFormula>IFERROR(Table1[[#This Row],[Revenus Passifs]]*Table1[[#This Row],[Revenus Actifs]]+Table1[[#This Row],[Immo]]-Table1[[#This Row],[Private Equity]],0)</calculatedColumnFormula>
    </tableColumn>
    <tableColumn id="6" xr3:uid="{72C01748-A8BB-EF40-8D16-F4C23CDCD031}" name="Total Patrimoine" dataDxfId="10" totalsRowDxfId="9">
      <calculatedColumnFormula>+SUM(Table1[[#This Row],[Bourse ]:[Liquidités Bancaires]])</calculatedColumnFormula>
    </tableColumn>
    <tableColumn id="11" xr3:uid="{00000000-0010-0000-0000-00000B000000}" name="Notes" dataDxfId="8" totalsRowDxfId="7" dataCellStyle="Normal 3"/>
  </tableColumns>
  <tableStyleInfo name="Online sales tracker" showFirstColumn="0" showLastColumn="0" showRowStripes="1" showColumnStripes="0"/>
  <extLst>
    <ext xmlns:x14="http://schemas.microsoft.com/office/spreadsheetml/2009/9/main" uri="{504A1905-F514-4f6f-8877-14C23A59335A}">
      <x14:table altText="Online sales table" altTextSummary="Enter information about your online sales, including item, cost, markup percent, total sold, shipping charges and costs, and any return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5B1F11-9AAD-F04E-BF9D-62414BA20064}" name="List" displayName="List" ref="B5:C30" totalsRowShown="0" headerRowDxfId="3" dataDxfId="2">
  <autoFilter ref="B5:C30" xr:uid="{00000000-0009-0000-0100-000002000000}"/>
  <tableColumns count="2">
    <tableColumn id="1" xr3:uid="{00000000-0010-0000-0000-000001000000}" name="ACTIONS" dataDxfId="1" dataCellStyle="Date"/>
    <tableColumn id="2" xr3:uid="{00000000-0010-0000-0000-000002000000}" name="STATUS" dataDxfId="0" dataCellStyle="Normal 2"/>
  </tableColumns>
  <tableStyleInfo name="Tasks" showFirstColumn="1" showLastColumn="0" showRowStripes="1" showColumnStripes="0"/>
  <extLst>
    <ext xmlns:x14="http://schemas.microsoft.com/office/spreadsheetml/2009/9/main" uri="{504A1905-F514-4f6f-8877-14C23A59335A}">
      <x14:table altTextSummary="Enter date, item and notes for a list of tasks"/>
    </ext>
  </extLst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032027"/>
      </a:dk2>
      <a:lt2>
        <a:srgbClr val="F1F0EE"/>
      </a:lt2>
      <a:accent1>
        <a:srgbClr val="0EAACF"/>
      </a:accent1>
      <a:accent2>
        <a:srgbClr val="A1D23A"/>
      </a:accent2>
      <a:accent3>
        <a:srgbClr val="F6893A"/>
      </a:accent3>
      <a:accent4>
        <a:srgbClr val="995487"/>
      </a:accent4>
      <a:accent5>
        <a:srgbClr val="BFA26E"/>
      </a:accent5>
      <a:accent6>
        <a:srgbClr val="DE5959"/>
      </a:accent6>
      <a:hlink>
        <a:srgbClr val="E85787"/>
      </a:hlink>
      <a:folHlink>
        <a:srgbClr val="0EAACF"/>
      </a:folHlink>
    </a:clrScheme>
    <a:fontScheme name="Family budge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yanndarwin.com/epargne" TargetMode="External"/><Relationship Id="rId2" Type="http://schemas.openxmlformats.org/officeDocument/2006/relationships/hyperlink" Target="https://yanndarwin.com/immo" TargetMode="External"/><Relationship Id="rId1" Type="http://schemas.openxmlformats.org/officeDocument/2006/relationships/hyperlink" Target="https://myclubdeal.com/" TargetMode="External"/><Relationship Id="rId6" Type="http://schemas.openxmlformats.org/officeDocument/2006/relationships/hyperlink" Target="https://yanndarwin.com/utilisation-prime" TargetMode="External"/><Relationship Id="rId5" Type="http://schemas.openxmlformats.org/officeDocument/2006/relationships/hyperlink" Target="https://yanndarwin.com/prime" TargetMode="External"/><Relationship Id="rId4" Type="http://schemas.openxmlformats.org/officeDocument/2006/relationships/hyperlink" Target="https://greenbullpartner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BFF99-43A3-5A4C-82D1-93DB3DA37FD4}">
  <sheetPr>
    <tabColor rgb="FF002060"/>
  </sheetPr>
  <dimension ref="A1:K22"/>
  <sheetViews>
    <sheetView showGridLines="0" zoomScale="130" zoomScaleNormal="130" workbookViewId="0">
      <selection activeCell="F17" sqref="F17"/>
    </sheetView>
  </sheetViews>
  <sheetFormatPr baseColWidth="10" defaultRowHeight="17" x14ac:dyDescent="0.2"/>
  <cols>
    <col min="1" max="1" width="3.85546875" customWidth="1"/>
    <col min="2" max="2" width="32" bestFit="1" customWidth="1"/>
    <col min="3" max="3" width="17.7109375" bestFit="1" customWidth="1"/>
    <col min="4" max="4" width="11" bestFit="1" customWidth="1"/>
    <col min="11" max="11" width="10.7109375" customWidth="1"/>
  </cols>
  <sheetData>
    <row r="1" spans="1:11" x14ac:dyDescent="0.2">
      <c r="A1" s="17"/>
      <c r="B1" s="58" t="s">
        <v>39</v>
      </c>
      <c r="C1" s="17"/>
      <c r="D1" s="17"/>
    </row>
    <row r="2" spans="1:11" x14ac:dyDescent="0.2">
      <c r="A2" s="17"/>
      <c r="B2" s="18"/>
      <c r="C2" s="17"/>
      <c r="D2" s="17"/>
    </row>
    <row r="3" spans="1:11" ht="18" thickBot="1" x14ac:dyDescent="0.25">
      <c r="A3" s="17"/>
      <c r="B3" s="17" t="s">
        <v>32</v>
      </c>
      <c r="C3" s="60">
        <v>5000</v>
      </c>
      <c r="D3" s="17"/>
      <c r="G3" s="17" t="s">
        <v>46</v>
      </c>
    </row>
    <row r="4" spans="1:11" x14ac:dyDescent="0.2">
      <c r="A4" s="17"/>
      <c r="B4" s="17"/>
      <c r="C4" s="19"/>
      <c r="D4" s="17"/>
      <c r="G4" s="110" t="s">
        <v>44</v>
      </c>
      <c r="H4" s="111"/>
      <c r="I4" s="111"/>
      <c r="J4" s="111"/>
      <c r="K4" s="112"/>
    </row>
    <row r="5" spans="1:11" ht="18" thickBot="1" x14ac:dyDescent="0.25">
      <c r="A5" s="17"/>
      <c r="B5" s="20"/>
      <c r="C5" s="20" t="s">
        <v>18</v>
      </c>
      <c r="D5" s="20" t="s">
        <v>34</v>
      </c>
      <c r="G5" s="104" t="s">
        <v>45</v>
      </c>
      <c r="H5" s="105"/>
      <c r="I5" s="105"/>
      <c r="J5" s="105"/>
      <c r="K5" s="106"/>
    </row>
    <row r="6" spans="1:11" x14ac:dyDescent="0.2">
      <c r="A6" s="17"/>
      <c r="B6" s="17" t="s">
        <v>7</v>
      </c>
      <c r="C6" s="59">
        <v>1000</v>
      </c>
      <c r="D6" s="22">
        <f>+C6/C3</f>
        <v>0.2</v>
      </c>
      <c r="G6" s="104" t="s">
        <v>45</v>
      </c>
      <c r="H6" s="105"/>
      <c r="I6" s="105"/>
      <c r="J6" s="105"/>
      <c r="K6" s="106"/>
    </row>
    <row r="7" spans="1:11" x14ac:dyDescent="0.2">
      <c r="A7" s="17"/>
      <c r="B7" s="17" t="s">
        <v>42</v>
      </c>
      <c r="C7" s="59">
        <v>1050</v>
      </c>
      <c r="D7" s="22">
        <f>+C7/C3</f>
        <v>0.21</v>
      </c>
      <c r="G7" s="104" t="s">
        <v>45</v>
      </c>
      <c r="H7" s="105"/>
      <c r="I7" s="105"/>
      <c r="J7" s="105"/>
      <c r="K7" s="106"/>
    </row>
    <row r="8" spans="1:11" x14ac:dyDescent="0.2">
      <c r="A8" s="17"/>
      <c r="B8" s="17" t="s">
        <v>35</v>
      </c>
      <c r="C8" s="59">
        <v>700</v>
      </c>
      <c r="D8" s="22">
        <f>+C8/$C$3</f>
        <v>0.14000000000000001</v>
      </c>
      <c r="F8" s="15"/>
      <c r="G8" s="104" t="s">
        <v>45</v>
      </c>
      <c r="H8" s="105"/>
      <c r="I8" s="105"/>
      <c r="J8" s="105"/>
      <c r="K8" s="106"/>
    </row>
    <row r="9" spans="1:11" x14ac:dyDescent="0.2">
      <c r="A9" s="17"/>
      <c r="B9" s="17" t="s">
        <v>57</v>
      </c>
      <c r="C9" s="59">
        <v>1000</v>
      </c>
      <c r="D9" s="22">
        <f>+C9/$C$3</f>
        <v>0.2</v>
      </c>
      <c r="G9" s="104" t="s">
        <v>45</v>
      </c>
      <c r="H9" s="105"/>
      <c r="I9" s="105"/>
      <c r="J9" s="105"/>
      <c r="K9" s="106"/>
    </row>
    <row r="10" spans="1:11" x14ac:dyDescent="0.2">
      <c r="A10" s="17"/>
      <c r="B10" s="17"/>
      <c r="C10" s="17"/>
      <c r="D10" s="17"/>
      <c r="G10" s="104" t="s">
        <v>45</v>
      </c>
      <c r="H10" s="105"/>
      <c r="I10" s="105"/>
      <c r="J10" s="105"/>
      <c r="K10" s="106"/>
    </row>
    <row r="11" spans="1:11" x14ac:dyDescent="0.2">
      <c r="A11" s="17"/>
      <c r="B11" s="17"/>
      <c r="C11" s="17"/>
      <c r="D11" s="17"/>
      <c r="G11" s="104" t="s">
        <v>45</v>
      </c>
      <c r="H11" s="105"/>
      <c r="I11" s="105"/>
      <c r="J11" s="105"/>
      <c r="K11" s="106"/>
    </row>
    <row r="12" spans="1:11" x14ac:dyDescent="0.2">
      <c r="A12" s="17"/>
      <c r="B12" s="17" t="s">
        <v>36</v>
      </c>
      <c r="C12" s="60">
        <v>300000</v>
      </c>
      <c r="D12" s="17"/>
      <c r="G12" s="104" t="s">
        <v>45</v>
      </c>
      <c r="H12" s="105"/>
      <c r="I12" s="105"/>
      <c r="J12" s="105"/>
      <c r="K12" s="106"/>
    </row>
    <row r="13" spans="1:11" x14ac:dyDescent="0.2">
      <c r="A13" s="17"/>
      <c r="B13" s="17"/>
      <c r="C13" s="19"/>
      <c r="D13" s="17"/>
      <c r="G13" s="104" t="s">
        <v>45</v>
      </c>
      <c r="H13" s="105"/>
      <c r="I13" s="105"/>
      <c r="J13" s="105"/>
      <c r="K13" s="106"/>
    </row>
    <row r="14" spans="1:11" ht="18" thickBot="1" x14ac:dyDescent="0.25">
      <c r="A14" s="17"/>
      <c r="B14" s="20"/>
      <c r="C14" s="20" t="s">
        <v>18</v>
      </c>
      <c r="D14" s="20" t="s">
        <v>34</v>
      </c>
      <c r="G14" s="104" t="s">
        <v>45</v>
      </c>
      <c r="H14" s="105"/>
      <c r="I14" s="105"/>
      <c r="J14" s="105"/>
      <c r="K14" s="106"/>
    </row>
    <row r="15" spans="1:11" x14ac:dyDescent="0.2">
      <c r="A15" s="17"/>
      <c r="B15" s="17" t="s">
        <v>41</v>
      </c>
      <c r="C15" s="59">
        <v>35000</v>
      </c>
      <c r="D15" s="21">
        <f>+C15/$C$12</f>
        <v>0.11666666666666667</v>
      </c>
      <c r="G15" s="104" t="s">
        <v>45</v>
      </c>
      <c r="H15" s="105"/>
      <c r="I15" s="105"/>
      <c r="J15" s="105"/>
      <c r="K15" s="106"/>
    </row>
    <row r="16" spans="1:11" x14ac:dyDescent="0.2">
      <c r="A16" s="17"/>
      <c r="B16" s="17" t="s">
        <v>50</v>
      </c>
      <c r="C16" s="59">
        <v>5000</v>
      </c>
      <c r="D16" s="21">
        <f>+C16/$C$12</f>
        <v>1.6666666666666666E-2</v>
      </c>
      <c r="G16" s="104" t="s">
        <v>45</v>
      </c>
      <c r="H16" s="105"/>
      <c r="I16" s="105"/>
      <c r="J16" s="105"/>
      <c r="K16" s="106"/>
    </row>
    <row r="17" spans="1:11" x14ac:dyDescent="0.2">
      <c r="A17" s="17"/>
      <c r="B17" s="17" t="s">
        <v>37</v>
      </c>
      <c r="C17" s="59">
        <v>250000</v>
      </c>
      <c r="D17" s="21">
        <f>+C17/$C$12</f>
        <v>0.83333333333333337</v>
      </c>
      <c r="G17" s="104" t="s">
        <v>45</v>
      </c>
      <c r="H17" s="105"/>
      <c r="I17" s="105"/>
      <c r="J17" s="105"/>
      <c r="K17" s="106"/>
    </row>
    <row r="18" spans="1:11" x14ac:dyDescent="0.2">
      <c r="A18" s="17"/>
      <c r="B18" s="17" t="s">
        <v>38</v>
      </c>
      <c r="C18" s="59">
        <v>10000</v>
      </c>
      <c r="D18" s="21">
        <f>+C18/$C$12</f>
        <v>3.3333333333333333E-2</v>
      </c>
      <c r="G18" s="104" t="s">
        <v>45</v>
      </c>
      <c r="H18" s="105"/>
      <c r="I18" s="105"/>
      <c r="J18" s="105"/>
      <c r="K18" s="106"/>
    </row>
    <row r="19" spans="1:11" x14ac:dyDescent="0.2">
      <c r="A19" s="17"/>
      <c r="B19" s="3"/>
      <c r="C19" s="45">
        <f>+SUM(C15:C18)</f>
        <v>300000</v>
      </c>
      <c r="D19" s="46">
        <f>+SUM(D15:D18)</f>
        <v>1</v>
      </c>
      <c r="G19" s="104" t="s">
        <v>45</v>
      </c>
      <c r="H19" s="105"/>
      <c r="I19" s="105"/>
      <c r="J19" s="105"/>
      <c r="K19" s="106"/>
    </row>
    <row r="20" spans="1:11" x14ac:dyDescent="0.2">
      <c r="D20" s="16"/>
      <c r="G20" s="104" t="s">
        <v>45</v>
      </c>
      <c r="H20" s="105"/>
      <c r="I20" s="105"/>
      <c r="J20" s="105"/>
      <c r="K20" s="106"/>
    </row>
    <row r="21" spans="1:11" x14ac:dyDescent="0.2">
      <c r="G21" s="104" t="s">
        <v>45</v>
      </c>
      <c r="H21" s="105"/>
      <c r="I21" s="105"/>
      <c r="J21" s="105"/>
      <c r="K21" s="106"/>
    </row>
    <row r="22" spans="1:11" ht="18" thickBot="1" x14ac:dyDescent="0.25">
      <c r="G22" s="107" t="s">
        <v>45</v>
      </c>
      <c r="H22" s="108"/>
      <c r="I22" s="108"/>
      <c r="J22" s="108"/>
      <c r="K22" s="109"/>
    </row>
  </sheetData>
  <mergeCells count="19">
    <mergeCell ref="G9:K9"/>
    <mergeCell ref="G10:K10"/>
    <mergeCell ref="G11:K11"/>
    <mergeCell ref="G12:K12"/>
    <mergeCell ref="G4:K4"/>
    <mergeCell ref="G5:K5"/>
    <mergeCell ref="G6:K6"/>
    <mergeCell ref="G7:K7"/>
    <mergeCell ref="G8:K8"/>
    <mergeCell ref="G19:K19"/>
    <mergeCell ref="G20:K20"/>
    <mergeCell ref="G21:K21"/>
    <mergeCell ref="G22:K22"/>
    <mergeCell ref="G13:K13"/>
    <mergeCell ref="G14:K14"/>
    <mergeCell ref="G15:K15"/>
    <mergeCell ref="G16:K16"/>
    <mergeCell ref="G17:K17"/>
    <mergeCell ref="G18:K18"/>
  </mergeCells>
  <conditionalFormatting sqref="D6">
    <cfRule type="cellIs" dxfId="77" priority="10" operator="between">
      <formula>0.1501</formula>
      <formula>0.2999</formula>
    </cfRule>
    <cfRule type="cellIs" dxfId="76" priority="11" operator="lessThanOrEqual">
      <formula>15%</formula>
    </cfRule>
    <cfRule type="cellIs" dxfId="75" priority="12" operator="greaterThanOrEqual">
      <formula>0.3</formula>
    </cfRule>
  </conditionalFormatting>
  <conditionalFormatting sqref="D7">
    <cfRule type="cellIs" dxfId="74" priority="7" operator="between">
      <formula>0.3001</formula>
      <formula>0.7999</formula>
    </cfRule>
    <cfRule type="cellIs" dxfId="73" priority="8" operator="lessThanOrEqual">
      <formula>0.3</formula>
    </cfRule>
    <cfRule type="cellIs" dxfId="72" priority="9" operator="greaterThanOrEqual">
      <formula>80</formula>
    </cfRule>
  </conditionalFormatting>
  <conditionalFormatting sqref="D8">
    <cfRule type="cellIs" dxfId="71" priority="4" operator="between">
      <formula>0.0101</formula>
      <formula>0.0199</formula>
    </cfRule>
    <cfRule type="cellIs" dxfId="70" priority="5" operator="lessThanOrEqual">
      <formula>0.01</formula>
    </cfRule>
    <cfRule type="cellIs" dxfId="69" priority="6" operator="greaterThanOrEqual">
      <formula>0.02</formula>
    </cfRule>
  </conditionalFormatting>
  <conditionalFormatting sqref="D9">
    <cfRule type="cellIs" dxfId="68" priority="1" operator="between">
      <formula>0.1001</formula>
      <formula>0.1499</formula>
    </cfRule>
    <cfRule type="cellIs" dxfId="67" priority="2" operator="lessThan">
      <formula>0.1</formula>
    </cfRule>
    <cfRule type="cellIs" dxfId="66" priority="3" operator="greaterThanOrEqual">
      <formula>0.15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  <pageSetUpPr autoPageBreaks="0" fitToPage="1"/>
  </sheetPr>
  <dimension ref="B1:R42"/>
  <sheetViews>
    <sheetView showGridLines="0" zoomScale="130" zoomScaleNormal="130" workbookViewId="0">
      <selection activeCell="B13" sqref="B13"/>
    </sheetView>
  </sheetViews>
  <sheetFormatPr baseColWidth="10" defaultColWidth="8.7109375" defaultRowHeight="17" x14ac:dyDescent="0.2"/>
  <cols>
    <col min="1" max="1" width="3.42578125" customWidth="1"/>
    <col min="2" max="2" width="44.42578125" customWidth="1"/>
    <col min="3" max="3" width="18" customWidth="1"/>
    <col min="4" max="5" width="14.28515625" style="2" customWidth="1"/>
    <col min="6" max="6" width="3.7109375" customWidth="1"/>
    <col min="7" max="7" width="4.5703125" customWidth="1"/>
  </cols>
  <sheetData>
    <row r="1" spans="2:18" x14ac:dyDescent="0.2">
      <c r="B1" s="58" t="s">
        <v>25</v>
      </c>
      <c r="C1" s="11"/>
      <c r="D1" s="12"/>
      <c r="E1" s="12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2:18" ht="18" customHeight="1" x14ac:dyDescent="0.15">
      <c r="B2" s="4"/>
      <c r="C2" s="2"/>
    </row>
    <row r="3" spans="2:18" ht="25" thickBot="1" x14ac:dyDescent="0.25">
      <c r="B3" s="8" t="s">
        <v>0</v>
      </c>
      <c r="C3" s="5" t="s">
        <v>17</v>
      </c>
      <c r="D3" s="5" t="s">
        <v>18</v>
      </c>
      <c r="E3" s="5" t="s">
        <v>19</v>
      </c>
    </row>
    <row r="4" spans="2:18" x14ac:dyDescent="0.2">
      <c r="B4" s="17" t="s">
        <v>14</v>
      </c>
      <c r="C4" s="61">
        <f>Income[[#Totals],[Projeté]]</f>
        <v>8000</v>
      </c>
      <c r="D4" s="61">
        <f>Income[[#Totals],[Actuel]]</f>
        <v>5000</v>
      </c>
      <c r="E4" s="23">
        <f>Income[[#Totals],[Delta]]</f>
        <v>-3000</v>
      </c>
    </row>
    <row r="5" spans="2:18" x14ac:dyDescent="0.2">
      <c r="B5" s="24" t="s">
        <v>15</v>
      </c>
      <c r="C5" s="62">
        <f>Expense[[#Totals],[Projeté]]</f>
        <v>2613</v>
      </c>
      <c r="D5" s="62">
        <f>Expense[[#Totals],[Actuel]]</f>
        <v>3950</v>
      </c>
      <c r="E5" s="25">
        <f>Expense[[#Totals],[Delta]]</f>
        <v>-1337</v>
      </c>
    </row>
    <row r="6" spans="2:18" x14ac:dyDescent="0.2">
      <c r="B6" s="30" t="s">
        <v>16</v>
      </c>
      <c r="C6" s="31">
        <f>C4-C5</f>
        <v>5387</v>
      </c>
      <c r="D6" s="31">
        <f>D4-D5</f>
        <v>1050</v>
      </c>
      <c r="E6" s="31">
        <f>SUBTOTAL(109,CashFlow[Delta])</f>
        <v>-4337</v>
      </c>
    </row>
    <row r="7" spans="2:18" x14ac:dyDescent="0.2">
      <c r="B7" s="32" t="s">
        <v>49</v>
      </c>
      <c r="C7" s="33">
        <f>+CashFlow[[#Totals],[Projeté]]*12</f>
        <v>64644</v>
      </c>
      <c r="D7" s="33">
        <f>+CashFlow[[#Totals],[Actuel]]*12</f>
        <v>12600</v>
      </c>
      <c r="E7" s="33">
        <f>+CashFlow[[#Totals],[Delta]]*12</f>
        <v>-52044</v>
      </c>
    </row>
    <row r="8" spans="2:18" ht="21" customHeight="1" x14ac:dyDescent="0.2">
      <c r="B8" s="24"/>
      <c r="C8" s="16"/>
      <c r="D8" s="16"/>
      <c r="E8" s="16"/>
    </row>
    <row r="9" spans="2:18" ht="25" thickBot="1" x14ac:dyDescent="0.25">
      <c r="B9" s="9" t="s">
        <v>23</v>
      </c>
      <c r="C9" s="6" t="s">
        <v>17</v>
      </c>
      <c r="D9" s="6" t="s">
        <v>18</v>
      </c>
      <c r="E9" s="6" t="s">
        <v>19</v>
      </c>
    </row>
    <row r="10" spans="2:18" x14ac:dyDescent="0.2">
      <c r="B10" s="17" t="s">
        <v>20</v>
      </c>
      <c r="C10" s="61">
        <v>4200</v>
      </c>
      <c r="D10" s="61">
        <v>4000</v>
      </c>
      <c r="E10" s="23">
        <f>Income[[#This Row],[Actuel]]-Income[[#This Row],[Projeté]]</f>
        <v>-200</v>
      </c>
    </row>
    <row r="11" spans="2:18" x14ac:dyDescent="0.2">
      <c r="B11" s="17" t="s">
        <v>21</v>
      </c>
      <c r="C11" s="61">
        <v>300</v>
      </c>
      <c r="D11" s="61">
        <v>400</v>
      </c>
      <c r="E11" s="23">
        <f>Income[[#This Row],[Actuel]]-Income[[#This Row],[Projeté]]</f>
        <v>100</v>
      </c>
    </row>
    <row r="12" spans="2:18" x14ac:dyDescent="0.2">
      <c r="B12" s="17" t="s">
        <v>116</v>
      </c>
      <c r="C12" s="61">
        <v>500</v>
      </c>
      <c r="D12" s="61">
        <v>0</v>
      </c>
      <c r="E12" s="23">
        <f>Income[[#This Row],[Actuel]]-Income[[#This Row],[Projeté]]</f>
        <v>-500</v>
      </c>
    </row>
    <row r="13" spans="2:18" x14ac:dyDescent="0.2">
      <c r="B13" s="17" t="s">
        <v>26</v>
      </c>
      <c r="C13" s="61">
        <v>500</v>
      </c>
      <c r="D13" s="61">
        <v>0</v>
      </c>
      <c r="E13" s="23">
        <f>Income[[#This Row],[Actuel]]-Income[[#This Row],[Projeté]]</f>
        <v>-500</v>
      </c>
    </row>
    <row r="14" spans="2:18" x14ac:dyDescent="0.2">
      <c r="B14" s="17" t="s">
        <v>22</v>
      </c>
      <c r="C14" s="61">
        <v>500</v>
      </c>
      <c r="D14" s="61">
        <v>0</v>
      </c>
      <c r="E14" s="23">
        <f>Income[[#This Row],[Actuel]]-Income[[#This Row],[Projeté]]</f>
        <v>-500</v>
      </c>
    </row>
    <row r="15" spans="2:18" x14ac:dyDescent="0.2">
      <c r="B15" s="17" t="s">
        <v>28</v>
      </c>
      <c r="C15" s="61">
        <v>0</v>
      </c>
      <c r="D15" s="61">
        <v>0</v>
      </c>
      <c r="E15" s="23">
        <f>Income[[#This Row],[Actuel]]-Income[[#This Row],[Projeté]]</f>
        <v>0</v>
      </c>
    </row>
    <row r="16" spans="2:18" x14ac:dyDescent="0.2">
      <c r="B16" s="17" t="s">
        <v>29</v>
      </c>
      <c r="C16" s="61">
        <v>0</v>
      </c>
      <c r="D16" s="61">
        <v>0</v>
      </c>
      <c r="E16" s="23">
        <f>Income[[#This Row],[Actuel]]-Income[[#This Row],[Projeté]]</f>
        <v>0</v>
      </c>
    </row>
    <row r="17" spans="2:5" x14ac:dyDescent="0.2">
      <c r="B17" s="17" t="s">
        <v>30</v>
      </c>
      <c r="C17" s="61">
        <v>1500</v>
      </c>
      <c r="D17" s="61">
        <v>600</v>
      </c>
      <c r="E17" s="23">
        <f>Income[[#This Row],[Actuel]]-Income[[#This Row],[Projeté]]</f>
        <v>-900</v>
      </c>
    </row>
    <row r="18" spans="2:5" x14ac:dyDescent="0.2">
      <c r="B18" s="24" t="s">
        <v>27</v>
      </c>
      <c r="C18" s="62">
        <v>500</v>
      </c>
      <c r="D18" s="62">
        <v>0</v>
      </c>
      <c r="E18" s="25">
        <f>Income[[#This Row],[Actuel]]-Income[[#This Row],[Projeté]]</f>
        <v>-500</v>
      </c>
    </row>
    <row r="19" spans="2:5" x14ac:dyDescent="0.2">
      <c r="B19" s="24" t="s">
        <v>31</v>
      </c>
      <c r="C19" s="62">
        <v>0</v>
      </c>
      <c r="D19" s="62">
        <v>0</v>
      </c>
      <c r="E19" s="25">
        <f>Income[[#This Row],[Actuel]]-Income[[#This Row],[Projeté]]</f>
        <v>0</v>
      </c>
    </row>
    <row r="20" spans="2:5" ht="19" customHeight="1" x14ac:dyDescent="0.2">
      <c r="B20" s="28" t="s">
        <v>32</v>
      </c>
      <c r="C20" s="29">
        <f>SUBTOTAL(109,Income[Projeté])</f>
        <v>8000</v>
      </c>
      <c r="D20" s="29">
        <f>SUBTOTAL(109,Income[Actuel])</f>
        <v>5000</v>
      </c>
      <c r="E20" s="29">
        <f>SUBTOTAL(109,Income[Delta])</f>
        <v>-3000</v>
      </c>
    </row>
    <row r="21" spans="2:5" x14ac:dyDescent="0.2">
      <c r="B21" s="26" t="s">
        <v>48</v>
      </c>
      <c r="C21" s="27">
        <f>+Income[[#Totals],[Projeté]]*12</f>
        <v>96000</v>
      </c>
      <c r="D21" s="27">
        <f>+Income[[#Totals],[Actuel]]*12</f>
        <v>60000</v>
      </c>
      <c r="E21" s="27">
        <f>+Income[[#Totals],[Delta]]*12</f>
        <v>-36000</v>
      </c>
    </row>
    <row r="22" spans="2:5" x14ac:dyDescent="0.2">
      <c r="B22" s="24"/>
      <c r="C22" s="16"/>
      <c r="D22" s="16"/>
      <c r="E22" s="16"/>
    </row>
    <row r="23" spans="2:5" ht="25" thickBot="1" x14ac:dyDescent="0.25">
      <c r="B23" s="10" t="s">
        <v>24</v>
      </c>
      <c r="C23" s="7" t="s">
        <v>17</v>
      </c>
      <c r="D23" s="7" t="s">
        <v>18</v>
      </c>
      <c r="E23" s="7" t="s">
        <v>19</v>
      </c>
    </row>
    <row r="24" spans="2:5" x14ac:dyDescent="0.2">
      <c r="B24" s="17" t="s">
        <v>7</v>
      </c>
      <c r="C24" s="61">
        <v>1000</v>
      </c>
      <c r="D24" s="61">
        <v>1000</v>
      </c>
      <c r="E24" s="23">
        <f>Expense[[#This Row],[Projeté]]-Expense[[#This Row],[Actuel]]</f>
        <v>0</v>
      </c>
    </row>
    <row r="25" spans="2:5" x14ac:dyDescent="0.2">
      <c r="B25" s="17" t="s">
        <v>55</v>
      </c>
      <c r="C25" s="61">
        <v>600</v>
      </c>
      <c r="D25" s="61">
        <v>600</v>
      </c>
      <c r="E25" s="23">
        <f>Expense[[#This Row],[Projeté]]-Expense[[#This Row],[Actuel]]</f>
        <v>0</v>
      </c>
    </row>
    <row r="26" spans="2:5" x14ac:dyDescent="0.2">
      <c r="B26" s="17" t="s">
        <v>3</v>
      </c>
      <c r="C26" s="61">
        <v>25</v>
      </c>
      <c r="D26" s="61">
        <v>25</v>
      </c>
      <c r="E26" s="23">
        <f>Expense[[#This Row],[Projeté]]-Expense[[#This Row],[Actuel]]</f>
        <v>0</v>
      </c>
    </row>
    <row r="27" spans="2:5" x14ac:dyDescent="0.2">
      <c r="B27" s="17" t="s">
        <v>9</v>
      </c>
      <c r="C27" s="61">
        <v>65</v>
      </c>
      <c r="D27" s="61">
        <v>78</v>
      </c>
      <c r="E27" s="23">
        <f>Expense[[#This Row],[Projeté]]-Expense[[#This Row],[Actuel]]</f>
        <v>-13</v>
      </c>
    </row>
    <row r="28" spans="2:5" x14ac:dyDescent="0.2">
      <c r="B28" s="17" t="s">
        <v>8</v>
      </c>
      <c r="C28" s="61">
        <v>19</v>
      </c>
      <c r="D28" s="61">
        <v>19</v>
      </c>
      <c r="E28" s="23">
        <f>Expense[[#This Row],[Projeté]]-Expense[[#This Row],[Actuel]]</f>
        <v>0</v>
      </c>
    </row>
    <row r="29" spans="2:5" x14ac:dyDescent="0.2">
      <c r="B29" s="17" t="s">
        <v>4</v>
      </c>
      <c r="C29" s="61">
        <v>0</v>
      </c>
      <c r="D29" s="61">
        <v>29</v>
      </c>
      <c r="E29" s="23">
        <f>Expense[[#This Row],[Projeté]]-Expense[[#This Row],[Actuel]]</f>
        <v>-29</v>
      </c>
    </row>
    <row r="30" spans="2:5" x14ac:dyDescent="0.2">
      <c r="B30" s="17" t="s">
        <v>5</v>
      </c>
      <c r="C30" s="61">
        <v>29</v>
      </c>
      <c r="D30" s="61">
        <v>29</v>
      </c>
      <c r="E30" s="23">
        <f>Expense[[#This Row],[Projeté]]-Expense[[#This Row],[Actuel]]</f>
        <v>0</v>
      </c>
    </row>
    <row r="31" spans="2:5" x14ac:dyDescent="0.2">
      <c r="B31" s="17" t="s">
        <v>43</v>
      </c>
      <c r="C31" s="61">
        <v>0</v>
      </c>
      <c r="D31" s="61">
        <v>0</v>
      </c>
      <c r="E31" s="23">
        <f>Expense[[#This Row],[Projeté]]-Expense[[#This Row],[Actuel]]</f>
        <v>0</v>
      </c>
    </row>
    <row r="32" spans="2:5" x14ac:dyDescent="0.2">
      <c r="B32" s="17" t="s">
        <v>58</v>
      </c>
      <c r="C32" s="61">
        <v>0</v>
      </c>
      <c r="D32" s="61">
        <v>0</v>
      </c>
      <c r="E32" s="23">
        <f>Expense[[#This Row],[Projeté]]-Expense[[#This Row],[Actuel]]</f>
        <v>0</v>
      </c>
    </row>
    <row r="33" spans="2:5" x14ac:dyDescent="0.2">
      <c r="B33" s="17" t="s">
        <v>10</v>
      </c>
      <c r="C33" s="61">
        <v>75</v>
      </c>
      <c r="D33" s="61">
        <v>80</v>
      </c>
      <c r="E33" s="23">
        <f>Expense[[#This Row],[Projeté]]-Expense[[#This Row],[Actuel]]</f>
        <v>-5</v>
      </c>
    </row>
    <row r="34" spans="2:5" x14ac:dyDescent="0.2">
      <c r="B34" s="17" t="s">
        <v>35</v>
      </c>
      <c r="C34" s="61">
        <v>250</v>
      </c>
      <c r="D34" s="61">
        <v>700</v>
      </c>
      <c r="E34" s="23">
        <f>Expense[[#This Row],[Projeté]]-Expense[[#This Row],[Actuel]]</f>
        <v>-450</v>
      </c>
    </row>
    <row r="35" spans="2:5" x14ac:dyDescent="0.2">
      <c r="B35" s="17" t="s">
        <v>11</v>
      </c>
      <c r="C35" s="61">
        <v>40</v>
      </c>
      <c r="D35" s="61">
        <v>40</v>
      </c>
      <c r="E35" s="23">
        <f>Expense[[#This Row],[Projeté]]-Expense[[#This Row],[Actuel]]</f>
        <v>0</v>
      </c>
    </row>
    <row r="36" spans="2:5" x14ac:dyDescent="0.2">
      <c r="B36" s="17" t="s">
        <v>12</v>
      </c>
      <c r="C36" s="61">
        <v>0</v>
      </c>
      <c r="D36" s="61">
        <v>0</v>
      </c>
      <c r="E36" s="23">
        <f>Expense[[#This Row],[Projeté]]-Expense[[#This Row],[Actuel]]</f>
        <v>0</v>
      </c>
    </row>
    <row r="37" spans="2:5" x14ac:dyDescent="0.2">
      <c r="B37" s="17" t="s">
        <v>56</v>
      </c>
      <c r="C37" s="61">
        <v>0</v>
      </c>
      <c r="D37" s="61">
        <v>350</v>
      </c>
      <c r="E37" s="23">
        <f>Expense[[#This Row],[Projeté]]-Expense[[#This Row],[Actuel]]</f>
        <v>-350</v>
      </c>
    </row>
    <row r="38" spans="2:5" x14ac:dyDescent="0.2">
      <c r="B38" s="24" t="s">
        <v>13</v>
      </c>
      <c r="C38" s="62">
        <v>10</v>
      </c>
      <c r="D38" s="62">
        <v>0</v>
      </c>
      <c r="E38" s="25">
        <f>Expense[[#This Row],[Projeté]]-Expense[[#This Row],[Actuel]]</f>
        <v>10</v>
      </c>
    </row>
    <row r="39" spans="2:5" x14ac:dyDescent="0.2">
      <c r="B39" s="37" t="s">
        <v>57</v>
      </c>
      <c r="C39" s="63">
        <v>500</v>
      </c>
      <c r="D39" s="63">
        <v>1000</v>
      </c>
      <c r="E39" s="38">
        <f>Expense[[#This Row],[Projeté]]-Expense[[#This Row],[Actuel]]</f>
        <v>-500</v>
      </c>
    </row>
    <row r="40" spans="2:5" x14ac:dyDescent="0.2">
      <c r="B40" s="34" t="s">
        <v>33</v>
      </c>
      <c r="C40" s="35">
        <f>SUBTOTAL(109,Expense[Projeté])</f>
        <v>2613</v>
      </c>
      <c r="D40" s="35">
        <f>SUBTOTAL(109,Expense[Actuel])</f>
        <v>3950</v>
      </c>
      <c r="E40" s="35">
        <f>SUBTOTAL(109,Expense[Delta])</f>
        <v>-1337</v>
      </c>
    </row>
    <row r="41" spans="2:5" x14ac:dyDescent="0.2">
      <c r="B41" s="34" t="s">
        <v>47</v>
      </c>
      <c r="C41" s="36">
        <f>+Expense[[#Totals],[Projeté]]*12</f>
        <v>31356</v>
      </c>
      <c r="D41" s="36">
        <f>+Expense[[#Totals],[Actuel]]*12</f>
        <v>47400</v>
      </c>
      <c r="E41" s="36">
        <f>+Expense[[#Totals],[Delta]]*12</f>
        <v>-16044</v>
      </c>
    </row>
    <row r="42" spans="2:5" x14ac:dyDescent="0.2">
      <c r="B42" s="13"/>
      <c r="C42" s="13"/>
      <c r="D42" s="14"/>
      <c r="E42" s="14"/>
    </row>
  </sheetData>
  <conditionalFormatting sqref="E4:E5">
    <cfRule type="iconSet" priority="1">
      <iconSet>
        <cfvo type="percent" val="0"/>
        <cfvo type="num" val="0"/>
        <cfvo type="num" val="0" gte="0"/>
      </iconSet>
    </cfRule>
    <cfRule type="iconSet" priority="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E24:E39">
    <cfRule type="iconSet" priority="23">
      <iconSet iconSet="3Arrows">
        <cfvo type="percent" val="0"/>
        <cfvo type="num" val="0"/>
        <cfvo type="num" val="0" gte="0"/>
      </iconSet>
    </cfRule>
  </conditionalFormatting>
  <printOptions horizontalCentered="1"/>
  <pageMargins left="0.4" right="0.4" top="0.4" bottom="0.4" header="0.25" footer="0.25"/>
  <pageSetup scale="84" fitToHeight="0" orientation="portrait" r:id="rId1"/>
  <headerFooter differentFirst="1">
    <oddFooter>&amp;CPage &amp;P of &amp;N</oddFooter>
  </headerFooter>
  <ignoredErrors>
    <ignoredError sqref="E4" calculatedColumn="1"/>
  </ignoredErrors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D5790763-7D03-40F8-9AD3-2A345FE0F3B9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E10:E19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CA82-B10D-B54F-80BD-30AF1B8F5DED}">
  <sheetPr>
    <tabColor rgb="FF002060"/>
  </sheetPr>
  <dimension ref="B1:L21"/>
  <sheetViews>
    <sheetView showGridLines="0" zoomScale="130" zoomScaleNormal="130" workbookViewId="0">
      <selection activeCell="F16" sqref="F16"/>
    </sheetView>
  </sheetViews>
  <sheetFormatPr baseColWidth="10" defaultRowHeight="17" x14ac:dyDescent="0.2"/>
  <cols>
    <col min="1" max="1" width="3.28515625" customWidth="1"/>
    <col min="2" max="2" width="23" bestFit="1" customWidth="1"/>
    <col min="3" max="7" width="20.42578125" customWidth="1"/>
    <col min="8" max="8" width="13.42578125" bestFit="1" customWidth="1"/>
    <col min="9" max="9" width="12.42578125" bestFit="1" customWidth="1"/>
    <col min="10" max="10" width="12.42578125" customWidth="1"/>
    <col min="11" max="12" width="10.7109375" customWidth="1"/>
  </cols>
  <sheetData>
    <row r="1" spans="2:10" x14ac:dyDescent="0.2">
      <c r="B1" s="58" t="s">
        <v>62</v>
      </c>
    </row>
    <row r="2" spans="2:10" x14ac:dyDescent="0.2">
      <c r="B2" s="17"/>
      <c r="C2" s="17"/>
      <c r="D2" s="113" t="s">
        <v>52</v>
      </c>
      <c r="E2" s="113"/>
      <c r="F2" s="113"/>
      <c r="G2" s="113"/>
    </row>
    <row r="3" spans="2:10" x14ac:dyDescent="0.2">
      <c r="B3" s="17"/>
      <c r="C3" s="17"/>
      <c r="D3" s="17">
        <v>3</v>
      </c>
      <c r="E3" s="17">
        <v>5</v>
      </c>
      <c r="F3" s="17">
        <v>10</v>
      </c>
      <c r="G3" s="17">
        <v>20</v>
      </c>
      <c r="I3" s="11" t="s">
        <v>123</v>
      </c>
      <c r="J3" s="98">
        <v>0.1</v>
      </c>
    </row>
    <row r="4" spans="2:10" x14ac:dyDescent="0.2">
      <c r="B4" s="40" t="s">
        <v>40</v>
      </c>
      <c r="C4" s="42">
        <f>+P!C15</f>
        <v>35000</v>
      </c>
      <c r="D4" s="47">
        <f>C4*1*(1+$J$3)^3</f>
        <v>46585.000000000015</v>
      </c>
      <c r="E4" s="47">
        <f>+C4*1*(1+$J$3)^5</f>
        <v>56367.85000000002</v>
      </c>
      <c r="F4" s="47">
        <f>+C4*1*(1+$J$3)^10</f>
        <v>90780.986103500065</v>
      </c>
      <c r="G4" s="47">
        <f>+C4*1*(1+$J$3)^20</f>
        <v>235462.49822639633</v>
      </c>
      <c r="I4" s="16"/>
    </row>
    <row r="5" spans="2:10" x14ac:dyDescent="0.2">
      <c r="B5" s="41" t="s">
        <v>51</v>
      </c>
      <c r="C5" s="43">
        <f>+P!C16</f>
        <v>5000</v>
      </c>
      <c r="D5" s="44">
        <f>+C5*1*(1+$J$3)^3</f>
        <v>6655.0000000000018</v>
      </c>
      <c r="E5" s="44">
        <f>+C5*1*(1+$J$3)^5</f>
        <v>8052.5500000000029</v>
      </c>
      <c r="F5" s="44">
        <f>+C5*1*(1+$J$3)^10</f>
        <v>12968.712300500008</v>
      </c>
      <c r="G5" s="44">
        <f>+C5*1*(1+$J$3)^20</f>
        <v>33637.499746628047</v>
      </c>
    </row>
    <row r="6" spans="2:10" x14ac:dyDescent="0.2">
      <c r="B6" s="40" t="s">
        <v>59</v>
      </c>
      <c r="C6" s="42"/>
      <c r="D6" s="87">
        <f>+SUM(D4:D5)</f>
        <v>53240.000000000015</v>
      </c>
      <c r="E6" s="87">
        <f>+SUM(E4:E5)</f>
        <v>64420.400000000023</v>
      </c>
      <c r="F6" s="87">
        <f>+SUM(F4:F5)</f>
        <v>103749.69840400007</v>
      </c>
      <c r="G6" s="87">
        <f>+SUM(G4:G5)</f>
        <v>269099.99797302438</v>
      </c>
    </row>
    <row r="7" spans="2:10" ht="26" x14ac:dyDescent="0.2">
      <c r="B7" s="39"/>
      <c r="J7" s="101" t="s">
        <v>114</v>
      </c>
    </row>
    <row r="8" spans="2:10" x14ac:dyDescent="0.2">
      <c r="B8" s="17"/>
      <c r="C8" s="17"/>
      <c r="D8" s="113" t="s">
        <v>54</v>
      </c>
      <c r="E8" s="113"/>
      <c r="F8" s="113"/>
      <c r="G8" s="113"/>
    </row>
    <row r="9" spans="2:10" x14ac:dyDescent="0.2">
      <c r="B9" s="17"/>
      <c r="C9" s="17"/>
      <c r="D9" s="40">
        <v>3</v>
      </c>
      <c r="E9" s="17">
        <v>5</v>
      </c>
      <c r="F9" s="17">
        <v>10</v>
      </c>
      <c r="G9" s="17">
        <v>20</v>
      </c>
    </row>
    <row r="10" spans="2:10" x14ac:dyDescent="0.2">
      <c r="B10" s="40" t="s">
        <v>53</v>
      </c>
      <c r="C10" s="42">
        <f>+'R'!D7</f>
        <v>12600</v>
      </c>
      <c r="D10" s="47">
        <f>+Grid!E4</f>
        <v>45876.600000000006</v>
      </c>
      <c r="E10" s="47">
        <f>+Grid!E6</f>
        <v>84616.686000000016</v>
      </c>
      <c r="F10" s="47">
        <f>+Grid!E11</f>
        <v>220892.70496986009</v>
      </c>
      <c r="G10" s="47">
        <f>+Grid!E21</f>
        <v>793831.49297652894</v>
      </c>
    </row>
    <row r="11" spans="2:10" x14ac:dyDescent="0.2">
      <c r="B11" s="41" t="s">
        <v>128</v>
      </c>
      <c r="C11" s="43">
        <f>+'R'!C7</f>
        <v>64644</v>
      </c>
      <c r="D11" s="48">
        <f>+Grid!E26</f>
        <v>235368.80400000006</v>
      </c>
      <c r="E11" s="48">
        <f>+Grid!E28</f>
        <v>434123.89284000016</v>
      </c>
      <c r="F11" s="48">
        <f>+Grid!E33</f>
        <v>1133284.7634977491</v>
      </c>
      <c r="G11" s="48">
        <f>+Grid!E43</f>
        <v>4072733.5739662503</v>
      </c>
    </row>
    <row r="12" spans="2:10" x14ac:dyDescent="0.2">
      <c r="B12" s="49"/>
      <c r="C12" s="52"/>
      <c r="D12" s="53"/>
      <c r="E12" s="53"/>
      <c r="F12" s="53"/>
      <c r="G12" s="53"/>
    </row>
    <row r="13" spans="2:10" x14ac:dyDescent="0.2">
      <c r="F13" s="54"/>
      <c r="G13" s="54" t="s">
        <v>63</v>
      </c>
    </row>
    <row r="14" spans="2:10" x14ac:dyDescent="0.2">
      <c r="E14" s="11" t="s">
        <v>60</v>
      </c>
      <c r="F14" s="51">
        <f>+G5+C4+C10*20</f>
        <v>320637.49974662805</v>
      </c>
      <c r="G14" s="51">
        <f>+G5+C4*(1-2%)^20+C10*20*(1-2%)^20</f>
        <v>225240.98764034006</v>
      </c>
      <c r="H14" s="76">
        <f>+G14-F14</f>
        <v>-95396.512106287992</v>
      </c>
      <c r="J14" s="79" t="s">
        <v>115</v>
      </c>
    </row>
    <row r="15" spans="2:10" x14ac:dyDescent="0.2">
      <c r="E15" s="11" t="s">
        <v>61</v>
      </c>
      <c r="F15" s="51">
        <f>+C10*20+G5+C4</f>
        <v>320637.49974662805</v>
      </c>
      <c r="G15" s="51">
        <f>+G10+G6</f>
        <v>1062931.4909495534</v>
      </c>
      <c r="H15" s="76">
        <f t="shared" ref="H15:H16" si="0">+G15-F15</f>
        <v>742293.99120292533</v>
      </c>
      <c r="J15" s="79" t="s">
        <v>126</v>
      </c>
    </row>
    <row r="16" spans="2:10" x14ac:dyDescent="0.2">
      <c r="E16" s="50" t="s">
        <v>78</v>
      </c>
      <c r="F16" s="55">
        <f>+C11*20+G5+C4</f>
        <v>1361517.4997466281</v>
      </c>
      <c r="G16" s="51">
        <f>+G11+G6</f>
        <v>4341833.5719392747</v>
      </c>
      <c r="H16" s="76">
        <f t="shared" si="0"/>
        <v>2980316.0721926466</v>
      </c>
      <c r="J16" s="79" t="s">
        <v>125</v>
      </c>
    </row>
    <row r="19" spans="11:12" x14ac:dyDescent="0.2">
      <c r="K19" s="11"/>
      <c r="L19" s="11"/>
    </row>
    <row r="20" spans="11:12" x14ac:dyDescent="0.2">
      <c r="K20" s="11"/>
      <c r="L20" s="11"/>
    </row>
    <row r="21" spans="11:12" x14ac:dyDescent="0.2">
      <c r="K21" s="11"/>
      <c r="L21" s="11"/>
    </row>
  </sheetData>
  <mergeCells count="2">
    <mergeCell ref="D2:G2"/>
    <mergeCell ref="D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0E9F-87BC-1A44-81C0-4F6D4AE40A1A}">
  <sheetPr>
    <tabColor rgb="FF002060"/>
    <pageSetUpPr autoPageBreaks="0" fitToPage="1"/>
  </sheetPr>
  <dimension ref="A1:L27"/>
  <sheetViews>
    <sheetView showGridLines="0" zoomScale="130" zoomScaleNormal="130" workbookViewId="0">
      <selection activeCell="D28" sqref="D28"/>
    </sheetView>
  </sheetViews>
  <sheetFormatPr baseColWidth="10" defaultColWidth="7.7109375" defaultRowHeight="27" customHeight="1" x14ac:dyDescent="0.2"/>
  <cols>
    <col min="1" max="1" width="2.42578125" style="73" customWidth="1"/>
    <col min="2" max="2" width="10.42578125" style="73" customWidth="1"/>
    <col min="3" max="10" width="20.7109375" style="73" customWidth="1"/>
    <col min="11" max="11" width="26.140625" style="73" customWidth="1"/>
    <col min="12" max="12" width="2.42578125" style="73" customWidth="1"/>
    <col min="13" max="16384" width="7.7109375" style="73"/>
  </cols>
  <sheetData>
    <row r="1" spans="1:12" s="70" customFormat="1" ht="16" x14ac:dyDescent="0.2">
      <c r="B1" s="71" t="s">
        <v>68</v>
      </c>
    </row>
    <row r="2" spans="1:12" s="70" customFormat="1" ht="16" x14ac:dyDescent="0.2">
      <c r="B2" s="71"/>
    </row>
    <row r="3" spans="1:12" ht="24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6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6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6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 ht="16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 ht="16" x14ac:dyDescent="0.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ht="16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pans="1:12" ht="16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spans="1:12" ht="16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1:12" ht="16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12" ht="16" x14ac:dyDescent="0.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12" ht="16" x14ac:dyDescent="0.2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 ht="16" x14ac:dyDescent="0.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12" ht="16" x14ac:dyDescent="0.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1:12" ht="16" x14ac:dyDescent="0.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ht="18" thickBot="1" x14ac:dyDescent="0.25">
      <c r="B18" s="64" t="s">
        <v>66</v>
      </c>
      <c r="C18" s="75" t="s">
        <v>80</v>
      </c>
      <c r="D18" s="75" t="s">
        <v>79</v>
      </c>
      <c r="E18" s="65" t="s">
        <v>32</v>
      </c>
      <c r="F18" s="74" t="s">
        <v>51</v>
      </c>
      <c r="G18" s="74" t="s">
        <v>67</v>
      </c>
      <c r="H18" s="74" t="s">
        <v>38</v>
      </c>
      <c r="I18" s="74" t="s">
        <v>41</v>
      </c>
      <c r="J18" s="66" t="s">
        <v>69</v>
      </c>
      <c r="K18" s="64" t="s">
        <v>81</v>
      </c>
    </row>
    <row r="19" spans="1:12" ht="27" customHeight="1" x14ac:dyDescent="0.2">
      <c r="B19" s="67">
        <v>2018</v>
      </c>
      <c r="C19" s="82">
        <f>200*12</f>
        <v>2400</v>
      </c>
      <c r="D19" s="82">
        <f>3000*12</f>
        <v>36000</v>
      </c>
      <c r="E19" s="69">
        <f>+Table1[[#This Row],[Revenus Actifs]]+Table1[[#This Row],[Revenus Passifs]]</f>
        <v>38400</v>
      </c>
      <c r="F19" s="82">
        <v>2000</v>
      </c>
      <c r="G19" s="82">
        <v>100000</v>
      </c>
      <c r="H19" s="82">
        <v>0</v>
      </c>
      <c r="I19" s="82">
        <v>20000</v>
      </c>
      <c r="J19" s="68">
        <f>+SUM(Table1[[#This Row],[Bourse ]:[Liquidités Bancaires]])</f>
        <v>122000</v>
      </c>
      <c r="K19" s="86" t="s">
        <v>70</v>
      </c>
    </row>
    <row r="20" spans="1:12" ht="27" customHeight="1" x14ac:dyDescent="0.2">
      <c r="B20" s="67">
        <v>2019</v>
      </c>
      <c r="C20" s="82">
        <v>7200</v>
      </c>
      <c r="D20" s="82">
        <f>4000*12</f>
        <v>48000</v>
      </c>
      <c r="E20" s="69">
        <f>+Table1[[#This Row],[Revenus Actifs]]+Table1[[#This Row],[Revenus Passifs]]</f>
        <v>55200</v>
      </c>
      <c r="F20" s="82">
        <v>3500</v>
      </c>
      <c r="G20" s="82">
        <v>250000</v>
      </c>
      <c r="H20" s="82">
        <v>0</v>
      </c>
      <c r="I20" s="82">
        <v>15000</v>
      </c>
      <c r="J20" s="68">
        <f>+SUM(Table1[[#This Row],[Bourse ]:[Liquidités Bancaires]])</f>
        <v>268500</v>
      </c>
      <c r="K20" s="86" t="s">
        <v>71</v>
      </c>
    </row>
    <row r="21" spans="1:12" ht="27" customHeight="1" x14ac:dyDescent="0.2">
      <c r="B21" s="67">
        <v>2020</v>
      </c>
      <c r="C21" s="82">
        <f>600*12</f>
        <v>7200</v>
      </c>
      <c r="D21" s="82">
        <f>4400*12</f>
        <v>52800</v>
      </c>
      <c r="E21" s="69">
        <f>+Table1[[#This Row],[Revenus Actifs]]+Table1[[#This Row],[Revenus Passifs]]</f>
        <v>60000</v>
      </c>
      <c r="F21" s="82">
        <v>5000</v>
      </c>
      <c r="G21" s="82">
        <v>250000</v>
      </c>
      <c r="H21" s="82">
        <v>10000</v>
      </c>
      <c r="I21" s="82">
        <v>35000</v>
      </c>
      <c r="J21" s="68">
        <f>+SUM(Table1[[#This Row],[Bourse ]:[Liquidités Bancaires]])</f>
        <v>300000</v>
      </c>
      <c r="K21" s="86" t="s">
        <v>72</v>
      </c>
    </row>
    <row r="22" spans="1:12" ht="27" customHeight="1" x14ac:dyDescent="0.2">
      <c r="B22" s="80">
        <v>2021</v>
      </c>
      <c r="C22" s="83"/>
      <c r="D22" s="84"/>
      <c r="E22" s="68">
        <f>+Table1[[#This Row],[Revenus Actifs]]+Table1[[#This Row],[Revenus Passifs]]</f>
        <v>0</v>
      </c>
      <c r="F22" s="85"/>
      <c r="G22" s="85"/>
      <c r="H22" s="85"/>
      <c r="I22" s="85"/>
      <c r="J22" s="68">
        <f>+SUM(Table1[[#This Row],[Bourse ]:[Liquidités Bancaires]])</f>
        <v>0</v>
      </c>
      <c r="K22" s="86"/>
    </row>
    <row r="23" spans="1:12" ht="27" customHeight="1" x14ac:dyDescent="0.2">
      <c r="B23" s="80">
        <v>2022</v>
      </c>
      <c r="C23" s="83"/>
      <c r="D23" s="84"/>
      <c r="E23" s="68">
        <f>+Table1[[#This Row],[Revenus Actifs]]+Table1[[#This Row],[Revenus Passifs]]</f>
        <v>0</v>
      </c>
      <c r="F23" s="85"/>
      <c r="G23" s="85"/>
      <c r="H23" s="85"/>
      <c r="I23" s="85"/>
      <c r="J23" s="68">
        <f>+SUM(Table1[[#This Row],[Bourse ]:[Liquidités Bancaires]])</f>
        <v>0</v>
      </c>
      <c r="K23" s="86"/>
    </row>
    <row r="24" spans="1:12" ht="27" customHeight="1" x14ac:dyDescent="0.2">
      <c r="B24" s="80">
        <v>2023</v>
      </c>
      <c r="C24" s="83"/>
      <c r="D24" s="84"/>
      <c r="E24" s="68">
        <f>+Table1[[#This Row],[Revenus Actifs]]+Table1[[#This Row],[Revenus Passifs]]</f>
        <v>0</v>
      </c>
      <c r="F24" s="85"/>
      <c r="G24" s="85"/>
      <c r="H24" s="85"/>
      <c r="I24" s="85"/>
      <c r="J24" s="68">
        <f>+SUM(Table1[[#This Row],[Bourse ]:[Liquidités Bancaires]])</f>
        <v>0</v>
      </c>
      <c r="K24" s="86"/>
    </row>
    <row r="25" spans="1:12" ht="27" customHeight="1" x14ac:dyDescent="0.2">
      <c r="B25" s="80">
        <v>2024</v>
      </c>
      <c r="C25" s="83"/>
      <c r="D25" s="84"/>
      <c r="E25" s="68">
        <f>+Table1[[#This Row],[Revenus Actifs]]+Table1[[#This Row],[Revenus Passifs]]</f>
        <v>0</v>
      </c>
      <c r="F25" s="85"/>
      <c r="G25" s="85"/>
      <c r="H25" s="85"/>
      <c r="I25" s="85"/>
      <c r="J25" s="68">
        <f>+SUM(Table1[[#This Row],[Bourse ]:[Liquidités Bancaires]])</f>
        <v>0</v>
      </c>
      <c r="K25" s="86"/>
    </row>
    <row r="26" spans="1:12" ht="27" customHeight="1" x14ac:dyDescent="0.2">
      <c r="B26" s="80">
        <v>2025</v>
      </c>
      <c r="C26" s="83"/>
      <c r="D26" s="84"/>
      <c r="E26" s="68">
        <f>+Table1[[#This Row],[Revenus Actifs]]+Table1[[#This Row],[Revenus Passifs]]</f>
        <v>0</v>
      </c>
      <c r="F26" s="85"/>
      <c r="G26" s="85"/>
      <c r="H26" s="85"/>
      <c r="I26" s="85"/>
      <c r="J26" s="68">
        <f>+SUM(Table1[[#This Row],[Bourse ]:[Liquidités Bancaires]])</f>
        <v>0</v>
      </c>
      <c r="K26" s="86"/>
    </row>
    <row r="27" spans="1:12" ht="27" customHeight="1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printOptions horizontalCentered="1"/>
  <pageMargins left="0.4" right="0.4" top="0.4" bottom="0.4" header="0.25" footer="0.25"/>
  <pageSetup scale="83" fitToHeight="0" orientation="landscape" r:id="rId1"/>
  <headerFooter differentFirst="1">
    <oddFooter>&amp;CPage &amp;P of &amp;N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41BF-970D-9A42-A672-6557F5358157}">
  <sheetPr>
    <tabColor rgb="FF002060"/>
    <pageSetUpPr fitToPage="1"/>
  </sheetPr>
  <dimension ref="B1:C33"/>
  <sheetViews>
    <sheetView showGridLines="0" zoomScale="130" zoomScaleNormal="130" workbookViewId="0">
      <selection activeCell="C28" sqref="C28"/>
    </sheetView>
  </sheetViews>
  <sheetFormatPr baseColWidth="10" defaultColWidth="7.5703125" defaultRowHeight="30" customHeight="1" x14ac:dyDescent="0.2"/>
  <cols>
    <col min="1" max="1" width="2.28515625" style="56" customWidth="1"/>
    <col min="2" max="2" width="88.5703125" style="56" customWidth="1"/>
    <col min="3" max="3" width="19.7109375" style="56" customWidth="1"/>
    <col min="4" max="4" width="2.28515625" style="56" customWidth="1"/>
    <col min="5" max="16384" width="7.5703125" style="56"/>
  </cols>
  <sheetData>
    <row r="1" spans="2:3" ht="21" customHeight="1" x14ac:dyDescent="0.2">
      <c r="B1" s="58" t="s">
        <v>64</v>
      </c>
    </row>
    <row r="2" spans="2:3" ht="17" x14ac:dyDescent="0.2">
      <c r="B2" s="58"/>
    </row>
    <row r="3" spans="2:3" ht="25" x14ac:dyDescent="0.2">
      <c r="B3" s="57" t="s">
        <v>65</v>
      </c>
    </row>
    <row r="4" spans="2:3" ht="10" customHeight="1" x14ac:dyDescent="0.2">
      <c r="B4" s="57"/>
    </row>
    <row r="5" spans="2:3" ht="22.25" customHeight="1" x14ac:dyDescent="0.2">
      <c r="B5" s="78" t="s">
        <v>76</v>
      </c>
      <c r="C5" s="78" t="s">
        <v>75</v>
      </c>
    </row>
    <row r="6" spans="2:3" ht="26" customHeight="1" x14ac:dyDescent="0.2">
      <c r="B6" s="91" t="s">
        <v>90</v>
      </c>
      <c r="C6" s="77" t="s">
        <v>88</v>
      </c>
    </row>
    <row r="7" spans="2:3" ht="26" customHeight="1" x14ac:dyDescent="0.2">
      <c r="B7" s="91" t="s">
        <v>91</v>
      </c>
      <c r="C7" s="77" t="s">
        <v>88</v>
      </c>
    </row>
    <row r="8" spans="2:3" ht="26" customHeight="1" x14ac:dyDescent="0.2">
      <c r="B8" s="91" t="s">
        <v>84</v>
      </c>
      <c r="C8" s="77" t="s">
        <v>73</v>
      </c>
    </row>
    <row r="9" spans="2:3" ht="26" customHeight="1" x14ac:dyDescent="0.2">
      <c r="B9" s="91" t="s">
        <v>86</v>
      </c>
      <c r="C9" s="77" t="s">
        <v>73</v>
      </c>
    </row>
    <row r="10" spans="2:3" ht="26" customHeight="1" x14ac:dyDescent="0.2">
      <c r="B10" s="91" t="s">
        <v>85</v>
      </c>
      <c r="C10" s="77" t="s">
        <v>88</v>
      </c>
    </row>
    <row r="11" spans="2:3" ht="26" customHeight="1" x14ac:dyDescent="0.2">
      <c r="B11" s="91" t="s">
        <v>89</v>
      </c>
      <c r="C11" s="77" t="s">
        <v>88</v>
      </c>
    </row>
    <row r="12" spans="2:3" ht="26" customHeight="1" x14ac:dyDescent="0.2">
      <c r="B12" s="91" t="s">
        <v>83</v>
      </c>
      <c r="C12" s="77" t="s">
        <v>74</v>
      </c>
    </row>
    <row r="13" spans="2:3" ht="26" customHeight="1" x14ac:dyDescent="0.2">
      <c r="B13" s="91" t="s">
        <v>87</v>
      </c>
      <c r="C13" s="77" t="s">
        <v>88</v>
      </c>
    </row>
    <row r="14" spans="2:3" ht="26" customHeight="1" x14ac:dyDescent="0.2">
      <c r="B14" s="91" t="s">
        <v>82</v>
      </c>
      <c r="C14" s="77" t="s">
        <v>73</v>
      </c>
    </row>
    <row r="15" spans="2:3" ht="26" customHeight="1" x14ac:dyDescent="0.2">
      <c r="B15" s="91" t="s">
        <v>105</v>
      </c>
      <c r="C15" s="77" t="s">
        <v>73</v>
      </c>
    </row>
    <row r="16" spans="2:3" ht="26" customHeight="1" x14ac:dyDescent="0.2">
      <c r="B16" s="91" t="s">
        <v>106</v>
      </c>
      <c r="C16" s="77" t="s">
        <v>74</v>
      </c>
    </row>
    <row r="17" spans="2:3" ht="26" customHeight="1" x14ac:dyDescent="0.2">
      <c r="B17" s="91" t="s">
        <v>107</v>
      </c>
      <c r="C17" s="77" t="s">
        <v>74</v>
      </c>
    </row>
    <row r="18" spans="2:3" ht="26" customHeight="1" x14ac:dyDescent="0.2">
      <c r="B18" s="91" t="s">
        <v>104</v>
      </c>
      <c r="C18" s="77" t="s">
        <v>74</v>
      </c>
    </row>
    <row r="19" spans="2:3" ht="26" customHeight="1" x14ac:dyDescent="0.2">
      <c r="B19" s="91" t="s">
        <v>101</v>
      </c>
      <c r="C19" s="77" t="s">
        <v>74</v>
      </c>
    </row>
    <row r="20" spans="2:3" ht="26" customHeight="1" x14ac:dyDescent="0.2">
      <c r="B20" s="91" t="s">
        <v>102</v>
      </c>
      <c r="C20" s="77" t="s">
        <v>74</v>
      </c>
    </row>
    <row r="21" spans="2:3" ht="26" customHeight="1" x14ac:dyDescent="0.2">
      <c r="B21" s="91" t="s">
        <v>103</v>
      </c>
      <c r="C21" s="77" t="s">
        <v>74</v>
      </c>
    </row>
    <row r="22" spans="2:3" ht="26" customHeight="1" x14ac:dyDescent="0.2">
      <c r="B22" s="91" t="s">
        <v>92</v>
      </c>
      <c r="C22" s="77" t="s">
        <v>88</v>
      </c>
    </row>
    <row r="23" spans="2:3" ht="26" customHeight="1" x14ac:dyDescent="0.2">
      <c r="B23" s="91" t="s">
        <v>93</v>
      </c>
      <c r="C23" s="77" t="s">
        <v>74</v>
      </c>
    </row>
    <row r="24" spans="2:3" ht="26" customHeight="1" x14ac:dyDescent="0.2">
      <c r="B24" s="91" t="s">
        <v>94</v>
      </c>
      <c r="C24" s="77" t="s">
        <v>74</v>
      </c>
    </row>
    <row r="25" spans="2:3" ht="26" customHeight="1" x14ac:dyDescent="0.2">
      <c r="B25" s="92" t="s">
        <v>95</v>
      </c>
      <c r="C25" s="77" t="s">
        <v>88</v>
      </c>
    </row>
    <row r="26" spans="2:3" ht="26" customHeight="1" x14ac:dyDescent="0.2">
      <c r="B26" s="92" t="s">
        <v>96</v>
      </c>
      <c r="C26" s="77" t="s">
        <v>74</v>
      </c>
    </row>
    <row r="27" spans="2:3" ht="26" customHeight="1" x14ac:dyDescent="0.2">
      <c r="B27" s="92" t="s">
        <v>97</v>
      </c>
      <c r="C27" s="77" t="s">
        <v>74</v>
      </c>
    </row>
    <row r="28" spans="2:3" ht="26" customHeight="1" x14ac:dyDescent="0.2">
      <c r="B28" s="92" t="s">
        <v>98</v>
      </c>
      <c r="C28" s="77" t="s">
        <v>74</v>
      </c>
    </row>
    <row r="29" spans="2:3" ht="26" customHeight="1" x14ac:dyDescent="0.2">
      <c r="B29" s="92" t="s">
        <v>99</v>
      </c>
      <c r="C29" s="77" t="s">
        <v>74</v>
      </c>
    </row>
    <row r="30" spans="2:3" ht="26" customHeight="1" x14ac:dyDescent="0.2">
      <c r="B30" s="92" t="s">
        <v>100</v>
      </c>
      <c r="C30" s="77" t="s">
        <v>74</v>
      </c>
    </row>
    <row r="33" spans="3:3" ht="30" customHeight="1" x14ac:dyDescent="0.2">
      <c r="C33" s="77"/>
    </row>
  </sheetData>
  <conditionalFormatting sqref="C6:C30">
    <cfRule type="containsText" dxfId="6" priority="1" operator="containsText" text="en cours">
      <formula>NOT(ISERROR(SEARCH("en cours",C6)))</formula>
    </cfRule>
    <cfRule type="containsText" dxfId="5" priority="2" operator="containsText" text="fait">
      <formula>NOT(ISERROR(SEARCH("fait",C6)))</formula>
    </cfRule>
    <cfRule type="containsText" dxfId="4" priority="3" operator="containsText" text="a faire">
      <formula>NOT(ISERROR(SEARCH("a faire",C6)))</formula>
    </cfRule>
  </conditionalFormatting>
  <printOptions horizontalCentered="1"/>
  <pageMargins left="0.25" right="0.25" top="0.36" bottom="0.25" header="0.3" footer="0.3"/>
  <pageSetup fitToHeight="0" orientation="portrait" horizontalDpi="4294967293" verticalDpi="200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isir " xr:uid="{6D1C5747-C986-0249-8C11-285383269D6C}">
          <x14:formula1>
            <xm:f>Droplist!$A$1:$A$3</xm:f>
          </x14:formula1>
          <xm:sqref>C6:C30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08CE-14CB-154D-8F1A-D66F09E346DE}">
  <dimension ref="A1:A3"/>
  <sheetViews>
    <sheetView workbookViewId="0">
      <selection activeCell="A2" sqref="A2"/>
    </sheetView>
  </sheetViews>
  <sheetFormatPr baseColWidth="10" defaultRowHeight="17" x14ac:dyDescent="0.2"/>
  <sheetData>
    <row r="1" spans="1:1" x14ac:dyDescent="0.2">
      <c r="A1" t="s">
        <v>74</v>
      </c>
    </row>
    <row r="2" spans="1:1" x14ac:dyDescent="0.2">
      <c r="A2" t="s">
        <v>73</v>
      </c>
    </row>
    <row r="3" spans="1:1" x14ac:dyDescent="0.2">
      <c r="A3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7560-49A6-9944-8CCE-7B8DDD58E40C}">
  <sheetPr>
    <tabColor theme="3" tint="0.499984740745262"/>
  </sheetPr>
  <dimension ref="B1:F13"/>
  <sheetViews>
    <sheetView showGridLines="0" tabSelected="1" zoomScale="130" zoomScaleNormal="130" workbookViewId="0">
      <selection activeCell="F9" sqref="F9"/>
    </sheetView>
  </sheetViews>
  <sheetFormatPr baseColWidth="10" defaultRowHeight="17" x14ac:dyDescent="0.2"/>
  <cols>
    <col min="1" max="1" width="2.42578125" customWidth="1"/>
    <col min="2" max="2" width="47" customWidth="1"/>
    <col min="5" max="5" width="13" customWidth="1"/>
  </cols>
  <sheetData>
    <row r="1" spans="2:6" x14ac:dyDescent="0.2">
      <c r="B1" s="58" t="s">
        <v>77</v>
      </c>
    </row>
    <row r="2" spans="2:6" x14ac:dyDescent="0.2">
      <c r="B2" s="58"/>
    </row>
    <row r="3" spans="2:6" x14ac:dyDescent="0.2">
      <c r="B3" s="96" t="s">
        <v>119</v>
      </c>
      <c r="C3" s="97"/>
      <c r="D3" s="97"/>
      <c r="E3" s="97"/>
      <c r="F3" s="94"/>
    </row>
    <row r="4" spans="2:6" x14ac:dyDescent="0.2">
      <c r="B4" s="102" t="s">
        <v>130</v>
      </c>
      <c r="C4" s="103" t="s">
        <v>129</v>
      </c>
      <c r="F4" s="94"/>
    </row>
    <row r="5" spans="2:6" x14ac:dyDescent="0.2">
      <c r="B5" s="93" t="s">
        <v>109</v>
      </c>
      <c r="C5" s="95" t="s">
        <v>113</v>
      </c>
      <c r="D5" s="94"/>
      <c r="E5" s="94"/>
      <c r="F5" s="94"/>
    </row>
    <row r="6" spans="2:6" x14ac:dyDescent="0.2">
      <c r="B6" s="93" t="s">
        <v>108</v>
      </c>
      <c r="C6" s="95" t="s">
        <v>112</v>
      </c>
      <c r="D6" s="94"/>
      <c r="E6" s="94"/>
      <c r="F6" s="94"/>
    </row>
    <row r="7" spans="2:6" x14ac:dyDescent="0.2">
      <c r="B7" s="93" t="s">
        <v>127</v>
      </c>
      <c r="C7" s="95" t="s">
        <v>122</v>
      </c>
      <c r="F7" s="94"/>
    </row>
    <row r="8" spans="2:6" x14ac:dyDescent="0.2">
      <c r="E8" s="94"/>
      <c r="F8" s="94"/>
    </row>
    <row r="9" spans="2:6" x14ac:dyDescent="0.2">
      <c r="B9" s="97" t="s">
        <v>121</v>
      </c>
      <c r="C9" s="97"/>
      <c r="D9" s="97"/>
      <c r="E9" s="97"/>
      <c r="F9" s="94"/>
    </row>
    <row r="10" spans="2:6" x14ac:dyDescent="0.2">
      <c r="B10" s="93" t="s">
        <v>110</v>
      </c>
      <c r="C10" s="95" t="s">
        <v>111</v>
      </c>
      <c r="D10" s="94"/>
      <c r="E10" s="94"/>
      <c r="F10" s="94"/>
    </row>
    <row r="11" spans="2:6" x14ac:dyDescent="0.2">
      <c r="D11" s="94"/>
      <c r="E11" s="94"/>
    </row>
    <row r="12" spans="2:6" x14ac:dyDescent="0.2">
      <c r="B12" s="97" t="s">
        <v>120</v>
      </c>
      <c r="C12" s="97"/>
      <c r="D12" s="97"/>
      <c r="E12" s="97"/>
    </row>
    <row r="13" spans="2:6" x14ac:dyDescent="0.2">
      <c r="B13" s="93" t="s">
        <v>118</v>
      </c>
      <c r="C13" s="95" t="s">
        <v>117</v>
      </c>
      <c r="D13" s="94"/>
    </row>
  </sheetData>
  <hyperlinks>
    <hyperlink ref="C10" r:id="rId1" xr:uid="{0BB68368-C434-C84F-ACAE-AB334A89B690}"/>
    <hyperlink ref="C6" r:id="rId2" xr:uid="{497290EC-76A8-6D40-8A7E-A9751CA21B2C}"/>
    <hyperlink ref="C5" r:id="rId3" xr:uid="{43A60EE8-B5F2-6B4E-B32A-DEC58888BF77}"/>
    <hyperlink ref="C13" r:id="rId4" xr:uid="{8E814266-0039-744B-B4D3-537EF186F16C}"/>
    <hyperlink ref="C7" r:id="rId5" xr:uid="{491DFCBE-D314-C64D-85DB-D7C8D0ECAD39}"/>
    <hyperlink ref="C4" r:id="rId6" xr:uid="{1DD6BF2A-6D9A-EA48-B9CC-33B75DF4F53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F3F9-E09C-264B-9B11-F0D6492F5FC9}">
  <sheetPr>
    <tabColor rgb="FF002060"/>
  </sheetPr>
  <dimension ref="A1:I197"/>
  <sheetViews>
    <sheetView workbookViewId="0">
      <selection activeCell="E43" sqref="E43"/>
    </sheetView>
  </sheetViews>
  <sheetFormatPr baseColWidth="10" defaultRowHeight="17" x14ac:dyDescent="0.2"/>
  <cols>
    <col min="3" max="3" width="18.140625" customWidth="1"/>
    <col min="4" max="5" width="17.7109375" customWidth="1"/>
  </cols>
  <sheetData>
    <row r="1" spans="1:9" x14ac:dyDescent="0.2">
      <c r="A1" s="88"/>
      <c r="B1" s="88"/>
      <c r="C1" s="88"/>
      <c r="D1" s="88"/>
      <c r="E1" s="89"/>
      <c r="F1" s="88"/>
      <c r="G1" s="3"/>
    </row>
    <row r="2" spans="1:9" x14ac:dyDescent="0.2">
      <c r="A2" s="88"/>
      <c r="B2" s="88">
        <v>1</v>
      </c>
      <c r="C2" s="90">
        <f>+I!C10</f>
        <v>12600</v>
      </c>
      <c r="D2" s="89">
        <f>+C2*(1+$I$3)</f>
        <v>13860.000000000002</v>
      </c>
      <c r="E2" s="89"/>
      <c r="F2" s="88"/>
      <c r="G2" s="3"/>
    </row>
    <row r="3" spans="1:9" x14ac:dyDescent="0.2">
      <c r="A3" s="88"/>
      <c r="B3" s="88">
        <v>2</v>
      </c>
      <c r="C3" s="90">
        <f t="shared" ref="C3:C21" si="0">+C2</f>
        <v>12600</v>
      </c>
      <c r="D3" s="89">
        <f>+C3+D2</f>
        <v>26460</v>
      </c>
      <c r="E3" s="89">
        <f t="shared" ref="E3:E21" si="1">+(D3)*(1+$I$3)</f>
        <v>29106.000000000004</v>
      </c>
      <c r="F3" s="88"/>
      <c r="G3" s="3"/>
      <c r="H3" s="100" t="s">
        <v>124</v>
      </c>
      <c r="I3" s="99">
        <f>+I!J3</f>
        <v>0.1</v>
      </c>
    </row>
    <row r="4" spans="1:9" x14ac:dyDescent="0.2">
      <c r="A4" s="88"/>
      <c r="B4" s="88">
        <v>3</v>
      </c>
      <c r="C4" s="90">
        <f t="shared" si="0"/>
        <v>12600</v>
      </c>
      <c r="D4" s="89">
        <f>+C4+E3</f>
        <v>41706</v>
      </c>
      <c r="E4" s="89">
        <f t="shared" si="1"/>
        <v>45876.600000000006</v>
      </c>
      <c r="F4" s="88"/>
      <c r="G4" s="3"/>
    </row>
    <row r="5" spans="1:9" x14ac:dyDescent="0.2">
      <c r="A5" s="88"/>
      <c r="B5" s="88">
        <v>4</v>
      </c>
      <c r="C5" s="90">
        <f t="shared" si="0"/>
        <v>12600</v>
      </c>
      <c r="D5" s="89">
        <f>+C5+E4</f>
        <v>58476.600000000006</v>
      </c>
      <c r="E5" s="89">
        <f t="shared" si="1"/>
        <v>64324.260000000009</v>
      </c>
      <c r="F5" s="88"/>
      <c r="G5" s="3"/>
    </row>
    <row r="6" spans="1:9" x14ac:dyDescent="0.2">
      <c r="A6" s="88"/>
      <c r="B6" s="88">
        <v>5</v>
      </c>
      <c r="C6" s="90">
        <f t="shared" si="0"/>
        <v>12600</v>
      </c>
      <c r="D6" s="89">
        <f>+C6+E5</f>
        <v>76924.260000000009</v>
      </c>
      <c r="E6" s="89">
        <f t="shared" si="1"/>
        <v>84616.686000000016</v>
      </c>
      <c r="F6" s="88"/>
      <c r="G6" s="3"/>
    </row>
    <row r="7" spans="1:9" x14ac:dyDescent="0.2">
      <c r="A7" s="88"/>
      <c r="B7" s="88">
        <v>6</v>
      </c>
      <c r="C7" s="90">
        <f t="shared" si="0"/>
        <v>12600</v>
      </c>
      <c r="D7" s="89">
        <f t="shared" ref="D7:D21" si="2">+C7+E6</f>
        <v>97216.686000000016</v>
      </c>
      <c r="E7" s="89">
        <f t="shared" si="1"/>
        <v>106938.35460000002</v>
      </c>
      <c r="F7" s="88"/>
      <c r="G7" s="3"/>
    </row>
    <row r="8" spans="1:9" x14ac:dyDescent="0.2">
      <c r="A8" s="88"/>
      <c r="B8" s="88">
        <v>7</v>
      </c>
      <c r="C8" s="90">
        <f t="shared" si="0"/>
        <v>12600</v>
      </c>
      <c r="D8" s="89">
        <f t="shared" si="2"/>
        <v>119538.35460000002</v>
      </c>
      <c r="E8" s="89">
        <f t="shared" si="1"/>
        <v>131492.19006000002</v>
      </c>
      <c r="F8" s="88"/>
      <c r="G8" s="3"/>
    </row>
    <row r="9" spans="1:9" x14ac:dyDescent="0.2">
      <c r="A9" s="88"/>
      <c r="B9" s="88">
        <v>8</v>
      </c>
      <c r="C9" s="90">
        <f t="shared" si="0"/>
        <v>12600</v>
      </c>
      <c r="D9" s="89">
        <f t="shared" si="2"/>
        <v>144092.19006000002</v>
      </c>
      <c r="E9" s="89">
        <f t="shared" si="1"/>
        <v>158501.40906600005</v>
      </c>
      <c r="F9" s="88"/>
      <c r="G9" s="3"/>
    </row>
    <row r="10" spans="1:9" x14ac:dyDescent="0.2">
      <c r="A10" s="88"/>
      <c r="B10" s="88">
        <v>9</v>
      </c>
      <c r="C10" s="90">
        <f t="shared" si="0"/>
        <v>12600</v>
      </c>
      <c r="D10" s="89">
        <f t="shared" si="2"/>
        <v>171101.40906600005</v>
      </c>
      <c r="E10" s="89">
        <f t="shared" si="1"/>
        <v>188211.54997260007</v>
      </c>
      <c r="F10" s="88"/>
      <c r="G10" s="3"/>
    </row>
    <row r="11" spans="1:9" x14ac:dyDescent="0.2">
      <c r="A11" s="88"/>
      <c r="B11" s="88">
        <v>10</v>
      </c>
      <c r="C11" s="90">
        <f t="shared" si="0"/>
        <v>12600</v>
      </c>
      <c r="D11" s="89">
        <f t="shared" si="2"/>
        <v>200811.54997260007</v>
      </c>
      <c r="E11" s="89">
        <f t="shared" si="1"/>
        <v>220892.70496986009</v>
      </c>
      <c r="F11" s="88"/>
      <c r="G11" s="3"/>
    </row>
    <row r="12" spans="1:9" x14ac:dyDescent="0.2">
      <c r="A12" s="88"/>
      <c r="B12" s="88">
        <v>11</v>
      </c>
      <c r="C12" s="90">
        <f t="shared" si="0"/>
        <v>12600</v>
      </c>
      <c r="D12" s="89">
        <f>+C12+E11</f>
        <v>233492.70496986009</v>
      </c>
      <c r="E12" s="89">
        <f t="shared" si="1"/>
        <v>256841.97546684611</v>
      </c>
      <c r="F12" s="88"/>
      <c r="G12" s="3"/>
    </row>
    <row r="13" spans="1:9" x14ac:dyDescent="0.2">
      <c r="A13" s="88"/>
      <c r="B13" s="88">
        <v>12</v>
      </c>
      <c r="C13" s="90">
        <f t="shared" si="0"/>
        <v>12600</v>
      </c>
      <c r="D13" s="89">
        <f t="shared" si="2"/>
        <v>269441.97546684614</v>
      </c>
      <c r="E13" s="89">
        <f t="shared" si="1"/>
        <v>296386.17301353079</v>
      </c>
      <c r="F13" s="88"/>
      <c r="G13" s="3"/>
    </row>
    <row r="14" spans="1:9" x14ac:dyDescent="0.2">
      <c r="A14" s="88"/>
      <c r="B14" s="88">
        <v>13</v>
      </c>
      <c r="C14" s="90">
        <f t="shared" si="0"/>
        <v>12600</v>
      </c>
      <c r="D14" s="89">
        <f t="shared" si="2"/>
        <v>308986.17301353079</v>
      </c>
      <c r="E14" s="89">
        <f t="shared" si="1"/>
        <v>339884.79031488387</v>
      </c>
      <c r="F14" s="88"/>
      <c r="G14" s="3"/>
    </row>
    <row r="15" spans="1:9" x14ac:dyDescent="0.2">
      <c r="A15" s="88"/>
      <c r="B15" s="88">
        <v>14</v>
      </c>
      <c r="C15" s="90">
        <f t="shared" si="0"/>
        <v>12600</v>
      </c>
      <c r="D15" s="89">
        <f t="shared" si="2"/>
        <v>352484.79031488387</v>
      </c>
      <c r="E15" s="89">
        <f t="shared" si="1"/>
        <v>387733.26934637228</v>
      </c>
      <c r="F15" s="88"/>
      <c r="G15" s="3"/>
    </row>
    <row r="16" spans="1:9" x14ac:dyDescent="0.2">
      <c r="A16" s="88"/>
      <c r="B16" s="88">
        <v>15</v>
      </c>
      <c r="C16" s="90">
        <f t="shared" si="0"/>
        <v>12600</v>
      </c>
      <c r="D16" s="89">
        <f t="shared" si="2"/>
        <v>400333.26934637228</v>
      </c>
      <c r="E16" s="89">
        <f t="shared" si="1"/>
        <v>440366.59628100955</v>
      </c>
      <c r="F16" s="88"/>
      <c r="G16" s="3"/>
    </row>
    <row r="17" spans="1:7" x14ac:dyDescent="0.2">
      <c r="A17" s="88"/>
      <c r="B17" s="88">
        <v>16</v>
      </c>
      <c r="C17" s="90">
        <f t="shared" si="0"/>
        <v>12600</v>
      </c>
      <c r="D17" s="89">
        <f t="shared" si="2"/>
        <v>452966.59628100955</v>
      </c>
      <c r="E17" s="89">
        <f t="shared" si="1"/>
        <v>498263.25590911054</v>
      </c>
      <c r="F17" s="88"/>
      <c r="G17" s="3"/>
    </row>
    <row r="18" spans="1:7" x14ac:dyDescent="0.2">
      <c r="A18" s="88"/>
      <c r="B18" s="88">
        <v>17</v>
      </c>
      <c r="C18" s="90">
        <f t="shared" si="0"/>
        <v>12600</v>
      </c>
      <c r="D18" s="89">
        <f t="shared" si="2"/>
        <v>510863.25590911054</v>
      </c>
      <c r="E18" s="89">
        <f t="shared" si="1"/>
        <v>561949.58150002162</v>
      </c>
      <c r="F18" s="88"/>
      <c r="G18" s="3"/>
    </row>
    <row r="19" spans="1:7" x14ac:dyDescent="0.2">
      <c r="A19" s="88"/>
      <c r="B19" s="88">
        <v>18</v>
      </c>
      <c r="C19" s="90">
        <f t="shared" si="0"/>
        <v>12600</v>
      </c>
      <c r="D19" s="89">
        <f>+C19+E18</f>
        <v>574549.58150002162</v>
      </c>
      <c r="E19" s="89">
        <f t="shared" si="1"/>
        <v>632004.5396500238</v>
      </c>
      <c r="F19" s="88"/>
      <c r="G19" s="3"/>
    </row>
    <row r="20" spans="1:7" x14ac:dyDescent="0.2">
      <c r="A20" s="88"/>
      <c r="B20" s="88">
        <v>19</v>
      </c>
      <c r="C20" s="90">
        <f t="shared" si="0"/>
        <v>12600</v>
      </c>
      <c r="D20" s="89">
        <f t="shared" si="2"/>
        <v>644604.5396500238</v>
      </c>
      <c r="E20" s="89">
        <f t="shared" si="1"/>
        <v>709064.99361502624</v>
      </c>
      <c r="F20" s="88"/>
      <c r="G20" s="3"/>
    </row>
    <row r="21" spans="1:7" x14ac:dyDescent="0.2">
      <c r="A21" s="88"/>
      <c r="B21" s="88">
        <v>20</v>
      </c>
      <c r="C21" s="90">
        <f t="shared" si="0"/>
        <v>12600</v>
      </c>
      <c r="D21" s="89">
        <f t="shared" si="2"/>
        <v>721664.99361502624</v>
      </c>
      <c r="E21" s="89">
        <f t="shared" si="1"/>
        <v>793831.49297652894</v>
      </c>
      <c r="F21" s="88"/>
      <c r="G21" s="3"/>
    </row>
    <row r="22" spans="1:7" x14ac:dyDescent="0.2">
      <c r="A22" s="88"/>
      <c r="B22" s="88"/>
      <c r="C22" s="88"/>
      <c r="D22" s="88"/>
      <c r="E22" s="88"/>
      <c r="F22" s="88"/>
      <c r="G22" s="3"/>
    </row>
    <row r="23" spans="1:7" x14ac:dyDescent="0.2">
      <c r="A23" s="88"/>
      <c r="B23" s="88"/>
      <c r="C23" s="88"/>
      <c r="D23" s="88"/>
      <c r="E23" s="89"/>
      <c r="F23" s="88"/>
      <c r="G23" s="3"/>
    </row>
    <row r="24" spans="1:7" x14ac:dyDescent="0.2">
      <c r="A24" s="88"/>
      <c r="B24" s="88">
        <v>1</v>
      </c>
      <c r="C24" s="90">
        <f>+I!C11</f>
        <v>64644</v>
      </c>
      <c r="D24" s="89">
        <f>+C24*(1+$I$3)</f>
        <v>71108.400000000009</v>
      </c>
      <c r="E24" s="89"/>
      <c r="F24" s="88"/>
      <c r="G24" s="3"/>
    </row>
    <row r="25" spans="1:7" x14ac:dyDescent="0.2">
      <c r="A25" s="88"/>
      <c r="B25" s="88">
        <v>2</v>
      </c>
      <c r="C25" s="90">
        <f t="shared" ref="C25:C43" si="3">+C24</f>
        <v>64644</v>
      </c>
      <c r="D25" s="89">
        <f t="shared" ref="D25" si="4">+C25+D24</f>
        <v>135752.40000000002</v>
      </c>
      <c r="E25" s="89">
        <f t="shared" ref="E25:E31" si="5">+(D25)*(1+$I$3)</f>
        <v>149327.64000000004</v>
      </c>
      <c r="F25" s="88"/>
      <c r="G25" s="3"/>
    </row>
    <row r="26" spans="1:7" x14ac:dyDescent="0.2">
      <c r="A26" s="88"/>
      <c r="B26" s="88">
        <v>3</v>
      </c>
      <c r="C26" s="90">
        <f t="shared" si="3"/>
        <v>64644</v>
      </c>
      <c r="D26" s="89">
        <f>+C26+E25</f>
        <v>213971.64000000004</v>
      </c>
      <c r="E26" s="89">
        <f t="shared" si="5"/>
        <v>235368.80400000006</v>
      </c>
      <c r="F26" s="88"/>
      <c r="G26" s="3"/>
    </row>
    <row r="27" spans="1:7" x14ac:dyDescent="0.2">
      <c r="A27" s="88"/>
      <c r="B27" s="88">
        <v>4</v>
      </c>
      <c r="C27" s="90">
        <f t="shared" si="3"/>
        <v>64644</v>
      </c>
      <c r="D27" s="89">
        <f>+C27+E26</f>
        <v>300012.80400000006</v>
      </c>
      <c r="E27" s="89">
        <f t="shared" si="5"/>
        <v>330014.08440000011</v>
      </c>
      <c r="F27" s="88"/>
      <c r="G27" s="3"/>
    </row>
    <row r="28" spans="1:7" x14ac:dyDescent="0.2">
      <c r="A28" s="88"/>
      <c r="B28" s="88">
        <v>5</v>
      </c>
      <c r="C28" s="90">
        <f t="shared" si="3"/>
        <v>64644</v>
      </c>
      <c r="D28" s="89">
        <f>+C28+E27</f>
        <v>394658.08440000011</v>
      </c>
      <c r="E28" s="89">
        <f t="shared" si="5"/>
        <v>434123.89284000016</v>
      </c>
      <c r="F28" s="88"/>
      <c r="G28" s="3"/>
    </row>
    <row r="29" spans="1:7" x14ac:dyDescent="0.2">
      <c r="A29" s="88"/>
      <c r="B29" s="88">
        <v>6</v>
      </c>
      <c r="C29" s="90">
        <f t="shared" si="3"/>
        <v>64644</v>
      </c>
      <c r="D29" s="89">
        <f t="shared" ref="D29:D43" si="6">+C29+E28</f>
        <v>498767.89284000016</v>
      </c>
      <c r="E29" s="89">
        <f t="shared" si="5"/>
        <v>548644.68212400028</v>
      </c>
      <c r="F29" s="88"/>
      <c r="G29" s="3"/>
    </row>
    <row r="30" spans="1:7" x14ac:dyDescent="0.2">
      <c r="A30" s="88"/>
      <c r="B30" s="88">
        <v>7</v>
      </c>
      <c r="C30" s="90">
        <f t="shared" si="3"/>
        <v>64644</v>
      </c>
      <c r="D30" s="89">
        <f t="shared" si="6"/>
        <v>613288.68212400028</v>
      </c>
      <c r="E30" s="89">
        <f t="shared" si="5"/>
        <v>674617.5503364004</v>
      </c>
      <c r="F30" s="88"/>
      <c r="G30" s="3"/>
    </row>
    <row r="31" spans="1:7" x14ac:dyDescent="0.2">
      <c r="A31" s="88"/>
      <c r="B31" s="88">
        <v>8</v>
      </c>
      <c r="C31" s="90">
        <f t="shared" si="3"/>
        <v>64644</v>
      </c>
      <c r="D31" s="89">
        <f t="shared" si="6"/>
        <v>739261.5503364004</v>
      </c>
      <c r="E31" s="89">
        <f t="shared" si="5"/>
        <v>813187.70537004049</v>
      </c>
      <c r="F31" s="88"/>
      <c r="G31" s="3"/>
    </row>
    <row r="32" spans="1:7" x14ac:dyDescent="0.2">
      <c r="A32" s="88"/>
      <c r="B32" s="88">
        <v>9</v>
      </c>
      <c r="C32" s="90">
        <f t="shared" si="3"/>
        <v>64644</v>
      </c>
      <c r="D32" s="89">
        <f t="shared" si="6"/>
        <v>877831.70537004049</v>
      </c>
      <c r="E32" s="89">
        <f t="shared" ref="E32:E43" si="7">+(D32)*(1+$I$3)</f>
        <v>965614.87590704462</v>
      </c>
      <c r="F32" s="88"/>
      <c r="G32" s="3"/>
    </row>
    <row r="33" spans="1:7" x14ac:dyDescent="0.2">
      <c r="A33" s="88"/>
      <c r="B33" s="88">
        <v>10</v>
      </c>
      <c r="C33" s="90">
        <f t="shared" si="3"/>
        <v>64644</v>
      </c>
      <c r="D33" s="89">
        <f t="shared" si="6"/>
        <v>1030258.8759070446</v>
      </c>
      <c r="E33" s="89">
        <f t="shared" si="7"/>
        <v>1133284.7634977491</v>
      </c>
      <c r="F33" s="88"/>
      <c r="G33" s="3"/>
    </row>
    <row r="34" spans="1:7" x14ac:dyDescent="0.2">
      <c r="A34" s="88"/>
      <c r="B34" s="88">
        <v>11</v>
      </c>
      <c r="C34" s="90">
        <f t="shared" si="3"/>
        <v>64644</v>
      </c>
      <c r="D34" s="89">
        <f>+C34+E33</f>
        <v>1197928.7634977491</v>
      </c>
      <c r="E34" s="89">
        <f t="shared" si="7"/>
        <v>1317721.6398475242</v>
      </c>
      <c r="F34" s="88"/>
      <c r="G34" s="3"/>
    </row>
    <row r="35" spans="1:7" x14ac:dyDescent="0.2">
      <c r="A35" s="88"/>
      <c r="B35" s="88">
        <v>12</v>
      </c>
      <c r="C35" s="90">
        <f t="shared" si="3"/>
        <v>64644</v>
      </c>
      <c r="D35" s="89">
        <f t="shared" si="6"/>
        <v>1382365.6398475242</v>
      </c>
      <c r="E35" s="89">
        <f t="shared" si="7"/>
        <v>1520602.2038322769</v>
      </c>
      <c r="F35" s="88"/>
      <c r="G35" s="3"/>
    </row>
    <row r="36" spans="1:7" x14ac:dyDescent="0.2">
      <c r="A36" s="88"/>
      <c r="B36" s="88">
        <v>13</v>
      </c>
      <c r="C36" s="90">
        <f t="shared" si="3"/>
        <v>64644</v>
      </c>
      <c r="D36" s="89">
        <f t="shared" si="6"/>
        <v>1585246.2038322769</v>
      </c>
      <c r="E36" s="89">
        <f t="shared" si="7"/>
        <v>1743770.8242155048</v>
      </c>
      <c r="F36" s="88"/>
      <c r="G36" s="3"/>
    </row>
    <row r="37" spans="1:7" x14ac:dyDescent="0.2">
      <c r="A37" s="88"/>
      <c r="B37" s="88">
        <v>14</v>
      </c>
      <c r="C37" s="90">
        <f t="shared" si="3"/>
        <v>64644</v>
      </c>
      <c r="D37" s="89">
        <f t="shared" si="6"/>
        <v>1808414.8242155048</v>
      </c>
      <c r="E37" s="89">
        <f t="shared" si="7"/>
        <v>1989256.3066370555</v>
      </c>
      <c r="F37" s="88"/>
      <c r="G37" s="3"/>
    </row>
    <row r="38" spans="1:7" x14ac:dyDescent="0.2">
      <c r="A38" s="88"/>
      <c r="B38" s="88">
        <v>15</v>
      </c>
      <c r="C38" s="90">
        <f t="shared" si="3"/>
        <v>64644</v>
      </c>
      <c r="D38" s="89">
        <f t="shared" si="6"/>
        <v>2053900.3066370555</v>
      </c>
      <c r="E38" s="89">
        <f t="shared" si="7"/>
        <v>2259290.3373007611</v>
      </c>
      <c r="F38" s="88"/>
      <c r="G38" s="3"/>
    </row>
    <row r="39" spans="1:7" x14ac:dyDescent="0.2">
      <c r="A39" s="88"/>
      <c r="B39" s="88">
        <v>16</v>
      </c>
      <c r="C39" s="90">
        <f t="shared" si="3"/>
        <v>64644</v>
      </c>
      <c r="D39" s="89">
        <f t="shared" si="6"/>
        <v>2323934.3373007611</v>
      </c>
      <c r="E39" s="89">
        <f t="shared" si="7"/>
        <v>2556327.7710308377</v>
      </c>
      <c r="F39" s="88"/>
      <c r="G39" s="3"/>
    </row>
    <row r="40" spans="1:7" x14ac:dyDescent="0.2">
      <c r="A40" s="88"/>
      <c r="B40" s="88">
        <v>17</v>
      </c>
      <c r="C40" s="90">
        <f t="shared" si="3"/>
        <v>64644</v>
      </c>
      <c r="D40" s="89">
        <f t="shared" si="6"/>
        <v>2620971.7710308377</v>
      </c>
      <c r="E40" s="89">
        <f t="shared" si="7"/>
        <v>2883068.9481339217</v>
      </c>
      <c r="F40" s="88"/>
      <c r="G40" s="3"/>
    </row>
    <row r="41" spans="1:7" x14ac:dyDescent="0.2">
      <c r="A41" s="88"/>
      <c r="B41" s="88">
        <v>18</v>
      </c>
      <c r="C41" s="90">
        <f t="shared" si="3"/>
        <v>64644</v>
      </c>
      <c r="D41" s="89">
        <f>+C41+E40</f>
        <v>2947712.9481339217</v>
      </c>
      <c r="E41" s="89">
        <f t="shared" si="7"/>
        <v>3242484.2429473139</v>
      </c>
      <c r="F41" s="88"/>
      <c r="G41" s="3"/>
    </row>
    <row r="42" spans="1:7" x14ac:dyDescent="0.2">
      <c r="A42" s="88"/>
      <c r="B42" s="88">
        <v>19</v>
      </c>
      <c r="C42" s="90">
        <f t="shared" si="3"/>
        <v>64644</v>
      </c>
      <c r="D42" s="89">
        <f t="shared" si="6"/>
        <v>3307128.2429473139</v>
      </c>
      <c r="E42" s="89">
        <f t="shared" si="7"/>
        <v>3637841.0672420454</v>
      </c>
      <c r="F42" s="88"/>
      <c r="G42" s="3"/>
    </row>
    <row r="43" spans="1:7" x14ac:dyDescent="0.2">
      <c r="A43" s="88"/>
      <c r="B43" s="88">
        <v>20</v>
      </c>
      <c r="C43" s="90">
        <f t="shared" si="3"/>
        <v>64644</v>
      </c>
      <c r="D43" s="89">
        <f t="shared" si="6"/>
        <v>3702485.0672420454</v>
      </c>
      <c r="E43" s="89">
        <f t="shared" si="7"/>
        <v>4072733.5739662503</v>
      </c>
      <c r="F43" s="88"/>
      <c r="G43" s="3"/>
    </row>
    <row r="44" spans="1:7" x14ac:dyDescent="0.2">
      <c r="A44" s="88"/>
      <c r="B44" s="88"/>
      <c r="C44" s="88"/>
      <c r="D44" s="88"/>
      <c r="E44" s="88"/>
      <c r="F44" s="88"/>
      <c r="G44" s="3"/>
    </row>
    <row r="45" spans="1:7" x14ac:dyDescent="0.2">
      <c r="B45" s="3"/>
      <c r="C45" s="3"/>
      <c r="D45" s="3"/>
      <c r="E45" s="3"/>
      <c r="F45" s="3"/>
      <c r="G45" s="3"/>
    </row>
    <row r="46" spans="1:7" x14ac:dyDescent="0.2">
      <c r="B46" s="3"/>
      <c r="C46" s="3"/>
      <c r="D46" s="3"/>
      <c r="E46" s="3"/>
      <c r="F46" s="3"/>
      <c r="G46" s="3"/>
    </row>
    <row r="47" spans="1:7" x14ac:dyDescent="0.2">
      <c r="B47" s="3"/>
      <c r="C47" s="3"/>
      <c r="D47" s="3"/>
      <c r="E47" s="3"/>
      <c r="F47" s="3"/>
      <c r="G47" s="3"/>
    </row>
    <row r="48" spans="1:7" x14ac:dyDescent="0.2">
      <c r="B48" s="3"/>
      <c r="C48" s="3"/>
      <c r="D48" s="3"/>
      <c r="E48" s="3"/>
      <c r="F48" s="3"/>
      <c r="G48" s="3"/>
    </row>
    <row r="49" spans="2:7" x14ac:dyDescent="0.2">
      <c r="B49" s="3"/>
      <c r="C49" s="3"/>
      <c r="D49" s="3"/>
      <c r="E49" s="3"/>
      <c r="F49" s="3"/>
      <c r="G49" s="3"/>
    </row>
    <row r="50" spans="2:7" x14ac:dyDescent="0.2">
      <c r="B50" s="3"/>
      <c r="C50" s="3"/>
      <c r="D50" s="3"/>
      <c r="E50" s="3"/>
      <c r="F50" s="3"/>
      <c r="G50" s="3"/>
    </row>
    <row r="51" spans="2:7" x14ac:dyDescent="0.2">
      <c r="B51" s="3"/>
      <c r="C51" s="3"/>
      <c r="D51" s="3"/>
      <c r="E51" s="3"/>
      <c r="F51" s="3"/>
      <c r="G51" s="3"/>
    </row>
    <row r="52" spans="2:7" x14ac:dyDescent="0.2">
      <c r="B52" s="3"/>
      <c r="C52" s="3"/>
      <c r="D52" s="3"/>
      <c r="E52" s="3"/>
      <c r="F52" s="3"/>
      <c r="G52" s="3"/>
    </row>
    <row r="53" spans="2:7" x14ac:dyDescent="0.2">
      <c r="B53" s="3"/>
      <c r="C53" s="3"/>
      <c r="D53" s="3"/>
      <c r="E53" s="3"/>
      <c r="F53" s="3"/>
      <c r="G53" s="3"/>
    </row>
    <row r="54" spans="2:7" x14ac:dyDescent="0.2">
      <c r="B54" s="3"/>
      <c r="C54" s="3"/>
      <c r="D54" s="3"/>
      <c r="E54" s="3"/>
      <c r="F54" s="3"/>
      <c r="G54" s="3"/>
    </row>
    <row r="55" spans="2:7" x14ac:dyDescent="0.2">
      <c r="B55" s="3"/>
      <c r="C55" s="3"/>
      <c r="D55" s="3"/>
      <c r="E55" s="3"/>
      <c r="F55" s="3"/>
      <c r="G55" s="3"/>
    </row>
    <row r="56" spans="2:7" x14ac:dyDescent="0.2">
      <c r="B56" s="3"/>
      <c r="C56" s="3"/>
      <c r="D56" s="3"/>
      <c r="E56" s="3"/>
      <c r="F56" s="3"/>
      <c r="G56" s="3"/>
    </row>
    <row r="57" spans="2:7" x14ac:dyDescent="0.2">
      <c r="B57" s="3"/>
      <c r="C57" s="3"/>
      <c r="D57" s="3"/>
      <c r="E57" s="3"/>
      <c r="F57" s="3"/>
      <c r="G57" s="3"/>
    </row>
    <row r="58" spans="2:7" x14ac:dyDescent="0.2">
      <c r="B58" s="3"/>
      <c r="C58" s="3"/>
      <c r="D58" s="3"/>
      <c r="E58" s="3"/>
      <c r="F58" s="3"/>
      <c r="G58" s="3"/>
    </row>
    <row r="59" spans="2:7" x14ac:dyDescent="0.2">
      <c r="B59" s="3"/>
      <c r="C59" s="3"/>
      <c r="D59" s="3"/>
      <c r="E59" s="3"/>
      <c r="F59" s="3"/>
      <c r="G59" s="3"/>
    </row>
    <row r="60" spans="2:7" x14ac:dyDescent="0.2">
      <c r="B60" s="3"/>
      <c r="C60" s="3"/>
      <c r="D60" s="3"/>
      <c r="E60" s="3"/>
      <c r="F60" s="3"/>
      <c r="G60" s="3"/>
    </row>
    <row r="61" spans="2:7" x14ac:dyDescent="0.2">
      <c r="B61" s="3"/>
      <c r="C61" s="3"/>
      <c r="D61" s="3"/>
      <c r="E61" s="3"/>
      <c r="F61" s="3"/>
      <c r="G61" s="3"/>
    </row>
    <row r="62" spans="2:7" x14ac:dyDescent="0.2">
      <c r="B62" s="3"/>
      <c r="C62" s="3"/>
      <c r="D62" s="3"/>
      <c r="E62" s="3"/>
      <c r="F62" s="3"/>
      <c r="G62" s="3"/>
    </row>
    <row r="63" spans="2:7" x14ac:dyDescent="0.2">
      <c r="B63" s="3"/>
      <c r="C63" s="3"/>
      <c r="D63" s="3"/>
      <c r="E63" s="3"/>
      <c r="F63" s="3"/>
      <c r="G63" s="3"/>
    </row>
    <row r="64" spans="2:7" x14ac:dyDescent="0.2">
      <c r="B64" s="3"/>
      <c r="C64" s="3"/>
      <c r="D64" s="3"/>
      <c r="E64" s="3"/>
      <c r="F64" s="3"/>
      <c r="G64" s="3"/>
    </row>
    <row r="65" spans="2:7" x14ac:dyDescent="0.2">
      <c r="B65" s="3"/>
      <c r="C65" s="3"/>
      <c r="D65" s="3"/>
      <c r="E65" s="3"/>
      <c r="F65" s="3"/>
      <c r="G65" s="3"/>
    </row>
    <row r="66" spans="2:7" x14ac:dyDescent="0.2">
      <c r="B66" s="3"/>
      <c r="C66" s="3"/>
      <c r="D66" s="3"/>
      <c r="E66" s="3"/>
      <c r="F66" s="3"/>
      <c r="G66" s="3"/>
    </row>
    <row r="67" spans="2:7" x14ac:dyDescent="0.2">
      <c r="B67" s="3"/>
      <c r="C67" s="3"/>
      <c r="D67" s="3"/>
      <c r="E67" s="3"/>
      <c r="F67" s="3"/>
      <c r="G67" s="3"/>
    </row>
    <row r="68" spans="2:7" x14ac:dyDescent="0.2">
      <c r="B68" s="3"/>
      <c r="C68" s="3"/>
      <c r="D68" s="3"/>
      <c r="E68" s="3"/>
      <c r="F68" s="3"/>
      <c r="G68" s="3"/>
    </row>
    <row r="69" spans="2:7" x14ac:dyDescent="0.2">
      <c r="B69" s="3"/>
      <c r="C69" s="3"/>
      <c r="D69" s="3"/>
      <c r="E69" s="3"/>
      <c r="F69" s="3"/>
      <c r="G69" s="3"/>
    </row>
    <row r="70" spans="2:7" x14ac:dyDescent="0.2">
      <c r="B70" s="3"/>
      <c r="C70" s="3"/>
      <c r="D70" s="3"/>
      <c r="E70" s="3"/>
      <c r="F70" s="3"/>
      <c r="G70" s="3"/>
    </row>
    <row r="71" spans="2:7" x14ac:dyDescent="0.2">
      <c r="B71" s="3"/>
      <c r="C71" s="3"/>
      <c r="D71" s="3"/>
      <c r="E71" s="3"/>
      <c r="F71" s="3"/>
      <c r="G71" s="3"/>
    </row>
    <row r="72" spans="2:7" x14ac:dyDescent="0.2">
      <c r="B72" s="3"/>
      <c r="C72" s="3"/>
      <c r="D72" s="3"/>
      <c r="E72" s="3"/>
      <c r="F72" s="3"/>
      <c r="G72" s="3"/>
    </row>
    <row r="73" spans="2:7" x14ac:dyDescent="0.2">
      <c r="B73" s="3"/>
      <c r="C73" s="3"/>
      <c r="D73" s="3"/>
      <c r="E73" s="3"/>
      <c r="F73" s="3"/>
      <c r="G73" s="3"/>
    </row>
    <row r="74" spans="2:7" x14ac:dyDescent="0.2">
      <c r="B74" s="3"/>
      <c r="C74" s="3"/>
      <c r="D74" s="3"/>
      <c r="E74" s="3"/>
      <c r="F74" s="3"/>
      <c r="G74" s="3"/>
    </row>
    <row r="75" spans="2:7" x14ac:dyDescent="0.2">
      <c r="B75" s="3"/>
      <c r="C75" s="3"/>
      <c r="D75" s="3"/>
      <c r="E75" s="3"/>
      <c r="F75" s="3"/>
      <c r="G75" s="3"/>
    </row>
    <row r="76" spans="2:7" x14ac:dyDescent="0.2">
      <c r="B76" s="3"/>
      <c r="C76" s="3"/>
      <c r="D76" s="3"/>
      <c r="E76" s="3"/>
      <c r="F76" s="3"/>
      <c r="G76" s="3"/>
    </row>
    <row r="77" spans="2:7" x14ac:dyDescent="0.2">
      <c r="B77" s="3"/>
      <c r="C77" s="3"/>
      <c r="D77" s="3"/>
      <c r="E77" s="3"/>
      <c r="F77" s="3"/>
      <c r="G77" s="3"/>
    </row>
    <row r="78" spans="2:7" x14ac:dyDescent="0.2">
      <c r="B78" s="3"/>
      <c r="C78" s="3"/>
      <c r="D78" s="3"/>
      <c r="E78" s="3"/>
      <c r="F78" s="3"/>
      <c r="G78" s="3"/>
    </row>
    <row r="79" spans="2:7" x14ac:dyDescent="0.2">
      <c r="B79" s="3"/>
      <c r="C79" s="3"/>
      <c r="D79" s="3"/>
      <c r="E79" s="3"/>
      <c r="F79" s="3"/>
      <c r="G79" s="3"/>
    </row>
    <row r="80" spans="2:7" x14ac:dyDescent="0.2">
      <c r="B80" s="3"/>
      <c r="C80" s="3"/>
      <c r="D80" s="3"/>
      <c r="E80" s="3"/>
      <c r="F80" s="3"/>
      <c r="G80" s="3"/>
    </row>
    <row r="81" spans="2:7" x14ac:dyDescent="0.2">
      <c r="B81" s="3"/>
      <c r="C81" s="3"/>
      <c r="D81" s="3"/>
      <c r="E81" s="3"/>
      <c r="F81" s="3"/>
      <c r="G81" s="3"/>
    </row>
    <row r="82" spans="2:7" x14ac:dyDescent="0.2">
      <c r="B82" s="3"/>
      <c r="C82" s="3"/>
      <c r="D82" s="3"/>
      <c r="E82" s="3"/>
      <c r="F82" s="3"/>
      <c r="G82" s="3"/>
    </row>
    <row r="83" spans="2:7" x14ac:dyDescent="0.2">
      <c r="B83" s="3"/>
      <c r="C83" s="3"/>
      <c r="D83" s="3"/>
      <c r="E83" s="3"/>
      <c r="F83" s="3"/>
      <c r="G83" s="3"/>
    </row>
    <row r="84" spans="2:7" x14ac:dyDescent="0.2">
      <c r="B84" s="3"/>
      <c r="C84" s="3"/>
      <c r="D84" s="3"/>
      <c r="E84" s="3"/>
      <c r="F84" s="3"/>
      <c r="G84" s="3"/>
    </row>
    <row r="85" spans="2:7" x14ac:dyDescent="0.2">
      <c r="B85" s="3"/>
      <c r="C85" s="3"/>
      <c r="D85" s="3"/>
      <c r="E85" s="3"/>
      <c r="F85" s="3"/>
      <c r="G85" s="3"/>
    </row>
    <row r="86" spans="2:7" x14ac:dyDescent="0.2">
      <c r="B86" s="3"/>
      <c r="C86" s="3"/>
      <c r="D86" s="3"/>
      <c r="E86" s="3"/>
      <c r="F86" s="3"/>
      <c r="G86" s="3"/>
    </row>
    <row r="87" spans="2:7" x14ac:dyDescent="0.2">
      <c r="B87" s="3"/>
      <c r="C87" s="3"/>
      <c r="D87" s="3"/>
      <c r="E87" s="3"/>
      <c r="F87" s="3"/>
      <c r="G87" s="3"/>
    </row>
    <row r="88" spans="2:7" x14ac:dyDescent="0.2">
      <c r="B88" s="3"/>
      <c r="C88" s="3"/>
      <c r="D88" s="3"/>
      <c r="E88" s="3"/>
      <c r="F88" s="3"/>
      <c r="G88" s="3"/>
    </row>
    <row r="89" spans="2:7" x14ac:dyDescent="0.2">
      <c r="B89" s="3"/>
      <c r="C89" s="3"/>
      <c r="D89" s="3"/>
      <c r="E89" s="3"/>
      <c r="F89" s="3"/>
      <c r="G89" s="3"/>
    </row>
    <row r="90" spans="2:7" x14ac:dyDescent="0.2">
      <c r="B90" s="3"/>
      <c r="C90" s="3"/>
      <c r="D90" s="3"/>
      <c r="E90" s="3"/>
      <c r="F90" s="3"/>
      <c r="G90" s="3"/>
    </row>
    <row r="91" spans="2:7" x14ac:dyDescent="0.2">
      <c r="B91" s="3"/>
      <c r="C91" s="3"/>
      <c r="D91" s="3"/>
      <c r="E91" s="3"/>
      <c r="F91" s="3"/>
      <c r="G91" s="3"/>
    </row>
    <row r="92" spans="2:7" x14ac:dyDescent="0.2">
      <c r="B92" s="3"/>
      <c r="C92" s="3"/>
      <c r="D92" s="3"/>
      <c r="E92" s="3"/>
      <c r="F92" s="3"/>
      <c r="G92" s="3"/>
    </row>
    <row r="93" spans="2:7" x14ac:dyDescent="0.2">
      <c r="B93" s="3"/>
      <c r="C93" s="3"/>
      <c r="D93" s="3"/>
      <c r="E93" s="3"/>
      <c r="F93" s="3"/>
      <c r="G93" s="3"/>
    </row>
    <row r="94" spans="2:7" x14ac:dyDescent="0.2">
      <c r="B94" s="3"/>
      <c r="C94" s="3"/>
      <c r="D94" s="3"/>
      <c r="E94" s="3"/>
      <c r="F94" s="3"/>
      <c r="G94" s="3"/>
    </row>
    <row r="95" spans="2:7" x14ac:dyDescent="0.2">
      <c r="B95" s="3"/>
      <c r="C95" s="3"/>
      <c r="D95" s="3"/>
      <c r="E95" s="3"/>
      <c r="F95" s="3"/>
      <c r="G95" s="3"/>
    </row>
    <row r="96" spans="2:7" x14ac:dyDescent="0.2">
      <c r="B96" s="3"/>
      <c r="C96" s="3"/>
      <c r="D96" s="3"/>
      <c r="E96" s="3"/>
      <c r="F96" s="3"/>
      <c r="G96" s="3"/>
    </row>
    <row r="97" spans="2:7" x14ac:dyDescent="0.2">
      <c r="B97" s="3"/>
      <c r="C97" s="3"/>
      <c r="D97" s="3"/>
      <c r="E97" s="3"/>
      <c r="F97" s="3"/>
      <c r="G97" s="3"/>
    </row>
    <row r="98" spans="2:7" x14ac:dyDescent="0.2">
      <c r="B98" s="3"/>
      <c r="C98" s="3"/>
      <c r="D98" s="3"/>
      <c r="E98" s="3"/>
      <c r="F98" s="3"/>
      <c r="G98" s="3"/>
    </row>
    <row r="99" spans="2:7" x14ac:dyDescent="0.2">
      <c r="B99" s="3"/>
      <c r="C99" s="3"/>
      <c r="D99" s="3"/>
      <c r="E99" s="3"/>
      <c r="F99" s="3"/>
      <c r="G99" s="3"/>
    </row>
    <row r="100" spans="2:7" x14ac:dyDescent="0.2">
      <c r="B100" s="3"/>
      <c r="C100" s="3"/>
      <c r="D100" s="3"/>
      <c r="E100" s="3"/>
      <c r="F100" s="3"/>
      <c r="G100" s="3"/>
    </row>
    <row r="101" spans="2:7" x14ac:dyDescent="0.2">
      <c r="B101" s="3"/>
      <c r="C101" s="3"/>
      <c r="D101" s="3"/>
      <c r="E101" s="3"/>
      <c r="F101" s="3"/>
      <c r="G101" s="3"/>
    </row>
    <row r="102" spans="2:7" x14ac:dyDescent="0.2">
      <c r="B102" s="3"/>
      <c r="C102" s="3"/>
      <c r="D102" s="3"/>
      <c r="E102" s="3"/>
      <c r="F102" s="3"/>
      <c r="G102" s="3"/>
    </row>
    <row r="103" spans="2:7" x14ac:dyDescent="0.2">
      <c r="B103" s="3"/>
      <c r="C103" s="3"/>
      <c r="D103" s="3"/>
      <c r="E103" s="3"/>
      <c r="F103" s="3"/>
      <c r="G103" s="3"/>
    </row>
    <row r="104" spans="2:7" x14ac:dyDescent="0.2">
      <c r="B104" s="3"/>
      <c r="C104" s="3"/>
      <c r="D104" s="3"/>
      <c r="E104" s="3"/>
      <c r="F104" s="3"/>
      <c r="G104" s="3"/>
    </row>
    <row r="105" spans="2:7" x14ac:dyDescent="0.2">
      <c r="B105" s="3"/>
      <c r="C105" s="3"/>
      <c r="D105" s="3"/>
      <c r="E105" s="3"/>
      <c r="F105" s="3"/>
      <c r="G105" s="3"/>
    </row>
    <row r="106" spans="2:7" x14ac:dyDescent="0.2">
      <c r="B106" s="3"/>
      <c r="C106" s="3"/>
      <c r="D106" s="3"/>
      <c r="E106" s="3"/>
      <c r="F106" s="3"/>
      <c r="G106" s="3"/>
    </row>
    <row r="107" spans="2:7" x14ac:dyDescent="0.2">
      <c r="B107" s="3"/>
      <c r="C107" s="3"/>
      <c r="D107" s="3"/>
      <c r="E107" s="3"/>
      <c r="F107" s="3"/>
      <c r="G107" s="3"/>
    </row>
    <row r="108" spans="2:7" x14ac:dyDescent="0.2">
      <c r="B108" s="3"/>
      <c r="C108" s="3"/>
      <c r="D108" s="3"/>
      <c r="E108" s="3"/>
      <c r="F108" s="3"/>
      <c r="G108" s="3"/>
    </row>
    <row r="109" spans="2:7" x14ac:dyDescent="0.2">
      <c r="B109" s="3"/>
      <c r="C109" s="3"/>
      <c r="D109" s="3"/>
      <c r="E109" s="3"/>
      <c r="F109" s="3"/>
      <c r="G109" s="3"/>
    </row>
    <row r="110" spans="2:7" x14ac:dyDescent="0.2">
      <c r="B110" s="3"/>
      <c r="C110" s="3"/>
      <c r="D110" s="3"/>
      <c r="E110" s="3"/>
      <c r="F110" s="3"/>
      <c r="G110" s="3"/>
    </row>
    <row r="111" spans="2:7" x14ac:dyDescent="0.2">
      <c r="B111" s="3"/>
      <c r="C111" s="3"/>
      <c r="D111" s="3"/>
      <c r="E111" s="3"/>
      <c r="F111" s="3"/>
      <c r="G111" s="3"/>
    </row>
    <row r="112" spans="2:7" x14ac:dyDescent="0.2">
      <c r="B112" s="3"/>
      <c r="C112" s="3"/>
      <c r="D112" s="3"/>
      <c r="E112" s="3"/>
      <c r="F112" s="3"/>
      <c r="G112" s="3"/>
    </row>
    <row r="113" spans="2:7" x14ac:dyDescent="0.2">
      <c r="B113" s="3"/>
      <c r="C113" s="3"/>
      <c r="D113" s="3"/>
      <c r="E113" s="3"/>
      <c r="F113" s="3"/>
      <c r="G113" s="3"/>
    </row>
    <row r="114" spans="2:7" x14ac:dyDescent="0.2">
      <c r="B114" s="3"/>
      <c r="C114" s="3"/>
      <c r="D114" s="3"/>
      <c r="E114" s="3"/>
      <c r="F114" s="3"/>
      <c r="G114" s="3"/>
    </row>
    <row r="115" spans="2:7" x14ac:dyDescent="0.2">
      <c r="B115" s="3"/>
      <c r="C115" s="3"/>
      <c r="D115" s="3"/>
      <c r="E115" s="3"/>
      <c r="F115" s="3"/>
      <c r="G115" s="3"/>
    </row>
    <row r="116" spans="2:7" x14ac:dyDescent="0.2">
      <c r="B116" s="3"/>
      <c r="C116" s="3"/>
      <c r="D116" s="3"/>
      <c r="E116" s="3"/>
      <c r="F116" s="3"/>
      <c r="G116" s="3"/>
    </row>
    <row r="117" spans="2:7" x14ac:dyDescent="0.2">
      <c r="B117" s="3"/>
      <c r="C117" s="3"/>
      <c r="D117" s="3"/>
      <c r="E117" s="3"/>
      <c r="F117" s="3"/>
      <c r="G117" s="3"/>
    </row>
    <row r="118" spans="2:7" x14ac:dyDescent="0.2">
      <c r="B118" s="3"/>
      <c r="C118" s="3"/>
      <c r="D118" s="3"/>
      <c r="E118" s="3"/>
      <c r="F118" s="3"/>
      <c r="G118" s="3"/>
    </row>
    <row r="119" spans="2:7" x14ac:dyDescent="0.2">
      <c r="B119" s="3"/>
      <c r="C119" s="3"/>
      <c r="D119" s="3"/>
      <c r="E119" s="3"/>
      <c r="F119" s="3"/>
      <c r="G119" s="3"/>
    </row>
    <row r="120" spans="2:7" x14ac:dyDescent="0.2">
      <c r="B120" s="3"/>
      <c r="C120" s="3"/>
      <c r="D120" s="3"/>
      <c r="E120" s="3"/>
      <c r="F120" s="3"/>
      <c r="G120" s="3"/>
    </row>
    <row r="121" spans="2:7" x14ac:dyDescent="0.2">
      <c r="B121" s="3"/>
      <c r="C121" s="3"/>
      <c r="D121" s="3"/>
      <c r="E121" s="3"/>
      <c r="F121" s="3"/>
      <c r="G121" s="3"/>
    </row>
    <row r="122" spans="2:7" x14ac:dyDescent="0.2">
      <c r="B122" s="3"/>
      <c r="C122" s="3"/>
      <c r="D122" s="3"/>
      <c r="E122" s="3"/>
      <c r="F122" s="3"/>
      <c r="G122" s="3"/>
    </row>
    <row r="123" spans="2:7" x14ac:dyDescent="0.2">
      <c r="B123" s="3"/>
      <c r="C123" s="3"/>
      <c r="D123" s="3"/>
      <c r="E123" s="3"/>
      <c r="F123" s="3"/>
      <c r="G123" s="3"/>
    </row>
    <row r="124" spans="2:7" x14ac:dyDescent="0.2">
      <c r="B124" s="3"/>
      <c r="C124" s="3"/>
      <c r="D124" s="3"/>
      <c r="E124" s="3"/>
      <c r="F124" s="3"/>
      <c r="G124" s="3"/>
    </row>
    <row r="125" spans="2:7" x14ac:dyDescent="0.2">
      <c r="B125" s="3"/>
      <c r="C125" s="3"/>
      <c r="D125" s="3"/>
      <c r="E125" s="3"/>
      <c r="F125" s="3"/>
      <c r="G125" s="3"/>
    </row>
    <row r="126" spans="2:7" x14ac:dyDescent="0.2">
      <c r="B126" s="3"/>
      <c r="C126" s="3"/>
      <c r="D126" s="3"/>
      <c r="E126" s="3"/>
      <c r="F126" s="3"/>
      <c r="G126" s="3"/>
    </row>
    <row r="127" spans="2:7" x14ac:dyDescent="0.2">
      <c r="B127" s="3"/>
      <c r="C127" s="3"/>
      <c r="D127" s="3"/>
      <c r="E127" s="3"/>
      <c r="F127" s="3"/>
      <c r="G127" s="3"/>
    </row>
    <row r="128" spans="2:7" x14ac:dyDescent="0.2">
      <c r="B128" s="3"/>
      <c r="C128" s="3"/>
      <c r="D128" s="3"/>
      <c r="E128" s="3"/>
      <c r="F128" s="3"/>
      <c r="G128" s="3"/>
    </row>
    <row r="129" spans="2:7" x14ac:dyDescent="0.2">
      <c r="B129" s="3"/>
      <c r="C129" s="3"/>
      <c r="D129" s="3"/>
      <c r="E129" s="3"/>
      <c r="F129" s="3"/>
      <c r="G129" s="3"/>
    </row>
    <row r="130" spans="2:7" x14ac:dyDescent="0.2">
      <c r="B130" s="3"/>
      <c r="C130" s="3"/>
      <c r="D130" s="3"/>
      <c r="E130" s="3"/>
      <c r="F130" s="3"/>
      <c r="G130" s="3"/>
    </row>
    <row r="131" spans="2:7" x14ac:dyDescent="0.2">
      <c r="B131" s="3"/>
      <c r="C131" s="3"/>
      <c r="D131" s="3"/>
      <c r="E131" s="3"/>
      <c r="F131" s="3"/>
      <c r="G131" s="3"/>
    </row>
    <row r="132" spans="2:7" x14ac:dyDescent="0.2">
      <c r="B132" s="3"/>
      <c r="C132" s="3"/>
      <c r="D132" s="3"/>
      <c r="E132" s="3"/>
      <c r="F132" s="3"/>
      <c r="G132" s="3"/>
    </row>
    <row r="133" spans="2:7" x14ac:dyDescent="0.2">
      <c r="B133" s="3"/>
      <c r="C133" s="3"/>
      <c r="D133" s="3"/>
      <c r="E133" s="3"/>
      <c r="F133" s="3"/>
      <c r="G133" s="3"/>
    </row>
    <row r="134" spans="2:7" x14ac:dyDescent="0.2">
      <c r="B134" s="3"/>
      <c r="C134" s="3"/>
      <c r="D134" s="3"/>
      <c r="E134" s="3"/>
      <c r="F134" s="3"/>
      <c r="G134" s="3"/>
    </row>
    <row r="135" spans="2:7" x14ac:dyDescent="0.2">
      <c r="B135" s="3"/>
      <c r="C135" s="3"/>
      <c r="D135" s="3"/>
      <c r="E135" s="3"/>
      <c r="F135" s="3"/>
      <c r="G135" s="3"/>
    </row>
    <row r="136" spans="2:7" x14ac:dyDescent="0.2">
      <c r="B136" s="3"/>
      <c r="C136" s="3"/>
      <c r="D136" s="3"/>
      <c r="E136" s="3"/>
      <c r="F136" s="3"/>
      <c r="G136" s="3"/>
    </row>
    <row r="137" spans="2:7" x14ac:dyDescent="0.2">
      <c r="B137" s="3"/>
      <c r="C137" s="3"/>
      <c r="D137" s="3"/>
      <c r="E137" s="3"/>
      <c r="F137" s="3"/>
      <c r="G137" s="3"/>
    </row>
    <row r="138" spans="2:7" x14ac:dyDescent="0.2">
      <c r="B138" s="3"/>
      <c r="C138" s="3"/>
      <c r="D138" s="3"/>
      <c r="E138" s="3"/>
      <c r="F138" s="3"/>
      <c r="G138" s="3"/>
    </row>
    <row r="139" spans="2:7" x14ac:dyDescent="0.2">
      <c r="B139" s="3"/>
      <c r="C139" s="3"/>
      <c r="D139" s="3"/>
      <c r="E139" s="3"/>
      <c r="F139" s="3"/>
      <c r="G139" s="3"/>
    </row>
    <row r="140" spans="2:7" x14ac:dyDescent="0.2">
      <c r="B140" s="3"/>
      <c r="C140" s="3"/>
      <c r="D140" s="3"/>
      <c r="E140" s="3"/>
      <c r="F140" s="3"/>
      <c r="G140" s="3"/>
    </row>
    <row r="141" spans="2:7" x14ac:dyDescent="0.2">
      <c r="B141" s="3"/>
      <c r="C141" s="3"/>
      <c r="D141" s="3"/>
      <c r="E141" s="3"/>
      <c r="F141" s="3"/>
      <c r="G141" s="3"/>
    </row>
    <row r="142" spans="2:7" x14ac:dyDescent="0.2">
      <c r="B142" s="3"/>
      <c r="C142" s="3"/>
      <c r="D142" s="3"/>
      <c r="E142" s="3"/>
      <c r="F142" s="3"/>
      <c r="G142" s="3"/>
    </row>
    <row r="143" spans="2:7" x14ac:dyDescent="0.2">
      <c r="B143" s="3"/>
      <c r="C143" s="3"/>
      <c r="D143" s="3"/>
      <c r="E143" s="3"/>
      <c r="F143" s="3"/>
      <c r="G143" s="3"/>
    </row>
    <row r="144" spans="2:7" x14ac:dyDescent="0.2">
      <c r="B144" s="3"/>
      <c r="C144" s="3"/>
      <c r="D144" s="3"/>
      <c r="E144" s="3"/>
      <c r="F144" s="3"/>
      <c r="G144" s="3"/>
    </row>
    <row r="145" spans="2:7" x14ac:dyDescent="0.2">
      <c r="B145" s="3"/>
      <c r="C145" s="3"/>
      <c r="D145" s="3"/>
      <c r="E145" s="3"/>
      <c r="F145" s="3"/>
      <c r="G145" s="3"/>
    </row>
    <row r="146" spans="2:7" x14ac:dyDescent="0.2">
      <c r="B146" s="3"/>
      <c r="C146" s="3"/>
      <c r="D146" s="3"/>
      <c r="E146" s="3"/>
      <c r="F146" s="3"/>
      <c r="G146" s="3"/>
    </row>
    <row r="147" spans="2:7" x14ac:dyDescent="0.2">
      <c r="B147" s="3"/>
      <c r="C147" s="3"/>
      <c r="D147" s="3"/>
      <c r="E147" s="3"/>
      <c r="F147" s="3"/>
      <c r="G147" s="3"/>
    </row>
    <row r="148" spans="2:7" x14ac:dyDescent="0.2">
      <c r="B148" s="3"/>
      <c r="C148" s="3"/>
      <c r="D148" s="3"/>
      <c r="E148" s="3"/>
      <c r="F148" s="3"/>
      <c r="G148" s="3"/>
    </row>
    <row r="149" spans="2:7" x14ac:dyDescent="0.2">
      <c r="B149" s="3"/>
      <c r="C149" s="3"/>
      <c r="D149" s="3"/>
      <c r="E149" s="3"/>
      <c r="F149" s="3"/>
      <c r="G149" s="3"/>
    </row>
    <row r="150" spans="2:7" x14ac:dyDescent="0.2">
      <c r="B150" s="3"/>
      <c r="C150" s="3"/>
      <c r="D150" s="3"/>
      <c r="E150" s="3"/>
      <c r="F150" s="3"/>
      <c r="G150" s="3"/>
    </row>
    <row r="151" spans="2:7" x14ac:dyDescent="0.2">
      <c r="B151" s="3"/>
      <c r="C151" s="3"/>
      <c r="D151" s="3"/>
      <c r="E151" s="3"/>
      <c r="F151" s="3"/>
      <c r="G151" s="3"/>
    </row>
    <row r="152" spans="2:7" x14ac:dyDescent="0.2">
      <c r="B152" s="3"/>
      <c r="C152" s="3"/>
      <c r="D152" s="3"/>
      <c r="E152" s="3"/>
      <c r="F152" s="3"/>
      <c r="G152" s="3"/>
    </row>
    <row r="153" spans="2:7" x14ac:dyDescent="0.2">
      <c r="B153" s="3"/>
      <c r="C153" s="3"/>
      <c r="D153" s="3"/>
      <c r="E153" s="3"/>
      <c r="F153" s="3"/>
      <c r="G153" s="3"/>
    </row>
    <row r="154" spans="2:7" x14ac:dyDescent="0.2">
      <c r="B154" s="3"/>
      <c r="C154" s="3"/>
      <c r="D154" s="3"/>
      <c r="E154" s="3"/>
      <c r="F154" s="3"/>
      <c r="G154" s="3"/>
    </row>
    <row r="155" spans="2:7" x14ac:dyDescent="0.2">
      <c r="B155" s="3"/>
      <c r="C155" s="3"/>
      <c r="D155" s="3"/>
      <c r="E155" s="3"/>
      <c r="F155" s="3"/>
      <c r="G155" s="3"/>
    </row>
    <row r="156" spans="2:7" x14ac:dyDescent="0.2">
      <c r="B156" s="3"/>
      <c r="C156" s="3"/>
      <c r="D156" s="3"/>
      <c r="E156" s="3"/>
      <c r="F156" s="3"/>
      <c r="G156" s="3"/>
    </row>
    <row r="157" spans="2:7" x14ac:dyDescent="0.2">
      <c r="B157" s="3"/>
      <c r="C157" s="3"/>
      <c r="D157" s="3"/>
      <c r="E157" s="3"/>
      <c r="F157" s="3"/>
      <c r="G157" s="3"/>
    </row>
    <row r="158" spans="2:7" x14ac:dyDescent="0.2">
      <c r="B158" s="3"/>
      <c r="C158" s="3"/>
      <c r="D158" s="3"/>
      <c r="E158" s="3"/>
      <c r="F158" s="3"/>
      <c r="G158" s="3"/>
    </row>
    <row r="159" spans="2:7" x14ac:dyDescent="0.2">
      <c r="B159" s="3"/>
      <c r="C159" s="3"/>
      <c r="D159" s="3"/>
      <c r="E159" s="3"/>
      <c r="F159" s="3"/>
      <c r="G159" s="3"/>
    </row>
    <row r="160" spans="2:7" x14ac:dyDescent="0.2">
      <c r="B160" s="3"/>
      <c r="C160" s="3"/>
      <c r="D160" s="3"/>
      <c r="E160" s="3"/>
      <c r="F160" s="3"/>
      <c r="G160" s="3"/>
    </row>
    <row r="161" spans="2:7" x14ac:dyDescent="0.2">
      <c r="B161" s="3"/>
      <c r="C161" s="3"/>
      <c r="D161" s="3"/>
      <c r="E161" s="3"/>
      <c r="F161" s="3"/>
      <c r="G161" s="3"/>
    </row>
    <row r="162" spans="2:7" x14ac:dyDescent="0.2">
      <c r="B162" s="3"/>
      <c r="C162" s="3"/>
      <c r="D162" s="3"/>
      <c r="E162" s="3"/>
      <c r="F162" s="3"/>
      <c r="G162" s="3"/>
    </row>
    <row r="163" spans="2:7" x14ac:dyDescent="0.2">
      <c r="B163" s="3"/>
      <c r="C163" s="3"/>
      <c r="D163" s="3"/>
      <c r="E163" s="3"/>
      <c r="F163" s="3"/>
      <c r="G163" s="3"/>
    </row>
    <row r="164" spans="2:7" x14ac:dyDescent="0.2">
      <c r="B164" s="3"/>
      <c r="C164" s="3"/>
      <c r="D164" s="3"/>
      <c r="E164" s="3"/>
      <c r="F164" s="3"/>
      <c r="G164" s="3"/>
    </row>
    <row r="165" spans="2:7" x14ac:dyDescent="0.2">
      <c r="B165" s="3"/>
      <c r="C165" s="3"/>
      <c r="D165" s="3"/>
      <c r="E165" s="3"/>
      <c r="F165" s="3"/>
      <c r="G165" s="3"/>
    </row>
    <row r="166" spans="2:7" x14ac:dyDescent="0.2">
      <c r="B166" s="3"/>
      <c r="C166" s="3"/>
      <c r="D166" s="3"/>
      <c r="E166" s="3"/>
      <c r="F166" s="3"/>
      <c r="G166" s="3"/>
    </row>
    <row r="167" spans="2:7" x14ac:dyDescent="0.2">
      <c r="B167" s="3"/>
      <c r="C167" s="3"/>
      <c r="D167" s="3"/>
      <c r="E167" s="3"/>
      <c r="F167" s="3"/>
      <c r="G167" s="3"/>
    </row>
    <row r="168" spans="2:7" x14ac:dyDescent="0.2">
      <c r="B168" s="3"/>
      <c r="C168" s="3"/>
      <c r="D168" s="3"/>
      <c r="E168" s="3"/>
      <c r="F168" s="3"/>
      <c r="G168" s="3"/>
    </row>
    <row r="169" spans="2:7" x14ac:dyDescent="0.2">
      <c r="B169" s="3"/>
      <c r="C169" s="3"/>
      <c r="D169" s="3"/>
      <c r="E169" s="3"/>
      <c r="F169" s="3"/>
      <c r="G169" s="3"/>
    </row>
    <row r="170" spans="2:7" x14ac:dyDescent="0.2">
      <c r="B170" s="3"/>
      <c r="C170" s="3"/>
      <c r="D170" s="3"/>
      <c r="E170" s="3"/>
      <c r="F170" s="3"/>
      <c r="G170" s="3"/>
    </row>
    <row r="171" spans="2:7" x14ac:dyDescent="0.2">
      <c r="B171" s="3"/>
      <c r="C171" s="3"/>
      <c r="D171" s="3"/>
      <c r="E171" s="3"/>
      <c r="F171" s="3"/>
      <c r="G171" s="3"/>
    </row>
    <row r="172" spans="2:7" x14ac:dyDescent="0.2">
      <c r="B172" s="3"/>
      <c r="C172" s="3"/>
      <c r="D172" s="3"/>
      <c r="E172" s="3"/>
      <c r="F172" s="3"/>
      <c r="G172" s="3"/>
    </row>
    <row r="173" spans="2:7" x14ac:dyDescent="0.2">
      <c r="B173" s="3"/>
      <c r="C173" s="3"/>
      <c r="D173" s="3"/>
      <c r="E173" s="3"/>
      <c r="F173" s="3"/>
      <c r="G173" s="3"/>
    </row>
    <row r="174" spans="2:7" x14ac:dyDescent="0.2">
      <c r="B174" s="3"/>
      <c r="C174" s="3"/>
      <c r="D174" s="3"/>
      <c r="E174" s="3"/>
      <c r="F174" s="3"/>
      <c r="G174" s="3"/>
    </row>
    <row r="175" spans="2:7" x14ac:dyDescent="0.2">
      <c r="B175" s="3"/>
      <c r="C175" s="3"/>
      <c r="D175" s="3"/>
      <c r="E175" s="3"/>
      <c r="F175" s="3"/>
      <c r="G175" s="3"/>
    </row>
    <row r="176" spans="2:7" x14ac:dyDescent="0.2">
      <c r="B176" s="3"/>
      <c r="C176" s="3"/>
      <c r="D176" s="3"/>
      <c r="E176" s="3"/>
      <c r="F176" s="3"/>
      <c r="G176" s="3"/>
    </row>
    <row r="177" spans="2:7" x14ac:dyDescent="0.2">
      <c r="B177" s="3"/>
      <c r="C177" s="3"/>
      <c r="D177" s="3"/>
      <c r="E177" s="3"/>
      <c r="F177" s="3"/>
      <c r="G177" s="3"/>
    </row>
    <row r="178" spans="2:7" x14ac:dyDescent="0.2">
      <c r="B178" s="3"/>
      <c r="C178" s="3"/>
      <c r="D178" s="3"/>
      <c r="E178" s="3"/>
      <c r="F178" s="3"/>
      <c r="G178" s="3"/>
    </row>
    <row r="179" spans="2:7" x14ac:dyDescent="0.2">
      <c r="B179" s="3"/>
      <c r="C179" s="3"/>
      <c r="D179" s="3"/>
      <c r="E179" s="3"/>
      <c r="F179" s="3"/>
      <c r="G179" s="3"/>
    </row>
    <row r="180" spans="2:7" x14ac:dyDescent="0.2">
      <c r="B180" s="3"/>
      <c r="C180" s="3"/>
      <c r="D180" s="3"/>
      <c r="E180" s="3"/>
      <c r="F180" s="3"/>
      <c r="G180" s="3"/>
    </row>
    <row r="181" spans="2:7" x14ac:dyDescent="0.2">
      <c r="B181" s="3"/>
      <c r="C181" s="3"/>
      <c r="D181" s="3"/>
      <c r="E181" s="3"/>
      <c r="F181" s="3"/>
      <c r="G181" s="3"/>
    </row>
    <row r="182" spans="2:7" x14ac:dyDescent="0.2">
      <c r="B182" s="3"/>
      <c r="C182" s="3"/>
      <c r="D182" s="3"/>
      <c r="E182" s="3"/>
      <c r="F182" s="3"/>
      <c r="G182" s="3"/>
    </row>
    <row r="183" spans="2:7" x14ac:dyDescent="0.2">
      <c r="B183" s="3"/>
      <c r="C183" s="3"/>
      <c r="D183" s="3"/>
      <c r="E183" s="3"/>
      <c r="F183" s="3"/>
      <c r="G183" s="3"/>
    </row>
    <row r="184" spans="2:7" x14ac:dyDescent="0.2">
      <c r="B184" s="3"/>
      <c r="C184" s="3"/>
      <c r="D184" s="3"/>
      <c r="E184" s="3"/>
      <c r="F184" s="3"/>
      <c r="G184" s="3"/>
    </row>
    <row r="185" spans="2:7" x14ac:dyDescent="0.2">
      <c r="B185" s="3"/>
      <c r="C185" s="3"/>
      <c r="D185" s="3"/>
      <c r="E185" s="3"/>
      <c r="F185" s="3"/>
      <c r="G185" s="3"/>
    </row>
    <row r="186" spans="2:7" x14ac:dyDescent="0.2">
      <c r="B186" s="3"/>
      <c r="C186" s="3"/>
      <c r="D186" s="3"/>
      <c r="E186" s="3"/>
      <c r="F186" s="3"/>
      <c r="G186" s="3"/>
    </row>
    <row r="187" spans="2:7" x14ac:dyDescent="0.2">
      <c r="B187" s="3"/>
      <c r="C187" s="3"/>
      <c r="D187" s="3"/>
      <c r="E187" s="3"/>
      <c r="F187" s="3"/>
      <c r="G187" s="3"/>
    </row>
    <row r="188" spans="2:7" x14ac:dyDescent="0.2">
      <c r="B188" s="3"/>
      <c r="C188" s="3"/>
      <c r="D188" s="3"/>
      <c r="E188" s="3"/>
      <c r="F188" s="3"/>
      <c r="G188" s="3"/>
    </row>
    <row r="189" spans="2:7" x14ac:dyDescent="0.2">
      <c r="B189" s="3"/>
      <c r="C189" s="3"/>
      <c r="D189" s="3"/>
      <c r="E189" s="3"/>
      <c r="F189" s="3"/>
      <c r="G189" s="3"/>
    </row>
    <row r="190" spans="2:7" x14ac:dyDescent="0.2">
      <c r="B190" s="3"/>
      <c r="C190" s="3"/>
      <c r="D190" s="3"/>
      <c r="E190" s="3"/>
      <c r="F190" s="3"/>
      <c r="G190" s="3"/>
    </row>
    <row r="191" spans="2:7" x14ac:dyDescent="0.2">
      <c r="B191" s="3"/>
      <c r="C191" s="3"/>
      <c r="D191" s="3"/>
      <c r="E191" s="3"/>
      <c r="F191" s="3"/>
      <c r="G191" s="3"/>
    </row>
    <row r="192" spans="2:7" x14ac:dyDescent="0.2">
      <c r="B192" s="3"/>
      <c r="C192" s="3"/>
      <c r="D192" s="3"/>
      <c r="E192" s="3"/>
      <c r="F192" s="3"/>
      <c r="G192" s="3"/>
    </row>
    <row r="193" spans="2:7" x14ac:dyDescent="0.2">
      <c r="B193" s="3"/>
      <c r="C193" s="3"/>
      <c r="D193" s="3"/>
      <c r="E193" s="3"/>
      <c r="F193" s="3"/>
      <c r="G193" s="3"/>
    </row>
    <row r="194" spans="2:7" x14ac:dyDescent="0.2">
      <c r="B194" s="3"/>
      <c r="C194" s="3"/>
      <c r="D194" s="3"/>
      <c r="E194" s="3"/>
      <c r="F194" s="3"/>
      <c r="G194" s="3"/>
    </row>
    <row r="195" spans="2:7" x14ac:dyDescent="0.2">
      <c r="B195" s="3"/>
      <c r="C195" s="3"/>
      <c r="D195" s="3"/>
      <c r="E195" s="3"/>
      <c r="F195" s="3"/>
      <c r="G195" s="3"/>
    </row>
    <row r="196" spans="2:7" x14ac:dyDescent="0.2">
      <c r="B196" s="3"/>
      <c r="C196" s="3"/>
      <c r="D196" s="3"/>
      <c r="E196" s="3"/>
      <c r="F196" s="3"/>
      <c r="G196" s="3"/>
    </row>
    <row r="197" spans="2:7" x14ac:dyDescent="0.2">
      <c r="B197" s="3"/>
      <c r="C197" s="3"/>
      <c r="D197" s="3"/>
      <c r="E197" s="3"/>
      <c r="F197" s="3"/>
      <c r="G19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/>
  </sheetPr>
  <dimension ref="B2:D7"/>
  <sheetViews>
    <sheetView showGridLines="0" workbookViewId="0">
      <selection activeCell="D5" sqref="D5"/>
    </sheetView>
  </sheetViews>
  <sheetFormatPr baseColWidth="10" defaultColWidth="8.7109375" defaultRowHeight="17" x14ac:dyDescent="0.2"/>
  <cols>
    <col min="1" max="1" width="1.7109375" customWidth="1"/>
    <col min="2" max="2" width="19.7109375" customWidth="1"/>
    <col min="3" max="4" width="12.42578125" customWidth="1"/>
  </cols>
  <sheetData>
    <row r="2" spans="2:4" ht="40" x14ac:dyDescent="0.2">
      <c r="B2" s="1" t="s">
        <v>6</v>
      </c>
      <c r="C2" s="1"/>
      <c r="D2" s="1"/>
    </row>
    <row r="4" spans="2:4" x14ac:dyDescent="0.2">
      <c r="B4" s="3"/>
      <c r="C4" s="3" t="s">
        <v>1</v>
      </c>
      <c r="D4" s="3" t="s">
        <v>2</v>
      </c>
    </row>
    <row r="5" spans="2:4" x14ac:dyDescent="0.2">
      <c r="B5" s="3" t="s">
        <v>0</v>
      </c>
      <c r="C5" s="3">
        <f>CashFlow[[#Totals],[Projeté]]</f>
        <v>5387</v>
      </c>
      <c r="D5" s="3">
        <f>CashFlow[[#Totals],[Actuel]]</f>
        <v>1050</v>
      </c>
    </row>
    <row r="6" spans="2:4" x14ac:dyDescent="0.2">
      <c r="B6" s="3" t="s">
        <v>23</v>
      </c>
      <c r="C6" s="3">
        <f>'R'!C20</f>
        <v>8000</v>
      </c>
      <c r="D6" s="3">
        <f>'R'!D20</f>
        <v>5000</v>
      </c>
    </row>
    <row r="7" spans="2:4" x14ac:dyDescent="0.2">
      <c r="B7" s="3" t="s">
        <v>24</v>
      </c>
      <c r="C7" s="3">
        <f>'R'!C40</f>
        <v>2613</v>
      </c>
      <c r="D7" s="3">
        <f>'R'!D40</f>
        <v>3950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P</vt:lpstr>
      <vt:lpstr>R</vt:lpstr>
      <vt:lpstr>I</vt:lpstr>
      <vt:lpstr>M</vt:lpstr>
      <vt:lpstr>E</vt:lpstr>
      <vt:lpstr>Droplist</vt:lpstr>
      <vt:lpstr>RESSOURCES</vt:lpstr>
      <vt:lpstr>Grid</vt:lpstr>
      <vt:lpstr>Chart Data</vt:lpstr>
      <vt:lpstr>E!Impression_des_titres</vt:lpstr>
      <vt:lpstr>M!Impression_des_titres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Monges</dc:creator>
  <cp:lastModifiedBy>Microsoft Office User</cp:lastModifiedBy>
  <dcterms:created xsi:type="dcterms:W3CDTF">2014-12-15T22:25:13Z</dcterms:created>
  <dcterms:modified xsi:type="dcterms:W3CDTF">2021-01-15T16:59:46Z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TF10000013</vt:lpwstr>
  </property>
</Properties>
</file>