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4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5.xml" ContentType="application/vnd.openxmlformats-officedocument.drawing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6.xml" ContentType="application/vnd.openxmlformats-officedocument.drawing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7.xml" ContentType="application/vnd.openxmlformats-officedocument.drawing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8.xml" ContentType="application/vnd.openxmlformats-officedocument.drawing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blackandveatch-my.sharepoint.com/personal/yeungdk_bv_com/Documents/Current Projects/Hawaii Gas IRP/April 6 IRP Final/Locked Version/"/>
    </mc:Choice>
  </mc:AlternateContent>
  <xr:revisionPtr revIDLastSave="105" documentId="8_{8167704B-A418-400B-9AB4-B2D59213B38C}" xr6:coauthVersionLast="47" xr6:coauthVersionMax="47" xr10:uidLastSave="{C84BB2ED-1DBA-4245-9596-85C12A59F58C}"/>
  <bookViews>
    <workbookView xWindow="33915" yWindow="3360" windowWidth="21600" windowHeight="11385" xr2:uid="{5717F1B6-9933-4518-A631-55AF1ECD3A97}"/>
  </bookViews>
  <sheets>
    <sheet name="Cover" sheetId="1" r:id="rId1"/>
    <sheet name="Summary Dashboard" sheetId="53" r:id="rId2"/>
    <sheet name="Dash Demand" sheetId="16" r:id="rId3"/>
    <sheet name="Rates Dashboard" sheetId="2" r:id="rId4"/>
    <sheet name="Customer Defection" sheetId="55" r:id="rId5"/>
    <sheet name="Supply Porfolio (Live)" sheetId="28" r:id="rId6"/>
    <sheet name="Supply Porfolio (Status Quo)" sheetId="56" r:id="rId7"/>
    <sheet name="SNG Plant" sheetId="26" r:id="rId8"/>
    <sheet name="Oahu COS and Allocation" sheetId="5" r:id="rId9"/>
    <sheet name=" HG CapEx Plan" sheetId="14" r:id="rId10"/>
    <sheet name="Demand Guide" sheetId="15" r:id="rId11"/>
    <sheet name=" Summary Data" sheetId="17" r:id="rId12"/>
    <sheet name="Historical Correlation Matrix" sheetId="19" r:id="rId13"/>
    <sheet name="Historical Data" sheetId="18" r:id="rId14"/>
    <sheet name="Hist Reg (Oahu)" sheetId="20" r:id="rId15"/>
    <sheet name="Hist Reg (Neigh Isl)" sheetId="21" r:id="rId16"/>
    <sheet name="Projected Econometric Drivers" sheetId="22" r:id="rId17"/>
    <sheet name="Energy Efficiency" sheetId="23" r:id="rId18"/>
    <sheet name="List" sheetId="24" r:id="rId19"/>
    <sheet name="Scenario List" sheetId="13" r:id="rId20"/>
    <sheet name="Supply Summary" sheetId="27" r:id="rId21"/>
    <sheet name="Ranking" sheetId="46" r:id="rId22"/>
    <sheet name="1. Dashboard" sheetId="29" r:id="rId23"/>
    <sheet name="2. SNG Firm" sheetId="30" r:id="rId24"/>
    <sheet name="3. SNG Interruptible" sheetId="31" r:id="rId25"/>
    <sheet name="4. Propane" sheetId="49" r:id="rId26"/>
    <sheet name="5. LNG- ISO_Expansion" sheetId="32" r:id="rId27"/>
    <sheet name="6. LNG- ISO" sheetId="33" r:id="rId28"/>
    <sheet name="7a. Green Hydrogen" sheetId="34" r:id="rId29"/>
    <sheet name="7b.GH Assumptions" sheetId="35" r:id="rId30"/>
    <sheet name="8a. RNG" sheetId="36" r:id="rId31"/>
    <sheet name="8b. RNG S.C." sheetId="37" r:id="rId32"/>
    <sheet name="9. Indices-Hist" sheetId="38" r:id="rId33"/>
    <sheet name="10. Indices-Forecast" sheetId="39" r:id="rId34"/>
    <sheet name="11. Public Sources" sheetId="40" r:id="rId35"/>
    <sheet name="12. Reg LNG" sheetId="41" r:id="rId36"/>
    <sheet name="13. Reg SNG INT" sheetId="42" r:id="rId37"/>
    <sheet name="14. Reg Propane" sheetId="50" r:id="rId38"/>
    <sheet name="15. Emissions" sheetId="44" r:id="rId39"/>
    <sheet name="Sheet1" sheetId="57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xlnm._FilterDatabase" localSheetId="21" hidden="1">Ranking!$B$10:$J$28</definedName>
    <definedName name="_xlnm._FilterDatabase" localSheetId="5" hidden="1">'Supply Porfolio (Live)'!#REF!</definedName>
    <definedName name="_xlnm._FilterDatabase" localSheetId="6" hidden="1">'Supply Porfolio (Status Quo)'!#REF!</definedName>
    <definedName name="_Order1" hidden="1">255</definedName>
    <definedName name="_Order2" hidden="1">255</definedName>
    <definedName name="_Regression_Out" localSheetId="4" hidden="1">[1]Out_MP_LRMC!#REF!</definedName>
    <definedName name="_Regression_Out" hidden="1">[1]Out_MP_LRMC!#REF!</definedName>
    <definedName name="ALL" localSheetId="4">#REF!</definedName>
    <definedName name="ALL">#REF!</definedName>
    <definedName name="BCAP_Period" localSheetId="4">'[2]BCAP Summary'!#REF!</definedName>
    <definedName name="BCAP_Period">'[2]BCAP Summary'!#REF!</definedName>
    <definedName name="BTU_FACTOR">'[3]Misc Inputs'!$I$70</definedName>
    <definedName name="CA_CPI">'[4]BM Forecast'!$AL$15</definedName>
    <definedName name="Capital_Price_Index_00_03" localSheetId="4">#REF!</definedName>
    <definedName name="Capital_Price_Index_00_03">#REF!</definedName>
    <definedName name="Capital_Price_Index_01_03" localSheetId="4">#REF!</definedName>
    <definedName name="Capital_Price_Index_01_03">#REF!</definedName>
    <definedName name="Capital_Price_Index_96_99" localSheetId="4">#REF!</definedName>
    <definedName name="Capital_Price_Index_96_99">#REF!</definedName>
    <definedName name="Cog_G_30" localSheetId="4">'[2]BCAP Summary'!#REF!</definedName>
    <definedName name="Cog_G_30">'[2]BCAP Summary'!#REF!</definedName>
    <definedName name="COLD_YEAR_T_P" localSheetId="4">#REF!</definedName>
    <definedName name="COLD_YEAR_T_P">#REF!</definedName>
    <definedName name="COST_INPUT" localSheetId="4">#REF!</definedName>
    <definedName name="COST_INPUT">#REF!</definedName>
    <definedName name="Customers_Exact" localSheetId="4">#REF!</definedName>
    <definedName name="Customers_Exact">#REF!</definedName>
    <definedName name="Customers_Growth" localSheetId="4">#REF!</definedName>
    <definedName name="Customers_Growth">#REF!</definedName>
    <definedName name="END_YR_F" localSheetId="4">#REF!</definedName>
    <definedName name="END_YR_F">#REF!</definedName>
    <definedName name="END_YR_H" localSheetId="4">#REF!</definedName>
    <definedName name="END_YR_H">#REF!</definedName>
    <definedName name="FNAME" localSheetId="4">#REF!</definedName>
    <definedName name="FNAME">#REF!</definedName>
    <definedName name="FORECASTS" localSheetId="4">#REF!</definedName>
    <definedName name="FORECASTS">#REF!</definedName>
    <definedName name="FRC_Y">'[4]Dashboard - BM'!$C$5</definedName>
    <definedName name="HW_D">'[4]BM Forecast'!$AK$15</definedName>
    <definedName name="HW_S">'[4]BM Forecast'!$AI$15</definedName>
    <definedName name="HW_T">'[4]BM Forecast'!$AJ$15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RMC_DETAIL">#REF!</definedName>
    <definedName name="O_and_M_Index_00_01" localSheetId="4">#REF!</definedName>
    <definedName name="O_and_M_Index_00_01">#REF!</definedName>
    <definedName name="O_and_M_Index_00_03" localSheetId="4">#REF!</definedName>
    <definedName name="O_and_M_Index_00_03">#REF!</definedName>
    <definedName name="O_M_Pr_Indx_00_01">'[3]Misc Inputs'!$K$67</definedName>
    <definedName name="O_M_Pr_Indx_00_03">'[3]Misc Inputs'!$K$67</definedName>
    <definedName name="PAGEA_1" localSheetId="4">#REF!</definedName>
    <definedName name="PAGEA_1">#REF!</definedName>
    <definedName name="PAGEA_2" localSheetId="4">#REF!</definedName>
    <definedName name="PAGEA_2">#REF!</definedName>
    <definedName name="PAGEA_3" localSheetId="4">#REF!</definedName>
    <definedName name="PAGEA_3">#REF!</definedName>
    <definedName name="PK_DAY_FORECAST" localSheetId="4">'[1]MPD Peak Day Demand'!#REF!</definedName>
    <definedName name="PK_DAY_FORECAST">'[1]MPD Peak Day Demand'!#REF!</definedName>
    <definedName name="PK_DAY_HISTORY" localSheetId="4">#REF!</definedName>
    <definedName name="PK_DAY_HISTORY">#REF!</definedName>
    <definedName name="PK_MON_FORECAST" localSheetId="4">#REF!</definedName>
    <definedName name="PK_MON_FORECAST">#REF!</definedName>
    <definedName name="PK_MON_HISTORY" localSheetId="4">#REF!</definedName>
    <definedName name="PK_MON_HISTORY">#REF!</definedName>
    <definedName name="PRN_DETAIL" localSheetId="4">#REF!</definedName>
    <definedName name="PRN_DETAIL">#REF!</definedName>
    <definedName name="PRN_IN_GENERAL" localSheetId="4">#REF!</definedName>
    <definedName name="PRN_IN_GENERAL">#REF!</definedName>
    <definedName name="PRN_MODEL_INFO" localSheetId="4">#REF!</definedName>
    <definedName name="PRN_MODEL_INFO">#REF!</definedName>
    <definedName name="PROJ01">'[5]Project Input'!$B$8:$AC$24</definedName>
    <definedName name="PROJ02">'[5]Project Input'!$B$25:$AC$41</definedName>
    <definedName name="PROJ03">'[5]Project Input'!$B$42:$AC$58</definedName>
    <definedName name="PROJ04">'[5]Project Input'!$B$59:$AC$75</definedName>
    <definedName name="PROJ05">'[5]Project Input'!$B$76:$AC$92</definedName>
    <definedName name="PROJ06">'[5]Project Input'!$B$93:$AC$109</definedName>
    <definedName name="PROJ07">'[5]Project Input'!$B$110:$AC$126</definedName>
    <definedName name="PROJ08">'[5]Project Input'!$B$127:$AC$143</definedName>
    <definedName name="PROJ09">'[5]Project Input'!$B$144:$AC$160</definedName>
    <definedName name="PROJ10">'[5]Project Input'!$B$161:$AC$177</definedName>
    <definedName name="PROJ11">'[5]Project Input'!$B$178:$AC$194</definedName>
    <definedName name="PROJ12">'[5]Project Input'!$B$195:$AC$211</definedName>
    <definedName name="PROJ13">'[5]Project Input'!$B$212:$AB$228</definedName>
    <definedName name="PROJ14">'[5]Project Input'!$B$229:$AC$245</definedName>
    <definedName name="PROJ15">'[5]Project Input'!$B$246:$AC$262</definedName>
    <definedName name="PROJ16">'[5]Project Input'!$B$263:$AC$279</definedName>
    <definedName name="PROJECT_01">'[5]Rate Base'!$A$7:$I$31</definedName>
    <definedName name="PROJECT_02">'[5]Rate Base'!$A$33:$I$57</definedName>
    <definedName name="PROJECT_03">'[5]Rate Base'!$A$59:$I$83</definedName>
    <definedName name="PROJECT_04">'[5]Rate Base'!$A$85:$I$109</definedName>
    <definedName name="PROJECT_05">'[5]Rate Base'!$A$111:$I$135</definedName>
    <definedName name="PROJECT_06">'[5]Rate Base'!$A$137:$I$161</definedName>
    <definedName name="PROJECT_07">'[5]Rate Base'!$A$163:$I$187</definedName>
    <definedName name="PROJECT_08">'[5]Rate Base'!$A$189:$I$213</definedName>
    <definedName name="PROJECT_09">'[5]Rate Base'!$A$215:$I$239</definedName>
    <definedName name="PROJECT_10">'[5]Rate Base'!$A$241:$I$265</definedName>
    <definedName name="PROJECT_11">'[5]Rate Base'!$A$267:$I$291</definedName>
    <definedName name="PROJECT_12">'[5]Rate Base'!$A$293:$I$317</definedName>
    <definedName name="PROJECT_13">'[5]Rate Base'!$A$319:$I$343</definedName>
    <definedName name="PROJECT_14">'[5]Rate Base'!$A$345:$I$369</definedName>
    <definedName name="PROJECT_15">'[5]Rate Base'!$A$371:$I$395</definedName>
    <definedName name="PROJECT_16">'[5]Rate Base'!$A$397:$I$421</definedName>
    <definedName name="RATES" localSheetId="4">#REF!</definedName>
    <definedName name="RATES">#REF!</definedName>
    <definedName name="Raw_EOR" localSheetId="4">#REF!</definedName>
    <definedName name="Raw_EOR">#REF!</definedName>
    <definedName name="RECC_COMPUTER" localSheetId="4">#REF!</definedName>
    <definedName name="RECC_COMPUTER">#REF!</definedName>
    <definedName name="RECC_UEG_MSA" localSheetId="4">#REF!</definedName>
    <definedName name="RECC_UEG_MSA">#REF!</definedName>
    <definedName name="Replacement_Half_MHR" localSheetId="4">#REF!</definedName>
    <definedName name="Replacement_Half_MHR">#REF!</definedName>
    <definedName name="Replacement_MCS" localSheetId="4">#REF!</definedName>
    <definedName name="Replacement_MCS">#REF!</definedName>
    <definedName name="Replacement_MHR" localSheetId="4">#REF!</definedName>
    <definedName name="Replacement_MHR">#REF!</definedName>
    <definedName name="Replacement_SL" localSheetId="4">#REF!</definedName>
    <definedName name="Replacement_SL">#REF!</definedName>
    <definedName name="Replacement_XUse" localSheetId="4">#REF!</definedName>
    <definedName name="Replacement_XUse">#REF!</definedName>
    <definedName name="S_B">'[4]Back engine'!$B$3</definedName>
    <definedName name="S_D1">'[4]Back engine'!$B$4</definedName>
    <definedName name="S_D2">'[4]Back engine'!$B$5</definedName>
    <definedName name="S_D3">'[4]Back engine'!$B$6</definedName>
    <definedName name="Scalar_BY">'[4]Dashboard - Cost Allocation'!$Z$36</definedName>
    <definedName name="Scalar_FY">'[4]Dashboard - Cost Allocation'!$AA$36</definedName>
    <definedName name="solver_adj" localSheetId="23" hidden="1">'2. SNG Firm'!#REF!</definedName>
    <definedName name="solver_adj" localSheetId="24" hidden="1">'3. SNG Interruptible'!$K$2</definedName>
    <definedName name="solver_adj" localSheetId="29" hidden="1">'7b.GH Assumptions'!$D$8</definedName>
    <definedName name="solver_cvg" localSheetId="23" hidden="1">0.0001</definedName>
    <definedName name="solver_cvg" localSheetId="24" hidden="1">0.0001</definedName>
    <definedName name="solver_cvg" localSheetId="29" hidden="1">0.0001</definedName>
    <definedName name="solver_drv" localSheetId="23" hidden="1">2</definedName>
    <definedName name="solver_drv" localSheetId="24" hidden="1">2</definedName>
    <definedName name="solver_drv" localSheetId="29" hidden="1">2</definedName>
    <definedName name="solver_eng" localSheetId="23" hidden="1">1</definedName>
    <definedName name="solver_eng" localSheetId="24" hidden="1">1</definedName>
    <definedName name="solver_eng" localSheetId="29" hidden="1">1</definedName>
    <definedName name="solver_eng" localSheetId="15" hidden="1">1</definedName>
    <definedName name="solver_est" localSheetId="23" hidden="1">1</definedName>
    <definedName name="solver_est" localSheetId="24" hidden="1">1</definedName>
    <definedName name="solver_est" localSheetId="29" hidden="1">1</definedName>
    <definedName name="solver_itr" localSheetId="23" hidden="1">2147483647</definedName>
    <definedName name="solver_itr" localSheetId="24" hidden="1">2147483647</definedName>
    <definedName name="solver_itr" localSheetId="29" hidden="1">2147483647</definedName>
    <definedName name="solver_mip" localSheetId="23" hidden="1">2147483647</definedName>
    <definedName name="solver_mip" localSheetId="24" hidden="1">2147483647</definedName>
    <definedName name="solver_mip" localSheetId="29" hidden="1">2147483647</definedName>
    <definedName name="solver_mni" localSheetId="23" hidden="1">30</definedName>
    <definedName name="solver_mni" localSheetId="24" hidden="1">30</definedName>
    <definedName name="solver_mni" localSheetId="29" hidden="1">30</definedName>
    <definedName name="solver_mrt" localSheetId="23" hidden="1">0.075</definedName>
    <definedName name="solver_mrt" localSheetId="24" hidden="1">0.075</definedName>
    <definedName name="solver_mrt" localSheetId="29" hidden="1">0.075</definedName>
    <definedName name="solver_msl" localSheetId="23" hidden="1">2</definedName>
    <definedName name="solver_msl" localSheetId="24" hidden="1">2</definedName>
    <definedName name="solver_msl" localSheetId="29" hidden="1">2</definedName>
    <definedName name="solver_neg" localSheetId="23" hidden="1">1</definedName>
    <definedName name="solver_neg" localSheetId="24" hidden="1">1</definedName>
    <definedName name="solver_neg" localSheetId="29" hidden="1">1</definedName>
    <definedName name="solver_neg" localSheetId="15" hidden="1">1</definedName>
    <definedName name="solver_nod" localSheetId="23" hidden="1">2147483647</definedName>
    <definedName name="solver_nod" localSheetId="24" hidden="1">2147483647</definedName>
    <definedName name="solver_nod" localSheetId="29" hidden="1">2147483647</definedName>
    <definedName name="solver_num" localSheetId="23" hidden="1">0</definedName>
    <definedName name="solver_num" localSheetId="24" hidden="1">0</definedName>
    <definedName name="solver_num" localSheetId="29" hidden="1">0</definedName>
    <definedName name="solver_num" localSheetId="15" hidden="1">0</definedName>
    <definedName name="solver_nwt" localSheetId="23" hidden="1">1</definedName>
    <definedName name="solver_nwt" localSheetId="24" hidden="1">1</definedName>
    <definedName name="solver_nwt" localSheetId="29" hidden="1">1</definedName>
    <definedName name="solver_opt" localSheetId="23" hidden="1">'2. SNG Firm'!#REF!</definedName>
    <definedName name="solver_opt" localSheetId="24" hidden="1">'3. SNG Interruptible'!#REF!</definedName>
    <definedName name="solver_opt" localSheetId="29" hidden="1">'7b.GH Assumptions'!$D$10</definedName>
    <definedName name="solver_opt" localSheetId="15" hidden="1">'Hist Reg (Neigh Isl)'!$O$29</definedName>
    <definedName name="solver_pre" localSheetId="23" hidden="1">0.000001</definedName>
    <definedName name="solver_pre" localSheetId="24" hidden="1">0.000001</definedName>
    <definedName name="solver_pre" localSheetId="29" hidden="1">0.000001</definedName>
    <definedName name="solver_rbv" localSheetId="23" hidden="1">2</definedName>
    <definedName name="solver_rbv" localSheetId="24" hidden="1">2</definedName>
    <definedName name="solver_rbv" localSheetId="29" hidden="1">2</definedName>
    <definedName name="solver_rlx" localSheetId="23" hidden="1">2</definedName>
    <definedName name="solver_rlx" localSheetId="24" hidden="1">2</definedName>
    <definedName name="solver_rlx" localSheetId="29" hidden="1">2</definedName>
    <definedName name="solver_rsd" localSheetId="23" hidden="1">0</definedName>
    <definedName name="solver_rsd" localSheetId="24" hidden="1">0</definedName>
    <definedName name="solver_rsd" localSheetId="29" hidden="1">0</definedName>
    <definedName name="solver_scl" localSheetId="23" hidden="1">2</definedName>
    <definedName name="solver_scl" localSheetId="24" hidden="1">2</definedName>
    <definedName name="solver_scl" localSheetId="29" hidden="1">2</definedName>
    <definedName name="solver_sho" localSheetId="23" hidden="1">2</definedName>
    <definedName name="solver_sho" localSheetId="24" hidden="1">2</definedName>
    <definedName name="solver_sho" localSheetId="29" hidden="1">2</definedName>
    <definedName name="solver_ssz" localSheetId="23" hidden="1">100</definedName>
    <definedName name="solver_ssz" localSheetId="24" hidden="1">100</definedName>
    <definedName name="solver_ssz" localSheetId="29" hidden="1">100</definedName>
    <definedName name="solver_tim" localSheetId="23" hidden="1">2147483647</definedName>
    <definedName name="solver_tim" localSheetId="24" hidden="1">2147483647</definedName>
    <definedName name="solver_tim" localSheetId="29" hidden="1">2147483647</definedName>
    <definedName name="solver_tol" localSheetId="23" hidden="1">0.01</definedName>
    <definedName name="solver_tol" localSheetId="24" hidden="1">0.01</definedName>
    <definedName name="solver_tol" localSheetId="29" hidden="1">0.01</definedName>
    <definedName name="solver_typ" localSheetId="23" hidden="1">3</definedName>
    <definedName name="solver_typ" localSheetId="24" hidden="1">3</definedName>
    <definedName name="solver_typ" localSheetId="29" hidden="1">3</definedName>
    <definedName name="solver_typ" localSheetId="15" hidden="1">1</definedName>
    <definedName name="solver_val" localSheetId="23" hidden="1">4.0946</definedName>
    <definedName name="solver_val" localSheetId="24" hidden="1">4.0946</definedName>
    <definedName name="solver_val" localSheetId="29" hidden="1">643862</definedName>
    <definedName name="solver_val" localSheetId="15" hidden="1">0</definedName>
    <definedName name="solver_ver" localSheetId="23" hidden="1">3</definedName>
    <definedName name="solver_ver" localSheetId="24" hidden="1">3</definedName>
    <definedName name="solver_ver" localSheetId="29" hidden="1">3</definedName>
    <definedName name="solver_ver" localSheetId="15" hidden="1">3</definedName>
    <definedName name="START_YR_F">#REF!</definedName>
    <definedName name="START_YR_H" localSheetId="4">#REF!</definedName>
    <definedName name="START_YR_H">#REF!</definedName>
    <definedName name="Table_B.12" localSheetId="4">#REF!</definedName>
    <definedName name="Table_B.12">#REF!</definedName>
    <definedName name="Table_B.14" localSheetId="4">#REF!</definedName>
    <definedName name="Table_B.14">#REF!</definedName>
    <definedName name="Table_B.8" localSheetId="4">#REF!</definedName>
    <definedName name="Table_B.8">#REF!</definedName>
    <definedName name="Table_B.9" localSheetId="4">#REF!</definedName>
    <definedName name="Table_B.9">#REF!</definedName>
    <definedName name="TABLE2">'[5]Rate Base:Macros'!$A$1:$A$38</definedName>
    <definedName name="TABLEB.10" localSheetId="4">#REF!</definedName>
    <definedName name="TABLEB.10">#REF!</definedName>
    <definedName name="TABLEB.11" localSheetId="4">#REF!</definedName>
    <definedName name="TABLEB.11">#REF!</definedName>
    <definedName name="TABLEB.12" localSheetId="4">#REF!</definedName>
    <definedName name="TABLEB.12">#REF!</definedName>
    <definedName name="TAXEXPENSE" localSheetId="4">'[6]Cost Of Service'!#REF!</definedName>
    <definedName name="TAXEXPENSE">'[6]Cost Of Service'!#REF!</definedName>
    <definedName name="wrn.FTEs." localSheetId="4" hidden="1">{#N/A,#N/A,FALSE,"94 FTE";#N/A,#N/A,FALSE,"95 FTE";#N/A,#N/A,FALSE,"96 FTE"}</definedName>
    <definedName name="wrn.FTEs." hidden="1">{#N/A,#N/A,FALSE,"94 FTE";#N/A,#N/A,FALSE,"95 FTE";#N/A,#N/A,FALSE,"96 FTE"}</definedName>
    <definedName name="wrn.ROTable." localSheetId="4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OTable.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Support." localSheetId="4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Support.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Year_dollars">#REF!</definedName>
    <definedName name="ZONE_O_M_RATE" localSheetId="4">#REF!</definedName>
    <definedName name="ZONE_O_M_RATE">#REF!</definedName>
  </definedNames>
  <calcPr calcId="191028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7" i="28" l="1"/>
  <c r="N75" i="28" s="1"/>
  <c r="AC14" i="53"/>
  <c r="I337" i="5"/>
  <c r="F348" i="5"/>
  <c r="G348" i="5"/>
  <c r="H348" i="5"/>
  <c r="I348" i="5"/>
  <c r="E348" i="5"/>
  <c r="F8" i="44"/>
  <c r="F9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5" i="44"/>
  <c r="F6" i="44"/>
  <c r="F7" i="44"/>
  <c r="F4" i="44"/>
  <c r="H100" i="56"/>
  <c r="I100" i="56"/>
  <c r="J100" i="56"/>
  <c r="K100" i="56"/>
  <c r="L100" i="56"/>
  <c r="M100" i="56"/>
  <c r="N100" i="56"/>
  <c r="O100" i="56"/>
  <c r="P100" i="56"/>
  <c r="Q100" i="56"/>
  <c r="R100" i="56"/>
  <c r="S100" i="56"/>
  <c r="T100" i="56"/>
  <c r="U100" i="56"/>
  <c r="V100" i="56"/>
  <c r="W100" i="56"/>
  <c r="X100" i="56"/>
  <c r="Y100" i="56"/>
  <c r="Z100" i="56"/>
  <c r="AA100" i="56"/>
  <c r="AB100" i="56"/>
  <c r="AC100" i="56"/>
  <c r="AD100" i="56"/>
  <c r="AE100" i="56"/>
  <c r="AF100" i="56"/>
  <c r="AG100" i="56"/>
  <c r="AH100" i="56"/>
  <c r="AI100" i="56"/>
  <c r="G100" i="56"/>
  <c r="H11" i="56"/>
  <c r="Y47" i="28"/>
  <c r="Y75" i="28" s="1"/>
  <c r="H11" i="28"/>
  <c r="G50" i="36"/>
  <c r="F50" i="36"/>
  <c r="C17" i="36"/>
  <c r="C18" i="36"/>
  <c r="C19" i="36"/>
  <c r="C20" i="36"/>
  <c r="C21" i="36"/>
  <c r="C22" i="36"/>
  <c r="C23" i="36"/>
  <c r="C24" i="36"/>
  <c r="C25" i="36"/>
  <c r="C26" i="36"/>
  <c r="C27" i="36"/>
  <c r="C28" i="36"/>
  <c r="C29" i="36"/>
  <c r="C30" i="36"/>
  <c r="C31" i="36"/>
  <c r="C32" i="36"/>
  <c r="C33" i="36"/>
  <c r="C34" i="36"/>
  <c r="C35" i="36"/>
  <c r="C36" i="36"/>
  <c r="C37" i="36"/>
  <c r="C38" i="36"/>
  <c r="C39" i="36"/>
  <c r="C40" i="36"/>
  <c r="C41" i="36"/>
  <c r="C42" i="36"/>
  <c r="C43" i="36"/>
  <c r="C44" i="36"/>
  <c r="C16" i="36"/>
  <c r="G7" i="36"/>
  <c r="E16" i="36"/>
  <c r="F13" i="26"/>
  <c r="G13" i="26"/>
  <c r="H13" i="26"/>
  <c r="I13" i="26"/>
  <c r="J13" i="26"/>
  <c r="K13" i="26"/>
  <c r="L13" i="26"/>
  <c r="M13" i="26"/>
  <c r="N13" i="26"/>
  <c r="O13" i="26"/>
  <c r="K22" i="23"/>
  <c r="F61" i="26"/>
  <c r="G61" i="26"/>
  <c r="H61" i="26"/>
  <c r="I61" i="26"/>
  <c r="J61" i="26"/>
  <c r="K61" i="26"/>
  <c r="L61" i="26"/>
  <c r="M61" i="26"/>
  <c r="N61" i="26"/>
  <c r="O61" i="26"/>
  <c r="E61" i="26"/>
  <c r="W34" i="26"/>
  <c r="E48" i="26"/>
  <c r="F48" i="26"/>
  <c r="G48" i="26"/>
  <c r="H48" i="26"/>
  <c r="I48" i="26"/>
  <c r="J48" i="26"/>
  <c r="K48" i="26"/>
  <c r="L48" i="26"/>
  <c r="M48" i="26"/>
  <c r="N48" i="26"/>
  <c r="O48" i="26"/>
  <c r="E122" i="56" l="1"/>
  <c r="E121" i="56"/>
  <c r="E120" i="56"/>
  <c r="E119" i="56"/>
  <c r="E118" i="56"/>
  <c r="E117" i="56"/>
  <c r="E116" i="56"/>
  <c r="E115" i="56"/>
  <c r="E114" i="56"/>
  <c r="E113" i="56"/>
  <c r="E112" i="56"/>
  <c r="E108" i="56"/>
  <c r="E98" i="56"/>
  <c r="E97" i="56"/>
  <c r="E96" i="56"/>
  <c r="E95" i="56"/>
  <c r="E94" i="56"/>
  <c r="E93" i="56"/>
  <c r="E92" i="56"/>
  <c r="E91" i="56"/>
  <c r="E90" i="56"/>
  <c r="E89" i="56"/>
  <c r="E88" i="56"/>
  <c r="E74" i="56"/>
  <c r="E73" i="56"/>
  <c r="E72" i="56"/>
  <c r="E71" i="56"/>
  <c r="E70" i="56"/>
  <c r="E69" i="56"/>
  <c r="E68" i="56"/>
  <c r="E67" i="56"/>
  <c r="E66" i="56"/>
  <c r="E65" i="56"/>
  <c r="E64" i="56"/>
  <c r="E46" i="56"/>
  <c r="E45" i="56"/>
  <c r="E44" i="56"/>
  <c r="E43" i="56"/>
  <c r="E42" i="56"/>
  <c r="E41" i="56"/>
  <c r="E40" i="56"/>
  <c r="E39" i="56"/>
  <c r="E38" i="56"/>
  <c r="E37" i="56"/>
  <c r="E36" i="56"/>
  <c r="AI16" i="56"/>
  <c r="AH16" i="56"/>
  <c r="AG16" i="56"/>
  <c r="AF16" i="56"/>
  <c r="AE16" i="56"/>
  <c r="AD16" i="56"/>
  <c r="AC16" i="56"/>
  <c r="AB16" i="56"/>
  <c r="AA16" i="56"/>
  <c r="Z16" i="56"/>
  <c r="Y16" i="56"/>
  <c r="X16" i="56"/>
  <c r="W16" i="56"/>
  <c r="V16" i="56"/>
  <c r="U16" i="56"/>
  <c r="T16" i="56"/>
  <c r="S16" i="56"/>
  <c r="R16" i="56"/>
  <c r="Q16" i="56"/>
  <c r="P16" i="56"/>
  <c r="O16" i="56"/>
  <c r="N16" i="56"/>
  <c r="M16" i="56"/>
  <c r="L16" i="56"/>
  <c r="K16" i="56"/>
  <c r="J16" i="56"/>
  <c r="I16" i="56"/>
  <c r="H16" i="56"/>
  <c r="G16" i="56"/>
  <c r="AG14" i="56"/>
  <c r="AF14" i="56"/>
  <c r="AE14" i="56"/>
  <c r="AD14" i="56"/>
  <c r="AC14" i="56"/>
  <c r="Y14" i="56"/>
  <c r="X14" i="56"/>
  <c r="W14" i="56"/>
  <c r="V14" i="56"/>
  <c r="U14" i="56"/>
  <c r="Q14" i="56"/>
  <c r="P14" i="56"/>
  <c r="O14" i="56"/>
  <c r="N14" i="56"/>
  <c r="M14" i="56"/>
  <c r="I14" i="56"/>
  <c r="H14" i="56"/>
  <c r="G14" i="56"/>
  <c r="AI14" i="56"/>
  <c r="AA14" i="56"/>
  <c r="Z14" i="56"/>
  <c r="S14" i="56"/>
  <c r="R14" i="56"/>
  <c r="L14" i="56"/>
  <c r="K14" i="56"/>
  <c r="E2" i="56"/>
  <c r="D103" i="14"/>
  <c r="E103" i="14"/>
  <c r="F103" i="14"/>
  <c r="G103" i="14"/>
  <c r="H103" i="14"/>
  <c r="I103" i="14"/>
  <c r="J103" i="14"/>
  <c r="K103" i="14"/>
  <c r="L103" i="14"/>
  <c r="M103" i="14"/>
  <c r="N103" i="14"/>
  <c r="O103" i="14"/>
  <c r="P103" i="14"/>
  <c r="Q103" i="14"/>
  <c r="R103" i="14"/>
  <c r="S103" i="14"/>
  <c r="T103" i="14"/>
  <c r="U103" i="14"/>
  <c r="V103" i="14"/>
  <c r="W103" i="14"/>
  <c r="X103" i="14"/>
  <c r="Y103" i="14"/>
  <c r="Z103" i="14"/>
  <c r="AA103" i="14"/>
  <c r="AB103" i="14"/>
  <c r="AC103" i="14"/>
  <c r="AD103" i="14"/>
  <c r="AE103" i="14"/>
  <c r="D104" i="14"/>
  <c r="E104" i="14"/>
  <c r="F104" i="14"/>
  <c r="G104" i="14"/>
  <c r="H104" i="14"/>
  <c r="I104" i="14"/>
  <c r="J104" i="14"/>
  <c r="K104" i="14"/>
  <c r="L104" i="14"/>
  <c r="M104" i="14"/>
  <c r="N104" i="14"/>
  <c r="O104" i="14"/>
  <c r="P104" i="14"/>
  <c r="Q104" i="14"/>
  <c r="R104" i="14"/>
  <c r="S104" i="14"/>
  <c r="T104" i="14"/>
  <c r="U104" i="14"/>
  <c r="V104" i="14"/>
  <c r="W104" i="14"/>
  <c r="X104" i="14"/>
  <c r="Y104" i="14"/>
  <c r="Z104" i="14"/>
  <c r="AA104" i="14"/>
  <c r="AB104" i="14"/>
  <c r="AC104" i="14"/>
  <c r="AD104" i="14"/>
  <c r="AE104" i="14"/>
  <c r="C104" i="14"/>
  <c r="C103" i="14"/>
  <c r="J14" i="56" l="1"/>
  <c r="AH14" i="56"/>
  <c r="T14" i="56"/>
  <c r="AB14" i="56"/>
  <c r="K6" i="55"/>
  <c r="E323" i="5" l="1"/>
  <c r="E266" i="5"/>
  <c r="U128" i="28"/>
  <c r="U129" i="28" s="1"/>
  <c r="V128" i="28"/>
  <c r="V129" i="28" s="1"/>
  <c r="W128" i="28"/>
  <c r="W129" i="28" s="1"/>
  <c r="X128" i="28"/>
  <c r="X129" i="28" s="1"/>
  <c r="Y128" i="28"/>
  <c r="Z128" i="28"/>
  <c r="AA128" i="28"/>
  <c r="AB128" i="28"/>
  <c r="AC128" i="28"/>
  <c r="AD128" i="28"/>
  <c r="T128" i="28"/>
  <c r="T129" i="28" s="1"/>
  <c r="P33" i="39" l="1"/>
  <c r="O33" i="39"/>
  <c r="N33" i="39"/>
  <c r="P32" i="39"/>
  <c r="O32" i="39"/>
  <c r="N32" i="39"/>
  <c r="P31" i="39"/>
  <c r="O31" i="39"/>
  <c r="N31" i="39"/>
  <c r="P30" i="39"/>
  <c r="O30" i="39"/>
  <c r="N30" i="39"/>
  <c r="P29" i="39"/>
  <c r="O29" i="39"/>
  <c r="N29" i="39"/>
  <c r="P28" i="39"/>
  <c r="O28" i="39"/>
  <c r="N28" i="39"/>
  <c r="P27" i="39"/>
  <c r="O27" i="39"/>
  <c r="N27" i="39"/>
  <c r="P26" i="39"/>
  <c r="O26" i="39"/>
  <c r="N26" i="39"/>
  <c r="P25" i="39"/>
  <c r="O25" i="39"/>
  <c r="N25" i="39"/>
  <c r="P24" i="39"/>
  <c r="O24" i="39"/>
  <c r="N24" i="39"/>
  <c r="P23" i="39"/>
  <c r="O23" i="39"/>
  <c r="N23" i="39"/>
  <c r="P22" i="39"/>
  <c r="O22" i="39"/>
  <c r="N22" i="39"/>
  <c r="P21" i="39"/>
  <c r="O21" i="39"/>
  <c r="N21" i="39"/>
  <c r="P20" i="39"/>
  <c r="O20" i="39"/>
  <c r="N20" i="39"/>
  <c r="P19" i="39"/>
  <c r="O19" i="39"/>
  <c r="N19" i="39"/>
  <c r="P18" i="39"/>
  <c r="O18" i="39"/>
  <c r="N18" i="39"/>
  <c r="P17" i="39"/>
  <c r="O17" i="39"/>
  <c r="N17" i="39"/>
  <c r="P16" i="39"/>
  <c r="O16" i="39"/>
  <c r="N16" i="39"/>
  <c r="P15" i="39"/>
  <c r="O15" i="39"/>
  <c r="N15" i="39"/>
  <c r="P14" i="39"/>
  <c r="O14" i="39"/>
  <c r="N14" i="39"/>
  <c r="P13" i="39"/>
  <c r="O13" i="39"/>
  <c r="N13" i="39"/>
  <c r="P12" i="39"/>
  <c r="O12" i="39"/>
  <c r="N12" i="39"/>
  <c r="P11" i="39"/>
  <c r="O11" i="39"/>
  <c r="N11" i="39"/>
  <c r="P10" i="39"/>
  <c r="O10" i="39"/>
  <c r="N10" i="39"/>
  <c r="P9" i="39"/>
  <c r="O9" i="39"/>
  <c r="N9" i="39"/>
  <c r="P8" i="39"/>
  <c r="O8" i="39"/>
  <c r="N8" i="39"/>
  <c r="P7" i="39"/>
  <c r="O7" i="39"/>
  <c r="N7" i="39"/>
  <c r="R6" i="39"/>
  <c r="Q6" i="39"/>
  <c r="P6" i="39"/>
  <c r="O6" i="39"/>
  <c r="N6" i="39"/>
  <c r="R5" i="39"/>
  <c r="Q5" i="39"/>
  <c r="P5" i="39"/>
  <c r="O5" i="39"/>
  <c r="N5" i="39"/>
  <c r="Q65" i="38"/>
  <c r="P65" i="38"/>
  <c r="O65" i="38"/>
  <c r="N65" i="38"/>
  <c r="K65" i="38"/>
  <c r="Q64" i="38"/>
  <c r="P64" i="38"/>
  <c r="O64" i="38"/>
  <c r="N64" i="38"/>
  <c r="M64" i="38"/>
  <c r="L64" i="38"/>
  <c r="K64" i="38"/>
  <c r="Q63" i="38"/>
  <c r="P63" i="38"/>
  <c r="O63" i="38"/>
  <c r="N63" i="38"/>
  <c r="M63" i="38"/>
  <c r="L63" i="38"/>
  <c r="K63" i="38"/>
  <c r="Q62" i="38"/>
  <c r="P62" i="38"/>
  <c r="O62" i="38"/>
  <c r="N62" i="38"/>
  <c r="M62" i="38"/>
  <c r="L62" i="38"/>
  <c r="K62" i="38"/>
  <c r="Q61" i="38"/>
  <c r="P61" i="38"/>
  <c r="O61" i="38"/>
  <c r="N61" i="38"/>
  <c r="M61" i="38"/>
  <c r="L61" i="38"/>
  <c r="K61" i="38"/>
  <c r="Q60" i="38"/>
  <c r="P60" i="38"/>
  <c r="O60" i="38"/>
  <c r="N60" i="38"/>
  <c r="M60" i="38"/>
  <c r="L60" i="38"/>
  <c r="K60" i="38"/>
  <c r="Q59" i="38"/>
  <c r="P59" i="38"/>
  <c r="O59" i="38"/>
  <c r="N59" i="38"/>
  <c r="M59" i="38"/>
  <c r="L59" i="38"/>
  <c r="K59" i="38"/>
  <c r="Q58" i="38"/>
  <c r="P58" i="38"/>
  <c r="O58" i="38"/>
  <c r="N58" i="38"/>
  <c r="M58" i="38"/>
  <c r="L58" i="38"/>
  <c r="K58" i="38"/>
  <c r="Q57" i="38"/>
  <c r="P57" i="38"/>
  <c r="O57" i="38"/>
  <c r="N57" i="38"/>
  <c r="M57" i="38"/>
  <c r="L57" i="38"/>
  <c r="K57" i="38"/>
  <c r="Q56" i="38"/>
  <c r="P56" i="38"/>
  <c r="O56" i="38"/>
  <c r="N56" i="38"/>
  <c r="M56" i="38"/>
  <c r="L56" i="38"/>
  <c r="K56" i="38"/>
  <c r="Q55" i="38"/>
  <c r="P55" i="38"/>
  <c r="O55" i="38"/>
  <c r="N55" i="38"/>
  <c r="M55" i="38"/>
  <c r="L55" i="38"/>
  <c r="K55" i="38"/>
  <c r="Q54" i="38"/>
  <c r="P54" i="38"/>
  <c r="O54" i="38"/>
  <c r="N54" i="38"/>
  <c r="M54" i="38"/>
  <c r="L54" i="38"/>
  <c r="K54" i="38"/>
  <c r="Q53" i="38"/>
  <c r="P53" i="38"/>
  <c r="O53" i="38"/>
  <c r="N53" i="38"/>
  <c r="M53" i="38"/>
  <c r="L53" i="38"/>
  <c r="K53" i="38"/>
  <c r="Q52" i="38"/>
  <c r="P52" i="38"/>
  <c r="O52" i="38"/>
  <c r="N52" i="38"/>
  <c r="M52" i="38"/>
  <c r="L52" i="38"/>
  <c r="K52" i="38"/>
  <c r="Q51" i="38"/>
  <c r="P51" i="38"/>
  <c r="O51" i="38"/>
  <c r="N51" i="38"/>
  <c r="M51" i="38"/>
  <c r="L51" i="38"/>
  <c r="K51" i="38"/>
  <c r="Q50" i="38"/>
  <c r="P50" i="38"/>
  <c r="O50" i="38"/>
  <c r="N50" i="38"/>
  <c r="M50" i="38"/>
  <c r="L50" i="38"/>
  <c r="K50" i="38"/>
  <c r="Q49" i="38"/>
  <c r="P49" i="38"/>
  <c r="O49" i="38"/>
  <c r="N49" i="38"/>
  <c r="M49" i="38"/>
  <c r="L49" i="38"/>
  <c r="K49" i="38"/>
  <c r="Q48" i="38"/>
  <c r="P48" i="38"/>
  <c r="O48" i="38"/>
  <c r="N48" i="38"/>
  <c r="M48" i="38"/>
  <c r="L48" i="38"/>
  <c r="K48" i="38"/>
  <c r="Q47" i="38"/>
  <c r="P47" i="38"/>
  <c r="O47" i="38"/>
  <c r="N47" i="38"/>
  <c r="M47" i="38"/>
  <c r="L47" i="38"/>
  <c r="K47" i="38"/>
  <c r="Q46" i="38"/>
  <c r="P46" i="38"/>
  <c r="O46" i="38"/>
  <c r="N46" i="38"/>
  <c r="M46" i="38"/>
  <c r="L46" i="38"/>
  <c r="K46" i="38"/>
  <c r="Q45" i="38"/>
  <c r="P45" i="38"/>
  <c r="O45" i="38"/>
  <c r="N45" i="38"/>
  <c r="M45" i="38"/>
  <c r="L45" i="38"/>
  <c r="K45" i="38"/>
  <c r="Q44" i="38"/>
  <c r="P44" i="38"/>
  <c r="O44" i="38"/>
  <c r="N44" i="38"/>
  <c r="M44" i="38"/>
  <c r="L44" i="38"/>
  <c r="K44" i="38"/>
  <c r="Q43" i="38"/>
  <c r="P43" i="38"/>
  <c r="O43" i="38"/>
  <c r="N43" i="38"/>
  <c r="M43" i="38"/>
  <c r="L43" i="38"/>
  <c r="K43" i="38"/>
  <c r="Q42" i="38"/>
  <c r="P42" i="38"/>
  <c r="O42" i="38"/>
  <c r="N42" i="38"/>
  <c r="M42" i="38"/>
  <c r="L42" i="38"/>
  <c r="K42" i="38"/>
  <c r="Q41" i="38"/>
  <c r="P41" i="38"/>
  <c r="O41" i="38"/>
  <c r="N41" i="38"/>
  <c r="M41" i="38"/>
  <c r="L41" i="38"/>
  <c r="K41" i="38"/>
  <c r="Q40" i="38"/>
  <c r="P40" i="38"/>
  <c r="O40" i="38"/>
  <c r="N40" i="38"/>
  <c r="M40" i="38"/>
  <c r="L40" i="38"/>
  <c r="K40" i="38"/>
  <c r="Q39" i="38"/>
  <c r="P39" i="38"/>
  <c r="O39" i="38"/>
  <c r="N39" i="38"/>
  <c r="M39" i="38"/>
  <c r="L39" i="38"/>
  <c r="K39" i="38"/>
  <c r="Q38" i="38"/>
  <c r="P38" i="38"/>
  <c r="O38" i="38"/>
  <c r="N38" i="38"/>
  <c r="M38" i="38"/>
  <c r="L38" i="38"/>
  <c r="K38" i="38"/>
  <c r="Q37" i="38"/>
  <c r="P37" i="38"/>
  <c r="O37" i="38"/>
  <c r="N37" i="38"/>
  <c r="M37" i="38"/>
  <c r="L37" i="38"/>
  <c r="K37" i="38"/>
  <c r="Q36" i="38"/>
  <c r="P36" i="38"/>
  <c r="O36" i="38"/>
  <c r="N36" i="38"/>
  <c r="M36" i="38"/>
  <c r="L36" i="38"/>
  <c r="K36" i="38"/>
  <c r="Q35" i="38"/>
  <c r="P35" i="38"/>
  <c r="O35" i="38"/>
  <c r="N35" i="38"/>
  <c r="M35" i="38"/>
  <c r="L35" i="38"/>
  <c r="K35" i="38"/>
  <c r="Q34" i="38"/>
  <c r="P34" i="38"/>
  <c r="O34" i="38"/>
  <c r="N34" i="38"/>
  <c r="M34" i="38"/>
  <c r="L34" i="38"/>
  <c r="K34" i="38"/>
  <c r="Q33" i="38"/>
  <c r="P33" i="38"/>
  <c r="O33" i="38"/>
  <c r="N33" i="38"/>
  <c r="M33" i="38"/>
  <c r="L33" i="38"/>
  <c r="K33" i="38"/>
  <c r="Q32" i="38"/>
  <c r="P32" i="38"/>
  <c r="O32" i="38"/>
  <c r="N32" i="38"/>
  <c r="M32" i="38"/>
  <c r="L32" i="38"/>
  <c r="K32" i="38"/>
  <c r="Q31" i="38"/>
  <c r="P31" i="38"/>
  <c r="O31" i="38"/>
  <c r="N31" i="38"/>
  <c r="M31" i="38"/>
  <c r="L31" i="38"/>
  <c r="K31" i="38"/>
  <c r="Q30" i="38"/>
  <c r="P30" i="38"/>
  <c r="O30" i="38"/>
  <c r="N30" i="38"/>
  <c r="M30" i="38"/>
  <c r="L30" i="38"/>
  <c r="K30" i="38"/>
  <c r="Q29" i="38"/>
  <c r="P29" i="38"/>
  <c r="O29" i="38"/>
  <c r="N29" i="38"/>
  <c r="M29" i="38"/>
  <c r="L29" i="38"/>
  <c r="K29" i="38"/>
  <c r="Q28" i="38"/>
  <c r="P28" i="38"/>
  <c r="O28" i="38"/>
  <c r="N28" i="38"/>
  <c r="M28" i="38"/>
  <c r="L28" i="38"/>
  <c r="K28" i="38"/>
  <c r="Q27" i="38"/>
  <c r="P27" i="38"/>
  <c r="O27" i="38"/>
  <c r="N27" i="38"/>
  <c r="M27" i="38"/>
  <c r="L27" i="38"/>
  <c r="K27" i="38"/>
  <c r="Q26" i="38"/>
  <c r="P26" i="38"/>
  <c r="O26" i="38"/>
  <c r="N26" i="38"/>
  <c r="M26" i="38"/>
  <c r="L26" i="38"/>
  <c r="K26" i="38"/>
  <c r="Q25" i="38"/>
  <c r="P25" i="38"/>
  <c r="O25" i="38"/>
  <c r="N25" i="38"/>
  <c r="M25" i="38"/>
  <c r="L25" i="38"/>
  <c r="K25" i="38"/>
  <c r="Q24" i="38"/>
  <c r="P24" i="38"/>
  <c r="O24" i="38"/>
  <c r="N24" i="38"/>
  <c r="M24" i="38"/>
  <c r="L24" i="38"/>
  <c r="K24" i="38"/>
  <c r="Q23" i="38"/>
  <c r="P23" i="38"/>
  <c r="O23" i="38"/>
  <c r="N23" i="38"/>
  <c r="M23" i="38"/>
  <c r="L23" i="38"/>
  <c r="K23" i="38"/>
  <c r="Q22" i="38"/>
  <c r="P22" i="38"/>
  <c r="O22" i="38"/>
  <c r="N22" i="38"/>
  <c r="M22" i="38"/>
  <c r="L22" i="38"/>
  <c r="K22" i="38"/>
  <c r="Q21" i="38"/>
  <c r="P21" i="38"/>
  <c r="O21" i="38"/>
  <c r="N21" i="38"/>
  <c r="M21" i="38"/>
  <c r="L21" i="38"/>
  <c r="K21" i="38"/>
  <c r="Q20" i="38"/>
  <c r="P20" i="38"/>
  <c r="O20" i="38"/>
  <c r="N20" i="38"/>
  <c r="M20" i="38"/>
  <c r="L20" i="38"/>
  <c r="K20" i="38"/>
  <c r="Q19" i="38"/>
  <c r="P19" i="38"/>
  <c r="O19" i="38"/>
  <c r="N19" i="38"/>
  <c r="M19" i="38"/>
  <c r="L19" i="38"/>
  <c r="K19" i="38"/>
  <c r="Q18" i="38"/>
  <c r="P18" i="38"/>
  <c r="O18" i="38"/>
  <c r="N18" i="38"/>
  <c r="M18" i="38"/>
  <c r="L18" i="38"/>
  <c r="K18" i="38"/>
  <c r="Q17" i="38"/>
  <c r="P17" i="38"/>
  <c r="O17" i="38"/>
  <c r="N17" i="38"/>
  <c r="M17" i="38"/>
  <c r="L17" i="38"/>
  <c r="K17" i="38"/>
  <c r="Q16" i="38"/>
  <c r="P16" i="38"/>
  <c r="O16" i="38"/>
  <c r="N16" i="38"/>
  <c r="M16" i="38"/>
  <c r="L16" i="38"/>
  <c r="K16" i="38"/>
  <c r="Q15" i="38"/>
  <c r="P15" i="38"/>
  <c r="O15" i="38"/>
  <c r="N15" i="38"/>
  <c r="M15" i="38"/>
  <c r="L15" i="38"/>
  <c r="K15" i="38"/>
  <c r="Q14" i="38"/>
  <c r="P14" i="38"/>
  <c r="O14" i="38"/>
  <c r="N14" i="38"/>
  <c r="M14" i="38"/>
  <c r="L14" i="38"/>
  <c r="K14" i="38"/>
  <c r="Q13" i="38"/>
  <c r="P13" i="38"/>
  <c r="O13" i="38"/>
  <c r="N13" i="38"/>
  <c r="M13" i="38"/>
  <c r="L13" i="38"/>
  <c r="K13" i="38"/>
  <c r="Q12" i="38"/>
  <c r="P12" i="38"/>
  <c r="O12" i="38"/>
  <c r="N12" i="38"/>
  <c r="M12" i="38"/>
  <c r="L12" i="38"/>
  <c r="K12" i="38"/>
  <c r="Q11" i="38"/>
  <c r="P11" i="38"/>
  <c r="O11" i="38"/>
  <c r="N11" i="38"/>
  <c r="M11" i="38"/>
  <c r="L11" i="38"/>
  <c r="K11" i="38"/>
  <c r="Q10" i="38"/>
  <c r="P10" i="38"/>
  <c r="O10" i="38"/>
  <c r="N10" i="38"/>
  <c r="M10" i="38"/>
  <c r="L10" i="38"/>
  <c r="K10" i="38"/>
  <c r="Q9" i="38"/>
  <c r="P9" i="38"/>
  <c r="O9" i="38"/>
  <c r="N9" i="38"/>
  <c r="M9" i="38"/>
  <c r="L9" i="38"/>
  <c r="K9" i="38"/>
  <c r="Q8" i="38"/>
  <c r="P8" i="38"/>
  <c r="O8" i="38"/>
  <c r="N8" i="38"/>
  <c r="M8" i="38"/>
  <c r="L8" i="38"/>
  <c r="K8" i="38"/>
  <c r="Q7" i="38"/>
  <c r="P7" i="38"/>
  <c r="O7" i="38"/>
  <c r="N7" i="38"/>
  <c r="M7" i="38"/>
  <c r="L7" i="38"/>
  <c r="K7" i="38"/>
  <c r="Q6" i="38"/>
  <c r="P6" i="38"/>
  <c r="O6" i="38"/>
  <c r="N6" i="38"/>
  <c r="M6" i="38"/>
  <c r="L6" i="38"/>
  <c r="K6" i="38"/>
  <c r="Q5" i="38"/>
  <c r="P5" i="38"/>
  <c r="O5" i="38"/>
  <c r="N5" i="38"/>
  <c r="M5" i="38"/>
  <c r="L5" i="38"/>
  <c r="K5" i="38"/>
  <c r="H34" i="37"/>
  <c r="G34" i="37"/>
  <c r="H33" i="37"/>
  <c r="G33" i="37"/>
  <c r="H32" i="37"/>
  <c r="G32" i="37"/>
  <c r="H31" i="37"/>
  <c r="G31" i="37"/>
  <c r="H30" i="37"/>
  <c r="G30" i="37"/>
  <c r="H29" i="37"/>
  <c r="G29" i="37"/>
  <c r="H28" i="37"/>
  <c r="G28" i="37"/>
  <c r="H27" i="37"/>
  <c r="G27" i="37"/>
  <c r="H26" i="37"/>
  <c r="G26" i="37"/>
  <c r="H25" i="37"/>
  <c r="G25" i="37"/>
  <c r="H24" i="37"/>
  <c r="G24" i="37"/>
  <c r="H23" i="37"/>
  <c r="G23" i="37"/>
  <c r="H22" i="37"/>
  <c r="G22" i="37"/>
  <c r="H21" i="37"/>
  <c r="G21" i="37"/>
  <c r="H20" i="37"/>
  <c r="G20" i="37"/>
  <c r="H19" i="37"/>
  <c r="G19" i="37"/>
  <c r="H18" i="37"/>
  <c r="G18" i="37"/>
  <c r="H17" i="37"/>
  <c r="G17" i="37"/>
  <c r="H16" i="37"/>
  <c r="G16" i="37"/>
  <c r="H15" i="37"/>
  <c r="G15" i="37"/>
  <c r="H14" i="37"/>
  <c r="G14" i="37"/>
  <c r="H13" i="37"/>
  <c r="G13" i="37"/>
  <c r="H12" i="37"/>
  <c r="G12" i="37"/>
  <c r="H11" i="37"/>
  <c r="G11" i="37"/>
  <c r="AC10" i="37"/>
  <c r="AB10" i="37"/>
  <c r="Y10" i="37"/>
  <c r="H10" i="37"/>
  <c r="G10" i="37"/>
  <c r="AC9" i="37"/>
  <c r="AB9" i="37"/>
  <c r="Y9" i="37"/>
  <c r="X9" i="37"/>
  <c r="N9" i="37"/>
  <c r="M9" i="37"/>
  <c r="J9" i="37"/>
  <c r="H9" i="37"/>
  <c r="G9" i="37"/>
  <c r="AC8" i="37"/>
  <c r="AB8" i="37"/>
  <c r="Y8" i="37"/>
  <c r="X8" i="37"/>
  <c r="R8" i="37"/>
  <c r="Q8" i="37"/>
  <c r="P8" i="37"/>
  <c r="N8" i="37"/>
  <c r="M8" i="37"/>
  <c r="J8" i="37"/>
  <c r="H8" i="37"/>
  <c r="G8" i="37"/>
  <c r="AC7" i="37"/>
  <c r="AB7" i="37"/>
  <c r="Y7" i="37"/>
  <c r="X7" i="37"/>
  <c r="P7" i="37"/>
  <c r="J7" i="37"/>
  <c r="M7" i="37" s="1"/>
  <c r="N7" i="37" s="1"/>
  <c r="Q7" i="37" s="1"/>
  <c r="R7" i="37" s="1"/>
  <c r="H7" i="37"/>
  <c r="G7" i="37"/>
  <c r="AC6" i="37"/>
  <c r="AB6" i="37"/>
  <c r="Y6" i="37"/>
  <c r="P6" i="37"/>
  <c r="J6" i="37"/>
  <c r="M6" i="37" s="1"/>
  <c r="N6" i="37" s="1"/>
  <c r="Q6" i="37" s="1"/>
  <c r="R6" i="37" s="1"/>
  <c r="H6" i="37"/>
  <c r="G6" i="37"/>
  <c r="Q5" i="37"/>
  <c r="N5" i="37"/>
  <c r="M5" i="37"/>
  <c r="J5" i="37"/>
  <c r="H5" i="37"/>
  <c r="D45" i="36"/>
  <c r="T44" i="36"/>
  <c r="S44" i="36"/>
  <c r="O44" i="36"/>
  <c r="U44" i="36" s="1"/>
  <c r="E44" i="36"/>
  <c r="D44" i="36"/>
  <c r="J44" i="36" s="1"/>
  <c r="B44" i="36"/>
  <c r="T43" i="36"/>
  <c r="S43" i="36"/>
  <c r="E43" i="36"/>
  <c r="D43" i="36"/>
  <c r="O43" i="36" s="1"/>
  <c r="U43" i="36" s="1"/>
  <c r="T42" i="36"/>
  <c r="S42" i="36"/>
  <c r="E42" i="36"/>
  <c r="D42" i="36"/>
  <c r="B42" i="36" s="1"/>
  <c r="T41" i="36"/>
  <c r="S41" i="36"/>
  <c r="J41" i="36"/>
  <c r="E41" i="36"/>
  <c r="D41" i="36"/>
  <c r="B41" i="36" s="1"/>
  <c r="T40" i="36"/>
  <c r="S40" i="36"/>
  <c r="O40" i="36"/>
  <c r="U40" i="36" s="1"/>
  <c r="E40" i="36"/>
  <c r="D40" i="36"/>
  <c r="B40" i="36" s="1"/>
  <c r="T39" i="36"/>
  <c r="S39" i="36"/>
  <c r="E39" i="36"/>
  <c r="D39" i="36"/>
  <c r="O39" i="36" s="1"/>
  <c r="U39" i="36" s="1"/>
  <c r="T38" i="36"/>
  <c r="S38" i="36"/>
  <c r="E38" i="36"/>
  <c r="D38" i="36"/>
  <c r="B38" i="36" s="1"/>
  <c r="T37" i="36"/>
  <c r="S37" i="36"/>
  <c r="J37" i="36"/>
  <c r="E37" i="36"/>
  <c r="D37" i="36"/>
  <c r="B37" i="36" s="1"/>
  <c r="T36" i="36"/>
  <c r="S36" i="36"/>
  <c r="E36" i="36"/>
  <c r="D36" i="36"/>
  <c r="J36" i="36" s="1"/>
  <c r="T35" i="36"/>
  <c r="S35" i="36"/>
  <c r="E35" i="36"/>
  <c r="D35" i="36"/>
  <c r="O35" i="36" s="1"/>
  <c r="U35" i="36" s="1"/>
  <c r="T34" i="36"/>
  <c r="S34" i="36"/>
  <c r="E34" i="36"/>
  <c r="D34" i="36"/>
  <c r="B34" i="36" s="1"/>
  <c r="T33" i="36"/>
  <c r="S33" i="36"/>
  <c r="E33" i="36"/>
  <c r="D33" i="36"/>
  <c r="B33" i="36" s="1"/>
  <c r="T32" i="36"/>
  <c r="S32" i="36"/>
  <c r="O32" i="36"/>
  <c r="U32" i="36" s="1"/>
  <c r="E32" i="36"/>
  <c r="D32" i="36"/>
  <c r="J32" i="36" s="1"/>
  <c r="B32" i="36"/>
  <c r="T31" i="36"/>
  <c r="S31" i="36"/>
  <c r="E31" i="36"/>
  <c r="D31" i="36"/>
  <c r="O31" i="36" s="1"/>
  <c r="U31" i="36" s="1"/>
  <c r="B31" i="36"/>
  <c r="T30" i="36"/>
  <c r="S30" i="36"/>
  <c r="E30" i="36"/>
  <c r="D30" i="36"/>
  <c r="B30" i="36" s="1"/>
  <c r="T29" i="36"/>
  <c r="S29" i="36"/>
  <c r="Q29" i="36"/>
  <c r="Q30" i="36" s="1"/>
  <c r="Q31" i="36" s="1"/>
  <c r="Q32" i="36" s="1"/>
  <c r="Q33" i="36" s="1"/>
  <c r="Q34" i="36" s="1"/>
  <c r="Q35" i="36" s="1"/>
  <c r="Q36" i="36" s="1"/>
  <c r="Q37" i="36" s="1"/>
  <c r="Q38" i="36" s="1"/>
  <c r="Q39" i="36" s="1"/>
  <c r="E29" i="36"/>
  <c r="D29" i="36"/>
  <c r="J29" i="36" s="1"/>
  <c r="T28" i="36"/>
  <c r="S28" i="36"/>
  <c r="O28" i="36"/>
  <c r="U28" i="36" s="1"/>
  <c r="E28" i="36"/>
  <c r="D28" i="36"/>
  <c r="J28" i="36" s="1"/>
  <c r="B28" i="36"/>
  <c r="T27" i="36"/>
  <c r="S27" i="36"/>
  <c r="E27" i="36"/>
  <c r="D27" i="36"/>
  <c r="B27" i="36" s="1"/>
  <c r="T26" i="36"/>
  <c r="S26" i="36"/>
  <c r="E26" i="36"/>
  <c r="D26" i="36"/>
  <c r="H26" i="36" s="1"/>
  <c r="T25" i="36"/>
  <c r="S25" i="36"/>
  <c r="H25" i="36"/>
  <c r="E25" i="36"/>
  <c r="D25" i="36"/>
  <c r="O25" i="36" s="1"/>
  <c r="U25" i="36" s="1"/>
  <c r="B25" i="36"/>
  <c r="T24" i="36"/>
  <c r="S24" i="36"/>
  <c r="J24" i="36"/>
  <c r="H24" i="36"/>
  <c r="E24" i="36"/>
  <c r="D24" i="36"/>
  <c r="O24" i="36" s="1"/>
  <c r="U24" i="36" s="1"/>
  <c r="B24" i="36"/>
  <c r="T23" i="36"/>
  <c r="S23" i="36"/>
  <c r="E23" i="36"/>
  <c r="D23" i="36"/>
  <c r="J23" i="36" s="1"/>
  <c r="T22" i="36"/>
  <c r="S22" i="36"/>
  <c r="E22" i="36"/>
  <c r="D22" i="36"/>
  <c r="B22" i="36" s="1"/>
  <c r="T21" i="36"/>
  <c r="S21" i="36"/>
  <c r="O21" i="36"/>
  <c r="U21" i="36" s="1"/>
  <c r="E21" i="36"/>
  <c r="D21" i="36"/>
  <c r="H21" i="36" s="1"/>
  <c r="T20" i="36"/>
  <c r="S20" i="36"/>
  <c r="H20" i="36"/>
  <c r="E20" i="36"/>
  <c r="D20" i="36"/>
  <c r="O20" i="36" s="1"/>
  <c r="U20" i="36" s="1"/>
  <c r="B20" i="36"/>
  <c r="T19" i="36"/>
  <c r="S19" i="36"/>
  <c r="J19" i="36"/>
  <c r="H19" i="36"/>
  <c r="E19" i="36"/>
  <c r="D19" i="36"/>
  <c r="O19" i="36" s="1"/>
  <c r="U19" i="36" s="1"/>
  <c r="B19" i="36"/>
  <c r="T18" i="36"/>
  <c r="S18" i="36"/>
  <c r="E18" i="36"/>
  <c r="D18" i="36"/>
  <c r="J18" i="36" s="1"/>
  <c r="T17" i="36"/>
  <c r="S17" i="36"/>
  <c r="R17" i="36"/>
  <c r="R18" i="36" s="1"/>
  <c r="R19" i="36" s="1"/>
  <c r="R20" i="36" s="1"/>
  <c r="R21" i="36" s="1"/>
  <c r="R22" i="36" s="1"/>
  <c r="R23" i="36" s="1"/>
  <c r="R24" i="36" s="1"/>
  <c r="R25" i="36" s="1"/>
  <c r="R26" i="36" s="1"/>
  <c r="R27" i="36" s="1"/>
  <c r="R28" i="36" s="1"/>
  <c r="R29" i="36" s="1"/>
  <c r="R30" i="36" s="1"/>
  <c r="R31" i="36" s="1"/>
  <c r="R32" i="36" s="1"/>
  <c r="R33" i="36" s="1"/>
  <c r="R34" i="36" s="1"/>
  <c r="R35" i="36" s="1"/>
  <c r="R36" i="36" s="1"/>
  <c r="R37" i="36" s="1"/>
  <c r="R38" i="36" s="1"/>
  <c r="R39" i="36" s="1"/>
  <c r="J17" i="36"/>
  <c r="H17" i="36"/>
  <c r="E17" i="36"/>
  <c r="D17" i="36"/>
  <c r="O17" i="36" s="1"/>
  <c r="U17" i="36" s="1"/>
  <c r="B17" i="36"/>
  <c r="T16" i="36"/>
  <c r="S16" i="36"/>
  <c r="R16" i="36"/>
  <c r="Q16" i="36"/>
  <c r="Q17" i="36" s="1"/>
  <c r="Q18" i="36" s="1"/>
  <c r="Q19" i="36" s="1"/>
  <c r="Q20" i="36" s="1"/>
  <c r="Q21" i="36" s="1"/>
  <c r="Q22" i="36" s="1"/>
  <c r="Q23" i="36" s="1"/>
  <c r="Q24" i="36" s="1"/>
  <c r="Q25" i="36" s="1"/>
  <c r="Q26" i="36" s="1"/>
  <c r="Q27" i="36" s="1"/>
  <c r="Q28" i="36" s="1"/>
  <c r="D16" i="36"/>
  <c r="B16" i="36" s="1"/>
  <c r="T9" i="36"/>
  <c r="U9" i="36" s="1"/>
  <c r="X9" i="36" s="1"/>
  <c r="K9" i="36"/>
  <c r="T8" i="36"/>
  <c r="U8" i="36" s="1"/>
  <c r="X8" i="36" s="1"/>
  <c r="T7" i="36"/>
  <c r="U7" i="36" s="1"/>
  <c r="X7" i="36" s="1"/>
  <c r="M7" i="36"/>
  <c r="N7" i="36" s="1"/>
  <c r="Q7" i="36" s="1"/>
  <c r="R7" i="36" s="1"/>
  <c r="U6" i="36"/>
  <c r="X6" i="36" s="1"/>
  <c r="T6" i="36"/>
  <c r="M6" i="36"/>
  <c r="G6" i="36"/>
  <c r="M28" i="36" s="1"/>
  <c r="T5" i="36"/>
  <c r="U5" i="36" s="1"/>
  <c r="X5" i="36" s="1"/>
  <c r="M5" i="36"/>
  <c r="F5" i="36"/>
  <c r="G5" i="36" s="1"/>
  <c r="F4" i="36"/>
  <c r="G4" i="36" s="1"/>
  <c r="F3" i="36"/>
  <c r="G3" i="36" s="1"/>
  <c r="G2" i="36"/>
  <c r="S33" i="35"/>
  <c r="R33" i="35"/>
  <c r="Q33" i="35"/>
  <c r="P33" i="35"/>
  <c r="O33" i="35"/>
  <c r="N33" i="35"/>
  <c r="S32" i="35"/>
  <c r="R32" i="35"/>
  <c r="Q32" i="35"/>
  <c r="P32" i="35"/>
  <c r="O32" i="35"/>
  <c r="N32" i="35"/>
  <c r="S31" i="35"/>
  <c r="R31" i="35"/>
  <c r="Q31" i="35"/>
  <c r="P31" i="35"/>
  <c r="O31" i="35"/>
  <c r="N31" i="35"/>
  <c r="L22" i="35"/>
  <c r="L21" i="35"/>
  <c r="L20" i="35"/>
  <c r="L19" i="35"/>
  <c r="P17" i="35"/>
  <c r="O17" i="35"/>
  <c r="P16" i="35"/>
  <c r="P15" i="35"/>
  <c r="P14" i="35"/>
  <c r="P13" i="35"/>
  <c r="I13" i="35"/>
  <c r="H13" i="35"/>
  <c r="G13" i="35"/>
  <c r="P12" i="35"/>
  <c r="I12" i="35"/>
  <c r="H12" i="35"/>
  <c r="G12" i="35"/>
  <c r="P11" i="35"/>
  <c r="I11" i="35"/>
  <c r="H11" i="35"/>
  <c r="G11" i="35"/>
  <c r="P10" i="35"/>
  <c r="I10" i="35"/>
  <c r="H10" i="35"/>
  <c r="G10" i="35"/>
  <c r="P9" i="35"/>
  <c r="I9" i="35"/>
  <c r="H9" i="35"/>
  <c r="G9" i="35"/>
  <c r="D9" i="35"/>
  <c r="P8" i="35"/>
  <c r="I8" i="35"/>
  <c r="H8" i="35"/>
  <c r="G8" i="35"/>
  <c r="P7" i="35"/>
  <c r="I7" i="35"/>
  <c r="H7" i="35"/>
  <c r="G7" i="35"/>
  <c r="V41" i="34"/>
  <c r="U41" i="34"/>
  <c r="T41" i="34"/>
  <c r="P41" i="34"/>
  <c r="V40" i="34"/>
  <c r="U40" i="34"/>
  <c r="T40" i="34"/>
  <c r="P40" i="34"/>
  <c r="V39" i="34"/>
  <c r="U39" i="34"/>
  <c r="T39" i="34"/>
  <c r="P39" i="34"/>
  <c r="K39" i="34"/>
  <c r="J39" i="34"/>
  <c r="I39" i="34"/>
  <c r="H39" i="34"/>
  <c r="V38" i="34"/>
  <c r="U38" i="34"/>
  <c r="T38" i="34"/>
  <c r="P38" i="34"/>
  <c r="K38" i="34"/>
  <c r="J38" i="34"/>
  <c r="I38" i="34"/>
  <c r="H38" i="34"/>
  <c r="V37" i="34"/>
  <c r="U37" i="34"/>
  <c r="T37" i="34"/>
  <c r="P37" i="34"/>
  <c r="K37" i="34"/>
  <c r="J37" i="34"/>
  <c r="I37" i="34"/>
  <c r="H37" i="34"/>
  <c r="C37" i="34"/>
  <c r="V36" i="34"/>
  <c r="U36" i="34"/>
  <c r="T36" i="34"/>
  <c r="P36" i="34"/>
  <c r="V35" i="34"/>
  <c r="U35" i="34"/>
  <c r="T35" i="34"/>
  <c r="P35" i="34"/>
  <c r="V34" i="34"/>
  <c r="U34" i="34"/>
  <c r="T34" i="34"/>
  <c r="P34" i="34"/>
  <c r="V33" i="34"/>
  <c r="U33" i="34"/>
  <c r="T33" i="34"/>
  <c r="P33" i="34"/>
  <c r="V32" i="34"/>
  <c r="U32" i="34"/>
  <c r="T32" i="34"/>
  <c r="P32" i="34"/>
  <c r="V31" i="34"/>
  <c r="U31" i="34"/>
  <c r="T31" i="34"/>
  <c r="P31" i="34"/>
  <c r="K31" i="34"/>
  <c r="J31" i="34"/>
  <c r="I31" i="34"/>
  <c r="H31" i="34"/>
  <c r="V30" i="34"/>
  <c r="U30" i="34"/>
  <c r="T30" i="34"/>
  <c r="P30" i="34"/>
  <c r="K30" i="34"/>
  <c r="J30" i="34"/>
  <c r="I30" i="34"/>
  <c r="H30" i="34"/>
  <c r="V29" i="34"/>
  <c r="U29" i="34"/>
  <c r="T29" i="34"/>
  <c r="P29" i="34"/>
  <c r="K29" i="34"/>
  <c r="J29" i="34"/>
  <c r="I29" i="34"/>
  <c r="H29" i="34"/>
  <c r="C29" i="34"/>
  <c r="V28" i="34"/>
  <c r="U28" i="34"/>
  <c r="T28" i="34"/>
  <c r="P28" i="34"/>
  <c r="V27" i="34"/>
  <c r="U27" i="34"/>
  <c r="T27" i="34"/>
  <c r="P27" i="34"/>
  <c r="V26" i="34"/>
  <c r="U26" i="34"/>
  <c r="T26" i="34"/>
  <c r="P26" i="34"/>
  <c r="V25" i="34"/>
  <c r="U25" i="34"/>
  <c r="T25" i="34"/>
  <c r="P25" i="34"/>
  <c r="V24" i="34"/>
  <c r="U24" i="34"/>
  <c r="T24" i="34"/>
  <c r="P24" i="34"/>
  <c r="V23" i="34"/>
  <c r="U23" i="34"/>
  <c r="T23" i="34"/>
  <c r="P23" i="34"/>
  <c r="K23" i="34"/>
  <c r="J23" i="34"/>
  <c r="I23" i="34"/>
  <c r="H23" i="34"/>
  <c r="V22" i="34"/>
  <c r="U22" i="34"/>
  <c r="T22" i="34"/>
  <c r="P22" i="34"/>
  <c r="K22" i="34"/>
  <c r="J22" i="34"/>
  <c r="I22" i="34"/>
  <c r="H22" i="34"/>
  <c r="V21" i="34"/>
  <c r="U21" i="34"/>
  <c r="T21" i="34"/>
  <c r="P21" i="34"/>
  <c r="K21" i="34"/>
  <c r="J21" i="34"/>
  <c r="I21" i="34"/>
  <c r="H21" i="34"/>
  <c r="C21" i="34"/>
  <c r="V20" i="34"/>
  <c r="U20" i="34"/>
  <c r="T20" i="34"/>
  <c r="P20" i="34"/>
  <c r="V19" i="34"/>
  <c r="U19" i="34"/>
  <c r="T19" i="34"/>
  <c r="P19" i="34"/>
  <c r="V18" i="34"/>
  <c r="U18" i="34"/>
  <c r="T18" i="34"/>
  <c r="P18" i="34"/>
  <c r="V17" i="34"/>
  <c r="U17" i="34"/>
  <c r="T17" i="34"/>
  <c r="P17" i="34"/>
  <c r="V16" i="34"/>
  <c r="U16" i="34"/>
  <c r="T16" i="34"/>
  <c r="P16" i="34"/>
  <c r="V15" i="34"/>
  <c r="U15" i="34"/>
  <c r="T15" i="34"/>
  <c r="P15" i="34"/>
  <c r="K15" i="34"/>
  <c r="J15" i="34"/>
  <c r="I15" i="34"/>
  <c r="H15" i="34"/>
  <c r="V14" i="34"/>
  <c r="U14" i="34"/>
  <c r="P14" i="34"/>
  <c r="K14" i="34"/>
  <c r="J14" i="34"/>
  <c r="I14" i="34"/>
  <c r="H14" i="34"/>
  <c r="V13" i="34"/>
  <c r="U13" i="34"/>
  <c r="P13" i="34"/>
  <c r="K13" i="34"/>
  <c r="J13" i="34"/>
  <c r="I13" i="34"/>
  <c r="H13" i="34"/>
  <c r="C13" i="34"/>
  <c r="V12" i="34"/>
  <c r="U12" i="34"/>
  <c r="P12" i="34"/>
  <c r="V11" i="34"/>
  <c r="U11" i="34"/>
  <c r="P11" i="34"/>
  <c r="V10" i="34"/>
  <c r="U10" i="34"/>
  <c r="P10" i="34"/>
  <c r="V9" i="34"/>
  <c r="U9" i="34"/>
  <c r="P9" i="34"/>
  <c r="V8" i="34"/>
  <c r="U8" i="34"/>
  <c r="P8" i="34"/>
  <c r="V7" i="34"/>
  <c r="U7" i="34"/>
  <c r="P7" i="34"/>
  <c r="B7" i="34"/>
  <c r="V6" i="34"/>
  <c r="U6" i="34"/>
  <c r="T6" i="34"/>
  <c r="I6" i="34"/>
  <c r="B6" i="34"/>
  <c r="I5" i="34"/>
  <c r="B5" i="34"/>
  <c r="B4" i="34"/>
  <c r="D67" i="33"/>
  <c r="C67" i="33"/>
  <c r="D66" i="33"/>
  <c r="C66" i="33"/>
  <c r="D65" i="33"/>
  <c r="C65" i="33"/>
  <c r="D64" i="33"/>
  <c r="C64" i="33"/>
  <c r="D63" i="33"/>
  <c r="C63" i="33"/>
  <c r="D62" i="33"/>
  <c r="C62" i="33"/>
  <c r="D61" i="33"/>
  <c r="C61" i="33"/>
  <c r="D60" i="33"/>
  <c r="C60" i="33"/>
  <c r="D59" i="33"/>
  <c r="C59" i="33"/>
  <c r="D58" i="33"/>
  <c r="C58" i="33"/>
  <c r="D57" i="33"/>
  <c r="C57" i="33"/>
  <c r="D56" i="33"/>
  <c r="C56" i="33"/>
  <c r="D55" i="33"/>
  <c r="C55" i="33"/>
  <c r="D54" i="33"/>
  <c r="C54" i="33"/>
  <c r="D53" i="33"/>
  <c r="C53" i="33"/>
  <c r="D52" i="33"/>
  <c r="C52" i="33"/>
  <c r="D51" i="33"/>
  <c r="C51" i="33"/>
  <c r="D50" i="33"/>
  <c r="C50" i="33"/>
  <c r="D49" i="33"/>
  <c r="C49" i="33"/>
  <c r="D48" i="33"/>
  <c r="C48" i="33"/>
  <c r="D47" i="33"/>
  <c r="C47" i="33"/>
  <c r="D46" i="33"/>
  <c r="C46" i="33"/>
  <c r="D45" i="33"/>
  <c r="C45" i="33"/>
  <c r="D44" i="33"/>
  <c r="C44" i="33"/>
  <c r="D43" i="33"/>
  <c r="C43" i="33"/>
  <c r="M42" i="33"/>
  <c r="K42" i="33"/>
  <c r="F42" i="33"/>
  <c r="D42" i="33"/>
  <c r="C42" i="33"/>
  <c r="M41" i="33"/>
  <c r="K41" i="33"/>
  <c r="F41" i="33"/>
  <c r="D41" i="33"/>
  <c r="C41" i="33"/>
  <c r="M40" i="33"/>
  <c r="K40" i="33"/>
  <c r="F40" i="33"/>
  <c r="D40" i="33"/>
  <c r="C40" i="33"/>
  <c r="M39" i="33"/>
  <c r="K39" i="33"/>
  <c r="F39" i="33"/>
  <c r="D39" i="33"/>
  <c r="C39" i="33"/>
  <c r="M38" i="33"/>
  <c r="K38" i="33"/>
  <c r="F38" i="33"/>
  <c r="D38" i="33"/>
  <c r="C38" i="33"/>
  <c r="M37" i="33"/>
  <c r="K37" i="33"/>
  <c r="F37" i="33"/>
  <c r="D37" i="33"/>
  <c r="C37" i="33"/>
  <c r="M36" i="33"/>
  <c r="K36" i="33"/>
  <c r="F36" i="33"/>
  <c r="D36" i="33"/>
  <c r="C36" i="33"/>
  <c r="M35" i="33"/>
  <c r="K35" i="33"/>
  <c r="F35" i="33"/>
  <c r="D35" i="33"/>
  <c r="C35" i="33"/>
  <c r="M34" i="33"/>
  <c r="K34" i="33"/>
  <c r="F34" i="33"/>
  <c r="D34" i="33"/>
  <c r="C34" i="33"/>
  <c r="M33" i="33"/>
  <c r="K33" i="33"/>
  <c r="F33" i="33"/>
  <c r="D33" i="33"/>
  <c r="C33" i="33"/>
  <c r="M32" i="33"/>
  <c r="K32" i="33"/>
  <c r="F32" i="33"/>
  <c r="D32" i="33"/>
  <c r="C32" i="33"/>
  <c r="M31" i="33"/>
  <c r="K31" i="33"/>
  <c r="F31" i="33"/>
  <c r="D31" i="33"/>
  <c r="C31" i="33"/>
  <c r="M30" i="33"/>
  <c r="K30" i="33"/>
  <c r="F30" i="33"/>
  <c r="D30" i="33"/>
  <c r="C30" i="33"/>
  <c r="M29" i="33"/>
  <c r="K29" i="33"/>
  <c r="F29" i="33"/>
  <c r="D29" i="33"/>
  <c r="C29" i="33"/>
  <c r="M28" i="33"/>
  <c r="K28" i="33"/>
  <c r="F28" i="33"/>
  <c r="D28" i="33"/>
  <c r="C28" i="33"/>
  <c r="M27" i="33"/>
  <c r="K27" i="33"/>
  <c r="F27" i="33"/>
  <c r="D27" i="33"/>
  <c r="C27" i="33"/>
  <c r="M26" i="33"/>
  <c r="K26" i="33"/>
  <c r="F26" i="33"/>
  <c r="D26" i="33"/>
  <c r="C26" i="33"/>
  <c r="M25" i="33"/>
  <c r="K25" i="33"/>
  <c r="F25" i="33"/>
  <c r="D25" i="33"/>
  <c r="C25" i="33"/>
  <c r="M24" i="33"/>
  <c r="K24" i="33"/>
  <c r="F24" i="33"/>
  <c r="D24" i="33"/>
  <c r="C24" i="33"/>
  <c r="M23" i="33"/>
  <c r="K23" i="33"/>
  <c r="F23" i="33"/>
  <c r="D23" i="33"/>
  <c r="C23" i="33"/>
  <c r="M22" i="33"/>
  <c r="K22" i="33"/>
  <c r="F22" i="33"/>
  <c r="D22" i="33"/>
  <c r="C22" i="33"/>
  <c r="M21" i="33"/>
  <c r="K21" i="33"/>
  <c r="F21" i="33"/>
  <c r="D21" i="33"/>
  <c r="C21" i="33"/>
  <c r="M20" i="33"/>
  <c r="K20" i="33"/>
  <c r="F20" i="33"/>
  <c r="D20" i="33"/>
  <c r="C20" i="33"/>
  <c r="M19" i="33"/>
  <c r="K19" i="33"/>
  <c r="F19" i="33"/>
  <c r="D19" i="33"/>
  <c r="C19" i="33"/>
  <c r="M18" i="33"/>
  <c r="K18" i="33"/>
  <c r="F18" i="33"/>
  <c r="D18" i="33"/>
  <c r="C18" i="33"/>
  <c r="M17" i="33"/>
  <c r="K17" i="33"/>
  <c r="F17" i="33"/>
  <c r="D17" i="33"/>
  <c r="C17" i="33"/>
  <c r="M16" i="33"/>
  <c r="K16" i="33"/>
  <c r="F16" i="33"/>
  <c r="D16" i="33"/>
  <c r="C16" i="33"/>
  <c r="M15" i="33"/>
  <c r="K15" i="33"/>
  <c r="F15" i="33"/>
  <c r="D15" i="33"/>
  <c r="C15" i="33"/>
  <c r="M14" i="33"/>
  <c r="K14" i="33"/>
  <c r="F14" i="33"/>
  <c r="D14" i="33"/>
  <c r="C14" i="33"/>
  <c r="D67" i="32"/>
  <c r="C67" i="32"/>
  <c r="D66" i="32"/>
  <c r="C66" i="32"/>
  <c r="D65" i="32"/>
  <c r="C65" i="32"/>
  <c r="D64" i="32"/>
  <c r="C64" i="32"/>
  <c r="D63" i="32"/>
  <c r="C63" i="32"/>
  <c r="D62" i="32"/>
  <c r="C62" i="32"/>
  <c r="D61" i="32"/>
  <c r="C61" i="32"/>
  <c r="D60" i="32"/>
  <c r="C60" i="32"/>
  <c r="D59" i="32"/>
  <c r="C59" i="32"/>
  <c r="D58" i="32"/>
  <c r="C58" i="32"/>
  <c r="D57" i="32"/>
  <c r="C57" i="32"/>
  <c r="D56" i="32"/>
  <c r="C56" i="32"/>
  <c r="D55" i="32"/>
  <c r="C55" i="32"/>
  <c r="D54" i="32"/>
  <c r="C54" i="32"/>
  <c r="D53" i="32"/>
  <c r="C53" i="32"/>
  <c r="D52" i="32"/>
  <c r="C52" i="32"/>
  <c r="D51" i="32"/>
  <c r="C51" i="32"/>
  <c r="D50" i="32"/>
  <c r="C50" i="32"/>
  <c r="D49" i="32"/>
  <c r="C49" i="32"/>
  <c r="D48" i="32"/>
  <c r="C48" i="32"/>
  <c r="AO47" i="32" a="1"/>
  <c r="D47" i="32"/>
  <c r="C47" i="32"/>
  <c r="AS46" i="32"/>
  <c r="AS48" i="32" s="1"/>
  <c r="AS50" i="32" s="1"/>
  <c r="AR46" i="32"/>
  <c r="AQ46" i="32"/>
  <c r="AP46" i="32"/>
  <c r="AO46" i="32"/>
  <c r="D46" i="32"/>
  <c r="C46" i="32"/>
  <c r="D45" i="32"/>
  <c r="C45" i="32"/>
  <c r="D44" i="32"/>
  <c r="C44" i="32"/>
  <c r="AI43" i="32"/>
  <c r="AH43" i="32"/>
  <c r="AG43" i="32"/>
  <c r="AF43" i="32"/>
  <c r="AE43" i="32"/>
  <c r="AB43" i="32"/>
  <c r="AA43" i="32"/>
  <c r="Z43" i="32"/>
  <c r="Y43" i="32"/>
  <c r="X43" i="32"/>
  <c r="D43" i="32"/>
  <c r="C43" i="32"/>
  <c r="AI42" i="32"/>
  <c r="O42" i="32" s="1"/>
  <c r="AB42" i="32" s="1"/>
  <c r="AI74" i="28" s="1"/>
  <c r="AD42" i="32"/>
  <c r="W42" i="32"/>
  <c r="S42" i="32"/>
  <c r="Q42" i="32"/>
  <c r="F42" i="32"/>
  <c r="D42" i="32"/>
  <c r="C42" i="32"/>
  <c r="BB41" i="32"/>
  <c r="AQ41" i="32"/>
  <c r="AI41" i="32"/>
  <c r="O41" i="32" s="1"/>
  <c r="AB41" i="32" s="1"/>
  <c r="AH41" i="32"/>
  <c r="N41" i="32" s="1"/>
  <c r="AA41" i="32" s="1"/>
  <c r="AH73" i="28" s="1"/>
  <c r="AD41" i="32"/>
  <c r="W41" i="32"/>
  <c r="S41" i="32"/>
  <c r="Q41" i="32"/>
  <c r="F41" i="32"/>
  <c r="D41" i="32"/>
  <c r="C41" i="32"/>
  <c r="BB40" i="32"/>
  <c r="AQ40" i="32"/>
  <c r="AI40" i="32"/>
  <c r="O40" i="32" s="1"/>
  <c r="AB40" i="32" s="1"/>
  <c r="AG74" i="28" s="1"/>
  <c r="AH40" i="32"/>
  <c r="N40" i="32" s="1"/>
  <c r="AA40" i="32" s="1"/>
  <c r="AG73" i="28" s="1"/>
  <c r="AD40" i="32"/>
  <c r="W40" i="32"/>
  <c r="S40" i="32"/>
  <c r="Q40" i="32"/>
  <c r="F40" i="32"/>
  <c r="D40" i="32"/>
  <c r="C40" i="32"/>
  <c r="BB39" i="32"/>
  <c r="AQ39" i="32"/>
  <c r="AI39" i="32"/>
  <c r="O39" i="32" s="1"/>
  <c r="AB39" i="32" s="1"/>
  <c r="AF74" i="28" s="1"/>
  <c r="AH39" i="32"/>
  <c r="N39" i="32" s="1"/>
  <c r="AA39" i="32" s="1"/>
  <c r="AD39" i="32"/>
  <c r="W39" i="32"/>
  <c r="S39" i="32"/>
  <c r="Q39" i="32"/>
  <c r="F39" i="32"/>
  <c r="D39" i="32"/>
  <c r="C39" i="32"/>
  <c r="BB38" i="32"/>
  <c r="AQ38" i="32"/>
  <c r="AI38" i="32"/>
  <c r="O38" i="32" s="1"/>
  <c r="AB38" i="32" s="1"/>
  <c r="AE74" i="28" s="1"/>
  <c r="AH38" i="32"/>
  <c r="N38" i="32" s="1"/>
  <c r="AA38" i="32" s="1"/>
  <c r="AE73" i="28" s="1"/>
  <c r="AD38" i="32"/>
  <c r="W38" i="32"/>
  <c r="S38" i="32"/>
  <c r="Q38" i="32"/>
  <c r="F38" i="32"/>
  <c r="D38" i="32"/>
  <c r="C38" i="32"/>
  <c r="BB37" i="32"/>
  <c r="AQ37" i="32"/>
  <c r="AI37" i="32"/>
  <c r="O37" i="32" s="1"/>
  <c r="AB37" i="32" s="1"/>
  <c r="AD74" i="28" s="1"/>
  <c r="AH37" i="32"/>
  <c r="N37" i="32" s="1"/>
  <c r="AA37" i="32" s="1"/>
  <c r="AD73" i="28" s="1"/>
  <c r="AD37" i="32"/>
  <c r="W37" i="32"/>
  <c r="S37" i="32"/>
  <c r="Q37" i="32"/>
  <c r="F37" i="32"/>
  <c r="D37" i="32"/>
  <c r="C37" i="32"/>
  <c r="BB36" i="32"/>
  <c r="AQ36" i="32"/>
  <c r="AI36" i="32"/>
  <c r="O36" i="32" s="1"/>
  <c r="AB36" i="32" s="1"/>
  <c r="AC74" i="28" s="1"/>
  <c r="AH36" i="32"/>
  <c r="AG36" i="32"/>
  <c r="M36" i="32" s="1"/>
  <c r="Z36" i="32" s="1"/>
  <c r="AC72" i="28" s="1"/>
  <c r="AD36" i="32"/>
  <c r="W36" i="32"/>
  <c r="S36" i="32"/>
  <c r="Q36" i="32"/>
  <c r="N36" i="32"/>
  <c r="AA36" i="32" s="1"/>
  <c r="AC73" i="28" s="1"/>
  <c r="F36" i="32"/>
  <c r="D36" i="32"/>
  <c r="C36" i="32"/>
  <c r="BB35" i="32"/>
  <c r="AQ35" i="32"/>
  <c r="AI35" i="32"/>
  <c r="O35" i="32" s="1"/>
  <c r="AB35" i="32" s="1"/>
  <c r="AB74" i="28" s="1"/>
  <c r="AH35" i="32"/>
  <c r="N35" i="32" s="1"/>
  <c r="AA35" i="32" s="1"/>
  <c r="AG35" i="32"/>
  <c r="M35" i="32" s="1"/>
  <c r="Z35" i="32" s="1"/>
  <c r="AB72" i="28" s="1"/>
  <c r="AD35" i="32"/>
  <c r="W35" i="32"/>
  <c r="S35" i="32"/>
  <c r="Q35" i="32"/>
  <c r="F35" i="32"/>
  <c r="D35" i="32"/>
  <c r="C35" i="32"/>
  <c r="BB34" i="32"/>
  <c r="AQ34" i="32"/>
  <c r="AI34" i="32"/>
  <c r="O34" i="32" s="1"/>
  <c r="AB34" i="32" s="1"/>
  <c r="AA74" i="28" s="1"/>
  <c r="AH34" i="32"/>
  <c r="N34" i="32" s="1"/>
  <c r="AA34" i="32" s="1"/>
  <c r="AA73" i="28" s="1"/>
  <c r="AG34" i="32"/>
  <c r="M34" i="32" s="1"/>
  <c r="Z34" i="32" s="1"/>
  <c r="AA72" i="28" s="1"/>
  <c r="AD34" i="32"/>
  <c r="W34" i="32"/>
  <c r="S34" i="32"/>
  <c r="Q34" i="32"/>
  <c r="F34" i="32"/>
  <c r="D34" i="32"/>
  <c r="C34" i="32"/>
  <c r="BB33" i="32"/>
  <c r="AQ33" i="32"/>
  <c r="AI33" i="32"/>
  <c r="O33" i="32" s="1"/>
  <c r="AB33" i="32" s="1"/>
  <c r="Z74" i="28" s="1"/>
  <c r="AH33" i="32"/>
  <c r="N33" i="32" s="1"/>
  <c r="AA33" i="32" s="1"/>
  <c r="Z73" i="28" s="1"/>
  <c r="AG33" i="32"/>
  <c r="M33" i="32" s="1"/>
  <c r="Z33" i="32" s="1"/>
  <c r="Z72" i="28" s="1"/>
  <c r="AD33" i="32"/>
  <c r="W33" i="32"/>
  <c r="S33" i="32"/>
  <c r="Q33" i="32"/>
  <c r="F33" i="32"/>
  <c r="D33" i="32"/>
  <c r="C33" i="32"/>
  <c r="AI32" i="32"/>
  <c r="O32" i="32" s="1"/>
  <c r="AB32" i="32" s="1"/>
  <c r="Y74" i="28" s="1"/>
  <c r="AH32" i="32"/>
  <c r="N32" i="32" s="1"/>
  <c r="AA32" i="32" s="1"/>
  <c r="Y73" i="28" s="1"/>
  <c r="AG32" i="32"/>
  <c r="M32" i="32" s="1"/>
  <c r="Z32" i="32" s="1"/>
  <c r="Y72" i="28" s="1"/>
  <c r="AD32" i="32"/>
  <c r="W32" i="32"/>
  <c r="S32" i="32"/>
  <c r="Q32" i="32"/>
  <c r="F32" i="32"/>
  <c r="D32" i="32"/>
  <c r="C32" i="32"/>
  <c r="AI31" i="32"/>
  <c r="O31" i="32" s="1"/>
  <c r="AB31" i="32" s="1"/>
  <c r="X74" i="28" s="1"/>
  <c r="AH31" i="32"/>
  <c r="N31" i="32" s="1"/>
  <c r="AA31" i="32" s="1"/>
  <c r="X73" i="28" s="1"/>
  <c r="AG31" i="32"/>
  <c r="M31" i="32" s="1"/>
  <c r="Z31" i="32" s="1"/>
  <c r="X72" i="28" s="1"/>
  <c r="AF31" i="32"/>
  <c r="L31" i="32" s="1"/>
  <c r="Y31" i="32" s="1"/>
  <c r="X71" i="28" s="1"/>
  <c r="AD31" i="32"/>
  <c r="W31" i="32"/>
  <c r="S31" i="32"/>
  <c r="Q31" i="32"/>
  <c r="F31" i="32"/>
  <c r="D31" i="32"/>
  <c r="C31" i="32"/>
  <c r="AI30" i="32"/>
  <c r="O30" i="32" s="1"/>
  <c r="AB30" i="32" s="1"/>
  <c r="W74" i="28" s="1"/>
  <c r="AH30" i="32"/>
  <c r="N30" i="32" s="1"/>
  <c r="AA30" i="32" s="1"/>
  <c r="W73" i="28" s="1"/>
  <c r="AG30" i="32"/>
  <c r="M30" i="32" s="1"/>
  <c r="Z30" i="32" s="1"/>
  <c r="W72" i="28" s="1"/>
  <c r="AF30" i="32"/>
  <c r="L30" i="32" s="1"/>
  <c r="Y30" i="32" s="1"/>
  <c r="W71" i="28" s="1"/>
  <c r="AD30" i="32"/>
  <c r="W30" i="32"/>
  <c r="S30" i="32"/>
  <c r="Q30" i="32"/>
  <c r="F30" i="32"/>
  <c r="D30" i="32"/>
  <c r="C30" i="32"/>
  <c r="AI29" i="32"/>
  <c r="O29" i="32" s="1"/>
  <c r="AB29" i="32" s="1"/>
  <c r="V74" i="28" s="1"/>
  <c r="AH29" i="32"/>
  <c r="N29" i="32" s="1"/>
  <c r="AA29" i="32" s="1"/>
  <c r="V73" i="28" s="1"/>
  <c r="AG29" i="32"/>
  <c r="M29" i="32" s="1"/>
  <c r="Z29" i="32" s="1"/>
  <c r="V72" i="28" s="1"/>
  <c r="AF29" i="32"/>
  <c r="L29" i="32" s="1"/>
  <c r="Y29" i="32" s="1"/>
  <c r="V71" i="28" s="1"/>
  <c r="AD29" i="32"/>
  <c r="W29" i="32"/>
  <c r="S29" i="32"/>
  <c r="Q29" i="32"/>
  <c r="F29" i="32"/>
  <c r="D29" i="32"/>
  <c r="C29" i="32"/>
  <c r="AI28" i="32"/>
  <c r="O28" i="32" s="1"/>
  <c r="AB28" i="32" s="1"/>
  <c r="U74" i="28" s="1"/>
  <c r="AH28" i="32"/>
  <c r="N28" i="32" s="1"/>
  <c r="AA28" i="32" s="1"/>
  <c r="U73" i="28" s="1"/>
  <c r="AG28" i="32"/>
  <c r="M28" i="32" s="1"/>
  <c r="Z28" i="32" s="1"/>
  <c r="U72" i="28" s="1"/>
  <c r="AF28" i="32"/>
  <c r="AD28" i="32"/>
  <c r="W28" i="32"/>
  <c r="S28" i="32"/>
  <c r="Q28" i="32"/>
  <c r="L28" i="32"/>
  <c r="Y28" i="32" s="1"/>
  <c r="U71" i="28" s="1"/>
  <c r="F28" i="32"/>
  <c r="D28" i="32"/>
  <c r="C28" i="32"/>
  <c r="AI27" i="32"/>
  <c r="O27" i="32" s="1"/>
  <c r="AB27" i="32" s="1"/>
  <c r="T74" i="28" s="1"/>
  <c r="AH27" i="32"/>
  <c r="N27" i="32" s="1"/>
  <c r="AA27" i="32" s="1"/>
  <c r="T73" i="28" s="1"/>
  <c r="AG27" i="32"/>
  <c r="M27" i="32" s="1"/>
  <c r="Z27" i="32" s="1"/>
  <c r="AF27" i="32"/>
  <c r="L27" i="32" s="1"/>
  <c r="Y27" i="32" s="1"/>
  <c r="T71" i="28" s="1"/>
  <c r="AD27" i="32"/>
  <c r="W27" i="32"/>
  <c r="S27" i="32"/>
  <c r="Q27" i="32"/>
  <c r="F27" i="32"/>
  <c r="D27" i="32"/>
  <c r="C27" i="32"/>
  <c r="AI26" i="32"/>
  <c r="O26" i="32" s="1"/>
  <c r="AB26" i="32" s="1"/>
  <c r="S74" i="28" s="1"/>
  <c r="AH26" i="32"/>
  <c r="N26" i="32" s="1"/>
  <c r="AA26" i="32" s="1"/>
  <c r="S73" i="28" s="1"/>
  <c r="AG26" i="32"/>
  <c r="M26" i="32" s="1"/>
  <c r="Z26" i="32" s="1"/>
  <c r="S72" i="28" s="1"/>
  <c r="AF26" i="32"/>
  <c r="L26" i="32" s="1"/>
  <c r="Y26" i="32" s="1"/>
  <c r="S71" i="28" s="1"/>
  <c r="AE26" i="32"/>
  <c r="K26" i="32" s="1"/>
  <c r="X26" i="32" s="1"/>
  <c r="S70" i="28" s="1"/>
  <c r="AD26" i="32"/>
  <c r="W26" i="32"/>
  <c r="S26" i="32"/>
  <c r="Q26" i="32"/>
  <c r="F26" i="32"/>
  <c r="D26" i="32"/>
  <c r="C26" i="32"/>
  <c r="AI25" i="32"/>
  <c r="O25" i="32" s="1"/>
  <c r="AB25" i="32" s="1"/>
  <c r="AH25" i="32"/>
  <c r="AG25" i="32"/>
  <c r="M25" i="32" s="1"/>
  <c r="Z25" i="32" s="1"/>
  <c r="R72" i="28" s="1"/>
  <c r="AF25" i="32"/>
  <c r="L25" i="32" s="1"/>
  <c r="Y25" i="32" s="1"/>
  <c r="R71" i="28" s="1"/>
  <c r="AE25" i="32"/>
  <c r="K25" i="32" s="1"/>
  <c r="X25" i="32" s="1"/>
  <c r="R70" i="28" s="1"/>
  <c r="AD25" i="32"/>
  <c r="W25" i="32"/>
  <c r="S25" i="32"/>
  <c r="Q25" i="32"/>
  <c r="N25" i="32"/>
  <c r="AA25" i="32" s="1"/>
  <c r="R73" i="28" s="1"/>
  <c r="F25" i="32"/>
  <c r="D25" i="32"/>
  <c r="C25" i="32"/>
  <c r="BB24" i="32"/>
  <c r="BA24" i="32"/>
  <c r="AZ24" i="32"/>
  <c r="AY24" i="32"/>
  <c r="AQ24" i="32"/>
  <c r="AI24" i="32"/>
  <c r="O24" i="32" s="1"/>
  <c r="AB24" i="32" s="1"/>
  <c r="Q74" i="28" s="1"/>
  <c r="AH24" i="32"/>
  <c r="N24" i="32" s="1"/>
  <c r="AA24" i="32" s="1"/>
  <c r="Q73" i="28" s="1"/>
  <c r="AG24" i="32"/>
  <c r="M24" i="32" s="1"/>
  <c r="Z24" i="32" s="1"/>
  <c r="Q72" i="28" s="1"/>
  <c r="AF24" i="32"/>
  <c r="L24" i="32" s="1"/>
  <c r="Y24" i="32" s="1"/>
  <c r="Q71" i="28" s="1"/>
  <c r="AE24" i="32"/>
  <c r="K24" i="32" s="1"/>
  <c r="X24" i="32" s="1"/>
  <c r="Q70" i="28" s="1"/>
  <c r="AD24" i="32"/>
  <c r="W24" i="32"/>
  <c r="S24" i="32"/>
  <c r="Q24" i="32"/>
  <c r="F24" i="32"/>
  <c r="D24" i="32"/>
  <c r="C24" i="32"/>
  <c r="BB23" i="32"/>
  <c r="BA23" i="32"/>
  <c r="AZ23" i="32"/>
  <c r="AY23" i="32"/>
  <c r="AQ23" i="32"/>
  <c r="AI23" i="32"/>
  <c r="O23" i="32" s="1"/>
  <c r="AB23" i="32" s="1"/>
  <c r="AH23" i="32"/>
  <c r="N23" i="32" s="1"/>
  <c r="AA23" i="32" s="1"/>
  <c r="P73" i="28" s="1"/>
  <c r="AG23" i="32"/>
  <c r="M23" i="32" s="1"/>
  <c r="Z23" i="32" s="1"/>
  <c r="P72" i="28" s="1"/>
  <c r="AF23" i="32"/>
  <c r="L23" i="32" s="1"/>
  <c r="Y23" i="32" s="1"/>
  <c r="P71" i="28" s="1"/>
  <c r="AE23" i="32"/>
  <c r="K23" i="32" s="1"/>
  <c r="X23" i="32" s="1"/>
  <c r="P70" i="28" s="1"/>
  <c r="AD23" i="32"/>
  <c r="W23" i="32"/>
  <c r="S23" i="32"/>
  <c r="Q23" i="32"/>
  <c r="F23" i="32"/>
  <c r="D23" i="32"/>
  <c r="C23" i="32"/>
  <c r="BB22" i="32"/>
  <c r="BA22" i="32"/>
  <c r="AZ22" i="32"/>
  <c r="AY22" i="32"/>
  <c r="AQ22" i="32"/>
  <c r="AI22" i="32"/>
  <c r="O22" i="32" s="1"/>
  <c r="AB22" i="32" s="1"/>
  <c r="O74" i="28" s="1"/>
  <c r="AH22" i="32"/>
  <c r="N22" i="32" s="1"/>
  <c r="AA22" i="32" s="1"/>
  <c r="O73" i="28" s="1"/>
  <c r="AG22" i="32"/>
  <c r="M22" i="32" s="1"/>
  <c r="Z22" i="32" s="1"/>
  <c r="O72" i="28" s="1"/>
  <c r="AF22" i="32"/>
  <c r="AE22" i="32"/>
  <c r="K22" i="32" s="1"/>
  <c r="X22" i="32" s="1"/>
  <c r="O70" i="28" s="1"/>
  <c r="AD22" i="32"/>
  <c r="W22" i="32"/>
  <c r="S22" i="32"/>
  <c r="Q22" i="32"/>
  <c r="F22" i="32"/>
  <c r="D22" i="32"/>
  <c r="C22" i="32"/>
  <c r="BB21" i="32"/>
  <c r="BA21" i="32"/>
  <c r="AZ21" i="32"/>
  <c r="AY21" i="32"/>
  <c r="AQ21" i="32"/>
  <c r="AI21" i="32"/>
  <c r="O21" i="32" s="1"/>
  <c r="AB21" i="32" s="1"/>
  <c r="N74" i="28" s="1"/>
  <c r="AH21" i="32"/>
  <c r="N21" i="32" s="1"/>
  <c r="AA21" i="32" s="1"/>
  <c r="AG21" i="32"/>
  <c r="M21" i="32" s="1"/>
  <c r="Z21" i="32" s="1"/>
  <c r="N72" i="28" s="1"/>
  <c r="AF21" i="32"/>
  <c r="L21" i="32" s="1"/>
  <c r="Y21" i="32" s="1"/>
  <c r="N71" i="28" s="1"/>
  <c r="AE21" i="32"/>
  <c r="AD21" i="32"/>
  <c r="W21" i="32"/>
  <c r="S21" i="32"/>
  <c r="Q21" i="32"/>
  <c r="F21" i="32"/>
  <c r="D21" i="32"/>
  <c r="C21" i="32"/>
  <c r="BB20" i="32"/>
  <c r="BA20" i="32"/>
  <c r="AZ20" i="32"/>
  <c r="AY20" i="32"/>
  <c r="AQ20" i="32"/>
  <c r="AI20" i="32"/>
  <c r="O20" i="32" s="1"/>
  <c r="AB20" i="32" s="1"/>
  <c r="M74" i="28" s="1"/>
  <c r="AH20" i="32"/>
  <c r="N20" i="32" s="1"/>
  <c r="AA20" i="32" s="1"/>
  <c r="M73" i="28" s="1"/>
  <c r="AG20" i="32"/>
  <c r="M20" i="32" s="1"/>
  <c r="Z20" i="32" s="1"/>
  <c r="M72" i="28" s="1"/>
  <c r="AF20" i="32"/>
  <c r="L20" i="32" s="1"/>
  <c r="Y20" i="32" s="1"/>
  <c r="M71" i="28" s="1"/>
  <c r="AE20" i="32"/>
  <c r="AD20" i="32"/>
  <c r="W20" i="32"/>
  <c r="S20" i="32"/>
  <c r="Q20" i="32"/>
  <c r="F20" i="32"/>
  <c r="D20" i="32"/>
  <c r="C20" i="32"/>
  <c r="BB19" i="32"/>
  <c r="BA19" i="32"/>
  <c r="AZ19" i="32"/>
  <c r="AY19" i="32"/>
  <c r="AQ19" i="32"/>
  <c r="AI19" i="32"/>
  <c r="O19" i="32" s="1"/>
  <c r="AB19" i="32" s="1"/>
  <c r="L74" i="28" s="1"/>
  <c r="AH19" i="32"/>
  <c r="N19" i="32" s="1"/>
  <c r="AA19" i="32" s="1"/>
  <c r="L73" i="28" s="1"/>
  <c r="AG19" i="32"/>
  <c r="M19" i="32" s="1"/>
  <c r="Z19" i="32" s="1"/>
  <c r="L72" i="28" s="1"/>
  <c r="AF19" i="32"/>
  <c r="L19" i="32" s="1"/>
  <c r="Y19" i="32" s="1"/>
  <c r="L71" i="28" s="1"/>
  <c r="AE19" i="32"/>
  <c r="AD19" i="32"/>
  <c r="W19" i="32"/>
  <c r="S19" i="32"/>
  <c r="Q19" i="32"/>
  <c r="F19" i="32"/>
  <c r="D19" i="32"/>
  <c r="C19" i="32"/>
  <c r="BB18" i="32"/>
  <c r="BA18" i="32"/>
  <c r="AZ18" i="32"/>
  <c r="AY18" i="32"/>
  <c r="AQ18" i="32"/>
  <c r="AI18" i="32"/>
  <c r="O18" i="32" s="1"/>
  <c r="AB18" i="32" s="1"/>
  <c r="K74" i="28" s="1"/>
  <c r="AH18" i="32"/>
  <c r="N18" i="32" s="1"/>
  <c r="AA18" i="32" s="1"/>
  <c r="K73" i="28" s="1"/>
  <c r="AG18" i="32"/>
  <c r="AF18" i="32"/>
  <c r="L18" i="32" s="1"/>
  <c r="Y18" i="32" s="1"/>
  <c r="K71" i="28" s="1"/>
  <c r="AE18" i="32"/>
  <c r="K18" i="32" s="1"/>
  <c r="X18" i="32" s="1"/>
  <c r="K70" i="28" s="1"/>
  <c r="AD18" i="32"/>
  <c r="W18" i="32"/>
  <c r="S18" i="32"/>
  <c r="Q18" i="32"/>
  <c r="F18" i="32"/>
  <c r="D18" i="32"/>
  <c r="C18" i="32"/>
  <c r="BB17" i="32"/>
  <c r="BA17" i="32"/>
  <c r="AZ17" i="32"/>
  <c r="AY17" i="32"/>
  <c r="AQ17" i="32"/>
  <c r="AI17" i="32"/>
  <c r="O17" i="32" s="1"/>
  <c r="AB17" i="32" s="1"/>
  <c r="J74" i="28" s="1"/>
  <c r="AH17" i="32"/>
  <c r="AG17" i="32"/>
  <c r="AF17" i="32"/>
  <c r="L17" i="32" s="1"/>
  <c r="Y17" i="32" s="1"/>
  <c r="J71" i="28" s="1"/>
  <c r="AE17" i="32"/>
  <c r="K17" i="32" s="1"/>
  <c r="X17" i="32" s="1"/>
  <c r="J70" i="28" s="1"/>
  <c r="AD17" i="32"/>
  <c r="W17" i="32"/>
  <c r="S17" i="32"/>
  <c r="Q17" i="32"/>
  <c r="N17" i="32"/>
  <c r="AA17" i="32" s="1"/>
  <c r="J73" i="28" s="1"/>
  <c r="F17" i="32"/>
  <c r="D17" i="32"/>
  <c r="C17" i="32"/>
  <c r="BB16" i="32"/>
  <c r="BA16" i="32"/>
  <c r="AZ16" i="32"/>
  <c r="AY16" i="32"/>
  <c r="AQ16" i="32"/>
  <c r="AI16" i="32"/>
  <c r="O16" i="32" s="1"/>
  <c r="AB16" i="32" s="1"/>
  <c r="I74" i="28" s="1"/>
  <c r="AH16" i="32"/>
  <c r="N16" i="32" s="1"/>
  <c r="AA16" i="32" s="1"/>
  <c r="I73" i="28" s="1"/>
  <c r="AG16" i="32"/>
  <c r="M16" i="32" s="1"/>
  <c r="Z16" i="32" s="1"/>
  <c r="I72" i="28" s="1"/>
  <c r="AF16" i="32"/>
  <c r="L16" i="32" s="1"/>
  <c r="Y16" i="32" s="1"/>
  <c r="I71" i="28" s="1"/>
  <c r="AE16" i="32"/>
  <c r="K16" i="32" s="1"/>
  <c r="X16" i="32" s="1"/>
  <c r="I70" i="28" s="1"/>
  <c r="AD16" i="32"/>
  <c r="W16" i="32"/>
  <c r="S16" i="32"/>
  <c r="Q16" i="32"/>
  <c r="F16" i="32"/>
  <c r="D16" i="32"/>
  <c r="C16" i="32"/>
  <c r="AI15" i="32"/>
  <c r="O15" i="32" s="1"/>
  <c r="AB15" i="32" s="1"/>
  <c r="H74" i="28" s="1"/>
  <c r="AH15" i="32"/>
  <c r="AG15" i="32"/>
  <c r="AF15" i="32"/>
  <c r="L15" i="32" s="1"/>
  <c r="Y15" i="32" s="1"/>
  <c r="H71" i="28" s="1"/>
  <c r="AE15" i="32"/>
  <c r="K15" i="32" s="1"/>
  <c r="X15" i="32" s="1"/>
  <c r="H70" i="28" s="1"/>
  <c r="AD15" i="32"/>
  <c r="W15" i="32"/>
  <c r="S15" i="32"/>
  <c r="Q15" i="32"/>
  <c r="N15" i="32"/>
  <c r="AA15" i="32" s="1"/>
  <c r="H73" i="28" s="1"/>
  <c r="M15" i="32"/>
  <c r="Z15" i="32" s="1"/>
  <c r="H72" i="28" s="1"/>
  <c r="F15" i="32"/>
  <c r="D15" i="32"/>
  <c r="C15" i="32"/>
  <c r="AI14" i="32"/>
  <c r="O14" i="32" s="1"/>
  <c r="AB14" i="32" s="1"/>
  <c r="G74" i="28" s="1"/>
  <c r="AH14" i="32"/>
  <c r="N14" i="32" s="1"/>
  <c r="AA14" i="32" s="1"/>
  <c r="G73" i="28" s="1"/>
  <c r="AG14" i="32"/>
  <c r="M14" i="32" s="1"/>
  <c r="Z14" i="32" s="1"/>
  <c r="G72" i="28" s="1"/>
  <c r="AF14" i="32"/>
  <c r="L14" i="32" s="1"/>
  <c r="Y14" i="32" s="1"/>
  <c r="G71" i="28" s="1"/>
  <c r="AE14" i="32"/>
  <c r="K14" i="32" s="1"/>
  <c r="X14" i="32" s="1"/>
  <c r="G70" i="28" s="1"/>
  <c r="AD14" i="32"/>
  <c r="W14" i="32"/>
  <c r="S14" i="32"/>
  <c r="Q14" i="32"/>
  <c r="F14" i="32"/>
  <c r="D14" i="32"/>
  <c r="C14" i="32"/>
  <c r="K11" i="32" a="1"/>
  <c r="L11" i="32" s="1"/>
  <c r="K6" i="32"/>
  <c r="K5" i="32"/>
  <c r="K4" i="32"/>
  <c r="M38" i="49"/>
  <c r="M37" i="49"/>
  <c r="M36" i="49"/>
  <c r="M34" i="49"/>
  <c r="M32" i="49"/>
  <c r="M30" i="49"/>
  <c r="M28" i="49"/>
  <c r="M26" i="49"/>
  <c r="M24" i="49"/>
  <c r="M22" i="49"/>
  <c r="M20" i="49"/>
  <c r="M18" i="49"/>
  <c r="M16" i="49"/>
  <c r="M14" i="49"/>
  <c r="M12" i="49"/>
  <c r="C4" i="49"/>
  <c r="C3" i="49"/>
  <c r="J2" i="49"/>
  <c r="C2" i="49"/>
  <c r="E68" i="31"/>
  <c r="D68" i="31"/>
  <c r="C68" i="31"/>
  <c r="E67" i="31"/>
  <c r="D67" i="31"/>
  <c r="C67" i="31"/>
  <c r="E66" i="31"/>
  <c r="D66" i="31"/>
  <c r="C66" i="31"/>
  <c r="E65" i="31"/>
  <c r="D65" i="31"/>
  <c r="C65" i="31"/>
  <c r="E64" i="31"/>
  <c r="D64" i="31"/>
  <c r="C64" i="31"/>
  <c r="E63" i="31"/>
  <c r="D63" i="31"/>
  <c r="C63" i="31"/>
  <c r="E62" i="31"/>
  <c r="D62" i="31"/>
  <c r="C62" i="31"/>
  <c r="E61" i="31"/>
  <c r="D61" i="31"/>
  <c r="C61" i="31"/>
  <c r="E60" i="31"/>
  <c r="D60" i="31"/>
  <c r="C60" i="31"/>
  <c r="E59" i="31"/>
  <c r="D59" i="31"/>
  <c r="C59" i="31"/>
  <c r="E58" i="31"/>
  <c r="D58" i="31"/>
  <c r="C58" i="31"/>
  <c r="E57" i="31"/>
  <c r="D57" i="31"/>
  <c r="C57" i="31"/>
  <c r="E56" i="31"/>
  <c r="D56" i="31"/>
  <c r="C56" i="31"/>
  <c r="E55" i="31"/>
  <c r="D55" i="31"/>
  <c r="C55" i="31"/>
  <c r="E54" i="31"/>
  <c r="D54" i="31"/>
  <c r="C54" i="31"/>
  <c r="E53" i="31"/>
  <c r="D53" i="31"/>
  <c r="C53" i="31"/>
  <c r="E52" i="31"/>
  <c r="D52" i="31"/>
  <c r="C52" i="31"/>
  <c r="E51" i="31"/>
  <c r="D51" i="31"/>
  <c r="C51" i="31"/>
  <c r="E50" i="31"/>
  <c r="D50" i="31"/>
  <c r="C50" i="31"/>
  <c r="E49" i="31"/>
  <c r="D49" i="31"/>
  <c r="C49" i="31"/>
  <c r="E48" i="31"/>
  <c r="D48" i="31"/>
  <c r="C48" i="31"/>
  <c r="E47" i="31"/>
  <c r="D47" i="31"/>
  <c r="C47" i="31"/>
  <c r="E46" i="31"/>
  <c r="D46" i="31"/>
  <c r="C46" i="31"/>
  <c r="E45" i="31"/>
  <c r="D45" i="31"/>
  <c r="C45" i="31"/>
  <c r="E44" i="31"/>
  <c r="D44" i="31"/>
  <c r="C44" i="31"/>
  <c r="L43" i="31"/>
  <c r="K43" i="31"/>
  <c r="F43" i="31"/>
  <c r="E43" i="31"/>
  <c r="D43" i="31"/>
  <c r="C43" i="31"/>
  <c r="L42" i="31"/>
  <c r="K42" i="31"/>
  <c r="F42" i="31"/>
  <c r="E42" i="31"/>
  <c r="D42" i="31"/>
  <c r="C42" i="31"/>
  <c r="L41" i="31"/>
  <c r="K41" i="31"/>
  <c r="F41" i="31"/>
  <c r="E41" i="31"/>
  <c r="D41" i="31"/>
  <c r="C41" i="31"/>
  <c r="L40" i="31"/>
  <c r="K40" i="31"/>
  <c r="F40" i="31"/>
  <c r="E40" i="31"/>
  <c r="D40" i="31"/>
  <c r="C40" i="31"/>
  <c r="L39" i="31"/>
  <c r="K39" i="31"/>
  <c r="F39" i="31"/>
  <c r="E39" i="31"/>
  <c r="D39" i="31"/>
  <c r="C39" i="31"/>
  <c r="L38" i="31"/>
  <c r="K38" i="31"/>
  <c r="F38" i="31"/>
  <c r="E38" i="31"/>
  <c r="D38" i="31"/>
  <c r="C38" i="31"/>
  <c r="L37" i="31"/>
  <c r="K37" i="31"/>
  <c r="F37" i="31"/>
  <c r="E37" i="31"/>
  <c r="D37" i="31"/>
  <c r="C37" i="31"/>
  <c r="L36" i="31"/>
  <c r="K36" i="31"/>
  <c r="F36" i="31"/>
  <c r="E36" i="31"/>
  <c r="D36" i="31"/>
  <c r="C36" i="31"/>
  <c r="L35" i="31"/>
  <c r="K35" i="31"/>
  <c r="F35" i="31"/>
  <c r="E35" i="31"/>
  <c r="D35" i="31"/>
  <c r="C35" i="31"/>
  <c r="L34" i="31"/>
  <c r="K34" i="31"/>
  <c r="F34" i="31"/>
  <c r="E34" i="31"/>
  <c r="D34" i="31"/>
  <c r="C34" i="31"/>
  <c r="L33" i="31"/>
  <c r="K33" i="31"/>
  <c r="F33" i="31"/>
  <c r="E33" i="31"/>
  <c r="D33" i="31"/>
  <c r="C33" i="31"/>
  <c r="L32" i="31"/>
  <c r="K32" i="31"/>
  <c r="F32" i="31"/>
  <c r="E32" i="31"/>
  <c r="D32" i="31"/>
  <c r="C32" i="31"/>
  <c r="L31" i="31"/>
  <c r="K31" i="31"/>
  <c r="F31" i="31"/>
  <c r="E31" i="31"/>
  <c r="D31" i="31"/>
  <c r="C31" i="31"/>
  <c r="L30" i="31"/>
  <c r="K30" i="31"/>
  <c r="F30" i="31"/>
  <c r="E30" i="31"/>
  <c r="D30" i="31"/>
  <c r="C30" i="31"/>
  <c r="L29" i="31"/>
  <c r="K29" i="31"/>
  <c r="F29" i="31"/>
  <c r="E29" i="31"/>
  <c r="D29" i="31"/>
  <c r="C29" i="31"/>
  <c r="L28" i="31"/>
  <c r="K28" i="31"/>
  <c r="F28" i="31"/>
  <c r="E28" i="31"/>
  <c r="D28" i="31"/>
  <c r="C28" i="31"/>
  <c r="L27" i="31"/>
  <c r="K27" i="31"/>
  <c r="F27" i="31"/>
  <c r="E27" i="31"/>
  <c r="D27" i="31"/>
  <c r="C27" i="31"/>
  <c r="L26" i="31"/>
  <c r="K26" i="31"/>
  <c r="F26" i="31"/>
  <c r="E26" i="31"/>
  <c r="D26" i="31"/>
  <c r="C26" i="31"/>
  <c r="L25" i="31"/>
  <c r="K25" i="31"/>
  <c r="F25" i="31"/>
  <c r="E25" i="31"/>
  <c r="D25" i="31"/>
  <c r="C25" i="31"/>
  <c r="L24" i="31"/>
  <c r="K24" i="31"/>
  <c r="F24" i="31"/>
  <c r="E24" i="31"/>
  <c r="D24" i="31"/>
  <c r="C24" i="31"/>
  <c r="L23" i="31"/>
  <c r="K23" i="31"/>
  <c r="F23" i="31"/>
  <c r="E23" i="31"/>
  <c r="D23" i="31"/>
  <c r="C23" i="31"/>
  <c r="L22" i="31"/>
  <c r="K22" i="31"/>
  <c r="F22" i="31"/>
  <c r="E22" i="31"/>
  <c r="D22" i="31"/>
  <c r="C22" i="31"/>
  <c r="L21" i="31"/>
  <c r="K21" i="31"/>
  <c r="F21" i="31"/>
  <c r="E21" i="31"/>
  <c r="D21" i="31"/>
  <c r="C21" i="31"/>
  <c r="L20" i="31"/>
  <c r="K20" i="31"/>
  <c r="F20" i="31"/>
  <c r="E20" i="31"/>
  <c r="D20" i="31"/>
  <c r="C20" i="31"/>
  <c r="L19" i="31"/>
  <c r="K19" i="31"/>
  <c r="F19" i="31"/>
  <c r="E19" i="31"/>
  <c r="D19" i="31"/>
  <c r="C19" i="31"/>
  <c r="L18" i="31"/>
  <c r="K18" i="31"/>
  <c r="F18" i="31"/>
  <c r="E18" i="31"/>
  <c r="D18" i="31"/>
  <c r="C18" i="31"/>
  <c r="L17" i="31"/>
  <c r="K17" i="31"/>
  <c r="F17" i="31"/>
  <c r="E17" i="31"/>
  <c r="D17" i="31"/>
  <c r="C17" i="31"/>
  <c r="M16" i="31"/>
  <c r="L16" i="31"/>
  <c r="K16" i="31"/>
  <c r="I16" i="31"/>
  <c r="H16" i="31"/>
  <c r="G16" i="31"/>
  <c r="F16" i="31"/>
  <c r="E16" i="31"/>
  <c r="D16" i="31"/>
  <c r="C16" i="31"/>
  <c r="M15" i="31"/>
  <c r="L15" i="31"/>
  <c r="K15" i="31"/>
  <c r="I15" i="31"/>
  <c r="H15" i="31"/>
  <c r="G15" i="31"/>
  <c r="F15" i="31"/>
  <c r="E15" i="31"/>
  <c r="D15" i="31"/>
  <c r="C15" i="31"/>
  <c r="E13" i="31"/>
  <c r="C3" i="31"/>
  <c r="K2" i="31"/>
  <c r="C2" i="31"/>
  <c r="N43" i="30"/>
  <c r="M43" i="30"/>
  <c r="L43" i="30"/>
  <c r="K43" i="30"/>
  <c r="C43" i="30"/>
  <c r="N42" i="30"/>
  <c r="M42" i="30"/>
  <c r="L42" i="30"/>
  <c r="K42" i="30"/>
  <c r="C42" i="30"/>
  <c r="N41" i="30"/>
  <c r="M41" i="30"/>
  <c r="L41" i="30"/>
  <c r="K41" i="30"/>
  <c r="C41" i="30"/>
  <c r="N40" i="30"/>
  <c r="M40" i="30"/>
  <c r="L40" i="30"/>
  <c r="K40" i="30"/>
  <c r="C40" i="30"/>
  <c r="N39" i="30"/>
  <c r="M39" i="30"/>
  <c r="L39" i="30"/>
  <c r="K39" i="30"/>
  <c r="C39" i="30"/>
  <c r="N38" i="30"/>
  <c r="M38" i="30"/>
  <c r="L38" i="30"/>
  <c r="K38" i="30"/>
  <c r="C38" i="30"/>
  <c r="N37" i="30"/>
  <c r="M37" i="30"/>
  <c r="L37" i="30"/>
  <c r="K37" i="30"/>
  <c r="C37" i="30"/>
  <c r="N36" i="30"/>
  <c r="M36" i="30"/>
  <c r="L36" i="30"/>
  <c r="K36" i="30"/>
  <c r="C36" i="30"/>
  <c r="N35" i="30"/>
  <c r="M35" i="30"/>
  <c r="L35" i="30"/>
  <c r="K35" i="30"/>
  <c r="C35" i="30"/>
  <c r="N34" i="30"/>
  <c r="M34" i="30"/>
  <c r="L34" i="30"/>
  <c r="K34" i="30"/>
  <c r="C34" i="30"/>
  <c r="N33" i="30"/>
  <c r="M33" i="30"/>
  <c r="L33" i="30"/>
  <c r="K33" i="30"/>
  <c r="C33" i="30"/>
  <c r="N32" i="30"/>
  <c r="M32" i="30"/>
  <c r="L32" i="30"/>
  <c r="K32" i="30"/>
  <c r="C32" i="30"/>
  <c r="N31" i="30"/>
  <c r="M31" i="30"/>
  <c r="L31" i="30"/>
  <c r="K31" i="30"/>
  <c r="C31" i="30"/>
  <c r="N30" i="30"/>
  <c r="M30" i="30"/>
  <c r="L30" i="30"/>
  <c r="K30" i="30"/>
  <c r="C30" i="30"/>
  <c r="N29" i="30"/>
  <c r="M29" i="30"/>
  <c r="L29" i="30"/>
  <c r="K29" i="30"/>
  <c r="C29" i="30"/>
  <c r="N28" i="30"/>
  <c r="M28" i="30"/>
  <c r="L28" i="30"/>
  <c r="K28" i="30"/>
  <c r="C28" i="30"/>
  <c r="N27" i="30"/>
  <c r="M27" i="30"/>
  <c r="L27" i="30"/>
  <c r="K27" i="30"/>
  <c r="C27" i="30"/>
  <c r="N26" i="30"/>
  <c r="M26" i="30"/>
  <c r="L26" i="30"/>
  <c r="K26" i="30"/>
  <c r="C26" i="30"/>
  <c r="N25" i="30"/>
  <c r="M25" i="30"/>
  <c r="L25" i="30"/>
  <c r="K25" i="30"/>
  <c r="C25" i="30"/>
  <c r="N24" i="30"/>
  <c r="M24" i="30"/>
  <c r="L24" i="30"/>
  <c r="K24" i="30"/>
  <c r="C24" i="30"/>
  <c r="N23" i="30"/>
  <c r="M23" i="30"/>
  <c r="L23" i="30"/>
  <c r="K23" i="30"/>
  <c r="C23" i="30"/>
  <c r="N22" i="30"/>
  <c r="M22" i="30"/>
  <c r="L22" i="30"/>
  <c r="K22" i="30"/>
  <c r="C22" i="30"/>
  <c r="N21" i="30"/>
  <c r="M21" i="30"/>
  <c r="L21" i="30"/>
  <c r="K21" i="30"/>
  <c r="C21" i="30"/>
  <c r="N20" i="30"/>
  <c r="M20" i="30"/>
  <c r="L20" i="30"/>
  <c r="K20" i="30"/>
  <c r="C20" i="30"/>
  <c r="N19" i="30"/>
  <c r="M19" i="30"/>
  <c r="L19" i="30"/>
  <c r="K19" i="30"/>
  <c r="C19" i="30"/>
  <c r="N18" i="30"/>
  <c r="M18" i="30"/>
  <c r="L18" i="30"/>
  <c r="K18" i="30"/>
  <c r="C18" i="30"/>
  <c r="N17" i="30"/>
  <c r="M17" i="30"/>
  <c r="L17" i="30"/>
  <c r="K17" i="30"/>
  <c r="C17" i="30"/>
  <c r="N16" i="30"/>
  <c r="M16" i="30"/>
  <c r="L16" i="30"/>
  <c r="K16" i="30"/>
  <c r="D16" i="30"/>
  <c r="C16" i="30"/>
  <c r="N15" i="30"/>
  <c r="M15" i="30"/>
  <c r="L15" i="30"/>
  <c r="K15" i="30"/>
  <c r="D15" i="30"/>
  <c r="C15" i="30"/>
  <c r="J62" i="46"/>
  <c r="J37" i="46"/>
  <c r="C29" i="46"/>
  <c r="B29" i="46"/>
  <c r="E28" i="46"/>
  <c r="J28" i="46" s="1"/>
  <c r="L28" i="46" s="1"/>
  <c r="C28" i="46"/>
  <c r="I28" i="46" s="1"/>
  <c r="B28" i="46"/>
  <c r="E27" i="46"/>
  <c r="F27" i="46" s="1"/>
  <c r="C27" i="46"/>
  <c r="H27" i="46" s="1"/>
  <c r="B27" i="46"/>
  <c r="C26" i="46"/>
  <c r="H26" i="46" s="1"/>
  <c r="B26" i="46"/>
  <c r="C25" i="46"/>
  <c r="I25" i="46" s="1"/>
  <c r="B25" i="46"/>
  <c r="C24" i="46"/>
  <c r="I24" i="46" s="1"/>
  <c r="B24" i="46"/>
  <c r="E23" i="46"/>
  <c r="C23" i="46"/>
  <c r="I23" i="46" s="1"/>
  <c r="E22" i="46"/>
  <c r="F22" i="46" s="1"/>
  <c r="C22" i="46"/>
  <c r="I22" i="46" s="1"/>
  <c r="C21" i="46"/>
  <c r="H21" i="46" s="1"/>
  <c r="C20" i="46"/>
  <c r="H20" i="46" s="1"/>
  <c r="C19" i="46"/>
  <c r="I19" i="46" s="1"/>
  <c r="C18" i="46"/>
  <c r="H18" i="46" s="1"/>
  <c r="C17" i="46"/>
  <c r="H17" i="46" s="1"/>
  <c r="C16" i="46"/>
  <c r="E15" i="46"/>
  <c r="F15" i="46" s="1"/>
  <c r="C15" i="46"/>
  <c r="I15" i="46" s="1"/>
  <c r="I14" i="46"/>
  <c r="H14" i="46"/>
  <c r="G14" i="46"/>
  <c r="B14" i="46"/>
  <c r="I13" i="46"/>
  <c r="H13" i="46"/>
  <c r="G13" i="46"/>
  <c r="B13" i="46"/>
  <c r="I12" i="46"/>
  <c r="H12" i="46"/>
  <c r="G12" i="46"/>
  <c r="B12" i="46"/>
  <c r="I11" i="46"/>
  <c r="H11" i="46"/>
  <c r="G11" i="46"/>
  <c r="B11" i="46"/>
  <c r="F6" i="46"/>
  <c r="F5" i="46"/>
  <c r="G5" i="46" s="1"/>
  <c r="E14" i="46" s="1"/>
  <c r="H4" i="46"/>
  <c r="F4" i="46"/>
  <c r="G4" i="46" s="1"/>
  <c r="E13" i="46" s="1"/>
  <c r="F3" i="46"/>
  <c r="G3" i="46" s="1"/>
  <c r="E12" i="46" s="1"/>
  <c r="F12" i="46" s="1"/>
  <c r="F2" i="46"/>
  <c r="G2" i="46" s="1"/>
  <c r="E11" i="46" s="1"/>
  <c r="P46" i="23"/>
  <c r="O46" i="23"/>
  <c r="N46" i="23"/>
  <c r="M46" i="23"/>
  <c r="L46" i="23"/>
  <c r="K46" i="23"/>
  <c r="J46" i="23"/>
  <c r="H46" i="23"/>
  <c r="G46" i="23"/>
  <c r="F46" i="23"/>
  <c r="E46" i="23"/>
  <c r="D46" i="23"/>
  <c r="C46" i="23"/>
  <c r="P45" i="23"/>
  <c r="O45" i="23"/>
  <c r="N45" i="23"/>
  <c r="M45" i="23"/>
  <c r="L45" i="23"/>
  <c r="K45" i="23"/>
  <c r="J45" i="23"/>
  <c r="H45" i="23"/>
  <c r="G45" i="23"/>
  <c r="F45" i="23"/>
  <c r="E45" i="23"/>
  <c r="D45" i="23"/>
  <c r="C45" i="23"/>
  <c r="P44" i="23"/>
  <c r="O44" i="23"/>
  <c r="N44" i="23"/>
  <c r="M44" i="23"/>
  <c r="L44" i="23"/>
  <c r="K44" i="23"/>
  <c r="J44" i="23"/>
  <c r="H44" i="23"/>
  <c r="G44" i="23"/>
  <c r="F44" i="23"/>
  <c r="E44" i="23"/>
  <c r="D44" i="23"/>
  <c r="C44" i="23"/>
  <c r="P43" i="23"/>
  <c r="O43" i="23"/>
  <c r="N43" i="23"/>
  <c r="M43" i="23"/>
  <c r="L43" i="23"/>
  <c r="K43" i="23"/>
  <c r="J43" i="23"/>
  <c r="H43" i="23"/>
  <c r="G43" i="23"/>
  <c r="F43" i="23"/>
  <c r="E43" i="23"/>
  <c r="D43" i="23"/>
  <c r="C43" i="23"/>
  <c r="P42" i="23"/>
  <c r="O42" i="23"/>
  <c r="N42" i="23"/>
  <c r="M42" i="23"/>
  <c r="L42" i="23"/>
  <c r="K42" i="23"/>
  <c r="J42" i="23"/>
  <c r="H42" i="23"/>
  <c r="G42" i="23"/>
  <c r="F42" i="23"/>
  <c r="E42" i="23"/>
  <c r="D42" i="23"/>
  <c r="C42" i="23"/>
  <c r="P41" i="23"/>
  <c r="O41" i="23"/>
  <c r="N41" i="23"/>
  <c r="M41" i="23"/>
  <c r="L41" i="23"/>
  <c r="K41" i="23"/>
  <c r="J41" i="23"/>
  <c r="H41" i="23"/>
  <c r="G41" i="23"/>
  <c r="F41" i="23"/>
  <c r="E41" i="23"/>
  <c r="D41" i="23"/>
  <c r="C41" i="23"/>
  <c r="P40" i="23"/>
  <c r="O40" i="23"/>
  <c r="N40" i="23"/>
  <c r="M40" i="23"/>
  <c r="L40" i="23"/>
  <c r="K40" i="23"/>
  <c r="J40" i="23"/>
  <c r="H40" i="23"/>
  <c r="G40" i="23"/>
  <c r="F40" i="23"/>
  <c r="E40" i="23"/>
  <c r="D40" i="23"/>
  <c r="C40" i="23"/>
  <c r="P39" i="23"/>
  <c r="O39" i="23"/>
  <c r="N39" i="23"/>
  <c r="M39" i="23"/>
  <c r="L39" i="23"/>
  <c r="K39" i="23"/>
  <c r="J39" i="23"/>
  <c r="H39" i="23"/>
  <c r="G39" i="23"/>
  <c r="F39" i="23"/>
  <c r="E39" i="23"/>
  <c r="D39" i="23"/>
  <c r="C39" i="23"/>
  <c r="P38" i="23"/>
  <c r="O38" i="23"/>
  <c r="N38" i="23"/>
  <c r="M38" i="23"/>
  <c r="L38" i="23"/>
  <c r="K38" i="23"/>
  <c r="J38" i="23"/>
  <c r="H38" i="23"/>
  <c r="G38" i="23"/>
  <c r="F38" i="23"/>
  <c r="E38" i="23"/>
  <c r="D38" i="23"/>
  <c r="C38" i="23"/>
  <c r="P37" i="23"/>
  <c r="O37" i="23"/>
  <c r="N37" i="23"/>
  <c r="M37" i="23"/>
  <c r="L37" i="23"/>
  <c r="K37" i="23"/>
  <c r="J37" i="23"/>
  <c r="H37" i="23"/>
  <c r="G37" i="23"/>
  <c r="F37" i="23"/>
  <c r="E37" i="23"/>
  <c r="D37" i="23"/>
  <c r="C37" i="23"/>
  <c r="P36" i="23"/>
  <c r="O36" i="23"/>
  <c r="N36" i="23"/>
  <c r="M36" i="23"/>
  <c r="L36" i="23"/>
  <c r="K36" i="23"/>
  <c r="J36" i="23"/>
  <c r="H36" i="23"/>
  <c r="G36" i="23"/>
  <c r="F36" i="23"/>
  <c r="E36" i="23"/>
  <c r="D36" i="23"/>
  <c r="C36" i="23"/>
  <c r="P35" i="23"/>
  <c r="O35" i="23"/>
  <c r="N35" i="23"/>
  <c r="M35" i="23"/>
  <c r="L35" i="23"/>
  <c r="K35" i="23"/>
  <c r="J35" i="23"/>
  <c r="H35" i="23"/>
  <c r="G35" i="23"/>
  <c r="F35" i="23"/>
  <c r="E35" i="23"/>
  <c r="D35" i="23"/>
  <c r="C35" i="23"/>
  <c r="P34" i="23"/>
  <c r="O34" i="23"/>
  <c r="N34" i="23"/>
  <c r="M34" i="23"/>
  <c r="L34" i="23"/>
  <c r="K34" i="23"/>
  <c r="J34" i="23"/>
  <c r="H34" i="23"/>
  <c r="G34" i="23"/>
  <c r="F34" i="23"/>
  <c r="E34" i="23"/>
  <c r="D34" i="23"/>
  <c r="C34" i="23"/>
  <c r="P33" i="23"/>
  <c r="O33" i="23"/>
  <c r="N33" i="23"/>
  <c r="M33" i="23"/>
  <c r="L33" i="23"/>
  <c r="K33" i="23"/>
  <c r="J33" i="23"/>
  <c r="H33" i="23"/>
  <c r="G33" i="23"/>
  <c r="F33" i="23"/>
  <c r="E33" i="23"/>
  <c r="D33" i="23"/>
  <c r="C33" i="23"/>
  <c r="P32" i="23"/>
  <c r="O32" i="23"/>
  <c r="N32" i="23"/>
  <c r="M32" i="23"/>
  <c r="L32" i="23"/>
  <c r="K32" i="23"/>
  <c r="J32" i="23"/>
  <c r="H32" i="23"/>
  <c r="G32" i="23"/>
  <c r="F32" i="23"/>
  <c r="E32" i="23"/>
  <c r="D32" i="23"/>
  <c r="C32" i="23"/>
  <c r="P31" i="23"/>
  <c r="O31" i="23"/>
  <c r="N31" i="23"/>
  <c r="M31" i="23"/>
  <c r="L31" i="23"/>
  <c r="K31" i="23"/>
  <c r="J31" i="23"/>
  <c r="H31" i="23"/>
  <c r="G31" i="23"/>
  <c r="F31" i="23"/>
  <c r="E31" i="23"/>
  <c r="D31" i="23"/>
  <c r="C31" i="23"/>
  <c r="P30" i="23"/>
  <c r="O30" i="23"/>
  <c r="N30" i="23"/>
  <c r="M30" i="23"/>
  <c r="L30" i="23"/>
  <c r="K30" i="23"/>
  <c r="J30" i="23"/>
  <c r="H30" i="23"/>
  <c r="G30" i="23"/>
  <c r="F30" i="23"/>
  <c r="E30" i="23"/>
  <c r="D30" i="23"/>
  <c r="C30" i="23"/>
  <c r="P29" i="23"/>
  <c r="O29" i="23"/>
  <c r="N29" i="23"/>
  <c r="M29" i="23"/>
  <c r="L29" i="23"/>
  <c r="K29" i="23"/>
  <c r="J29" i="23"/>
  <c r="H29" i="23"/>
  <c r="G29" i="23"/>
  <c r="F29" i="23"/>
  <c r="E29" i="23"/>
  <c r="D29" i="23"/>
  <c r="C29" i="23"/>
  <c r="P28" i="23"/>
  <c r="O28" i="23"/>
  <c r="N28" i="23"/>
  <c r="M28" i="23"/>
  <c r="L28" i="23"/>
  <c r="K28" i="23"/>
  <c r="J28" i="23"/>
  <c r="H28" i="23"/>
  <c r="G28" i="23"/>
  <c r="F28" i="23"/>
  <c r="E28" i="23"/>
  <c r="D28" i="23"/>
  <c r="C28" i="23"/>
  <c r="P27" i="23"/>
  <c r="O27" i="23"/>
  <c r="N27" i="23"/>
  <c r="M27" i="23"/>
  <c r="L27" i="23"/>
  <c r="K27" i="23"/>
  <c r="J27" i="23"/>
  <c r="H27" i="23"/>
  <c r="G27" i="23"/>
  <c r="F27" i="23"/>
  <c r="E27" i="23"/>
  <c r="D27" i="23"/>
  <c r="C27" i="23"/>
  <c r="P26" i="23"/>
  <c r="O26" i="23"/>
  <c r="N26" i="23"/>
  <c r="M26" i="23"/>
  <c r="L26" i="23"/>
  <c r="K26" i="23"/>
  <c r="J26" i="23"/>
  <c r="H26" i="23"/>
  <c r="G26" i="23"/>
  <c r="F26" i="23"/>
  <c r="E26" i="23"/>
  <c r="D26" i="23"/>
  <c r="C26" i="23"/>
  <c r="P25" i="23"/>
  <c r="O25" i="23"/>
  <c r="N25" i="23"/>
  <c r="M25" i="23"/>
  <c r="L25" i="23"/>
  <c r="K25" i="23"/>
  <c r="J25" i="23"/>
  <c r="H25" i="23"/>
  <c r="G25" i="23"/>
  <c r="F25" i="23"/>
  <c r="E25" i="23"/>
  <c r="D25" i="23"/>
  <c r="C25" i="23"/>
  <c r="P24" i="23"/>
  <c r="O24" i="23"/>
  <c r="N24" i="23"/>
  <c r="M24" i="23"/>
  <c r="L24" i="23"/>
  <c r="K24" i="23"/>
  <c r="J24" i="23"/>
  <c r="H24" i="23"/>
  <c r="G24" i="23"/>
  <c r="F24" i="23"/>
  <c r="E24" i="23"/>
  <c r="D24" i="23"/>
  <c r="C24" i="23"/>
  <c r="P23" i="23"/>
  <c r="O23" i="23"/>
  <c r="N23" i="23"/>
  <c r="M23" i="23"/>
  <c r="L23" i="23"/>
  <c r="K23" i="23"/>
  <c r="J23" i="23"/>
  <c r="H23" i="23"/>
  <c r="G23" i="23"/>
  <c r="F23" i="23"/>
  <c r="E23" i="23"/>
  <c r="D23" i="23"/>
  <c r="C23" i="23"/>
  <c r="P22" i="23"/>
  <c r="O22" i="23"/>
  <c r="N22" i="23"/>
  <c r="M22" i="23"/>
  <c r="L22" i="23"/>
  <c r="J22" i="23"/>
  <c r="D22" i="23"/>
  <c r="C22" i="23"/>
  <c r="J21" i="23"/>
  <c r="D21" i="23"/>
  <c r="C21" i="23"/>
  <c r="J20" i="23"/>
  <c r="D20" i="23"/>
  <c r="C20" i="23"/>
  <c r="J19" i="23"/>
  <c r="J18" i="23"/>
  <c r="J17" i="23"/>
  <c r="J16" i="23"/>
  <c r="J15" i="23"/>
  <c r="J14" i="23"/>
  <c r="J13" i="23"/>
  <c r="J12" i="23"/>
  <c r="J11" i="23"/>
  <c r="J10" i="23"/>
  <c r="J9" i="23"/>
  <c r="J8" i="23"/>
  <c r="J7" i="23"/>
  <c r="J6" i="23"/>
  <c r="J5" i="23"/>
  <c r="J4" i="23"/>
  <c r="J67" i="22"/>
  <c r="I67" i="22"/>
  <c r="H67" i="22"/>
  <c r="I24" i="22"/>
  <c r="F24" i="22"/>
  <c r="I23" i="22"/>
  <c r="F23" i="22"/>
  <c r="I22" i="22"/>
  <c r="F22" i="22"/>
  <c r="I21" i="22"/>
  <c r="F21" i="22"/>
  <c r="I20" i="22"/>
  <c r="F20" i="22"/>
  <c r="I19" i="22"/>
  <c r="F19" i="22"/>
  <c r="I18" i="22"/>
  <c r="F18" i="22"/>
  <c r="I17" i="22"/>
  <c r="F17" i="22"/>
  <c r="I16" i="22"/>
  <c r="F16" i="22"/>
  <c r="I15" i="22"/>
  <c r="F15" i="22"/>
  <c r="I14" i="22"/>
  <c r="F14" i="22"/>
  <c r="I13" i="22"/>
  <c r="F13" i="22"/>
  <c r="I12" i="22"/>
  <c r="F12" i="22"/>
  <c r="I11" i="22"/>
  <c r="F11" i="22"/>
  <c r="I10" i="22"/>
  <c r="F10" i="22"/>
  <c r="I9" i="22"/>
  <c r="F9" i="22"/>
  <c r="I8" i="22"/>
  <c r="F8" i="22"/>
  <c r="I7" i="22"/>
  <c r="F7" i="22"/>
  <c r="I6" i="22"/>
  <c r="F6" i="22"/>
  <c r="I5" i="22"/>
  <c r="F5" i="22"/>
  <c r="L24" i="21"/>
  <c r="L23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L10" i="21"/>
  <c r="L9" i="21"/>
  <c r="L8" i="21"/>
  <c r="L7" i="21"/>
  <c r="L6" i="21"/>
  <c r="L5" i="21"/>
  <c r="G5" i="21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M6" i="20"/>
  <c r="M5" i="20"/>
  <c r="I5" i="20"/>
  <c r="AN24" i="18"/>
  <c r="AG24" i="18"/>
  <c r="X24" i="18"/>
  <c r="N24" i="18"/>
  <c r="AN23" i="18"/>
  <c r="AG23" i="18"/>
  <c r="X23" i="18"/>
  <c r="N23" i="18"/>
  <c r="AN22" i="18"/>
  <c r="AG22" i="18"/>
  <c r="X22" i="18"/>
  <c r="N22" i="18"/>
  <c r="AN21" i="18"/>
  <c r="AG21" i="18"/>
  <c r="X21" i="18"/>
  <c r="N21" i="18"/>
  <c r="AN20" i="18"/>
  <c r="AG20" i="18"/>
  <c r="X20" i="18"/>
  <c r="N20" i="18"/>
  <c r="AN19" i="18"/>
  <c r="AG19" i="18"/>
  <c r="X19" i="18"/>
  <c r="N19" i="18"/>
  <c r="AN18" i="18"/>
  <c r="AG18" i="18"/>
  <c r="X18" i="18"/>
  <c r="N18" i="18"/>
  <c r="AN17" i="18"/>
  <c r="AG17" i="18"/>
  <c r="X17" i="18"/>
  <c r="N17" i="18"/>
  <c r="AN16" i="18"/>
  <c r="AG16" i="18"/>
  <c r="X16" i="18"/>
  <c r="N16" i="18"/>
  <c r="AN15" i="18"/>
  <c r="AG15" i="18"/>
  <c r="X15" i="18"/>
  <c r="N15" i="18"/>
  <c r="AN14" i="18"/>
  <c r="AG14" i="18"/>
  <c r="X14" i="18"/>
  <c r="N14" i="18"/>
  <c r="AN13" i="18"/>
  <c r="AG13" i="18"/>
  <c r="X13" i="18"/>
  <c r="N13" i="18"/>
  <c r="AN12" i="18"/>
  <c r="AG12" i="18"/>
  <c r="X12" i="18"/>
  <c r="N12" i="18"/>
  <c r="AN11" i="18"/>
  <c r="AG11" i="18"/>
  <c r="X11" i="18"/>
  <c r="N11" i="18"/>
  <c r="AN10" i="18"/>
  <c r="AG10" i="18"/>
  <c r="X10" i="18"/>
  <c r="N10" i="18"/>
  <c r="AN9" i="18"/>
  <c r="AG9" i="18"/>
  <c r="X9" i="18"/>
  <c r="N9" i="18"/>
  <c r="AN8" i="18"/>
  <c r="AG8" i="18"/>
  <c r="X8" i="18"/>
  <c r="N8" i="18"/>
  <c r="AN7" i="18"/>
  <c r="AG7" i="18"/>
  <c r="X7" i="18"/>
  <c r="N7" i="18"/>
  <c r="AN6" i="18"/>
  <c r="AG6" i="18"/>
  <c r="X6" i="18"/>
  <c r="N6" i="18"/>
  <c r="AN5" i="18"/>
  <c r="AG5" i="18"/>
  <c r="X5" i="18"/>
  <c r="N5" i="18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C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G29" i="14"/>
  <c r="F29" i="14"/>
  <c r="E29" i="14"/>
  <c r="D29" i="14"/>
  <c r="C29" i="14"/>
  <c r="G16" i="14"/>
  <c r="F16" i="14"/>
  <c r="E16" i="14"/>
  <c r="D16" i="14"/>
  <c r="C16" i="14"/>
  <c r="E414" i="5"/>
  <c r="E406" i="5"/>
  <c r="E402" i="5"/>
  <c r="F402" i="5" s="1"/>
  <c r="E401" i="5"/>
  <c r="F401" i="5" s="1"/>
  <c r="E400" i="5"/>
  <c r="F400" i="5" s="1"/>
  <c r="F399" i="5"/>
  <c r="G399" i="5" s="1"/>
  <c r="E399" i="5"/>
  <c r="E413" i="5" s="1"/>
  <c r="F398" i="5"/>
  <c r="F412" i="5" s="1"/>
  <c r="E398" i="5"/>
  <c r="E412" i="5" s="1"/>
  <c r="E397" i="5"/>
  <c r="F397" i="5" s="1"/>
  <c r="E396" i="5"/>
  <c r="F396" i="5" s="1"/>
  <c r="E395" i="5"/>
  <c r="E409" i="5" s="1"/>
  <c r="E394" i="5"/>
  <c r="F394" i="5" s="1"/>
  <c r="E393" i="5"/>
  <c r="F393" i="5" s="1"/>
  <c r="F392" i="5"/>
  <c r="G392" i="5" s="1"/>
  <c r="E392" i="5"/>
  <c r="I346" i="5"/>
  <c r="H346" i="5"/>
  <c r="G346" i="5"/>
  <c r="F346" i="5"/>
  <c r="I345" i="5"/>
  <c r="H345" i="5"/>
  <c r="G345" i="5"/>
  <c r="F345" i="5"/>
  <c r="I344" i="5"/>
  <c r="H344" i="5"/>
  <c r="G344" i="5"/>
  <c r="F344" i="5"/>
  <c r="I343" i="5"/>
  <c r="H343" i="5"/>
  <c r="G343" i="5"/>
  <c r="F343" i="5"/>
  <c r="I341" i="5"/>
  <c r="H341" i="5"/>
  <c r="G341" i="5"/>
  <c r="F341" i="5"/>
  <c r="I340" i="5"/>
  <c r="H340" i="5"/>
  <c r="G340" i="5"/>
  <c r="F340" i="5"/>
  <c r="I339" i="5"/>
  <c r="H339" i="5"/>
  <c r="G339" i="5"/>
  <c r="F339" i="5"/>
  <c r="I338" i="5"/>
  <c r="H338" i="5"/>
  <c r="G338" i="5"/>
  <c r="F338" i="5"/>
  <c r="H337" i="5"/>
  <c r="G337" i="5"/>
  <c r="F337" i="5"/>
  <c r="I336" i="5"/>
  <c r="H336" i="5"/>
  <c r="G336" i="5"/>
  <c r="F336" i="5"/>
  <c r="I332" i="5"/>
  <c r="H332" i="5"/>
  <c r="G332" i="5"/>
  <c r="F332" i="5"/>
  <c r="E332" i="5"/>
  <c r="I331" i="5"/>
  <c r="H331" i="5"/>
  <c r="G331" i="5"/>
  <c r="F331" i="5"/>
  <c r="E331" i="5"/>
  <c r="I330" i="5"/>
  <c r="H330" i="5"/>
  <c r="G330" i="5"/>
  <c r="F330" i="5"/>
  <c r="E330" i="5"/>
  <c r="I329" i="5"/>
  <c r="H329" i="5"/>
  <c r="G329" i="5"/>
  <c r="F329" i="5"/>
  <c r="E329" i="5"/>
  <c r="AG328" i="5"/>
  <c r="AF328" i="5"/>
  <c r="AE328" i="5"/>
  <c r="AD328" i="5"/>
  <c r="AC328" i="5"/>
  <c r="AB328" i="5"/>
  <c r="AA328" i="5"/>
  <c r="Z328" i="5"/>
  <c r="Y328" i="5"/>
  <c r="X328" i="5"/>
  <c r="W328" i="5"/>
  <c r="V328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I327" i="5"/>
  <c r="H327" i="5"/>
  <c r="G327" i="5"/>
  <c r="F327" i="5"/>
  <c r="E327" i="5"/>
  <c r="I326" i="5"/>
  <c r="H326" i="5"/>
  <c r="G326" i="5"/>
  <c r="F326" i="5"/>
  <c r="E326" i="5"/>
  <c r="I325" i="5"/>
  <c r="H325" i="5"/>
  <c r="G325" i="5"/>
  <c r="F325" i="5"/>
  <c r="E325" i="5"/>
  <c r="I324" i="5"/>
  <c r="H324" i="5"/>
  <c r="G324" i="5"/>
  <c r="F324" i="5"/>
  <c r="E324" i="5"/>
  <c r="I323" i="5"/>
  <c r="H323" i="5"/>
  <c r="G323" i="5"/>
  <c r="F323" i="5"/>
  <c r="I322" i="5"/>
  <c r="H322" i="5"/>
  <c r="G322" i="5"/>
  <c r="F322" i="5"/>
  <c r="E322" i="5"/>
  <c r="I290" i="5"/>
  <c r="H290" i="5"/>
  <c r="G290" i="5"/>
  <c r="F290" i="5"/>
  <c r="I289" i="5"/>
  <c r="H289" i="5"/>
  <c r="G289" i="5"/>
  <c r="F289" i="5"/>
  <c r="I288" i="5"/>
  <c r="H288" i="5"/>
  <c r="G288" i="5"/>
  <c r="F288" i="5"/>
  <c r="I287" i="5"/>
  <c r="H287" i="5"/>
  <c r="G287" i="5"/>
  <c r="F287" i="5"/>
  <c r="I286" i="5"/>
  <c r="H286" i="5"/>
  <c r="G286" i="5"/>
  <c r="F286" i="5"/>
  <c r="I285" i="5"/>
  <c r="H285" i="5"/>
  <c r="G285" i="5"/>
  <c r="F285" i="5"/>
  <c r="I284" i="5"/>
  <c r="H284" i="5"/>
  <c r="G284" i="5"/>
  <c r="F284" i="5"/>
  <c r="I283" i="5"/>
  <c r="H283" i="5"/>
  <c r="G283" i="5"/>
  <c r="F283" i="5"/>
  <c r="I282" i="5"/>
  <c r="H282" i="5"/>
  <c r="G282" i="5"/>
  <c r="F282" i="5"/>
  <c r="I281" i="5"/>
  <c r="H281" i="5"/>
  <c r="G281" i="5"/>
  <c r="F281" i="5"/>
  <c r="I280" i="5"/>
  <c r="H280" i="5"/>
  <c r="G280" i="5"/>
  <c r="F280" i="5"/>
  <c r="F280" i="5" a="1"/>
  <c r="I276" i="5"/>
  <c r="H276" i="5"/>
  <c r="G276" i="5"/>
  <c r="F276" i="5"/>
  <c r="E276" i="5"/>
  <c r="I275" i="5"/>
  <c r="H275" i="5"/>
  <c r="G275" i="5"/>
  <c r="F275" i="5"/>
  <c r="E275" i="5"/>
  <c r="I274" i="5"/>
  <c r="H274" i="5"/>
  <c r="G274" i="5"/>
  <c r="F274" i="5"/>
  <c r="E274" i="5"/>
  <c r="I273" i="5"/>
  <c r="H273" i="5"/>
  <c r="G273" i="5"/>
  <c r="F273" i="5"/>
  <c r="E273" i="5"/>
  <c r="I272" i="5"/>
  <c r="H272" i="5"/>
  <c r="G272" i="5"/>
  <c r="F272" i="5"/>
  <c r="E272" i="5"/>
  <c r="I271" i="5"/>
  <c r="H271" i="5"/>
  <c r="G271" i="5"/>
  <c r="F271" i="5"/>
  <c r="E271" i="5"/>
  <c r="I270" i="5"/>
  <c r="H270" i="5"/>
  <c r="G270" i="5"/>
  <c r="F270" i="5"/>
  <c r="E270" i="5"/>
  <c r="I269" i="5"/>
  <c r="H269" i="5"/>
  <c r="G269" i="5"/>
  <c r="F269" i="5"/>
  <c r="E269" i="5"/>
  <c r="I268" i="5"/>
  <c r="H268" i="5"/>
  <c r="G268" i="5"/>
  <c r="F268" i="5"/>
  <c r="E268" i="5"/>
  <c r="I267" i="5"/>
  <c r="H267" i="5"/>
  <c r="G267" i="5"/>
  <c r="F267" i="5"/>
  <c r="E267" i="5"/>
  <c r="I266" i="5"/>
  <c r="H266" i="5"/>
  <c r="G266" i="5"/>
  <c r="F266" i="5"/>
  <c r="J247" i="5"/>
  <c r="I247" i="5"/>
  <c r="H247" i="5"/>
  <c r="G247" i="5"/>
  <c r="F247" i="5"/>
  <c r="E247" i="5"/>
  <c r="J246" i="5"/>
  <c r="I246" i="5"/>
  <c r="H246" i="5"/>
  <c r="G246" i="5"/>
  <c r="F246" i="5"/>
  <c r="E246" i="5"/>
  <c r="J245" i="5"/>
  <c r="I245" i="5"/>
  <c r="H245" i="5"/>
  <c r="G245" i="5"/>
  <c r="F245" i="5"/>
  <c r="E245" i="5"/>
  <c r="J244" i="5"/>
  <c r="I244" i="5"/>
  <c r="H244" i="5"/>
  <c r="G244" i="5"/>
  <c r="F244" i="5"/>
  <c r="E244" i="5"/>
  <c r="J243" i="5"/>
  <c r="I243" i="5"/>
  <c r="H243" i="5"/>
  <c r="G243" i="5"/>
  <c r="F243" i="5"/>
  <c r="E243" i="5"/>
  <c r="J242" i="5"/>
  <c r="I242" i="5"/>
  <c r="H242" i="5"/>
  <c r="G242" i="5"/>
  <c r="F242" i="5"/>
  <c r="E242" i="5"/>
  <c r="J241" i="5"/>
  <c r="I241" i="5"/>
  <c r="H241" i="5"/>
  <c r="G241" i="5"/>
  <c r="F241" i="5"/>
  <c r="E241" i="5"/>
  <c r="J240" i="5"/>
  <c r="I240" i="5"/>
  <c r="H240" i="5"/>
  <c r="G240" i="5"/>
  <c r="F240" i="5"/>
  <c r="E240" i="5"/>
  <c r="J239" i="5"/>
  <c r="I239" i="5"/>
  <c r="H239" i="5"/>
  <c r="G239" i="5"/>
  <c r="F239" i="5"/>
  <c r="E239" i="5"/>
  <c r="J238" i="5"/>
  <c r="I238" i="5"/>
  <c r="H238" i="5"/>
  <c r="G238" i="5"/>
  <c r="F238" i="5"/>
  <c r="E238" i="5"/>
  <c r="J237" i="5"/>
  <c r="I237" i="5"/>
  <c r="H237" i="5"/>
  <c r="G237" i="5"/>
  <c r="F237" i="5"/>
  <c r="E237" i="5"/>
  <c r="J232" i="5"/>
  <c r="I232" i="5"/>
  <c r="H232" i="5"/>
  <c r="G232" i="5"/>
  <c r="F232" i="5"/>
  <c r="E232" i="5"/>
  <c r="J231" i="5"/>
  <c r="I231" i="5"/>
  <c r="H231" i="5"/>
  <c r="G231" i="5"/>
  <c r="F231" i="5"/>
  <c r="E231" i="5"/>
  <c r="J230" i="5"/>
  <c r="I230" i="5"/>
  <c r="H230" i="5"/>
  <c r="G230" i="5"/>
  <c r="F230" i="5"/>
  <c r="E230" i="5"/>
  <c r="J229" i="5"/>
  <c r="I229" i="5"/>
  <c r="H229" i="5"/>
  <c r="G229" i="5"/>
  <c r="F229" i="5"/>
  <c r="E229" i="5"/>
  <c r="J228" i="5"/>
  <c r="I228" i="5"/>
  <c r="H228" i="5"/>
  <c r="G228" i="5"/>
  <c r="F228" i="5"/>
  <c r="E228" i="5"/>
  <c r="J227" i="5"/>
  <c r="I227" i="5"/>
  <c r="H227" i="5"/>
  <c r="G227" i="5"/>
  <c r="F227" i="5"/>
  <c r="E227" i="5"/>
  <c r="J226" i="5"/>
  <c r="I226" i="5"/>
  <c r="H226" i="5"/>
  <c r="G226" i="5"/>
  <c r="F226" i="5"/>
  <c r="E226" i="5"/>
  <c r="J225" i="5"/>
  <c r="I225" i="5"/>
  <c r="H225" i="5"/>
  <c r="G225" i="5"/>
  <c r="F225" i="5"/>
  <c r="E225" i="5"/>
  <c r="J224" i="5"/>
  <c r="I224" i="5"/>
  <c r="H224" i="5"/>
  <c r="G224" i="5"/>
  <c r="F224" i="5"/>
  <c r="E224" i="5"/>
  <c r="J223" i="5"/>
  <c r="I223" i="5"/>
  <c r="H223" i="5"/>
  <c r="G223" i="5"/>
  <c r="F223" i="5"/>
  <c r="E223" i="5"/>
  <c r="J222" i="5"/>
  <c r="I222" i="5"/>
  <c r="H222" i="5"/>
  <c r="G222" i="5"/>
  <c r="F222" i="5"/>
  <c r="E222" i="5"/>
  <c r="E216" i="5"/>
  <c r="E215" i="5"/>
  <c r="E214" i="5"/>
  <c r="E213" i="5"/>
  <c r="E212" i="5"/>
  <c r="E211" i="5"/>
  <c r="E210" i="5"/>
  <c r="E209" i="5"/>
  <c r="E208" i="5"/>
  <c r="E207" i="5"/>
  <c r="E206" i="5"/>
  <c r="E200" i="5"/>
  <c r="E199" i="5"/>
  <c r="C198" i="5"/>
  <c r="E198" i="5" s="1"/>
  <c r="E197" i="5"/>
  <c r="E196" i="5"/>
  <c r="E195" i="5"/>
  <c r="E194" i="5"/>
  <c r="E193" i="5"/>
  <c r="E192" i="5"/>
  <c r="E191" i="5"/>
  <c r="E190" i="5"/>
  <c r="J184" i="5"/>
  <c r="I184" i="5"/>
  <c r="H184" i="5"/>
  <c r="G184" i="5"/>
  <c r="F184" i="5"/>
  <c r="E184" i="5"/>
  <c r="J183" i="5"/>
  <c r="I183" i="5"/>
  <c r="H183" i="5"/>
  <c r="G183" i="5"/>
  <c r="F183" i="5"/>
  <c r="E183" i="5"/>
  <c r="J182" i="5"/>
  <c r="I182" i="5"/>
  <c r="H182" i="5"/>
  <c r="G182" i="5"/>
  <c r="F182" i="5"/>
  <c r="E182" i="5"/>
  <c r="J181" i="5"/>
  <c r="I181" i="5"/>
  <c r="H181" i="5"/>
  <c r="G181" i="5"/>
  <c r="F181" i="5"/>
  <c r="E181" i="5"/>
  <c r="J180" i="5"/>
  <c r="I180" i="5"/>
  <c r="H180" i="5"/>
  <c r="G180" i="5"/>
  <c r="F180" i="5"/>
  <c r="E180" i="5"/>
  <c r="J179" i="5"/>
  <c r="I179" i="5"/>
  <c r="H179" i="5"/>
  <c r="G179" i="5"/>
  <c r="F179" i="5"/>
  <c r="E179" i="5"/>
  <c r="J178" i="5"/>
  <c r="I178" i="5"/>
  <c r="H178" i="5"/>
  <c r="G178" i="5"/>
  <c r="F178" i="5"/>
  <c r="E178" i="5"/>
  <c r="J177" i="5"/>
  <c r="I177" i="5"/>
  <c r="H177" i="5"/>
  <c r="G177" i="5"/>
  <c r="F177" i="5"/>
  <c r="E177" i="5"/>
  <c r="J176" i="5"/>
  <c r="I176" i="5"/>
  <c r="H176" i="5"/>
  <c r="G176" i="5"/>
  <c r="F176" i="5"/>
  <c r="E176" i="5"/>
  <c r="J175" i="5"/>
  <c r="I175" i="5"/>
  <c r="H175" i="5"/>
  <c r="G175" i="5"/>
  <c r="F175" i="5"/>
  <c r="E175" i="5"/>
  <c r="J174" i="5"/>
  <c r="I174" i="5"/>
  <c r="H174" i="5"/>
  <c r="G174" i="5"/>
  <c r="F174" i="5"/>
  <c r="E174" i="5"/>
  <c r="I168" i="5"/>
  <c r="H168" i="5"/>
  <c r="G168" i="5"/>
  <c r="F168" i="5"/>
  <c r="E168" i="5"/>
  <c r="I167" i="5"/>
  <c r="H167" i="5"/>
  <c r="G167" i="5"/>
  <c r="F167" i="5"/>
  <c r="E167" i="5"/>
  <c r="I166" i="5"/>
  <c r="H166" i="5"/>
  <c r="G166" i="5"/>
  <c r="F166" i="5"/>
  <c r="E166" i="5"/>
  <c r="I165" i="5"/>
  <c r="H165" i="5"/>
  <c r="G165" i="5"/>
  <c r="F165" i="5"/>
  <c r="E165" i="5"/>
  <c r="I164" i="5"/>
  <c r="H164" i="5"/>
  <c r="G164" i="5"/>
  <c r="F164" i="5"/>
  <c r="E164" i="5"/>
  <c r="I163" i="5"/>
  <c r="H163" i="5"/>
  <c r="G163" i="5"/>
  <c r="F163" i="5"/>
  <c r="E163" i="5"/>
  <c r="I162" i="5"/>
  <c r="H162" i="5"/>
  <c r="G162" i="5"/>
  <c r="F162" i="5"/>
  <c r="E162" i="5"/>
  <c r="I161" i="5"/>
  <c r="H161" i="5"/>
  <c r="G161" i="5"/>
  <c r="F161" i="5"/>
  <c r="E161" i="5"/>
  <c r="I160" i="5"/>
  <c r="H160" i="5"/>
  <c r="G160" i="5"/>
  <c r="F160" i="5"/>
  <c r="E160" i="5"/>
  <c r="I159" i="5"/>
  <c r="H159" i="5"/>
  <c r="G159" i="5"/>
  <c r="F159" i="5"/>
  <c r="E159" i="5"/>
  <c r="I158" i="5"/>
  <c r="H158" i="5"/>
  <c r="G158" i="5"/>
  <c r="F158" i="5"/>
  <c r="E158" i="5"/>
  <c r="I152" i="5"/>
  <c r="H152" i="5"/>
  <c r="G152" i="5"/>
  <c r="F152" i="5"/>
  <c r="E152" i="5"/>
  <c r="I151" i="5"/>
  <c r="H151" i="5"/>
  <c r="G151" i="5"/>
  <c r="F151" i="5"/>
  <c r="E151" i="5"/>
  <c r="I150" i="5"/>
  <c r="H150" i="5"/>
  <c r="G150" i="5"/>
  <c r="F150" i="5"/>
  <c r="E150" i="5"/>
  <c r="I149" i="5"/>
  <c r="H149" i="5"/>
  <c r="G149" i="5"/>
  <c r="F149" i="5"/>
  <c r="E149" i="5"/>
  <c r="I148" i="5"/>
  <c r="H148" i="5"/>
  <c r="G148" i="5"/>
  <c r="F148" i="5"/>
  <c r="E148" i="5"/>
  <c r="I147" i="5"/>
  <c r="H147" i="5"/>
  <c r="G147" i="5"/>
  <c r="F147" i="5"/>
  <c r="E147" i="5"/>
  <c r="I146" i="5"/>
  <c r="H146" i="5"/>
  <c r="G146" i="5"/>
  <c r="F146" i="5"/>
  <c r="E146" i="5"/>
  <c r="I145" i="5"/>
  <c r="H145" i="5"/>
  <c r="G145" i="5"/>
  <c r="F145" i="5"/>
  <c r="E145" i="5"/>
  <c r="I144" i="5"/>
  <c r="H144" i="5"/>
  <c r="G144" i="5"/>
  <c r="F144" i="5"/>
  <c r="E144" i="5"/>
  <c r="I143" i="5"/>
  <c r="H143" i="5"/>
  <c r="G143" i="5"/>
  <c r="F143" i="5"/>
  <c r="E143" i="5"/>
  <c r="I142" i="5"/>
  <c r="H142" i="5"/>
  <c r="G142" i="5"/>
  <c r="F142" i="5"/>
  <c r="E142" i="5"/>
  <c r="I137" i="5"/>
  <c r="H137" i="5"/>
  <c r="G137" i="5"/>
  <c r="F137" i="5"/>
  <c r="E137" i="5"/>
  <c r="I136" i="5"/>
  <c r="H136" i="5"/>
  <c r="G136" i="5"/>
  <c r="F136" i="5"/>
  <c r="E136" i="5"/>
  <c r="I135" i="5"/>
  <c r="H135" i="5"/>
  <c r="G135" i="5"/>
  <c r="F135" i="5"/>
  <c r="E135" i="5"/>
  <c r="I134" i="5"/>
  <c r="H134" i="5"/>
  <c r="G134" i="5"/>
  <c r="F134" i="5"/>
  <c r="E134" i="5"/>
  <c r="I133" i="5"/>
  <c r="H133" i="5"/>
  <c r="G133" i="5"/>
  <c r="F133" i="5"/>
  <c r="E133" i="5"/>
  <c r="I132" i="5"/>
  <c r="H132" i="5"/>
  <c r="G132" i="5"/>
  <c r="F132" i="5"/>
  <c r="E132" i="5"/>
  <c r="I131" i="5"/>
  <c r="H131" i="5"/>
  <c r="G131" i="5"/>
  <c r="F131" i="5"/>
  <c r="E131" i="5"/>
  <c r="I130" i="5"/>
  <c r="H130" i="5"/>
  <c r="G130" i="5"/>
  <c r="F130" i="5"/>
  <c r="E130" i="5"/>
  <c r="I129" i="5"/>
  <c r="H129" i="5"/>
  <c r="G129" i="5"/>
  <c r="F129" i="5"/>
  <c r="E129" i="5"/>
  <c r="I128" i="5"/>
  <c r="H128" i="5"/>
  <c r="G128" i="5"/>
  <c r="F128" i="5"/>
  <c r="E128" i="5"/>
  <c r="I127" i="5"/>
  <c r="H127" i="5"/>
  <c r="G127" i="5"/>
  <c r="F127" i="5"/>
  <c r="E127" i="5"/>
  <c r="I122" i="5"/>
  <c r="H122" i="5"/>
  <c r="G122" i="5"/>
  <c r="F122" i="5"/>
  <c r="E122" i="5"/>
  <c r="I121" i="5"/>
  <c r="H121" i="5"/>
  <c r="G121" i="5"/>
  <c r="F121" i="5"/>
  <c r="E121" i="5"/>
  <c r="I120" i="5"/>
  <c r="H120" i="5"/>
  <c r="G120" i="5"/>
  <c r="F120" i="5"/>
  <c r="E120" i="5"/>
  <c r="I119" i="5"/>
  <c r="H119" i="5"/>
  <c r="G119" i="5"/>
  <c r="F119" i="5"/>
  <c r="E119" i="5"/>
  <c r="I118" i="5"/>
  <c r="H118" i="5"/>
  <c r="G118" i="5"/>
  <c r="F118" i="5"/>
  <c r="E118" i="5"/>
  <c r="I117" i="5"/>
  <c r="H117" i="5"/>
  <c r="G117" i="5"/>
  <c r="F117" i="5"/>
  <c r="E117" i="5"/>
  <c r="I116" i="5"/>
  <c r="H116" i="5"/>
  <c r="G116" i="5"/>
  <c r="F116" i="5"/>
  <c r="E116" i="5"/>
  <c r="I115" i="5"/>
  <c r="H115" i="5"/>
  <c r="G115" i="5"/>
  <c r="F115" i="5"/>
  <c r="E115" i="5"/>
  <c r="I114" i="5"/>
  <c r="H114" i="5"/>
  <c r="G114" i="5"/>
  <c r="F114" i="5"/>
  <c r="E114" i="5"/>
  <c r="I113" i="5"/>
  <c r="H113" i="5"/>
  <c r="G113" i="5"/>
  <c r="F113" i="5"/>
  <c r="E113" i="5"/>
  <c r="I112" i="5"/>
  <c r="H112" i="5"/>
  <c r="G112" i="5"/>
  <c r="F112" i="5"/>
  <c r="E112" i="5"/>
  <c r="I107" i="5"/>
  <c r="H107" i="5"/>
  <c r="G107" i="5"/>
  <c r="F107" i="5"/>
  <c r="E107" i="5"/>
  <c r="I106" i="5"/>
  <c r="H106" i="5"/>
  <c r="G106" i="5"/>
  <c r="F106" i="5"/>
  <c r="E106" i="5"/>
  <c r="I105" i="5"/>
  <c r="H105" i="5"/>
  <c r="G105" i="5"/>
  <c r="F105" i="5"/>
  <c r="E105" i="5"/>
  <c r="I104" i="5"/>
  <c r="H104" i="5"/>
  <c r="G104" i="5"/>
  <c r="F104" i="5"/>
  <c r="E104" i="5"/>
  <c r="I103" i="5"/>
  <c r="H103" i="5"/>
  <c r="G103" i="5"/>
  <c r="F103" i="5"/>
  <c r="E103" i="5"/>
  <c r="I102" i="5"/>
  <c r="H102" i="5"/>
  <c r="G102" i="5"/>
  <c r="F102" i="5"/>
  <c r="E102" i="5"/>
  <c r="I101" i="5"/>
  <c r="H101" i="5"/>
  <c r="G101" i="5"/>
  <c r="F101" i="5"/>
  <c r="E101" i="5"/>
  <c r="I100" i="5"/>
  <c r="H100" i="5"/>
  <c r="G100" i="5"/>
  <c r="F100" i="5"/>
  <c r="E100" i="5"/>
  <c r="I99" i="5"/>
  <c r="H99" i="5"/>
  <c r="G99" i="5"/>
  <c r="F99" i="5"/>
  <c r="E99" i="5"/>
  <c r="I98" i="5"/>
  <c r="H98" i="5"/>
  <c r="G98" i="5"/>
  <c r="F98" i="5"/>
  <c r="E98" i="5"/>
  <c r="I97" i="5"/>
  <c r="H97" i="5"/>
  <c r="G97" i="5"/>
  <c r="F97" i="5"/>
  <c r="E97" i="5"/>
  <c r="I92" i="5"/>
  <c r="H92" i="5"/>
  <c r="G92" i="5"/>
  <c r="F92" i="5"/>
  <c r="E92" i="5"/>
  <c r="I91" i="5"/>
  <c r="H91" i="5"/>
  <c r="G91" i="5"/>
  <c r="F91" i="5"/>
  <c r="E91" i="5"/>
  <c r="I90" i="5"/>
  <c r="H90" i="5"/>
  <c r="G90" i="5"/>
  <c r="F90" i="5"/>
  <c r="E90" i="5"/>
  <c r="I89" i="5"/>
  <c r="H89" i="5"/>
  <c r="G89" i="5"/>
  <c r="F89" i="5"/>
  <c r="E89" i="5"/>
  <c r="I88" i="5"/>
  <c r="H88" i="5"/>
  <c r="G88" i="5"/>
  <c r="F88" i="5"/>
  <c r="E88" i="5"/>
  <c r="I87" i="5"/>
  <c r="H87" i="5"/>
  <c r="G87" i="5"/>
  <c r="F87" i="5"/>
  <c r="E87" i="5"/>
  <c r="I86" i="5"/>
  <c r="H86" i="5"/>
  <c r="G86" i="5"/>
  <c r="F86" i="5"/>
  <c r="E86" i="5"/>
  <c r="I85" i="5"/>
  <c r="H85" i="5"/>
  <c r="G85" i="5"/>
  <c r="F85" i="5"/>
  <c r="E85" i="5"/>
  <c r="I84" i="5"/>
  <c r="H84" i="5"/>
  <c r="G84" i="5"/>
  <c r="F84" i="5"/>
  <c r="E84" i="5"/>
  <c r="I83" i="5"/>
  <c r="H83" i="5"/>
  <c r="G83" i="5"/>
  <c r="F83" i="5"/>
  <c r="E83" i="5"/>
  <c r="I82" i="5"/>
  <c r="H82" i="5"/>
  <c r="G82" i="5"/>
  <c r="F82" i="5"/>
  <c r="E82" i="5"/>
  <c r="I77" i="5"/>
  <c r="H77" i="5"/>
  <c r="G77" i="5"/>
  <c r="F77" i="5"/>
  <c r="E77" i="5"/>
  <c r="I76" i="5"/>
  <c r="H76" i="5"/>
  <c r="G76" i="5"/>
  <c r="F76" i="5"/>
  <c r="E76" i="5"/>
  <c r="I75" i="5"/>
  <c r="H75" i="5"/>
  <c r="G75" i="5"/>
  <c r="F75" i="5"/>
  <c r="E75" i="5"/>
  <c r="I74" i="5"/>
  <c r="H74" i="5"/>
  <c r="G74" i="5"/>
  <c r="F74" i="5"/>
  <c r="E74" i="5"/>
  <c r="I73" i="5"/>
  <c r="H73" i="5"/>
  <c r="G73" i="5"/>
  <c r="F73" i="5"/>
  <c r="E73" i="5"/>
  <c r="I72" i="5"/>
  <c r="H72" i="5"/>
  <c r="G72" i="5"/>
  <c r="F72" i="5"/>
  <c r="E72" i="5"/>
  <c r="I71" i="5"/>
  <c r="H71" i="5"/>
  <c r="G71" i="5"/>
  <c r="F71" i="5"/>
  <c r="E71" i="5"/>
  <c r="I70" i="5"/>
  <c r="H70" i="5"/>
  <c r="G70" i="5"/>
  <c r="F70" i="5"/>
  <c r="E70" i="5"/>
  <c r="I69" i="5"/>
  <c r="H69" i="5"/>
  <c r="G69" i="5"/>
  <c r="F69" i="5"/>
  <c r="E69" i="5"/>
  <c r="I68" i="5"/>
  <c r="H68" i="5"/>
  <c r="G68" i="5"/>
  <c r="F68" i="5"/>
  <c r="E68" i="5"/>
  <c r="I67" i="5"/>
  <c r="H67" i="5"/>
  <c r="G67" i="5"/>
  <c r="F67" i="5"/>
  <c r="E67" i="5"/>
  <c r="J62" i="5"/>
  <c r="I62" i="5"/>
  <c r="H62" i="5"/>
  <c r="G62" i="5"/>
  <c r="F62" i="5"/>
  <c r="E62" i="5"/>
  <c r="J60" i="5"/>
  <c r="I60" i="5"/>
  <c r="H60" i="5"/>
  <c r="G60" i="5"/>
  <c r="F60" i="5"/>
  <c r="E60" i="5"/>
  <c r="J57" i="5"/>
  <c r="I57" i="5"/>
  <c r="H57" i="5"/>
  <c r="G57" i="5"/>
  <c r="F57" i="5"/>
  <c r="J56" i="5"/>
  <c r="I56" i="5"/>
  <c r="H56" i="5"/>
  <c r="G56" i="5"/>
  <c r="F56" i="5"/>
  <c r="E56" i="5"/>
  <c r="J52" i="5"/>
  <c r="I52" i="5"/>
  <c r="H52" i="5"/>
  <c r="G52" i="5"/>
  <c r="F52" i="5"/>
  <c r="E52" i="5"/>
  <c r="J51" i="5"/>
  <c r="I51" i="5"/>
  <c r="H51" i="5"/>
  <c r="G51" i="5"/>
  <c r="F51" i="5"/>
  <c r="E51" i="5"/>
  <c r="J50" i="5"/>
  <c r="I50" i="5"/>
  <c r="H50" i="5"/>
  <c r="G50" i="5"/>
  <c r="F50" i="5"/>
  <c r="E50" i="5"/>
  <c r="J49" i="5"/>
  <c r="I49" i="5"/>
  <c r="H49" i="5"/>
  <c r="G49" i="5"/>
  <c r="F49" i="5"/>
  <c r="E49" i="5"/>
  <c r="K48" i="5"/>
  <c r="J48" i="5"/>
  <c r="I48" i="5"/>
  <c r="H48" i="5"/>
  <c r="G48" i="5"/>
  <c r="F48" i="5"/>
  <c r="E48" i="5"/>
  <c r="J47" i="5"/>
  <c r="I47" i="5"/>
  <c r="H47" i="5"/>
  <c r="G47" i="5"/>
  <c r="F47" i="5"/>
  <c r="E47" i="5"/>
  <c r="J46" i="5"/>
  <c r="I46" i="5"/>
  <c r="H46" i="5"/>
  <c r="G46" i="5"/>
  <c r="F46" i="5"/>
  <c r="E46" i="5"/>
  <c r="J43" i="5"/>
  <c r="I43" i="5"/>
  <c r="H43" i="5"/>
  <c r="G43" i="5"/>
  <c r="F43" i="5"/>
  <c r="E43" i="5"/>
  <c r="N42" i="5"/>
  <c r="M42" i="5"/>
  <c r="L42" i="5"/>
  <c r="K42" i="5"/>
  <c r="J42" i="5"/>
  <c r="L41" i="5"/>
  <c r="K41" i="5"/>
  <c r="J41" i="5"/>
  <c r="L40" i="5"/>
  <c r="K40" i="5"/>
  <c r="J40" i="5"/>
  <c r="N39" i="5"/>
  <c r="M39" i="5"/>
  <c r="L39" i="5"/>
  <c r="K39" i="5"/>
  <c r="J39" i="5"/>
  <c r="N38" i="5"/>
  <c r="M38" i="5"/>
  <c r="L38" i="5"/>
  <c r="K38" i="5"/>
  <c r="J38" i="5"/>
  <c r="N37" i="5"/>
  <c r="M37" i="5"/>
  <c r="L37" i="5"/>
  <c r="L43" i="5" s="1"/>
  <c r="K37" i="5"/>
  <c r="K43" i="5" s="1"/>
  <c r="J37" i="5"/>
  <c r="K28" i="5" s="1"/>
  <c r="J34" i="5"/>
  <c r="I34" i="5"/>
  <c r="H34" i="5"/>
  <c r="G34" i="5"/>
  <c r="F34" i="5"/>
  <c r="E34" i="5"/>
  <c r="L33" i="5"/>
  <c r="L51" i="5" s="1"/>
  <c r="K33" i="5"/>
  <c r="K51" i="5" s="1"/>
  <c r="J33" i="5"/>
  <c r="I33" i="5"/>
  <c r="H33" i="5"/>
  <c r="G33" i="5"/>
  <c r="F33" i="5"/>
  <c r="K32" i="5"/>
  <c r="L32" i="5" s="1"/>
  <c r="J32" i="5"/>
  <c r="I32" i="5"/>
  <c r="H32" i="5"/>
  <c r="G32" i="5"/>
  <c r="F32" i="5"/>
  <c r="L31" i="5"/>
  <c r="M31" i="5" s="1"/>
  <c r="K31" i="5"/>
  <c r="K49" i="5" s="1"/>
  <c r="J31" i="5"/>
  <c r="I31" i="5"/>
  <c r="H31" i="5"/>
  <c r="G31" i="5"/>
  <c r="F31" i="5"/>
  <c r="K30" i="5"/>
  <c r="L30" i="5" s="1"/>
  <c r="J30" i="5"/>
  <c r="I30" i="5"/>
  <c r="H30" i="5"/>
  <c r="G30" i="5"/>
  <c r="F30" i="5"/>
  <c r="K29" i="5"/>
  <c r="K47" i="5" s="1"/>
  <c r="J29" i="5"/>
  <c r="I29" i="5"/>
  <c r="H29" i="5"/>
  <c r="G29" i="5"/>
  <c r="F29" i="5"/>
  <c r="J28" i="5"/>
  <c r="I28" i="5"/>
  <c r="H28" i="5"/>
  <c r="G28" i="5"/>
  <c r="F28" i="5"/>
  <c r="E23" i="5"/>
  <c r="J21" i="5"/>
  <c r="I21" i="5"/>
  <c r="H21" i="5"/>
  <c r="G21" i="5"/>
  <c r="F21" i="5"/>
  <c r="E21" i="5"/>
  <c r="J19" i="5"/>
  <c r="I19" i="5"/>
  <c r="H19" i="5"/>
  <c r="G19" i="5"/>
  <c r="F19" i="5"/>
  <c r="E19" i="5"/>
  <c r="J12" i="5"/>
  <c r="I12" i="5"/>
  <c r="H12" i="5"/>
  <c r="G12" i="5"/>
  <c r="F12" i="5"/>
  <c r="E12" i="5"/>
  <c r="I10" i="5"/>
  <c r="H10" i="5"/>
  <c r="G10" i="5"/>
  <c r="F10" i="5"/>
  <c r="E10" i="5"/>
  <c r="D10" i="5"/>
  <c r="I9" i="5"/>
  <c r="H9" i="5"/>
  <c r="G9" i="5"/>
  <c r="F9" i="5"/>
  <c r="D9" i="5"/>
  <c r="I8" i="5"/>
  <c r="H8" i="5"/>
  <c r="G8" i="5"/>
  <c r="F8" i="5"/>
  <c r="D8" i="5"/>
  <c r="I7" i="5"/>
  <c r="H7" i="5"/>
  <c r="G7" i="5"/>
  <c r="F7" i="5"/>
  <c r="D7" i="5"/>
  <c r="I6" i="5"/>
  <c r="H6" i="5"/>
  <c r="G6" i="5"/>
  <c r="F6" i="5"/>
  <c r="D6" i="5"/>
  <c r="I5" i="5"/>
  <c r="H5" i="5"/>
  <c r="G5" i="5"/>
  <c r="F5" i="5"/>
  <c r="D5" i="5"/>
  <c r="I4" i="5"/>
  <c r="H4" i="5"/>
  <c r="G4" i="5"/>
  <c r="F4" i="5"/>
  <c r="D4" i="5"/>
  <c r="I277" i="26"/>
  <c r="H277" i="26"/>
  <c r="G277" i="26"/>
  <c r="F277" i="26"/>
  <c r="I276" i="26"/>
  <c r="H276" i="26"/>
  <c r="G276" i="26"/>
  <c r="F276" i="26"/>
  <c r="I275" i="26"/>
  <c r="H275" i="26"/>
  <c r="G275" i="26"/>
  <c r="F275" i="26"/>
  <c r="I274" i="26"/>
  <c r="H274" i="26"/>
  <c r="G274" i="26"/>
  <c r="F274" i="26"/>
  <c r="I273" i="26"/>
  <c r="H273" i="26"/>
  <c r="G273" i="26"/>
  <c r="F273" i="26"/>
  <c r="I272" i="26"/>
  <c r="H272" i="26"/>
  <c r="G272" i="26"/>
  <c r="F272" i="26"/>
  <c r="I271" i="26"/>
  <c r="H271" i="26"/>
  <c r="G271" i="26"/>
  <c r="F271" i="26"/>
  <c r="I270" i="26"/>
  <c r="H270" i="26"/>
  <c r="G270" i="26"/>
  <c r="F270" i="26"/>
  <c r="I269" i="26"/>
  <c r="H269" i="26"/>
  <c r="G269" i="26"/>
  <c r="F269" i="26"/>
  <c r="I268" i="26"/>
  <c r="H268" i="26"/>
  <c r="G268" i="26"/>
  <c r="F268" i="26"/>
  <c r="I267" i="26"/>
  <c r="H267" i="26"/>
  <c r="G267" i="26"/>
  <c r="F267" i="26"/>
  <c r="F267" i="26" a="1"/>
  <c r="I263" i="26"/>
  <c r="H263" i="26"/>
  <c r="G263" i="26"/>
  <c r="F263" i="26"/>
  <c r="E263" i="26"/>
  <c r="I262" i="26"/>
  <c r="H262" i="26"/>
  <c r="G262" i="26"/>
  <c r="F262" i="26"/>
  <c r="E262" i="26"/>
  <c r="I261" i="26"/>
  <c r="H261" i="26"/>
  <c r="G261" i="26"/>
  <c r="F261" i="26"/>
  <c r="E261" i="26"/>
  <c r="I260" i="26"/>
  <c r="H260" i="26"/>
  <c r="G260" i="26"/>
  <c r="F260" i="26"/>
  <c r="E260" i="26"/>
  <c r="I259" i="26"/>
  <c r="H259" i="26"/>
  <c r="G259" i="26"/>
  <c r="F259" i="26"/>
  <c r="E259" i="26"/>
  <c r="I258" i="26"/>
  <c r="H258" i="26"/>
  <c r="G258" i="26"/>
  <c r="F258" i="26"/>
  <c r="E258" i="26"/>
  <c r="I257" i="26"/>
  <c r="H257" i="26"/>
  <c r="G257" i="26"/>
  <c r="F257" i="26"/>
  <c r="E257" i="26"/>
  <c r="I256" i="26"/>
  <c r="H256" i="26"/>
  <c r="G256" i="26"/>
  <c r="F256" i="26"/>
  <c r="E256" i="26"/>
  <c r="I255" i="26"/>
  <c r="H255" i="26"/>
  <c r="G255" i="26"/>
  <c r="F255" i="26"/>
  <c r="E255" i="26"/>
  <c r="I254" i="26"/>
  <c r="H254" i="26"/>
  <c r="G254" i="26"/>
  <c r="F254" i="26"/>
  <c r="E254" i="26"/>
  <c r="I253" i="26"/>
  <c r="H253" i="26"/>
  <c r="G253" i="26"/>
  <c r="F253" i="26"/>
  <c r="E253" i="26"/>
  <c r="E243" i="26"/>
  <c r="E232" i="26"/>
  <c r="E224" i="26"/>
  <c r="E217" i="26"/>
  <c r="E216" i="26"/>
  <c r="E215" i="26"/>
  <c r="E214" i="26"/>
  <c r="E213" i="26"/>
  <c r="E212" i="26"/>
  <c r="E211" i="26"/>
  <c r="E210" i="26"/>
  <c r="E209" i="26"/>
  <c r="E208" i="26"/>
  <c r="E207" i="26"/>
  <c r="E201" i="26"/>
  <c r="E200" i="26"/>
  <c r="C199" i="26"/>
  <c r="E199" i="26" s="1"/>
  <c r="E198" i="26"/>
  <c r="E197" i="26"/>
  <c r="E196" i="26"/>
  <c r="E195" i="26"/>
  <c r="E194" i="26"/>
  <c r="E193" i="26"/>
  <c r="E192" i="26"/>
  <c r="E191" i="26"/>
  <c r="E169" i="26"/>
  <c r="E168" i="26"/>
  <c r="E167" i="26"/>
  <c r="E166" i="26"/>
  <c r="E165" i="26"/>
  <c r="E164" i="26"/>
  <c r="E163" i="26"/>
  <c r="E162" i="26"/>
  <c r="E161" i="26"/>
  <c r="E160" i="26"/>
  <c r="E159" i="26"/>
  <c r="I153" i="26"/>
  <c r="H153" i="26"/>
  <c r="G153" i="26"/>
  <c r="F153" i="26"/>
  <c r="E153" i="26"/>
  <c r="I152" i="26"/>
  <c r="H152" i="26"/>
  <c r="G152" i="26"/>
  <c r="F152" i="26"/>
  <c r="E152" i="26"/>
  <c r="I151" i="26"/>
  <c r="H151" i="26"/>
  <c r="G151" i="26"/>
  <c r="F151" i="26"/>
  <c r="E151" i="26"/>
  <c r="I150" i="26"/>
  <c r="H150" i="26"/>
  <c r="G150" i="26"/>
  <c r="F150" i="26"/>
  <c r="E150" i="26"/>
  <c r="I149" i="26"/>
  <c r="H149" i="26"/>
  <c r="G149" i="26"/>
  <c r="F149" i="26"/>
  <c r="E149" i="26"/>
  <c r="I148" i="26"/>
  <c r="H148" i="26"/>
  <c r="G148" i="26"/>
  <c r="F148" i="26"/>
  <c r="E148" i="26"/>
  <c r="I147" i="26"/>
  <c r="H147" i="26"/>
  <c r="G147" i="26"/>
  <c r="F147" i="26"/>
  <c r="E147" i="26"/>
  <c r="I146" i="26"/>
  <c r="H146" i="26"/>
  <c r="G146" i="26"/>
  <c r="F146" i="26"/>
  <c r="E146" i="26"/>
  <c r="I145" i="26"/>
  <c r="H145" i="26"/>
  <c r="G145" i="26"/>
  <c r="F145" i="26"/>
  <c r="E145" i="26"/>
  <c r="I144" i="26"/>
  <c r="H144" i="26"/>
  <c r="G144" i="26"/>
  <c r="F144" i="26"/>
  <c r="E144" i="26"/>
  <c r="I143" i="26"/>
  <c r="H143" i="26"/>
  <c r="G143" i="26"/>
  <c r="F143" i="26"/>
  <c r="E143" i="26"/>
  <c r="AG138" i="26"/>
  <c r="AF138" i="26"/>
  <c r="AE138" i="26"/>
  <c r="AD138" i="26"/>
  <c r="AC138" i="26"/>
  <c r="AB138" i="26"/>
  <c r="AA138" i="26"/>
  <c r="Z138" i="26"/>
  <c r="Y138" i="26"/>
  <c r="X138" i="26"/>
  <c r="W138" i="26"/>
  <c r="V138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AG137" i="26"/>
  <c r="AF137" i="26"/>
  <c r="AE137" i="26"/>
  <c r="AD137" i="26"/>
  <c r="AC137" i="26"/>
  <c r="AB137" i="26"/>
  <c r="AA137" i="26"/>
  <c r="Z137" i="26"/>
  <c r="Y137" i="26"/>
  <c r="X137" i="26"/>
  <c r="W137" i="26"/>
  <c r="V137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AG136" i="26"/>
  <c r="AF136" i="26"/>
  <c r="AE136" i="26"/>
  <c r="AD136" i="26"/>
  <c r="AC136" i="26"/>
  <c r="AB136" i="26"/>
  <c r="AA136" i="26"/>
  <c r="Z136" i="26"/>
  <c r="Y136" i="26"/>
  <c r="X136" i="26"/>
  <c r="W136" i="26"/>
  <c r="V136" i="26"/>
  <c r="U136" i="26"/>
  <c r="T136" i="26"/>
  <c r="S136" i="26"/>
  <c r="R136" i="26"/>
  <c r="Q136" i="26"/>
  <c r="P136" i="26"/>
  <c r="O136" i="26"/>
  <c r="N136" i="26"/>
  <c r="M136" i="26"/>
  <c r="L136" i="26"/>
  <c r="K136" i="26"/>
  <c r="J136" i="26"/>
  <c r="I136" i="26"/>
  <c r="H136" i="26"/>
  <c r="G136" i="26"/>
  <c r="F136" i="26"/>
  <c r="E136" i="26"/>
  <c r="AG135" i="26"/>
  <c r="AF135" i="26"/>
  <c r="AE135" i="26"/>
  <c r="AD135" i="26"/>
  <c r="AC135" i="26"/>
  <c r="AB135" i="26"/>
  <c r="AA135" i="26"/>
  <c r="Z135" i="26"/>
  <c r="Y135" i="26"/>
  <c r="X135" i="26"/>
  <c r="W135" i="26"/>
  <c r="V135" i="26"/>
  <c r="U135" i="26"/>
  <c r="T135" i="26"/>
  <c r="S135" i="26"/>
  <c r="R135" i="26"/>
  <c r="Q135" i="26"/>
  <c r="P135" i="26"/>
  <c r="O135" i="26"/>
  <c r="N135" i="26"/>
  <c r="M135" i="26"/>
  <c r="L135" i="26"/>
  <c r="K135" i="26"/>
  <c r="J135" i="26"/>
  <c r="I135" i="26"/>
  <c r="H135" i="26"/>
  <c r="G135" i="26"/>
  <c r="F135" i="26"/>
  <c r="E135" i="26"/>
  <c r="AG134" i="26"/>
  <c r="AF134" i="26"/>
  <c r="AE134" i="26"/>
  <c r="AD134" i="26"/>
  <c r="AC134" i="26"/>
  <c r="AB134" i="26"/>
  <c r="AA134" i="26"/>
  <c r="Z134" i="26"/>
  <c r="Y134" i="26"/>
  <c r="X134" i="26"/>
  <c r="W134" i="26"/>
  <c r="V134" i="26"/>
  <c r="U134" i="26"/>
  <c r="T134" i="26"/>
  <c r="S134" i="26"/>
  <c r="R134" i="26"/>
  <c r="Q134" i="26"/>
  <c r="P134" i="26"/>
  <c r="O134" i="26"/>
  <c r="N134" i="26"/>
  <c r="M134" i="26"/>
  <c r="L134" i="26"/>
  <c r="K134" i="26"/>
  <c r="J134" i="26"/>
  <c r="I134" i="26"/>
  <c r="H134" i="26"/>
  <c r="G134" i="26"/>
  <c r="F134" i="26"/>
  <c r="E134" i="26"/>
  <c r="AG133" i="26"/>
  <c r="AF133" i="26"/>
  <c r="AE133" i="26"/>
  <c r="AD133" i="26"/>
  <c r="AC133" i="26"/>
  <c r="AB133" i="26"/>
  <c r="AA133" i="26"/>
  <c r="Z133" i="26"/>
  <c r="Y133" i="26"/>
  <c r="X133" i="26"/>
  <c r="W133" i="26"/>
  <c r="V133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AG132" i="26"/>
  <c r="AF132" i="26"/>
  <c r="AE132" i="26"/>
  <c r="AD132" i="26"/>
  <c r="AC132" i="26"/>
  <c r="AB132" i="26"/>
  <c r="AA132" i="26"/>
  <c r="Z132" i="26"/>
  <c r="Y132" i="26"/>
  <c r="X132" i="26"/>
  <c r="W132" i="26"/>
  <c r="V132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AG131" i="26"/>
  <c r="AF131" i="26"/>
  <c r="AE131" i="26"/>
  <c r="AD131" i="26"/>
  <c r="AC131" i="26"/>
  <c r="AB131" i="26"/>
  <c r="AA131" i="26"/>
  <c r="Z131" i="26"/>
  <c r="Y131" i="26"/>
  <c r="X131" i="26"/>
  <c r="W131" i="26"/>
  <c r="V131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AG130" i="26"/>
  <c r="AF130" i="26"/>
  <c r="AE130" i="26"/>
  <c r="AD130" i="26"/>
  <c r="AC130" i="26"/>
  <c r="AB130" i="26"/>
  <c r="AA130" i="26"/>
  <c r="Z130" i="26"/>
  <c r="Y130" i="26"/>
  <c r="X130" i="26"/>
  <c r="W130" i="26"/>
  <c r="V130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AG129" i="26"/>
  <c r="AF129" i="26"/>
  <c r="AE129" i="26"/>
  <c r="AD129" i="26"/>
  <c r="AC129" i="26"/>
  <c r="AB129" i="26"/>
  <c r="AA129" i="26"/>
  <c r="Z129" i="26"/>
  <c r="Y129" i="26"/>
  <c r="X129" i="26"/>
  <c r="W129" i="26"/>
  <c r="V129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AG128" i="26"/>
  <c r="AF128" i="26"/>
  <c r="AE128" i="26"/>
  <c r="AD128" i="26"/>
  <c r="AC128" i="26"/>
  <c r="AB128" i="26"/>
  <c r="AA128" i="26"/>
  <c r="Z128" i="26"/>
  <c r="Y128" i="26"/>
  <c r="X128" i="26"/>
  <c r="W128" i="26"/>
  <c r="V128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AG123" i="26"/>
  <c r="AF123" i="26"/>
  <c r="AE123" i="26"/>
  <c r="AD123" i="26"/>
  <c r="AC123" i="26"/>
  <c r="AB123" i="26"/>
  <c r="AA123" i="26"/>
  <c r="Z123" i="26"/>
  <c r="Y123" i="26"/>
  <c r="X123" i="26"/>
  <c r="W123" i="26"/>
  <c r="V123" i="26"/>
  <c r="U123" i="26"/>
  <c r="T123" i="26"/>
  <c r="S123" i="26"/>
  <c r="R123" i="26"/>
  <c r="Q123" i="26"/>
  <c r="P123" i="26"/>
  <c r="O123" i="26"/>
  <c r="N123" i="26"/>
  <c r="M123" i="26"/>
  <c r="L123" i="26"/>
  <c r="K123" i="26"/>
  <c r="J123" i="26"/>
  <c r="I123" i="26"/>
  <c r="H123" i="26"/>
  <c r="G123" i="26"/>
  <c r="F123" i="26"/>
  <c r="E123" i="26"/>
  <c r="AG122" i="26"/>
  <c r="AF122" i="26"/>
  <c r="AE122" i="26"/>
  <c r="AD122" i="26"/>
  <c r="AC122" i="26"/>
  <c r="AB122" i="26"/>
  <c r="AA122" i="26"/>
  <c r="Z122" i="26"/>
  <c r="Y122" i="26"/>
  <c r="X122" i="26"/>
  <c r="W122" i="26"/>
  <c r="V122" i="26"/>
  <c r="U122" i="26"/>
  <c r="T122" i="26"/>
  <c r="S122" i="26"/>
  <c r="R122" i="26"/>
  <c r="Q122" i="26"/>
  <c r="P122" i="26"/>
  <c r="O122" i="26"/>
  <c r="N122" i="26"/>
  <c r="M122" i="26"/>
  <c r="L122" i="26"/>
  <c r="K122" i="26"/>
  <c r="J122" i="26"/>
  <c r="I122" i="26"/>
  <c r="H122" i="26"/>
  <c r="G122" i="26"/>
  <c r="F122" i="26"/>
  <c r="E122" i="26"/>
  <c r="AG121" i="26"/>
  <c r="AF121" i="26"/>
  <c r="AE121" i="26"/>
  <c r="AD121" i="26"/>
  <c r="AC121" i="26"/>
  <c r="AB121" i="26"/>
  <c r="AA121" i="26"/>
  <c r="Z121" i="26"/>
  <c r="Y121" i="26"/>
  <c r="X121" i="26"/>
  <c r="W121" i="26"/>
  <c r="V121" i="26"/>
  <c r="U121" i="26"/>
  <c r="T121" i="26"/>
  <c r="S121" i="26"/>
  <c r="R121" i="26"/>
  <c r="Q121" i="26"/>
  <c r="P121" i="26"/>
  <c r="O121" i="26"/>
  <c r="N121" i="26"/>
  <c r="M121" i="26"/>
  <c r="L121" i="26"/>
  <c r="K121" i="26"/>
  <c r="J121" i="26"/>
  <c r="I121" i="26"/>
  <c r="H121" i="26"/>
  <c r="G121" i="26"/>
  <c r="F121" i="26"/>
  <c r="E121" i="26"/>
  <c r="AG120" i="26"/>
  <c r="AF120" i="26"/>
  <c r="AE120" i="26"/>
  <c r="AD120" i="26"/>
  <c r="AC120" i="26"/>
  <c r="AB120" i="26"/>
  <c r="AA120" i="26"/>
  <c r="Z120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AG119" i="26"/>
  <c r="AF119" i="26"/>
  <c r="AE119" i="26"/>
  <c r="AD119" i="26"/>
  <c r="AC119" i="26"/>
  <c r="AB119" i="26"/>
  <c r="AA119" i="26"/>
  <c r="Z119" i="26"/>
  <c r="Y119" i="26"/>
  <c r="X119" i="26"/>
  <c r="W119" i="26"/>
  <c r="V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AG118" i="26"/>
  <c r="AF118" i="26"/>
  <c r="AE118" i="26"/>
  <c r="AD118" i="26"/>
  <c r="AC118" i="26"/>
  <c r="AB118" i="26"/>
  <c r="AA118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AG117" i="26"/>
  <c r="AF117" i="26"/>
  <c r="AE117" i="26"/>
  <c r="AD117" i="26"/>
  <c r="AC117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AG116" i="26"/>
  <c r="AF116" i="26"/>
  <c r="AE116" i="26"/>
  <c r="AD116" i="26"/>
  <c r="AC116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AG115" i="26"/>
  <c r="AF115" i="26"/>
  <c r="AE115" i="26"/>
  <c r="AD115" i="26"/>
  <c r="AC115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AG114" i="26"/>
  <c r="AF114" i="26"/>
  <c r="AE114" i="26"/>
  <c r="AD114" i="26"/>
  <c r="AC114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AG113" i="26"/>
  <c r="AF113" i="26"/>
  <c r="AE113" i="26"/>
  <c r="AD113" i="26"/>
  <c r="AC113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I108" i="26"/>
  <c r="H108" i="26"/>
  <c r="G108" i="26"/>
  <c r="F108" i="26"/>
  <c r="E108" i="26"/>
  <c r="I107" i="26"/>
  <c r="H107" i="26"/>
  <c r="G107" i="26"/>
  <c r="F107" i="26"/>
  <c r="E107" i="26"/>
  <c r="I106" i="26"/>
  <c r="H106" i="26"/>
  <c r="G106" i="26"/>
  <c r="F106" i="26"/>
  <c r="E106" i="26"/>
  <c r="I105" i="26"/>
  <c r="H105" i="26"/>
  <c r="G105" i="26"/>
  <c r="F105" i="26"/>
  <c r="E105" i="26"/>
  <c r="I104" i="26"/>
  <c r="H104" i="26"/>
  <c r="G104" i="26"/>
  <c r="F104" i="26"/>
  <c r="E104" i="26"/>
  <c r="I103" i="26"/>
  <c r="H103" i="26"/>
  <c r="G103" i="26"/>
  <c r="F103" i="26"/>
  <c r="E103" i="26"/>
  <c r="I102" i="26"/>
  <c r="H102" i="26"/>
  <c r="G102" i="26"/>
  <c r="F102" i="26"/>
  <c r="E102" i="26"/>
  <c r="I101" i="26"/>
  <c r="H101" i="26"/>
  <c r="G101" i="26"/>
  <c r="F101" i="26"/>
  <c r="E101" i="26"/>
  <c r="I100" i="26"/>
  <c r="H100" i="26"/>
  <c r="G100" i="26"/>
  <c r="F100" i="26"/>
  <c r="E100" i="26"/>
  <c r="I99" i="26"/>
  <c r="H99" i="26"/>
  <c r="G99" i="26"/>
  <c r="F99" i="26"/>
  <c r="E99" i="26"/>
  <c r="I98" i="26"/>
  <c r="H98" i="26"/>
  <c r="G98" i="26"/>
  <c r="F98" i="26"/>
  <c r="E98" i="26"/>
  <c r="I93" i="26"/>
  <c r="H93" i="26"/>
  <c r="G93" i="26"/>
  <c r="F93" i="26"/>
  <c r="E93" i="26"/>
  <c r="I92" i="26"/>
  <c r="H92" i="26"/>
  <c r="G92" i="26"/>
  <c r="F92" i="26"/>
  <c r="E92" i="26"/>
  <c r="I91" i="26"/>
  <c r="H91" i="26"/>
  <c r="G91" i="26"/>
  <c r="F91" i="26"/>
  <c r="E91" i="26"/>
  <c r="I90" i="26"/>
  <c r="H90" i="26"/>
  <c r="G90" i="26"/>
  <c r="F90" i="26"/>
  <c r="E90" i="26"/>
  <c r="I89" i="26"/>
  <c r="H89" i="26"/>
  <c r="G89" i="26"/>
  <c r="F89" i="26"/>
  <c r="E89" i="26"/>
  <c r="I88" i="26"/>
  <c r="H88" i="26"/>
  <c r="G88" i="26"/>
  <c r="F88" i="26"/>
  <c r="E88" i="26"/>
  <c r="I87" i="26"/>
  <c r="H87" i="26"/>
  <c r="G87" i="26"/>
  <c r="F87" i="26"/>
  <c r="E87" i="26"/>
  <c r="I86" i="26"/>
  <c r="H86" i="26"/>
  <c r="G86" i="26"/>
  <c r="F86" i="26"/>
  <c r="E86" i="26"/>
  <c r="I85" i="26"/>
  <c r="H85" i="26"/>
  <c r="G85" i="26"/>
  <c r="F85" i="26"/>
  <c r="E85" i="26"/>
  <c r="I84" i="26"/>
  <c r="H84" i="26"/>
  <c r="G84" i="26"/>
  <c r="F84" i="26"/>
  <c r="E84" i="26"/>
  <c r="I83" i="26"/>
  <c r="H83" i="26"/>
  <c r="G83" i="26"/>
  <c r="F83" i="26"/>
  <c r="E83" i="26"/>
  <c r="E78" i="26"/>
  <c r="E77" i="26"/>
  <c r="E76" i="26"/>
  <c r="E75" i="26"/>
  <c r="E74" i="26"/>
  <c r="E73" i="26"/>
  <c r="E72" i="26"/>
  <c r="E71" i="26"/>
  <c r="E70" i="26"/>
  <c r="E69" i="26"/>
  <c r="E68" i="26"/>
  <c r="E63" i="26"/>
  <c r="O57" i="26"/>
  <c r="N57" i="26"/>
  <c r="M57" i="26"/>
  <c r="L57" i="26"/>
  <c r="K57" i="26"/>
  <c r="J57" i="26"/>
  <c r="I57" i="26"/>
  <c r="H57" i="26"/>
  <c r="G57" i="26"/>
  <c r="F57" i="26"/>
  <c r="E57" i="26"/>
  <c r="E53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AG51" i="26"/>
  <c r="AF51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AG50" i="26"/>
  <c r="AF50" i="26"/>
  <c r="AE50" i="26"/>
  <c r="AD50" i="26"/>
  <c r="AC50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N44" i="26"/>
  <c r="M44" i="26"/>
  <c r="L44" i="26"/>
  <c r="K44" i="26"/>
  <c r="J44" i="26"/>
  <c r="I44" i="26"/>
  <c r="H44" i="26"/>
  <c r="G44" i="26"/>
  <c r="F44" i="26"/>
  <c r="E44" i="26"/>
  <c r="AG43" i="26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AG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AG40" i="26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O35" i="26"/>
  <c r="N35" i="26"/>
  <c r="M35" i="26"/>
  <c r="L35" i="26"/>
  <c r="K35" i="26"/>
  <c r="J35" i="26"/>
  <c r="I35" i="26"/>
  <c r="H35" i="26"/>
  <c r="G35" i="26"/>
  <c r="F35" i="26"/>
  <c r="E35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AG33" i="26"/>
  <c r="AF33" i="26"/>
  <c r="AE33" i="26"/>
  <c r="AD33" i="26"/>
  <c r="AC33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O30" i="26"/>
  <c r="N30" i="26"/>
  <c r="M30" i="26"/>
  <c r="L30" i="26"/>
  <c r="K30" i="26"/>
  <c r="J30" i="26"/>
  <c r="I30" i="26"/>
  <c r="H30" i="26"/>
  <c r="G30" i="26"/>
  <c r="F30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2" i="26"/>
  <c r="E242" i="26" s="1"/>
  <c r="E20" i="26"/>
  <c r="E231" i="26" s="1"/>
  <c r="E13" i="26"/>
  <c r="E185" i="26" s="1"/>
  <c r="D11" i="26"/>
  <c r="I10" i="26"/>
  <c r="H10" i="26"/>
  <c r="G10" i="26"/>
  <c r="F10" i="26"/>
  <c r="D10" i="26"/>
  <c r="I7" i="26"/>
  <c r="H7" i="26"/>
  <c r="G7" i="26"/>
  <c r="F7" i="26"/>
  <c r="D7" i="26"/>
  <c r="I6" i="26"/>
  <c r="H6" i="26"/>
  <c r="G6" i="26"/>
  <c r="F6" i="26"/>
  <c r="D6" i="26"/>
  <c r="D5" i="26"/>
  <c r="G123" i="28"/>
  <c r="E122" i="28"/>
  <c r="E121" i="28"/>
  <c r="E120" i="28"/>
  <c r="E119" i="28"/>
  <c r="E118" i="28"/>
  <c r="E117" i="28"/>
  <c r="E116" i="28"/>
  <c r="E115" i="28"/>
  <c r="E114" i="28"/>
  <c r="E113" i="28"/>
  <c r="E108" i="28"/>
  <c r="AE108" i="28" s="1"/>
  <c r="AI107" i="28"/>
  <c r="AH107" i="28"/>
  <c r="AG107" i="28"/>
  <c r="AF107" i="28"/>
  <c r="AE107" i="28"/>
  <c r="AD107" i="28"/>
  <c r="AC107" i="28"/>
  <c r="AB107" i="28"/>
  <c r="AA107" i="28"/>
  <c r="Z107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AI106" i="28"/>
  <c r="AH106" i="28"/>
  <c r="AG106" i="28"/>
  <c r="AF106" i="28"/>
  <c r="AE106" i="28"/>
  <c r="AD106" i="28"/>
  <c r="AC106" i="28"/>
  <c r="AB106" i="28"/>
  <c r="AA106" i="28"/>
  <c r="Z106" i="28"/>
  <c r="Y106" i="28"/>
  <c r="X106" i="28"/>
  <c r="W106" i="28"/>
  <c r="V106" i="28"/>
  <c r="U106" i="28"/>
  <c r="T106" i="28"/>
  <c r="S106" i="28"/>
  <c r="R106" i="28"/>
  <c r="Q106" i="28"/>
  <c r="P106" i="28"/>
  <c r="O106" i="28"/>
  <c r="N106" i="28"/>
  <c r="M106" i="28"/>
  <c r="L106" i="28"/>
  <c r="K106" i="28"/>
  <c r="J106" i="28"/>
  <c r="I106" i="28"/>
  <c r="H106" i="28"/>
  <c r="G106" i="28"/>
  <c r="AI105" i="28"/>
  <c r="AH105" i="28"/>
  <c r="AG105" i="28"/>
  <c r="AF105" i="28"/>
  <c r="AE105" i="28"/>
  <c r="AD105" i="28"/>
  <c r="AC105" i="28"/>
  <c r="AB105" i="28"/>
  <c r="AA105" i="28"/>
  <c r="Z105" i="28"/>
  <c r="Y105" i="28"/>
  <c r="X105" i="28"/>
  <c r="W105" i="28"/>
  <c r="V105" i="28"/>
  <c r="U105" i="28"/>
  <c r="T105" i="28"/>
  <c r="S105" i="28"/>
  <c r="R105" i="28"/>
  <c r="Q105" i="28"/>
  <c r="P105" i="28"/>
  <c r="O105" i="28"/>
  <c r="N105" i="28"/>
  <c r="M105" i="28"/>
  <c r="L105" i="28"/>
  <c r="K105" i="28"/>
  <c r="J105" i="28"/>
  <c r="I105" i="28"/>
  <c r="H105" i="28"/>
  <c r="G105" i="28"/>
  <c r="AI104" i="28"/>
  <c r="AH104" i="28"/>
  <c r="AG104" i="28"/>
  <c r="AF104" i="28"/>
  <c r="AE104" i="28"/>
  <c r="AD104" i="28"/>
  <c r="AC104" i="28"/>
  <c r="AB104" i="28"/>
  <c r="AA104" i="28"/>
  <c r="Z104" i="28"/>
  <c r="Y104" i="28"/>
  <c r="X104" i="28"/>
  <c r="W104" i="28"/>
  <c r="V104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G104" i="28"/>
  <c r="E98" i="28"/>
  <c r="E97" i="28"/>
  <c r="E96" i="28"/>
  <c r="E95" i="28"/>
  <c r="E94" i="28"/>
  <c r="E93" i="28"/>
  <c r="E92" i="28"/>
  <c r="E91" i="28"/>
  <c r="E90" i="28"/>
  <c r="E89" i="28"/>
  <c r="G75" i="28"/>
  <c r="G99" i="28" s="1"/>
  <c r="AH74" i="28"/>
  <c r="R74" i="28"/>
  <c r="P74" i="28"/>
  <c r="E74" i="28"/>
  <c r="AF73" i="28"/>
  <c r="AB73" i="28"/>
  <c r="N73" i="28"/>
  <c r="E73" i="28"/>
  <c r="T72" i="28"/>
  <c r="E72" i="28"/>
  <c r="E71" i="28"/>
  <c r="E70" i="28"/>
  <c r="E69" i="28"/>
  <c r="E68" i="28"/>
  <c r="E67" i="28"/>
  <c r="E66" i="28"/>
  <c r="E65" i="28"/>
  <c r="AI60" i="28"/>
  <c r="AH60" i="28"/>
  <c r="AG60" i="28"/>
  <c r="AF60" i="28"/>
  <c r="AE60" i="28"/>
  <c r="AD60" i="28"/>
  <c r="AC60" i="28"/>
  <c r="AB60" i="28"/>
  <c r="AA60" i="28"/>
  <c r="Z60" i="28"/>
  <c r="Y60" i="28"/>
  <c r="X60" i="28"/>
  <c r="W60" i="28"/>
  <c r="V60" i="28"/>
  <c r="U60" i="28"/>
  <c r="T60" i="28"/>
  <c r="S60" i="28"/>
  <c r="R60" i="28"/>
  <c r="Q60" i="28"/>
  <c r="P60" i="28"/>
  <c r="O60" i="28"/>
  <c r="N60" i="28"/>
  <c r="M60" i="28"/>
  <c r="L60" i="28"/>
  <c r="K60" i="28"/>
  <c r="J60" i="28"/>
  <c r="I60" i="28"/>
  <c r="H60" i="28"/>
  <c r="G60" i="28"/>
  <c r="AI58" i="28"/>
  <c r="AI82" i="28" s="1"/>
  <c r="AH58" i="28"/>
  <c r="AH82" i="28" s="1"/>
  <c r="AG58" i="28"/>
  <c r="AG82" i="28" s="1"/>
  <c r="AF58" i="28"/>
  <c r="AF82" i="28" s="1"/>
  <c r="AE58" i="28"/>
  <c r="AE82" i="28" s="1"/>
  <c r="AD58" i="28"/>
  <c r="AD82" i="28" s="1"/>
  <c r="AC58" i="28"/>
  <c r="AC82" i="28" s="1"/>
  <c r="AB58" i="28"/>
  <c r="AB82" i="28" s="1"/>
  <c r="AA58" i="28"/>
  <c r="AA82" i="28" s="1"/>
  <c r="Z58" i="28"/>
  <c r="Z82" i="28" s="1"/>
  <c r="Y58" i="28"/>
  <c r="Y82" i="28" s="1"/>
  <c r="X58" i="28"/>
  <c r="X82" i="28" s="1"/>
  <c r="W58" i="28"/>
  <c r="W82" i="28" s="1"/>
  <c r="V58" i="28"/>
  <c r="V82" i="28" s="1"/>
  <c r="U58" i="28"/>
  <c r="U82" i="28" s="1"/>
  <c r="T58" i="28"/>
  <c r="T82" i="28" s="1"/>
  <c r="S58" i="28"/>
  <c r="S82" i="28" s="1"/>
  <c r="R58" i="28"/>
  <c r="R82" i="28" s="1"/>
  <c r="Q58" i="28"/>
  <c r="Q82" i="28" s="1"/>
  <c r="P58" i="28"/>
  <c r="P82" i="28" s="1"/>
  <c r="O58" i="28"/>
  <c r="O82" i="28" s="1"/>
  <c r="N58" i="28"/>
  <c r="N82" i="28" s="1"/>
  <c r="M58" i="28"/>
  <c r="M82" i="28" s="1"/>
  <c r="L58" i="28"/>
  <c r="L82" i="28" s="1"/>
  <c r="K58" i="28"/>
  <c r="K82" i="28" s="1"/>
  <c r="J58" i="28"/>
  <c r="J82" i="28" s="1"/>
  <c r="I58" i="28"/>
  <c r="I82" i="28" s="1"/>
  <c r="H58" i="28"/>
  <c r="H82" i="28" s="1"/>
  <c r="G58" i="28"/>
  <c r="G82" i="28" s="1"/>
  <c r="H57" i="28"/>
  <c r="H81" i="28" s="1"/>
  <c r="G57" i="28"/>
  <c r="G81" i="28" s="1"/>
  <c r="X47" i="28"/>
  <c r="W47" i="28"/>
  <c r="W75" i="28" s="1"/>
  <c r="V47" i="28"/>
  <c r="V75" i="28" s="1"/>
  <c r="U47" i="28"/>
  <c r="U75" i="28" s="1"/>
  <c r="T47" i="28"/>
  <c r="T75" i="28" s="1"/>
  <c r="S47" i="28"/>
  <c r="S75" i="28" s="1"/>
  <c r="R47" i="28"/>
  <c r="Q47" i="28"/>
  <c r="P47" i="28"/>
  <c r="O47" i="28"/>
  <c r="O75" i="28" s="1"/>
  <c r="H47" i="28"/>
  <c r="I47" i="28" s="1"/>
  <c r="J47" i="28" s="1"/>
  <c r="E46" i="28"/>
  <c r="E45" i="28"/>
  <c r="E44" i="28"/>
  <c r="E43" i="28"/>
  <c r="E42" i="28"/>
  <c r="E41" i="28"/>
  <c r="E40" i="28"/>
  <c r="E39" i="28"/>
  <c r="E38" i="28"/>
  <c r="E37" i="28"/>
  <c r="AI16" i="28"/>
  <c r="AH16" i="28"/>
  <c r="AG16" i="28"/>
  <c r="AF16" i="28"/>
  <c r="AE16" i="28"/>
  <c r="AD16" i="28"/>
  <c r="AC16" i="28"/>
  <c r="AB16" i="28"/>
  <c r="AA16" i="28"/>
  <c r="Z16" i="28"/>
  <c r="Y16" i="28"/>
  <c r="X16" i="28"/>
  <c r="W16" i="28"/>
  <c r="V16" i="28"/>
  <c r="U16" i="28"/>
  <c r="T16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AI13" i="28"/>
  <c r="AI14" i="28" s="1"/>
  <c r="AH13" i="28"/>
  <c r="AG13" i="28"/>
  <c r="AG109" i="28" s="1"/>
  <c r="AF13" i="28"/>
  <c r="AF14" i="28" s="1"/>
  <c r="AE13" i="28"/>
  <c r="AE14" i="28" s="1"/>
  <c r="AD13" i="28"/>
  <c r="AD14" i="28" s="1"/>
  <c r="AC13" i="28"/>
  <c r="AC14" i="28" s="1"/>
  <c r="AB13" i="28"/>
  <c r="AB14" i="28" s="1"/>
  <c r="AA13" i="28"/>
  <c r="AA109" i="28" s="1"/>
  <c r="Z13" i="28"/>
  <c r="Y13" i="28"/>
  <c r="Y109" i="28" s="1"/>
  <c r="X13" i="28"/>
  <c r="X14" i="28" s="1"/>
  <c r="W13" i="28"/>
  <c r="V13" i="28"/>
  <c r="V109" i="28" s="1"/>
  <c r="U13" i="28"/>
  <c r="U14" i="28" s="1"/>
  <c r="T13" i="28"/>
  <c r="T14" i="28" s="1"/>
  <c r="S13" i="28"/>
  <c r="S14" i="28" s="1"/>
  <c r="R13" i="28"/>
  <c r="R109" i="28" s="1"/>
  <c r="Q13" i="28"/>
  <c r="P13" i="28"/>
  <c r="P14" i="28" s="1"/>
  <c r="O13" i="28"/>
  <c r="O14" i="28" s="1"/>
  <c r="N13" i="28"/>
  <c r="N14" i="28" s="1"/>
  <c r="M13" i="28"/>
  <c r="M14" i="28" s="1"/>
  <c r="L13" i="28"/>
  <c r="L14" i="28" s="1"/>
  <c r="K13" i="28"/>
  <c r="K14" i="28" s="1"/>
  <c r="J13" i="28"/>
  <c r="J109" i="28" s="1"/>
  <c r="I13" i="28"/>
  <c r="H13" i="28"/>
  <c r="H14" i="28" s="1"/>
  <c r="G13" i="28"/>
  <c r="E2" i="28"/>
  <c r="AF82" i="55"/>
  <c r="AE82" i="55"/>
  <c r="AD82" i="55"/>
  <c r="AC82" i="55"/>
  <c r="AB82" i="55"/>
  <c r="AA82" i="55"/>
  <c r="Z82" i="55"/>
  <c r="Y82" i="55"/>
  <c r="X82" i="55"/>
  <c r="W82" i="55"/>
  <c r="V82" i="55"/>
  <c r="U82" i="55"/>
  <c r="T82" i="55"/>
  <c r="S82" i="55"/>
  <c r="R82" i="55"/>
  <c r="Q82" i="55"/>
  <c r="P82" i="55"/>
  <c r="O82" i="55"/>
  <c r="N82" i="55"/>
  <c r="M82" i="55"/>
  <c r="L82" i="55"/>
  <c r="K82" i="55"/>
  <c r="J82" i="55"/>
  <c r="I82" i="55"/>
  <c r="H82" i="55"/>
  <c r="G82" i="55"/>
  <c r="F82" i="55"/>
  <c r="E82" i="55"/>
  <c r="D82" i="55"/>
  <c r="AF81" i="55"/>
  <c r="AE81" i="55"/>
  <c r="AD81" i="55"/>
  <c r="AC81" i="55"/>
  <c r="AB81" i="55"/>
  <c r="AA81" i="55"/>
  <c r="Z81" i="55"/>
  <c r="Y81" i="55"/>
  <c r="X81" i="55"/>
  <c r="W81" i="55"/>
  <c r="V81" i="55"/>
  <c r="U81" i="55"/>
  <c r="T81" i="55"/>
  <c r="S81" i="55"/>
  <c r="R81" i="55"/>
  <c r="Q81" i="55"/>
  <c r="P81" i="55"/>
  <c r="O81" i="55"/>
  <c r="N81" i="55"/>
  <c r="M81" i="55"/>
  <c r="L81" i="55"/>
  <c r="K81" i="55"/>
  <c r="J81" i="55"/>
  <c r="I81" i="55"/>
  <c r="H81" i="55"/>
  <c r="G81" i="55"/>
  <c r="F81" i="55"/>
  <c r="E81" i="55"/>
  <c r="D81" i="55"/>
  <c r="Q52" i="55"/>
  <c r="P52" i="55"/>
  <c r="O52" i="55"/>
  <c r="N52" i="55"/>
  <c r="M52" i="55"/>
  <c r="L52" i="55"/>
  <c r="K52" i="55"/>
  <c r="J52" i="55"/>
  <c r="I52" i="55"/>
  <c r="H52" i="55"/>
  <c r="G52" i="55"/>
  <c r="F52" i="55"/>
  <c r="E52" i="55"/>
  <c r="D52" i="55"/>
  <c r="Q51" i="55"/>
  <c r="P51" i="55"/>
  <c r="O51" i="55"/>
  <c r="N51" i="55"/>
  <c r="M51" i="55"/>
  <c r="L51" i="55"/>
  <c r="K51" i="55"/>
  <c r="J51" i="55"/>
  <c r="I51" i="55"/>
  <c r="H51" i="55"/>
  <c r="G51" i="55"/>
  <c r="F51" i="55"/>
  <c r="E51" i="55"/>
  <c r="D51" i="55"/>
  <c r="Q50" i="55"/>
  <c r="P50" i="55"/>
  <c r="O50" i="55"/>
  <c r="N50" i="55"/>
  <c r="M50" i="55"/>
  <c r="L50" i="55"/>
  <c r="K50" i="55"/>
  <c r="J50" i="55"/>
  <c r="I50" i="55"/>
  <c r="H50" i="55"/>
  <c r="G50" i="55"/>
  <c r="F50" i="55"/>
  <c r="E50" i="55"/>
  <c r="D50" i="55"/>
  <c r="AF27" i="55"/>
  <c r="AE27" i="55"/>
  <c r="AD27" i="55"/>
  <c r="AC27" i="55"/>
  <c r="AB27" i="55"/>
  <c r="AA27" i="55"/>
  <c r="Z27" i="55"/>
  <c r="Y27" i="55"/>
  <c r="X27" i="55"/>
  <c r="W27" i="55"/>
  <c r="V27" i="55"/>
  <c r="U27" i="55"/>
  <c r="T27" i="55"/>
  <c r="S27" i="55"/>
  <c r="R27" i="55"/>
  <c r="Q27" i="55"/>
  <c r="P27" i="55"/>
  <c r="O27" i="55"/>
  <c r="N27" i="55"/>
  <c r="M27" i="55"/>
  <c r="L27" i="55"/>
  <c r="K27" i="55"/>
  <c r="J27" i="55"/>
  <c r="I27" i="55"/>
  <c r="H27" i="55"/>
  <c r="G27" i="55"/>
  <c r="F27" i="55"/>
  <c r="E27" i="55"/>
  <c r="D27" i="55"/>
  <c r="AF26" i="55"/>
  <c r="AE26" i="55"/>
  <c r="AD26" i="55"/>
  <c r="AC26" i="55"/>
  <c r="AB26" i="55"/>
  <c r="AA26" i="55"/>
  <c r="Z26" i="55"/>
  <c r="Y26" i="55"/>
  <c r="X26" i="55"/>
  <c r="W26" i="55"/>
  <c r="V26" i="55"/>
  <c r="U26" i="55"/>
  <c r="T26" i="55"/>
  <c r="S26" i="55"/>
  <c r="R26" i="55"/>
  <c r="Q26" i="55"/>
  <c r="P26" i="55"/>
  <c r="O26" i="55"/>
  <c r="N26" i="55"/>
  <c r="M26" i="55"/>
  <c r="L26" i="55"/>
  <c r="K26" i="55"/>
  <c r="J26" i="55"/>
  <c r="I26" i="55"/>
  <c r="H26" i="55"/>
  <c r="G26" i="55"/>
  <c r="F26" i="55"/>
  <c r="E26" i="55"/>
  <c r="D26" i="55"/>
  <c r="AF25" i="55"/>
  <c r="AE25" i="55"/>
  <c r="AD25" i="55"/>
  <c r="AC25" i="55"/>
  <c r="AB25" i="55"/>
  <c r="AA25" i="55"/>
  <c r="Z25" i="55"/>
  <c r="Y25" i="55"/>
  <c r="X25" i="55"/>
  <c r="W25" i="55"/>
  <c r="V25" i="55"/>
  <c r="U25" i="55"/>
  <c r="T25" i="55"/>
  <c r="S25" i="55"/>
  <c r="R25" i="55"/>
  <c r="Q25" i="55"/>
  <c r="P25" i="55"/>
  <c r="O25" i="55"/>
  <c r="N25" i="55"/>
  <c r="M25" i="55"/>
  <c r="L25" i="55"/>
  <c r="K25" i="55"/>
  <c r="J25" i="55"/>
  <c r="I25" i="55"/>
  <c r="H25" i="55"/>
  <c r="G25" i="55"/>
  <c r="F25" i="55"/>
  <c r="E25" i="55"/>
  <c r="D25" i="55"/>
  <c r="AF20" i="55"/>
  <c r="AE20" i="55"/>
  <c r="AD20" i="55"/>
  <c r="AC20" i="55"/>
  <c r="AB20" i="55"/>
  <c r="AA20" i="55"/>
  <c r="Z20" i="55"/>
  <c r="Y20" i="55"/>
  <c r="X20" i="55"/>
  <c r="W20" i="55"/>
  <c r="V20" i="55"/>
  <c r="U20" i="55"/>
  <c r="T20" i="55"/>
  <c r="S20" i="55"/>
  <c r="R20" i="55"/>
  <c r="Q20" i="55"/>
  <c r="P20" i="55"/>
  <c r="O20" i="55"/>
  <c r="N20" i="55"/>
  <c r="M20" i="55"/>
  <c r="L20" i="55"/>
  <c r="K20" i="55"/>
  <c r="J20" i="55"/>
  <c r="I20" i="55"/>
  <c r="H20" i="55"/>
  <c r="G20" i="55"/>
  <c r="F20" i="55"/>
  <c r="E20" i="55"/>
  <c r="D20" i="55"/>
  <c r="AF19" i="55"/>
  <c r="AE19" i="55"/>
  <c r="AD19" i="55"/>
  <c r="AC19" i="55"/>
  <c r="AB19" i="55"/>
  <c r="AA19" i="55"/>
  <c r="Z19" i="55"/>
  <c r="Y19" i="55"/>
  <c r="X19" i="55"/>
  <c r="W19" i="55"/>
  <c r="V19" i="55"/>
  <c r="U19" i="55"/>
  <c r="T19" i="55"/>
  <c r="S19" i="55"/>
  <c r="R19" i="55"/>
  <c r="Q19" i="55"/>
  <c r="P19" i="55"/>
  <c r="O19" i="55"/>
  <c r="N19" i="55"/>
  <c r="M19" i="55"/>
  <c r="L19" i="55"/>
  <c r="K19" i="55"/>
  <c r="J19" i="55"/>
  <c r="I19" i="55"/>
  <c r="H19" i="55"/>
  <c r="G19" i="55"/>
  <c r="F19" i="55"/>
  <c r="E19" i="55"/>
  <c r="D19" i="55"/>
  <c r="AF17" i="55"/>
  <c r="AE17" i="55"/>
  <c r="AD17" i="55"/>
  <c r="AC17" i="55"/>
  <c r="AB17" i="55"/>
  <c r="AA17" i="55"/>
  <c r="Z17" i="55"/>
  <c r="Y17" i="55"/>
  <c r="X17" i="55"/>
  <c r="W17" i="55"/>
  <c r="V17" i="55"/>
  <c r="U17" i="55"/>
  <c r="T17" i="55"/>
  <c r="S17" i="55"/>
  <c r="R17" i="55"/>
  <c r="Q17" i="55"/>
  <c r="P17" i="55"/>
  <c r="O17" i="55"/>
  <c r="N17" i="55"/>
  <c r="M17" i="55"/>
  <c r="L17" i="55"/>
  <c r="K17" i="55"/>
  <c r="J17" i="55"/>
  <c r="I17" i="55"/>
  <c r="H17" i="55"/>
  <c r="G17" i="55"/>
  <c r="F17" i="55"/>
  <c r="E17" i="55"/>
  <c r="K13" i="55"/>
  <c r="K12" i="55"/>
  <c r="K9" i="55"/>
  <c r="K8" i="55"/>
  <c r="G8" i="55"/>
  <c r="K7" i="55"/>
  <c r="G7" i="55"/>
  <c r="G6" i="55"/>
  <c r="E6" i="55"/>
  <c r="K5" i="55"/>
  <c r="F5" i="55"/>
  <c r="E5" i="55"/>
  <c r="C10" i="2"/>
  <c r="F15" i="26" s="1"/>
  <c r="E8" i="2"/>
  <c r="C2" i="26" s="1"/>
  <c r="C8" i="2"/>
  <c r="AD39" i="26" s="1"/>
  <c r="AD44" i="26" s="1"/>
  <c r="C6" i="2"/>
  <c r="C2" i="16"/>
  <c r="I233" i="5" l="1"/>
  <c r="F78" i="5"/>
  <c r="E257" i="5"/>
  <c r="E312" i="5" s="1"/>
  <c r="E262" i="5"/>
  <c r="H108" i="5"/>
  <c r="E138" i="5"/>
  <c r="E185" i="5"/>
  <c r="E254" i="5"/>
  <c r="J185" i="5"/>
  <c r="I248" i="5"/>
  <c r="E252" i="5"/>
  <c r="E260" i="5"/>
  <c r="J248" i="5"/>
  <c r="I94" i="26"/>
  <c r="K124" i="26"/>
  <c r="S124" i="26"/>
  <c r="AA124" i="26"/>
  <c r="E154" i="26"/>
  <c r="H154" i="26"/>
  <c r="F154" i="26"/>
  <c r="E218" i="26"/>
  <c r="F415" i="5"/>
  <c r="G401" i="5"/>
  <c r="G396" i="5"/>
  <c r="F410" i="5"/>
  <c r="G397" i="5"/>
  <c r="F411" i="5"/>
  <c r="G402" i="5"/>
  <c r="F416" i="5"/>
  <c r="H392" i="5"/>
  <c r="G406" i="5"/>
  <c r="F407" i="5"/>
  <c r="G393" i="5"/>
  <c r="H399" i="5"/>
  <c r="G413" i="5"/>
  <c r="G394" i="5"/>
  <c r="F408" i="5"/>
  <c r="G400" i="5"/>
  <c r="F414" i="5"/>
  <c r="G78" i="5"/>
  <c r="H93" i="5"/>
  <c r="I108" i="5"/>
  <c r="F185" i="5"/>
  <c r="E233" i="5"/>
  <c r="F395" i="5"/>
  <c r="G398" i="5"/>
  <c r="F406" i="5"/>
  <c r="E411" i="5"/>
  <c r="H78" i="5"/>
  <c r="E259" i="5"/>
  <c r="E108" i="5"/>
  <c r="E153" i="5"/>
  <c r="F169" i="5"/>
  <c r="G185" i="5"/>
  <c r="E201" i="5"/>
  <c r="F233" i="5"/>
  <c r="E408" i="5"/>
  <c r="E416" i="5"/>
  <c r="I78" i="5"/>
  <c r="E256" i="5"/>
  <c r="F153" i="5"/>
  <c r="I153" i="5"/>
  <c r="G153" i="5"/>
  <c r="G169" i="5"/>
  <c r="H185" i="5"/>
  <c r="G233" i="5"/>
  <c r="E248" i="5"/>
  <c r="E78" i="5"/>
  <c r="E261" i="5"/>
  <c r="E123" i="5"/>
  <c r="F138" i="5"/>
  <c r="H169" i="5"/>
  <c r="I185" i="5"/>
  <c r="H233" i="5"/>
  <c r="F248" i="5"/>
  <c r="E410" i="5"/>
  <c r="F413" i="5"/>
  <c r="E258" i="5"/>
  <c r="E350" i="5" s="1"/>
  <c r="F123" i="5"/>
  <c r="I123" i="5"/>
  <c r="G123" i="5"/>
  <c r="G138" i="5"/>
  <c r="H153" i="5"/>
  <c r="I169" i="5"/>
  <c r="G248" i="5"/>
  <c r="E407" i="5"/>
  <c r="E417" i="5" s="1"/>
  <c r="E415" i="5"/>
  <c r="E255" i="5"/>
  <c r="E93" i="5"/>
  <c r="F108" i="5"/>
  <c r="H138" i="5"/>
  <c r="E169" i="5"/>
  <c r="E217" i="5"/>
  <c r="J233" i="5"/>
  <c r="H248" i="5"/>
  <c r="F93" i="5"/>
  <c r="I93" i="5"/>
  <c r="G93" i="5"/>
  <c r="G108" i="5"/>
  <c r="H123" i="5"/>
  <c r="I138" i="5"/>
  <c r="E313" i="5"/>
  <c r="E308" i="5"/>
  <c r="E314" i="5"/>
  <c r="E318" i="5"/>
  <c r="E310" i="5"/>
  <c r="E317" i="5"/>
  <c r="E309" i="5"/>
  <c r="E316" i="5"/>
  <c r="E315" i="5"/>
  <c r="E253" i="5"/>
  <c r="L124" i="26"/>
  <c r="T124" i="26"/>
  <c r="AB124" i="26"/>
  <c r="G124" i="26"/>
  <c r="O124" i="26"/>
  <c r="W124" i="26"/>
  <c r="AE124" i="26"/>
  <c r="E139" i="26"/>
  <c r="M139" i="26"/>
  <c r="U139" i="26"/>
  <c r="AC139" i="26"/>
  <c r="G154" i="26"/>
  <c r="E124" i="26"/>
  <c r="M124" i="26"/>
  <c r="U124" i="26"/>
  <c r="AC124" i="26"/>
  <c r="H124" i="26"/>
  <c r="P124" i="26"/>
  <c r="X124" i="26"/>
  <c r="AF124" i="26"/>
  <c r="F124" i="26"/>
  <c r="N124" i="26"/>
  <c r="V124" i="26"/>
  <c r="AD124" i="26"/>
  <c r="F139" i="26"/>
  <c r="N139" i="26"/>
  <c r="V139" i="26"/>
  <c r="AD139" i="26"/>
  <c r="E202" i="26"/>
  <c r="G94" i="26"/>
  <c r="E109" i="26"/>
  <c r="G139" i="26"/>
  <c r="O139" i="26"/>
  <c r="W139" i="26"/>
  <c r="AE139" i="26"/>
  <c r="E79" i="26"/>
  <c r="E94" i="26"/>
  <c r="H94" i="26"/>
  <c r="F94" i="26"/>
  <c r="F109" i="26"/>
  <c r="H139" i="26"/>
  <c r="P139" i="26"/>
  <c r="X139" i="26"/>
  <c r="AF139" i="26"/>
  <c r="K139" i="26"/>
  <c r="S139" i="26"/>
  <c r="AA139" i="26"/>
  <c r="I154" i="26"/>
  <c r="G109" i="26"/>
  <c r="I139" i="26"/>
  <c r="Q139" i="26"/>
  <c r="Y139" i="26"/>
  <c r="AG139" i="26"/>
  <c r="L139" i="26"/>
  <c r="T139" i="26"/>
  <c r="AB139" i="26"/>
  <c r="J139" i="26"/>
  <c r="R139" i="26"/>
  <c r="Z139" i="26"/>
  <c r="H109" i="26"/>
  <c r="I124" i="26"/>
  <c r="Q124" i="26"/>
  <c r="Y124" i="26"/>
  <c r="AG124" i="26"/>
  <c r="I109" i="26"/>
  <c r="J124" i="26"/>
  <c r="R124" i="26"/>
  <c r="Z124" i="26"/>
  <c r="E170" i="26"/>
  <c r="C4" i="2"/>
  <c r="C2" i="27"/>
  <c r="C2" i="22"/>
  <c r="C2" i="17"/>
  <c r="N6" i="36"/>
  <c r="Q6" i="36" s="1"/>
  <c r="R6" i="36" s="1"/>
  <c r="N5" i="36"/>
  <c r="Q5" i="36" s="1"/>
  <c r="R5" i="36" s="1"/>
  <c r="B21" i="36"/>
  <c r="O23" i="36"/>
  <c r="U23" i="36" s="1"/>
  <c r="M29" i="36"/>
  <c r="J33" i="36"/>
  <c r="B35" i="36"/>
  <c r="O36" i="36"/>
  <c r="U36" i="36" s="1"/>
  <c r="G15" i="46"/>
  <c r="B26" i="36"/>
  <c r="O29" i="36"/>
  <c r="U29" i="36" s="1"/>
  <c r="M33" i="36"/>
  <c r="B43" i="36"/>
  <c r="M44" i="36"/>
  <c r="H15" i="46"/>
  <c r="M22" i="36"/>
  <c r="M32" i="36"/>
  <c r="J21" i="36"/>
  <c r="M27" i="36"/>
  <c r="J40" i="36"/>
  <c r="B18" i="36"/>
  <c r="M21" i="36"/>
  <c r="J26" i="36"/>
  <c r="B29" i="36"/>
  <c r="B39" i="36"/>
  <c r="M40" i="36"/>
  <c r="F13" i="36" a="1"/>
  <c r="H13" i="36" s="1"/>
  <c r="B23" i="36"/>
  <c r="M26" i="36"/>
  <c r="O26" i="36"/>
  <c r="U26" i="36" s="1"/>
  <c r="P13" i="36" a="1"/>
  <c r="O18" i="36"/>
  <c r="U18" i="36" s="1"/>
  <c r="M30" i="36"/>
  <c r="M36" i="36"/>
  <c r="T13" i="36"/>
  <c r="T14" i="36" s="1"/>
  <c r="S13" i="36"/>
  <c r="S14" i="36" s="1"/>
  <c r="R13" i="36"/>
  <c r="R14" i="36" s="1"/>
  <c r="Q13" i="36"/>
  <c r="Q14" i="36" s="1"/>
  <c r="P13" i="36"/>
  <c r="P14" i="36" s="1"/>
  <c r="F16" i="36"/>
  <c r="F17" i="36" s="1"/>
  <c r="G16" i="36"/>
  <c r="G17" i="36" s="1"/>
  <c r="G18" i="36" s="1"/>
  <c r="G19" i="36" s="1"/>
  <c r="G20" i="36" s="1"/>
  <c r="G21" i="36" s="1"/>
  <c r="G22" i="36" s="1"/>
  <c r="G23" i="36" s="1"/>
  <c r="H22" i="36"/>
  <c r="H27" i="36"/>
  <c r="M37" i="36"/>
  <c r="M41" i="36"/>
  <c r="H16" i="36"/>
  <c r="M17" i="36"/>
  <c r="M19" i="36"/>
  <c r="J22" i="36"/>
  <c r="M24" i="36"/>
  <c r="J27" i="36"/>
  <c r="J30" i="36"/>
  <c r="O33" i="36"/>
  <c r="U33" i="36" s="1"/>
  <c r="J34" i="36"/>
  <c r="B36" i="36"/>
  <c r="O37" i="36"/>
  <c r="U37" i="36" s="1"/>
  <c r="J38" i="36"/>
  <c r="O41" i="36"/>
  <c r="U41" i="36" s="1"/>
  <c r="J42" i="36"/>
  <c r="J16" i="36"/>
  <c r="M34" i="36"/>
  <c r="M38" i="36"/>
  <c r="M42" i="36"/>
  <c r="M16" i="36"/>
  <c r="H18" i="36"/>
  <c r="J20" i="36"/>
  <c r="O22" i="36"/>
  <c r="U22" i="36" s="1"/>
  <c r="H23" i="36"/>
  <c r="J25" i="36"/>
  <c r="O27" i="36"/>
  <c r="U27" i="36" s="1"/>
  <c r="H28" i="36"/>
  <c r="O30" i="36"/>
  <c r="U30" i="36" s="1"/>
  <c r="J31" i="36"/>
  <c r="O34" i="36"/>
  <c r="U34" i="36" s="1"/>
  <c r="J35" i="36"/>
  <c r="O38" i="36"/>
  <c r="U38" i="36" s="1"/>
  <c r="J39" i="36"/>
  <c r="O42" i="36"/>
  <c r="U42" i="36" s="1"/>
  <c r="J43" i="36"/>
  <c r="O16" i="36"/>
  <c r="M20" i="36"/>
  <c r="M25" i="36"/>
  <c r="M31" i="36"/>
  <c r="M35" i="36"/>
  <c r="M39" i="36"/>
  <c r="M43" i="36"/>
  <c r="M18" i="36"/>
  <c r="M23" i="36"/>
  <c r="E225" i="26"/>
  <c r="E233" i="26"/>
  <c r="E244" i="26"/>
  <c r="E226" i="26"/>
  <c r="E245" i="26"/>
  <c r="E227" i="26"/>
  <c r="E238" i="26"/>
  <c r="E246" i="26"/>
  <c r="E228" i="26"/>
  <c r="E239" i="26"/>
  <c r="E247" i="26"/>
  <c r="E229" i="26"/>
  <c r="E240" i="26"/>
  <c r="E248" i="26"/>
  <c r="E230" i="26"/>
  <c r="E241" i="26"/>
  <c r="E223" i="26"/>
  <c r="E175" i="26"/>
  <c r="E183" i="26"/>
  <c r="E178" i="26"/>
  <c r="E181" i="26"/>
  <c r="E176" i="26"/>
  <c r="E184" i="26"/>
  <c r="E180" i="26"/>
  <c r="E24" i="26"/>
  <c r="E179" i="26"/>
  <c r="E182" i="26"/>
  <c r="E177" i="26"/>
  <c r="AG2" i="26"/>
  <c r="Y2" i="26"/>
  <c r="Q2" i="26"/>
  <c r="I2" i="26"/>
  <c r="AF2" i="26"/>
  <c r="X2" i="26"/>
  <c r="P2" i="26"/>
  <c r="H2" i="26"/>
  <c r="R2" i="26"/>
  <c r="AE2" i="26"/>
  <c r="W2" i="26"/>
  <c r="O2" i="26"/>
  <c r="G2" i="26"/>
  <c r="L2" i="26"/>
  <c r="Z2" i="26"/>
  <c r="AD2" i="26"/>
  <c r="V2" i="26"/>
  <c r="N2" i="26"/>
  <c r="F2" i="26"/>
  <c r="T2" i="26"/>
  <c r="J2" i="26"/>
  <c r="AC2" i="26"/>
  <c r="U2" i="26"/>
  <c r="M2" i="26"/>
  <c r="E2" i="26"/>
  <c r="AB2" i="26"/>
  <c r="AA2" i="26"/>
  <c r="S2" i="26"/>
  <c r="K2" i="26"/>
  <c r="F198" i="26"/>
  <c r="F201" i="26"/>
  <c r="F193" i="26"/>
  <c r="F200" i="26"/>
  <c r="F196" i="26"/>
  <c r="G15" i="26"/>
  <c r="F191" i="26"/>
  <c r="F199" i="26"/>
  <c r="F194" i="26"/>
  <c r="F197" i="26"/>
  <c r="F192" i="26"/>
  <c r="F195" i="26"/>
  <c r="F14" i="5"/>
  <c r="F16" i="5"/>
  <c r="Q29" i="23"/>
  <c r="Q37" i="23"/>
  <c r="Q45" i="23"/>
  <c r="Q46" i="23"/>
  <c r="Q30" i="23"/>
  <c r="Q38" i="23"/>
  <c r="Q23" i="23"/>
  <c r="Q31" i="23"/>
  <c r="Q39" i="23"/>
  <c r="Q22" i="23"/>
  <c r="Q44" i="23"/>
  <c r="Q24" i="23"/>
  <c r="Q32" i="23"/>
  <c r="Q40" i="23"/>
  <c r="Q25" i="23"/>
  <c r="Q33" i="23"/>
  <c r="Q41" i="23"/>
  <c r="Q26" i="23"/>
  <c r="Q34" i="23"/>
  <c r="Q42" i="23"/>
  <c r="Q27" i="23"/>
  <c r="Q35" i="23"/>
  <c r="Q43" i="23"/>
  <c r="Q28" i="23"/>
  <c r="Q36" i="23"/>
  <c r="E21" i="46"/>
  <c r="J21" i="46" s="1"/>
  <c r="R40" i="36"/>
  <c r="R41" i="36" s="1"/>
  <c r="R42" i="36" s="1"/>
  <c r="R43" i="36" s="1"/>
  <c r="R44" i="36" s="1"/>
  <c r="Q40" i="36"/>
  <c r="Q41" i="36" s="1"/>
  <c r="Q42" i="36" s="1"/>
  <c r="Q43" i="36" s="1"/>
  <c r="Q44" i="36" s="1"/>
  <c r="E20" i="46"/>
  <c r="D20" i="46" s="1"/>
  <c r="Q84" i="28"/>
  <c r="AF84" i="28"/>
  <c r="Y84" i="28"/>
  <c r="J84" i="28"/>
  <c r="R84" i="28"/>
  <c r="Z84" i="28"/>
  <c r="AH84" i="28"/>
  <c r="F12" i="49"/>
  <c r="AG84" i="28"/>
  <c r="K84" i="28"/>
  <c r="S84" i="28"/>
  <c r="AA84" i="28"/>
  <c r="AI84" i="28"/>
  <c r="I84" i="28"/>
  <c r="M84" i="28"/>
  <c r="U84" i="28"/>
  <c r="AC84" i="28"/>
  <c r="O39" i="26"/>
  <c r="P30" i="26" s="1"/>
  <c r="P48" i="26" s="1"/>
  <c r="W39" i="26"/>
  <c r="W44" i="26" s="1"/>
  <c r="F11" i="26"/>
  <c r="F166" i="26" s="1"/>
  <c r="AE39" i="26"/>
  <c r="AE44" i="26" s="1"/>
  <c r="G11" i="26"/>
  <c r="P39" i="26"/>
  <c r="P44" i="26" s="1"/>
  <c r="X39" i="26"/>
  <c r="X44" i="26" s="1"/>
  <c r="AF39" i="26"/>
  <c r="AF44" i="26" s="1"/>
  <c r="H11" i="26"/>
  <c r="Q39" i="26"/>
  <c r="Q44" i="26" s="1"/>
  <c r="Y39" i="26"/>
  <c r="Y44" i="26" s="1"/>
  <c r="AG39" i="26"/>
  <c r="AG44" i="26" s="1"/>
  <c r="I11" i="26"/>
  <c r="R39" i="26"/>
  <c r="R44" i="26" s="1"/>
  <c r="Z39" i="26"/>
  <c r="Z44" i="26" s="1"/>
  <c r="F5" i="26"/>
  <c r="S39" i="26"/>
  <c r="S44" i="26" s="1"/>
  <c r="AA39" i="26"/>
  <c r="AA44" i="26" s="1"/>
  <c r="G5" i="26"/>
  <c r="F17" i="26"/>
  <c r="G17" i="26" s="1"/>
  <c r="H17" i="26" s="1"/>
  <c r="T39" i="26"/>
  <c r="T44" i="26" s="1"/>
  <c r="AB39" i="26"/>
  <c r="AB44" i="26" s="1"/>
  <c r="H5" i="26"/>
  <c r="U39" i="26"/>
  <c r="U44" i="26" s="1"/>
  <c r="AC39" i="26"/>
  <c r="AC44" i="26" s="1"/>
  <c r="I5" i="26"/>
  <c r="V39" i="26"/>
  <c r="V44" i="26" s="1"/>
  <c r="L50" i="5"/>
  <c r="M32" i="5"/>
  <c r="M49" i="5"/>
  <c r="M30" i="5"/>
  <c r="L48" i="5"/>
  <c r="L28" i="5"/>
  <c r="K46" i="5"/>
  <c r="K52" i="5" s="1"/>
  <c r="K34" i="5"/>
  <c r="K56" i="5" s="1"/>
  <c r="L29" i="5"/>
  <c r="M33" i="5"/>
  <c r="L49" i="5"/>
  <c r="K50" i="5"/>
  <c r="G12" i="49"/>
  <c r="D22" i="46"/>
  <c r="K22" i="46" s="1"/>
  <c r="H25" i="46"/>
  <c r="I17" i="46"/>
  <c r="G24" i="46"/>
  <c r="Y108" i="28"/>
  <c r="AF108" i="28"/>
  <c r="M11" i="32"/>
  <c r="Z11" i="32" s="1"/>
  <c r="J27" i="46"/>
  <c r="L27" i="46" s="1"/>
  <c r="G25" i="46"/>
  <c r="AS52" i="32"/>
  <c r="G23" i="46"/>
  <c r="K11" i="32"/>
  <c r="AE11" i="32" s="1"/>
  <c r="AE31" i="32" s="1"/>
  <c r="F28" i="46"/>
  <c r="AA14" i="28"/>
  <c r="AG108" i="28"/>
  <c r="D27" i="46"/>
  <c r="K27" i="46" s="1"/>
  <c r="H108" i="28"/>
  <c r="AJ21" i="32"/>
  <c r="I108" i="28"/>
  <c r="AI109" i="28"/>
  <c r="P108" i="28"/>
  <c r="S99" i="28"/>
  <c r="Q108" i="28"/>
  <c r="I18" i="46"/>
  <c r="X108" i="28"/>
  <c r="G26" i="46"/>
  <c r="D28" i="46"/>
  <c r="K28" i="46" s="1"/>
  <c r="N1" i="34"/>
  <c r="Q29" i="34" s="1"/>
  <c r="F14" i="46"/>
  <c r="J14" i="46"/>
  <c r="G19" i="46"/>
  <c r="H23" i="46"/>
  <c r="N11" i="32"/>
  <c r="H19" i="46"/>
  <c r="G22" i="46"/>
  <c r="O11" i="32"/>
  <c r="AB11" i="32" s="1"/>
  <c r="H22" i="46"/>
  <c r="I27" i="46"/>
  <c r="I21" i="46"/>
  <c r="AG11" i="32"/>
  <c r="AG41" i="32" s="1"/>
  <c r="M41" i="32" s="1"/>
  <c r="Z41" i="32" s="1"/>
  <c r="AH72" i="28" s="1"/>
  <c r="G18" i="46"/>
  <c r="J22" i="46"/>
  <c r="L22" i="46" s="1"/>
  <c r="I26" i="46"/>
  <c r="AJ14" i="32"/>
  <c r="AJ26" i="32"/>
  <c r="K21" i="32"/>
  <c r="X21" i="32" s="1"/>
  <c r="N70" i="28" s="1"/>
  <c r="N58" i="14"/>
  <c r="N74" i="14" s="1"/>
  <c r="R123" i="28"/>
  <c r="R75" i="28"/>
  <c r="R99" i="28" s="1"/>
  <c r="K109" i="28"/>
  <c r="S109" i="28"/>
  <c r="V14" i="28"/>
  <c r="M58" i="14"/>
  <c r="M74" i="14" s="1"/>
  <c r="Q123" i="28"/>
  <c r="Q75" i="28"/>
  <c r="Q99" i="28" s="1"/>
  <c r="AH109" i="28"/>
  <c r="L109" i="28"/>
  <c r="AB109" i="28"/>
  <c r="G14" i="28"/>
  <c r="W14" i="28"/>
  <c r="E58" i="14"/>
  <c r="E74" i="14" s="1"/>
  <c r="I123" i="28"/>
  <c r="I75" i="28"/>
  <c r="I99" i="28" s="1"/>
  <c r="T84" i="28"/>
  <c r="AB84" i="28"/>
  <c r="Q109" i="28"/>
  <c r="Z109" i="28"/>
  <c r="M109" i="28"/>
  <c r="U109" i="28"/>
  <c r="AC109" i="28"/>
  <c r="F58" i="14"/>
  <c r="F74" i="14" s="1"/>
  <c r="J123" i="28"/>
  <c r="J75" i="28"/>
  <c r="J99" i="28" s="1"/>
  <c r="K47" i="28"/>
  <c r="L84" i="28"/>
  <c r="I109" i="28"/>
  <c r="N39" i="33"/>
  <c r="P39" i="33" s="1"/>
  <c r="AF59" i="28" s="1"/>
  <c r="AF83" i="28" s="1"/>
  <c r="N31" i="33"/>
  <c r="P31" i="33" s="1"/>
  <c r="X59" i="28" s="1"/>
  <c r="X83" i="28" s="1"/>
  <c r="N23" i="33"/>
  <c r="P23" i="33" s="1"/>
  <c r="P59" i="28" s="1"/>
  <c r="P83" i="28" s="1"/>
  <c r="N15" i="33"/>
  <c r="P15" i="33" s="1"/>
  <c r="H59" i="28" s="1"/>
  <c r="H83" i="28" s="1"/>
  <c r="U41" i="32"/>
  <c r="U37" i="32"/>
  <c r="U33" i="32"/>
  <c r="U32" i="32"/>
  <c r="U31" i="32"/>
  <c r="U30" i="32"/>
  <c r="U29" i="32"/>
  <c r="U28" i="32"/>
  <c r="U27" i="32"/>
  <c r="U26" i="32"/>
  <c r="U25" i="32"/>
  <c r="N40" i="33"/>
  <c r="P40" i="33" s="1"/>
  <c r="AG59" i="28" s="1"/>
  <c r="AG83" i="28" s="1"/>
  <c r="N32" i="33"/>
  <c r="P32" i="33" s="1"/>
  <c r="Y59" i="28" s="1"/>
  <c r="Y83" i="28" s="1"/>
  <c r="N24" i="33"/>
  <c r="P24" i="33" s="1"/>
  <c r="Q59" i="28" s="1"/>
  <c r="Q83" i="28" s="1"/>
  <c r="N16" i="33"/>
  <c r="P16" i="33" s="1"/>
  <c r="I59" i="28" s="1"/>
  <c r="I83" i="28" s="1"/>
  <c r="N41" i="33"/>
  <c r="P41" i="33" s="1"/>
  <c r="AH59" i="28" s="1"/>
  <c r="AH83" i="28" s="1"/>
  <c r="N33" i="33"/>
  <c r="P33" i="33" s="1"/>
  <c r="Z59" i="28" s="1"/>
  <c r="Z83" i="28" s="1"/>
  <c r="N25" i="33"/>
  <c r="P25" i="33" s="1"/>
  <c r="R59" i="28" s="1"/>
  <c r="R83" i="28" s="1"/>
  <c r="N17" i="33"/>
  <c r="P17" i="33" s="1"/>
  <c r="J59" i="28" s="1"/>
  <c r="J83" i="28" s="1"/>
  <c r="N42" i="33"/>
  <c r="P42" i="33" s="1"/>
  <c r="AI59" i="28" s="1"/>
  <c r="AI83" i="28" s="1"/>
  <c r="N34" i="33"/>
  <c r="P34" i="33" s="1"/>
  <c r="AA59" i="28" s="1"/>
  <c r="AA83" i="28" s="1"/>
  <c r="N26" i="33"/>
  <c r="P26" i="33" s="1"/>
  <c r="S59" i="28" s="1"/>
  <c r="S83" i="28" s="1"/>
  <c r="N18" i="33"/>
  <c r="P18" i="33" s="1"/>
  <c r="K59" i="28" s="1"/>
  <c r="K83" i="28" s="1"/>
  <c r="N35" i="33"/>
  <c r="P35" i="33" s="1"/>
  <c r="AB59" i="28" s="1"/>
  <c r="AB83" i="28" s="1"/>
  <c r="N27" i="33"/>
  <c r="P27" i="33" s="1"/>
  <c r="T59" i="28" s="1"/>
  <c r="T83" i="28" s="1"/>
  <c r="N19" i="33"/>
  <c r="P19" i="33" s="1"/>
  <c r="L59" i="28" s="1"/>
  <c r="L83" i="28" s="1"/>
  <c r="U39" i="32"/>
  <c r="N36" i="33"/>
  <c r="P36" i="33" s="1"/>
  <c r="AC59" i="28" s="1"/>
  <c r="AC83" i="28" s="1"/>
  <c r="N29" i="33"/>
  <c r="P29" i="33" s="1"/>
  <c r="V59" i="28" s="1"/>
  <c r="V83" i="28" s="1"/>
  <c r="U23" i="32"/>
  <c r="N30" i="33"/>
  <c r="P30" i="33" s="1"/>
  <c r="W59" i="28" s="1"/>
  <c r="W83" i="28" s="1"/>
  <c r="U38" i="32"/>
  <c r="U35" i="32"/>
  <c r="U18" i="32"/>
  <c r="P40" i="30"/>
  <c r="AF56" i="28" s="1"/>
  <c r="AF80" i="28" s="1"/>
  <c r="P32" i="30"/>
  <c r="X56" i="28" s="1"/>
  <c r="X80" i="28" s="1"/>
  <c r="P24" i="30"/>
  <c r="P56" i="28" s="1"/>
  <c r="P80" i="28" s="1"/>
  <c r="P16" i="30"/>
  <c r="H56" i="28" s="1"/>
  <c r="H80" i="28" s="1"/>
  <c r="N37" i="33"/>
  <c r="P37" i="33" s="1"/>
  <c r="AD59" i="28" s="1"/>
  <c r="AD83" i="28" s="1"/>
  <c r="U21" i="32"/>
  <c r="P41" i="30"/>
  <c r="AG56" i="28" s="1"/>
  <c r="AG80" i="28" s="1"/>
  <c r="P33" i="30"/>
  <c r="Y56" i="28" s="1"/>
  <c r="P25" i="30"/>
  <c r="Q56" i="28" s="1"/>
  <c r="Q80" i="28" s="1"/>
  <c r="P17" i="30"/>
  <c r="I56" i="28" s="1"/>
  <c r="I80" i="28" s="1"/>
  <c r="N38" i="33"/>
  <c r="P38" i="33" s="1"/>
  <c r="AE59" i="28" s="1"/>
  <c r="AE83" i="28" s="1"/>
  <c r="U40" i="32"/>
  <c r="U24" i="32"/>
  <c r="U16" i="32"/>
  <c r="U15" i="32"/>
  <c r="U14" i="32"/>
  <c r="P42" i="30"/>
  <c r="AH56" i="28" s="1"/>
  <c r="P34" i="30"/>
  <c r="Z56" i="28" s="1"/>
  <c r="P26" i="30"/>
  <c r="R56" i="28" s="1"/>
  <c r="R80" i="28" s="1"/>
  <c r="P18" i="30"/>
  <c r="J56" i="28" s="1"/>
  <c r="J80" i="28" s="1"/>
  <c r="N20" i="33"/>
  <c r="P20" i="33" s="1"/>
  <c r="M59" i="28" s="1"/>
  <c r="M83" i="28" s="1"/>
  <c r="O1" i="39"/>
  <c r="P1" i="39" s="1"/>
  <c r="N14" i="33"/>
  <c r="P14" i="33" s="1"/>
  <c r="G59" i="28" s="1"/>
  <c r="G83" i="28" s="1"/>
  <c r="U22" i="32"/>
  <c r="P36" i="30"/>
  <c r="AB56" i="28" s="1"/>
  <c r="AB80" i="28" s="1"/>
  <c r="P28" i="30"/>
  <c r="T56" i="28" s="1"/>
  <c r="T80" i="28" s="1"/>
  <c r="P20" i="30"/>
  <c r="L56" i="28" s="1"/>
  <c r="L80" i="28" s="1"/>
  <c r="N28" i="33"/>
  <c r="P28" i="33" s="1"/>
  <c r="U59" i="28" s="1"/>
  <c r="U83" i="28" s="1"/>
  <c r="N21" i="33"/>
  <c r="P21" i="33" s="1"/>
  <c r="N59" i="28" s="1"/>
  <c r="N83" i="28" s="1"/>
  <c r="U42" i="32"/>
  <c r="U17" i="32"/>
  <c r="P37" i="30"/>
  <c r="AC56" i="28" s="1"/>
  <c r="P29" i="30"/>
  <c r="U56" i="28" s="1"/>
  <c r="P21" i="30"/>
  <c r="M56" i="28" s="1"/>
  <c r="N22" i="33"/>
  <c r="P22" i="33" s="1"/>
  <c r="O59" i="28" s="1"/>
  <c r="O83" i="28" s="1"/>
  <c r="P19" i="30"/>
  <c r="K56" i="28" s="1"/>
  <c r="P15" i="30"/>
  <c r="G56" i="28" s="1"/>
  <c r="G80" i="28" s="1"/>
  <c r="P30" i="30"/>
  <c r="V56" i="28" s="1"/>
  <c r="V80" i="28" s="1"/>
  <c r="P23" i="30"/>
  <c r="O56" i="28" s="1"/>
  <c r="O80" i="28" s="1"/>
  <c r="U20" i="32"/>
  <c r="U19" i="32"/>
  <c r="P38" i="30"/>
  <c r="AD56" i="28" s="1"/>
  <c r="AD80" i="28" s="1"/>
  <c r="P31" i="30"/>
  <c r="W56" i="28" s="1"/>
  <c r="W80" i="28" s="1"/>
  <c r="P35" i="30"/>
  <c r="AA56" i="28" s="1"/>
  <c r="AA80" i="28" s="1"/>
  <c r="U36" i="32"/>
  <c r="P43" i="30"/>
  <c r="AI56" i="28" s="1"/>
  <c r="AI80" i="28" s="1"/>
  <c r="P27" i="30"/>
  <c r="S56" i="28" s="1"/>
  <c r="U34" i="32"/>
  <c r="P39" i="30"/>
  <c r="AE56" i="28" s="1"/>
  <c r="AE80" i="28" s="1"/>
  <c r="P22" i="30"/>
  <c r="N56" i="28" s="1"/>
  <c r="N80" i="28" s="1"/>
  <c r="N109" i="28"/>
  <c r="G6" i="46"/>
  <c r="AD109" i="28"/>
  <c r="I14" i="28"/>
  <c r="Q14" i="28"/>
  <c r="Y14" i="28"/>
  <c r="AG14" i="28"/>
  <c r="R58" i="14"/>
  <c r="R74" i="14" s="1"/>
  <c r="V123" i="28"/>
  <c r="V99" i="28"/>
  <c r="G109" i="28"/>
  <c r="O109" i="28"/>
  <c r="W109" i="28"/>
  <c r="AE109" i="28"/>
  <c r="J14" i="28"/>
  <c r="R14" i="28"/>
  <c r="Z14" i="28"/>
  <c r="AH14" i="28"/>
  <c r="K58" i="14"/>
  <c r="K74" i="14" s="1"/>
  <c r="O123" i="28"/>
  <c r="O99" i="28"/>
  <c r="S58" i="14"/>
  <c r="S74" i="14" s="1"/>
  <c r="W123" i="28"/>
  <c r="W99" i="28"/>
  <c r="T109" i="28"/>
  <c r="H109" i="28"/>
  <c r="P109" i="28"/>
  <c r="X109" i="28"/>
  <c r="AF109" i="28"/>
  <c r="D58" i="14"/>
  <c r="D74" i="14" s="1"/>
  <c r="L58" i="14"/>
  <c r="L74" i="14" s="1"/>
  <c r="P123" i="28"/>
  <c r="T58" i="14"/>
  <c r="T74" i="14" s="1"/>
  <c r="X123" i="28"/>
  <c r="O58" i="14"/>
  <c r="O74" i="14" s="1"/>
  <c r="S123" i="28"/>
  <c r="H84" i="28"/>
  <c r="P84" i="28"/>
  <c r="H75" i="28"/>
  <c r="H99" i="28" s="1"/>
  <c r="P75" i="28"/>
  <c r="P99" i="28" s="1"/>
  <c r="X75" i="28"/>
  <c r="X99" i="28" s="1"/>
  <c r="H123" i="28"/>
  <c r="P58" i="14"/>
  <c r="P74" i="14" s="1"/>
  <c r="P90" i="14" s="1"/>
  <c r="T123" i="28"/>
  <c r="T99" i="28"/>
  <c r="X84" i="28"/>
  <c r="Q58" i="14"/>
  <c r="Q74" i="14" s="1"/>
  <c r="U123" i="28"/>
  <c r="U99" i="28"/>
  <c r="J108" i="28"/>
  <c r="R108" i="28"/>
  <c r="Z108" i="28"/>
  <c r="AH108" i="28"/>
  <c r="K108" i="28"/>
  <c r="S108" i="28"/>
  <c r="AA108" i="28"/>
  <c r="AI108" i="28"/>
  <c r="L108" i="28"/>
  <c r="T108" i="28"/>
  <c r="AB108" i="28"/>
  <c r="M108" i="28"/>
  <c r="U108" i="28"/>
  <c r="AC108" i="28"/>
  <c r="N108" i="28"/>
  <c r="V108" i="28"/>
  <c r="AD108" i="28"/>
  <c r="G108" i="28"/>
  <c r="O108" i="28"/>
  <c r="W108" i="28"/>
  <c r="J13" i="46"/>
  <c r="L13" i="46" s="1"/>
  <c r="D13" i="46"/>
  <c r="K13" i="46" s="1"/>
  <c r="F13" i="46"/>
  <c r="I16" i="46"/>
  <c r="G16" i="46"/>
  <c r="H16" i="46"/>
  <c r="F11" i="46"/>
  <c r="J11" i="46"/>
  <c r="M18" i="32"/>
  <c r="Z18" i="32" s="1"/>
  <c r="K72" i="28" s="1"/>
  <c r="AJ18" i="32"/>
  <c r="I29" i="46"/>
  <c r="G29" i="46"/>
  <c r="F23" i="46"/>
  <c r="D23" i="46"/>
  <c r="K23" i="46" s="1"/>
  <c r="H28" i="46"/>
  <c r="G28" i="46"/>
  <c r="H29" i="46"/>
  <c r="I20" i="46"/>
  <c r="G20" i="46"/>
  <c r="J23" i="46"/>
  <c r="L23" i="46" s="1"/>
  <c r="J12" i="46"/>
  <c r="K19" i="32"/>
  <c r="X19" i="32" s="1"/>
  <c r="L70" i="28" s="1"/>
  <c r="AJ19" i="32"/>
  <c r="AJ24" i="32"/>
  <c r="AJ15" i="32"/>
  <c r="AJ20" i="32"/>
  <c r="K20" i="32"/>
  <c r="X20" i="32" s="1"/>
  <c r="M70" i="28" s="1"/>
  <c r="AJ22" i="32"/>
  <c r="L22" i="32"/>
  <c r="Y22" i="32" s="1"/>
  <c r="O71" i="28" s="1"/>
  <c r="G17" i="46"/>
  <c r="G21" i="46"/>
  <c r="H24" i="46"/>
  <c r="G27" i="46"/>
  <c r="AJ16" i="32"/>
  <c r="AJ17" i="32"/>
  <c r="M17" i="32"/>
  <c r="Z17" i="32" s="1"/>
  <c r="J72" i="28" s="1"/>
  <c r="AJ23" i="32"/>
  <c r="AF11" i="32"/>
  <c r="Y11" i="32"/>
  <c r="AE39" i="32"/>
  <c r="AE34" i="32"/>
  <c r="AS47" i="32"/>
  <c r="AS49" i="32" s="1"/>
  <c r="AR47" i="32"/>
  <c r="AR49" i="32" s="1"/>
  <c r="AQ47" i="32"/>
  <c r="AQ49" i="32" s="1"/>
  <c r="AO47" i="32"/>
  <c r="AO49" i="32" s="1"/>
  <c r="AP47" i="32"/>
  <c r="AP49" i="32" s="1"/>
  <c r="AS53" i="32"/>
  <c r="AS54" i="32"/>
  <c r="AS55" i="32"/>
  <c r="AS56" i="32"/>
  <c r="AS51" i="32"/>
  <c r="AJ25" i="32"/>
  <c r="W84" i="28"/>
  <c r="O84" i="28"/>
  <c r="N84" i="28"/>
  <c r="V84" i="28"/>
  <c r="AD84" i="28"/>
  <c r="G84" i="28"/>
  <c r="AE84" i="28"/>
  <c r="M39" i="49"/>
  <c r="M35" i="49"/>
  <c r="M31" i="49"/>
  <c r="M27" i="49"/>
  <c r="M23" i="49"/>
  <c r="M19" i="49"/>
  <c r="M15" i="49"/>
  <c r="M11" i="49"/>
  <c r="G11" i="49"/>
  <c r="F11" i="49"/>
  <c r="M13" i="49"/>
  <c r="M17" i="49"/>
  <c r="M21" i="49"/>
  <c r="M25" i="49"/>
  <c r="M29" i="49"/>
  <c r="M33" i="49"/>
  <c r="E311" i="5" l="1"/>
  <c r="E296" i="5"/>
  <c r="J15" i="46"/>
  <c r="E359" i="5"/>
  <c r="E356" i="5"/>
  <c r="E353" i="5"/>
  <c r="E360" i="5"/>
  <c r="E354" i="5"/>
  <c r="E352" i="5"/>
  <c r="H394" i="5"/>
  <c r="G408" i="5"/>
  <c r="H402" i="5"/>
  <c r="G416" i="5"/>
  <c r="E357" i="5"/>
  <c r="E358" i="5"/>
  <c r="H413" i="5"/>
  <c r="I399" i="5"/>
  <c r="E351" i="5"/>
  <c r="E355" i="5"/>
  <c r="E369" i="5" s="1"/>
  <c r="G407" i="5"/>
  <c r="H393" i="5"/>
  <c r="H397" i="5"/>
  <c r="G411" i="5"/>
  <c r="F417" i="5"/>
  <c r="G410" i="5"/>
  <c r="H396" i="5"/>
  <c r="H398" i="5"/>
  <c r="G412" i="5"/>
  <c r="H400" i="5"/>
  <c r="G414" i="5"/>
  <c r="I392" i="5"/>
  <c r="H406" i="5"/>
  <c r="G415" i="5"/>
  <c r="H401" i="5"/>
  <c r="F409" i="5"/>
  <c r="G395" i="5"/>
  <c r="E295" i="5"/>
  <c r="E302" i="5"/>
  <c r="E372" i="5" s="1"/>
  <c r="E303" i="5"/>
  <c r="E298" i="5"/>
  <c r="E368" i="5" s="1"/>
  <c r="E299" i="5"/>
  <c r="E294" i="5"/>
  <c r="E364" i="5" s="1"/>
  <c r="E263" i="5"/>
  <c r="E373" i="5"/>
  <c r="E301" i="5"/>
  <c r="E304" i="5"/>
  <c r="E374" i="5" s="1"/>
  <c r="E297" i="5"/>
  <c r="E300" i="5"/>
  <c r="E366" i="5"/>
  <c r="P35" i="26"/>
  <c r="P57" i="26" s="1"/>
  <c r="G25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1" i="22"/>
  <c r="F40" i="22"/>
  <c r="F39" i="22"/>
  <c r="F38" i="22"/>
  <c r="F37" i="22"/>
  <c r="F36" i="22"/>
  <c r="F35" i="22"/>
  <c r="F34" i="22"/>
  <c r="F33" i="22"/>
  <c r="F32" i="22"/>
  <c r="F31" i="22"/>
  <c r="F30" i="22"/>
  <c r="F29" i="22"/>
  <c r="F28" i="22"/>
  <c r="F27" i="22"/>
  <c r="F26" i="22"/>
  <c r="F25" i="22"/>
  <c r="E25" i="22"/>
  <c r="E26" i="22" s="1"/>
  <c r="E27" i="22" s="1"/>
  <c r="E28" i="22" s="1"/>
  <c r="E29" i="22" s="1"/>
  <c r="E30" i="22" s="1"/>
  <c r="E31" i="22" s="1"/>
  <c r="E32" i="22" s="1"/>
  <c r="E33" i="22" s="1"/>
  <c r="E34" i="22" s="1"/>
  <c r="E35" i="22" s="1"/>
  <c r="E36" i="22" s="1"/>
  <c r="E37" i="22" s="1"/>
  <c r="E38" i="22" s="1"/>
  <c r="E39" i="22" s="1"/>
  <c r="E40" i="22" s="1"/>
  <c r="E41" i="22" s="1"/>
  <c r="E42" i="22" s="1"/>
  <c r="E43" i="22" s="1"/>
  <c r="E44" i="22" s="1"/>
  <c r="E45" i="22" s="1"/>
  <c r="E46" i="22" s="1"/>
  <c r="E47" i="22" s="1"/>
  <c r="E48" i="22" s="1"/>
  <c r="E49" i="22" s="1"/>
  <c r="E50" i="22" s="1"/>
  <c r="E51" i="22" s="1"/>
  <c r="E52" i="22" s="1"/>
  <c r="E53" i="22" s="1"/>
  <c r="D25" i="22"/>
  <c r="D26" i="22" s="1"/>
  <c r="D27" i="22" s="1"/>
  <c r="D28" i="22" s="1"/>
  <c r="D29" i="22" s="1"/>
  <c r="D30" i="22" s="1"/>
  <c r="D31" i="22" s="1"/>
  <c r="D32" i="22" s="1"/>
  <c r="D33" i="22" s="1"/>
  <c r="D34" i="22" s="1"/>
  <c r="D35" i="22" s="1"/>
  <c r="D36" i="22" s="1"/>
  <c r="D37" i="22" s="1"/>
  <c r="D38" i="22" s="1"/>
  <c r="D39" i="22" s="1"/>
  <c r="D40" i="22" s="1"/>
  <c r="D41" i="22" s="1"/>
  <c r="D42" i="22" s="1"/>
  <c r="D43" i="22" s="1"/>
  <c r="D44" i="22" s="1"/>
  <c r="D45" i="22" s="1"/>
  <c r="D46" i="22" s="1"/>
  <c r="D47" i="22" s="1"/>
  <c r="D48" i="22" s="1"/>
  <c r="D49" i="22" s="1"/>
  <c r="D50" i="22" s="1"/>
  <c r="D51" i="22" s="1"/>
  <c r="D52" i="22" s="1"/>
  <c r="D53" i="22" s="1"/>
  <c r="C25" i="22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C49" i="22" s="1"/>
  <c r="C50" i="22" s="1"/>
  <c r="C51" i="22" s="1"/>
  <c r="C52" i="22" s="1"/>
  <c r="C53" i="22" s="1"/>
  <c r="I53" i="22"/>
  <c r="I52" i="22"/>
  <c r="I51" i="22"/>
  <c r="I50" i="22"/>
  <c r="I49" i="22"/>
  <c r="I48" i="22"/>
  <c r="I47" i="22"/>
  <c r="I46" i="22"/>
  <c r="I45" i="22"/>
  <c r="I44" i="22"/>
  <c r="I43" i="22"/>
  <c r="I42" i="22"/>
  <c r="I41" i="22"/>
  <c r="I40" i="22"/>
  <c r="I39" i="22"/>
  <c r="I38" i="22"/>
  <c r="I37" i="22"/>
  <c r="I36" i="22"/>
  <c r="I35" i="22"/>
  <c r="I34" i="22"/>
  <c r="I33" i="22"/>
  <c r="I32" i="22"/>
  <c r="I31" i="22"/>
  <c r="I30" i="22"/>
  <c r="I29" i="22"/>
  <c r="I28" i="22"/>
  <c r="I27" i="22"/>
  <c r="I26" i="22"/>
  <c r="I25" i="22"/>
  <c r="H25" i="22"/>
  <c r="H26" i="22" s="1"/>
  <c r="H27" i="22" s="1"/>
  <c r="H28" i="22" s="1"/>
  <c r="H29" i="22" s="1"/>
  <c r="H30" i="22" s="1"/>
  <c r="H31" i="22" s="1"/>
  <c r="H32" i="22" s="1"/>
  <c r="H33" i="22" s="1"/>
  <c r="H34" i="22" s="1"/>
  <c r="H35" i="22" s="1"/>
  <c r="H36" i="22" s="1"/>
  <c r="H37" i="22" s="1"/>
  <c r="H38" i="22" s="1"/>
  <c r="H39" i="22" s="1"/>
  <c r="H40" i="22" s="1"/>
  <c r="H41" i="22" s="1"/>
  <c r="H42" i="22" s="1"/>
  <c r="H43" i="22" s="1"/>
  <c r="H44" i="22" s="1"/>
  <c r="H45" i="22" s="1"/>
  <c r="H46" i="22" s="1"/>
  <c r="H47" i="22" s="1"/>
  <c r="H48" i="22" s="1"/>
  <c r="H49" i="22" s="1"/>
  <c r="H50" i="22" s="1"/>
  <c r="H51" i="22" s="1"/>
  <c r="H52" i="22" s="1"/>
  <c r="H53" i="22" s="1"/>
  <c r="J25" i="22"/>
  <c r="J26" i="22" s="1"/>
  <c r="J27" i="22" s="1"/>
  <c r="Q32" i="34"/>
  <c r="Q26" i="34"/>
  <c r="Q10" i="34"/>
  <c r="Q9" i="34"/>
  <c r="Q40" i="34"/>
  <c r="O44" i="26"/>
  <c r="G13" i="36"/>
  <c r="F13" i="36"/>
  <c r="F19" i="36" s="1"/>
  <c r="K16" i="36"/>
  <c r="F14" i="36" a="1"/>
  <c r="O29" i="56"/>
  <c r="O28" i="56"/>
  <c r="O27" i="56"/>
  <c r="O26" i="56"/>
  <c r="P16" i="36"/>
  <c r="O28" i="28"/>
  <c r="O26" i="28"/>
  <c r="U16" i="36"/>
  <c r="O29" i="28"/>
  <c r="O27" i="28"/>
  <c r="E249" i="26"/>
  <c r="E234" i="26"/>
  <c r="E286" i="26"/>
  <c r="E383" i="5" s="1"/>
  <c r="E285" i="26"/>
  <c r="E382" i="5" s="1"/>
  <c r="E284" i="26"/>
  <c r="E381" i="5" s="1"/>
  <c r="E291" i="26"/>
  <c r="E388" i="5" s="1"/>
  <c r="E283" i="26"/>
  <c r="E380" i="5" s="1"/>
  <c r="E290" i="26"/>
  <c r="E387" i="5" s="1"/>
  <c r="E282" i="26"/>
  <c r="E379" i="5" s="1"/>
  <c r="E289" i="26"/>
  <c r="E386" i="5" s="1"/>
  <c r="E281" i="26"/>
  <c r="E288" i="26"/>
  <c r="E385" i="5" s="1"/>
  <c r="E287" i="26"/>
  <c r="E384" i="5" s="1"/>
  <c r="E186" i="26"/>
  <c r="F165" i="26"/>
  <c r="F162" i="26"/>
  <c r="F167" i="26"/>
  <c r="F159" i="26"/>
  <c r="F163" i="26"/>
  <c r="F164" i="26"/>
  <c r="F169" i="26"/>
  <c r="F161" i="26"/>
  <c r="F160" i="26"/>
  <c r="F168" i="26"/>
  <c r="F202" i="26"/>
  <c r="F215" i="5"/>
  <c r="F207" i="5"/>
  <c r="F211" i="5"/>
  <c r="F209" i="5"/>
  <c r="F206" i="5"/>
  <c r="F212" i="5"/>
  <c r="F208" i="5"/>
  <c r="F214" i="5"/>
  <c r="F213" i="5"/>
  <c r="F210" i="5"/>
  <c r="F216" i="5"/>
  <c r="G16" i="5"/>
  <c r="G200" i="26"/>
  <c r="G201" i="26"/>
  <c r="G193" i="26"/>
  <c r="G196" i="26"/>
  <c r="H15" i="26"/>
  <c r="G191" i="26"/>
  <c r="G199" i="26"/>
  <c r="G194" i="26"/>
  <c r="G197" i="26"/>
  <c r="G192" i="26"/>
  <c r="G198" i="26"/>
  <c r="G195" i="26"/>
  <c r="F199" i="5"/>
  <c r="F196" i="5"/>
  <c r="F191" i="5"/>
  <c r="F194" i="5"/>
  <c r="F197" i="5"/>
  <c r="F192" i="5"/>
  <c r="F254" i="5" s="1"/>
  <c r="F200" i="5"/>
  <c r="F198" i="5"/>
  <c r="F260" i="5" s="1"/>
  <c r="F195" i="5"/>
  <c r="F193" i="5"/>
  <c r="F190" i="5"/>
  <c r="G14" i="5"/>
  <c r="F23" i="5"/>
  <c r="Q20" i="34"/>
  <c r="Q27" i="34"/>
  <c r="Q31" i="34"/>
  <c r="Q7" i="34"/>
  <c r="Q33" i="34"/>
  <c r="Q13" i="34"/>
  <c r="N4" i="34"/>
  <c r="Q41" i="34"/>
  <c r="Q36" i="34"/>
  <c r="Q23" i="34"/>
  <c r="Q35" i="34"/>
  <c r="Q25" i="34"/>
  <c r="Q30" i="34"/>
  <c r="Q34" i="34"/>
  <c r="Q17" i="34"/>
  <c r="Q19" i="34"/>
  <c r="Q37" i="34"/>
  <c r="Q15" i="34"/>
  <c r="Q12" i="34"/>
  <c r="Q6" i="34"/>
  <c r="Q28" i="34"/>
  <c r="Q21" i="34"/>
  <c r="Q16" i="34"/>
  <c r="Q39" i="34"/>
  <c r="Q24" i="34"/>
  <c r="Q22" i="34"/>
  <c r="Q14" i="34"/>
  <c r="Q11" i="34"/>
  <c r="J20" i="46"/>
  <c r="H12" i="49"/>
  <c r="I12" i="49" s="1"/>
  <c r="J12" i="49" s="1"/>
  <c r="K12" i="49" s="1"/>
  <c r="F21" i="46"/>
  <c r="S80" i="28"/>
  <c r="D21" i="46"/>
  <c r="F20" i="46"/>
  <c r="F78" i="26"/>
  <c r="F70" i="26"/>
  <c r="F73" i="26"/>
  <c r="F76" i="26"/>
  <c r="F71" i="26"/>
  <c r="F74" i="26"/>
  <c r="F77" i="26"/>
  <c r="F72" i="26"/>
  <c r="F68" i="26"/>
  <c r="F69" i="26"/>
  <c r="F75" i="26"/>
  <c r="I71" i="26"/>
  <c r="I74" i="26"/>
  <c r="I77" i="26"/>
  <c r="I72" i="26"/>
  <c r="I75" i="26"/>
  <c r="I78" i="26"/>
  <c r="I73" i="26"/>
  <c r="I69" i="26"/>
  <c r="I76" i="26"/>
  <c r="I70" i="26"/>
  <c r="I68" i="26"/>
  <c r="H76" i="26"/>
  <c r="H68" i="26"/>
  <c r="H71" i="26"/>
  <c r="H74" i="26"/>
  <c r="H77" i="26"/>
  <c r="H69" i="26"/>
  <c r="H75" i="26"/>
  <c r="H78" i="26"/>
  <c r="H73" i="26"/>
  <c r="H70" i="26"/>
  <c r="H72" i="26"/>
  <c r="H213" i="26"/>
  <c r="H216" i="26"/>
  <c r="H208" i="26"/>
  <c r="H211" i="26"/>
  <c r="H214" i="26"/>
  <c r="H209" i="26"/>
  <c r="H212" i="26"/>
  <c r="H217" i="26"/>
  <c r="H215" i="26"/>
  <c r="H207" i="26"/>
  <c r="H210" i="26"/>
  <c r="I17" i="26"/>
  <c r="G217" i="26"/>
  <c r="G210" i="26"/>
  <c r="G213" i="26"/>
  <c r="G216" i="26"/>
  <c r="G208" i="26"/>
  <c r="G211" i="26"/>
  <c r="G214" i="26"/>
  <c r="G209" i="26"/>
  <c r="G212" i="26"/>
  <c r="G215" i="26"/>
  <c r="G207" i="26"/>
  <c r="G164" i="26"/>
  <c r="G167" i="26"/>
  <c r="G159" i="26"/>
  <c r="G162" i="26"/>
  <c r="G165" i="26"/>
  <c r="G168" i="26"/>
  <c r="G160" i="26"/>
  <c r="G169" i="26"/>
  <c r="G163" i="26"/>
  <c r="G166" i="26"/>
  <c r="G161" i="26"/>
  <c r="G73" i="26"/>
  <c r="G76" i="26"/>
  <c r="G71" i="26"/>
  <c r="G74" i="26"/>
  <c r="G77" i="26"/>
  <c r="G72" i="26"/>
  <c r="G75" i="26"/>
  <c r="G78" i="26"/>
  <c r="G68" i="26"/>
  <c r="G69" i="26"/>
  <c r="G70" i="26"/>
  <c r="H169" i="26"/>
  <c r="H167" i="26"/>
  <c r="H159" i="26"/>
  <c r="H162" i="26"/>
  <c r="H165" i="26"/>
  <c r="H168" i="26"/>
  <c r="H160" i="26"/>
  <c r="H163" i="26"/>
  <c r="H166" i="26"/>
  <c r="H161" i="26"/>
  <c r="H164" i="26"/>
  <c r="F217" i="26"/>
  <c r="F215" i="26"/>
  <c r="F207" i="26"/>
  <c r="F210" i="26"/>
  <c r="F213" i="26"/>
  <c r="F216" i="26"/>
  <c r="F208" i="26"/>
  <c r="F211" i="26"/>
  <c r="F214" i="26"/>
  <c r="F209" i="26"/>
  <c r="F212" i="26"/>
  <c r="Q30" i="26"/>
  <c r="Q48" i="26" s="1"/>
  <c r="I169" i="26"/>
  <c r="I162" i="26"/>
  <c r="I165" i="26"/>
  <c r="I168" i="26"/>
  <c r="I160" i="26"/>
  <c r="I163" i="26"/>
  <c r="I166" i="26"/>
  <c r="I161" i="26"/>
  <c r="I164" i="26"/>
  <c r="I159" i="26"/>
  <c r="I167" i="26"/>
  <c r="M28" i="5"/>
  <c r="L46" i="5"/>
  <c r="L52" i="5" s="1"/>
  <c r="L12" i="5" s="1"/>
  <c r="L34" i="5"/>
  <c r="L56" i="5" s="1"/>
  <c r="K12" i="5"/>
  <c r="K57" i="5"/>
  <c r="L57" i="5" s="1"/>
  <c r="N30" i="5"/>
  <c r="M48" i="5"/>
  <c r="N33" i="5"/>
  <c r="M51" i="5"/>
  <c r="K60" i="5"/>
  <c r="K62" i="5" s="1"/>
  <c r="L47" i="5"/>
  <c r="M29" i="5"/>
  <c r="M50" i="5"/>
  <c r="AE29" i="32"/>
  <c r="AE32" i="32"/>
  <c r="AE33" i="32"/>
  <c r="AE37" i="32"/>
  <c r="K37" i="32" s="1"/>
  <c r="X37" i="32" s="1"/>
  <c r="AD70" i="28" s="1"/>
  <c r="AE40" i="32"/>
  <c r="AE42" i="32"/>
  <c r="AE27" i="32"/>
  <c r="AJ27" i="32" s="1"/>
  <c r="AE41" i="32"/>
  <c r="X11" i="32"/>
  <c r="T90" i="14"/>
  <c r="AE36" i="32"/>
  <c r="K36" i="32" s="1"/>
  <c r="X36" i="32" s="1"/>
  <c r="AC70" i="28" s="1"/>
  <c r="AE28" i="32"/>
  <c r="AJ28" i="32" s="1"/>
  <c r="AE38" i="32"/>
  <c r="AE30" i="32"/>
  <c r="K30" i="32" s="1"/>
  <c r="X30" i="32" s="1"/>
  <c r="W70" i="28" s="1"/>
  <c r="AE35" i="32"/>
  <c r="K35" i="32" s="1"/>
  <c r="X35" i="32" s="1"/>
  <c r="AB70" i="28" s="1"/>
  <c r="AG37" i="32"/>
  <c r="E26" i="46" s="1"/>
  <c r="AG40" i="32"/>
  <c r="M40" i="32" s="1"/>
  <c r="Z40" i="32" s="1"/>
  <c r="AG72" i="28" s="1"/>
  <c r="AG38" i="32"/>
  <c r="M38" i="32" s="1"/>
  <c r="Z38" i="32" s="1"/>
  <c r="AE72" i="28" s="1"/>
  <c r="Q38" i="34"/>
  <c r="AG42" i="32"/>
  <c r="M42" i="32" s="1"/>
  <c r="Z42" i="32" s="1"/>
  <c r="AI72" i="28" s="1"/>
  <c r="AG39" i="32"/>
  <c r="M39" i="32" s="1"/>
  <c r="Z39" i="32" s="1"/>
  <c r="AF72" i="28" s="1"/>
  <c r="Q8" i="34"/>
  <c r="Q18" i="34"/>
  <c r="H11" i="49"/>
  <c r="I11" i="49" s="1"/>
  <c r="J11" i="49" s="1"/>
  <c r="D12" i="46"/>
  <c r="D11" i="46"/>
  <c r="AI11" i="32"/>
  <c r="O90" i="14"/>
  <c r="Q90" i="14"/>
  <c r="AH11" i="32"/>
  <c r="AH42" i="32" s="1"/>
  <c r="N42" i="32" s="1"/>
  <c r="AA42" i="32" s="1"/>
  <c r="AI73" i="28" s="1"/>
  <c r="AA11" i="32"/>
  <c r="D14" i="46"/>
  <c r="S90" i="14"/>
  <c r="E90" i="14"/>
  <c r="F18" i="36"/>
  <c r="K18" i="36" s="1"/>
  <c r="K17" i="36"/>
  <c r="K42" i="32"/>
  <c r="X42" i="32" s="1"/>
  <c r="AI70" i="28" s="1"/>
  <c r="K32" i="32"/>
  <c r="X32" i="32" s="1"/>
  <c r="Y70" i="28" s="1"/>
  <c r="R90" i="14"/>
  <c r="R29" i="39"/>
  <c r="F35" i="49" s="1"/>
  <c r="Q26" i="39"/>
  <c r="R21" i="39"/>
  <c r="F27" i="49" s="1"/>
  <c r="Q18" i="39"/>
  <c r="R13" i="39"/>
  <c r="F19" i="49" s="1"/>
  <c r="Q10" i="39"/>
  <c r="R32" i="39"/>
  <c r="F38" i="49" s="1"/>
  <c r="Q29" i="39"/>
  <c r="R24" i="39"/>
  <c r="F30" i="49" s="1"/>
  <c r="Q21" i="39"/>
  <c r="R16" i="39"/>
  <c r="F22" i="49" s="1"/>
  <c r="Q13" i="39"/>
  <c r="R8" i="39"/>
  <c r="F14" i="49" s="1"/>
  <c r="Q32" i="39"/>
  <c r="R27" i="39"/>
  <c r="F33" i="49" s="1"/>
  <c r="Q24" i="39"/>
  <c r="R19" i="39"/>
  <c r="F25" i="49" s="1"/>
  <c r="Q16" i="39"/>
  <c r="R11" i="39"/>
  <c r="F17" i="49" s="1"/>
  <c r="Q8" i="39"/>
  <c r="R30" i="39"/>
  <c r="F36" i="49" s="1"/>
  <c r="Q27" i="39"/>
  <c r="R22" i="39"/>
  <c r="F28" i="49" s="1"/>
  <c r="Q19" i="39"/>
  <c r="R14" i="39"/>
  <c r="F20" i="49" s="1"/>
  <c r="Q11" i="39"/>
  <c r="R33" i="39"/>
  <c r="F39" i="49" s="1"/>
  <c r="Q30" i="39"/>
  <c r="R25" i="39"/>
  <c r="F31" i="49" s="1"/>
  <c r="Q22" i="39"/>
  <c r="R17" i="39"/>
  <c r="F23" i="49" s="1"/>
  <c r="Q14" i="39"/>
  <c r="R9" i="39"/>
  <c r="F15" i="49" s="1"/>
  <c r="Q33" i="39"/>
  <c r="R28" i="39"/>
  <c r="F34" i="49" s="1"/>
  <c r="Q25" i="39"/>
  <c r="R20" i="39"/>
  <c r="F26" i="49" s="1"/>
  <c r="Q17" i="39"/>
  <c r="R12" i="39"/>
  <c r="F18" i="49" s="1"/>
  <c r="Q9" i="39"/>
  <c r="R18" i="39"/>
  <c r="F24" i="49" s="1"/>
  <c r="Q20" i="39"/>
  <c r="R31" i="39"/>
  <c r="F37" i="49" s="1"/>
  <c r="R15" i="39"/>
  <c r="F21" i="49" s="1"/>
  <c r="Q31" i="39"/>
  <c r="Q15" i="39"/>
  <c r="R26" i="39"/>
  <c r="F32" i="49" s="1"/>
  <c r="R10" i="39"/>
  <c r="F16" i="49" s="1"/>
  <c r="Q28" i="39"/>
  <c r="Q12" i="39"/>
  <c r="R23" i="39"/>
  <c r="F29" i="49" s="1"/>
  <c r="R7" i="39"/>
  <c r="F13" i="49" s="1"/>
  <c r="Q23" i="39"/>
  <c r="Q7" i="39"/>
  <c r="AF40" i="32"/>
  <c r="L40" i="32" s="1"/>
  <c r="Y40" i="32" s="1"/>
  <c r="AG71" i="28" s="1"/>
  <c r="AF36" i="32"/>
  <c r="L36" i="32" s="1"/>
  <c r="Y36" i="32" s="1"/>
  <c r="AC71" i="28" s="1"/>
  <c r="AF39" i="32"/>
  <c r="L39" i="32" s="1"/>
  <c r="Y39" i="32" s="1"/>
  <c r="AF71" i="28" s="1"/>
  <c r="AF35" i="32"/>
  <c r="L35" i="32" s="1"/>
  <c r="Y35" i="32" s="1"/>
  <c r="AB71" i="28" s="1"/>
  <c r="AF34" i="32"/>
  <c r="L34" i="32" s="1"/>
  <c r="Y34" i="32" s="1"/>
  <c r="AA71" i="28" s="1"/>
  <c r="AF32" i="32"/>
  <c r="L32" i="32" s="1"/>
  <c r="Y32" i="32" s="1"/>
  <c r="Y71" i="28" s="1"/>
  <c r="AF42" i="32"/>
  <c r="L42" i="32" s="1"/>
  <c r="Y42" i="32" s="1"/>
  <c r="AI71" i="28" s="1"/>
  <c r="AF41" i="32"/>
  <c r="L41" i="32" s="1"/>
  <c r="Y41" i="32" s="1"/>
  <c r="AH71" i="28" s="1"/>
  <c r="AF38" i="32"/>
  <c r="L38" i="32" s="1"/>
  <c r="Y38" i="32" s="1"/>
  <c r="AE71" i="28" s="1"/>
  <c r="AF33" i="32"/>
  <c r="L33" i="32" s="1"/>
  <c r="Y33" i="32" s="1"/>
  <c r="Z71" i="28" s="1"/>
  <c r="AF37" i="32"/>
  <c r="K34" i="32"/>
  <c r="X34" i="32" s="1"/>
  <c r="AA70" i="28" s="1"/>
  <c r="K33" i="32"/>
  <c r="X33" i="32" s="1"/>
  <c r="Z70" i="28" s="1"/>
  <c r="G58" i="14"/>
  <c r="G74" i="14" s="1"/>
  <c r="G90" i="14" s="1"/>
  <c r="K123" i="28"/>
  <c r="L47" i="28"/>
  <c r="K75" i="28"/>
  <c r="K99" i="28" s="1"/>
  <c r="AJ31" i="32"/>
  <c r="K31" i="32"/>
  <c r="X31" i="32" s="1"/>
  <c r="X70" i="28" s="1"/>
  <c r="K39" i="32"/>
  <c r="X39" i="32" s="1"/>
  <c r="AF70" i="28" s="1"/>
  <c r="K80" i="28"/>
  <c r="M90" i="14"/>
  <c r="K27" i="32"/>
  <c r="X27" i="32" s="1"/>
  <c r="T70" i="28" s="1"/>
  <c r="K41" i="32"/>
  <c r="X41" i="32" s="1"/>
  <c r="AH70" i="28" s="1"/>
  <c r="M80" i="28"/>
  <c r="Z80" i="28"/>
  <c r="F90" i="14"/>
  <c r="K40" i="32"/>
  <c r="X40" i="32" s="1"/>
  <c r="AG70" i="28" s="1"/>
  <c r="AJ29" i="32"/>
  <c r="K29" i="32"/>
  <c r="X29" i="32" s="1"/>
  <c r="V70" i="28" s="1"/>
  <c r="U80" i="28"/>
  <c r="AH80" i="28"/>
  <c r="N90" i="14"/>
  <c r="K38" i="32"/>
  <c r="X38" i="32" s="1"/>
  <c r="AE70" i="28" s="1"/>
  <c r="L90" i="14"/>
  <c r="AC80" i="28"/>
  <c r="Y80" i="28"/>
  <c r="F258" i="5" l="1"/>
  <c r="E370" i="5"/>
  <c r="E371" i="5"/>
  <c r="E375" i="5" s="1"/>
  <c r="E367" i="5"/>
  <c r="E425" i="5"/>
  <c r="E365" i="5"/>
  <c r="F257" i="5"/>
  <c r="F316" i="5" s="1"/>
  <c r="E428" i="5"/>
  <c r="I400" i="5"/>
  <c r="H414" i="5"/>
  <c r="I397" i="5"/>
  <c r="H411" i="5"/>
  <c r="E421" i="5"/>
  <c r="H395" i="5"/>
  <c r="G409" i="5"/>
  <c r="G417" i="5" s="1"/>
  <c r="H407" i="5"/>
  <c r="I393" i="5"/>
  <c r="J392" i="5"/>
  <c r="K392" i="5" s="1"/>
  <c r="L392" i="5" s="1"/>
  <c r="M392" i="5" s="1"/>
  <c r="N392" i="5" s="1"/>
  <c r="O392" i="5" s="1"/>
  <c r="P392" i="5" s="1"/>
  <c r="Q392" i="5" s="1"/>
  <c r="R392" i="5" s="1"/>
  <c r="S392" i="5" s="1"/>
  <c r="T392" i="5" s="1"/>
  <c r="U392" i="5" s="1"/>
  <c r="V392" i="5" s="1"/>
  <c r="W392" i="5" s="1"/>
  <c r="X392" i="5" s="1"/>
  <c r="Y392" i="5" s="1"/>
  <c r="Z392" i="5" s="1"/>
  <c r="AA392" i="5" s="1"/>
  <c r="AB392" i="5" s="1"/>
  <c r="AC392" i="5" s="1"/>
  <c r="AD392" i="5" s="1"/>
  <c r="AE392" i="5" s="1"/>
  <c r="AF392" i="5" s="1"/>
  <c r="AG392" i="5" s="1"/>
  <c r="I406" i="5"/>
  <c r="F262" i="5"/>
  <c r="E429" i="5"/>
  <c r="I398" i="5"/>
  <c r="H412" i="5"/>
  <c r="I402" i="5"/>
  <c r="H416" i="5"/>
  <c r="I413" i="5"/>
  <c r="J399" i="5"/>
  <c r="K399" i="5" s="1"/>
  <c r="L399" i="5" s="1"/>
  <c r="M399" i="5" s="1"/>
  <c r="N399" i="5" s="1"/>
  <c r="O399" i="5" s="1"/>
  <c r="P399" i="5" s="1"/>
  <c r="Q399" i="5" s="1"/>
  <c r="R399" i="5" s="1"/>
  <c r="S399" i="5" s="1"/>
  <c r="T399" i="5" s="1"/>
  <c r="U399" i="5" s="1"/>
  <c r="V399" i="5" s="1"/>
  <c r="W399" i="5" s="1"/>
  <c r="X399" i="5" s="1"/>
  <c r="Y399" i="5" s="1"/>
  <c r="Z399" i="5" s="1"/>
  <c r="AA399" i="5" s="1"/>
  <c r="AB399" i="5" s="1"/>
  <c r="AC399" i="5" s="1"/>
  <c r="AD399" i="5" s="1"/>
  <c r="AE399" i="5" s="1"/>
  <c r="AF399" i="5" s="1"/>
  <c r="AG399" i="5" s="1"/>
  <c r="E422" i="5"/>
  <c r="H415" i="5"/>
  <c r="I401" i="5"/>
  <c r="H410" i="5"/>
  <c r="I396" i="5"/>
  <c r="E424" i="5"/>
  <c r="E430" i="5"/>
  <c r="I394" i="5"/>
  <c r="H408" i="5"/>
  <c r="E423" i="5"/>
  <c r="F256" i="5"/>
  <c r="F253" i="5"/>
  <c r="F95" i="17"/>
  <c r="H66" i="17"/>
  <c r="H37" i="17"/>
  <c r="J28" i="22"/>
  <c r="N14" i="17"/>
  <c r="F93" i="17"/>
  <c r="H35" i="17"/>
  <c r="H64" i="17"/>
  <c r="N8" i="17"/>
  <c r="N16" i="17"/>
  <c r="N24" i="17"/>
  <c r="N22" i="17"/>
  <c r="N7" i="17"/>
  <c r="N9" i="17"/>
  <c r="N17" i="17"/>
  <c r="N25" i="17"/>
  <c r="N10" i="17"/>
  <c r="N18" i="17"/>
  <c r="N26" i="17"/>
  <c r="N6" i="17"/>
  <c r="N15" i="17"/>
  <c r="N11" i="17"/>
  <c r="N19" i="17"/>
  <c r="N27" i="17"/>
  <c r="J66" i="22"/>
  <c r="I66" i="22"/>
  <c r="H66" i="22"/>
  <c r="N23" i="17"/>
  <c r="G26" i="22"/>
  <c r="G27" i="22" s="1"/>
  <c r="G28" i="22" s="1"/>
  <c r="G29" i="22" s="1"/>
  <c r="G30" i="22" s="1"/>
  <c r="G31" i="22" s="1"/>
  <c r="G32" i="22" s="1"/>
  <c r="G33" i="22" s="1"/>
  <c r="G34" i="22" s="1"/>
  <c r="G35" i="22" s="1"/>
  <c r="G36" i="22" s="1"/>
  <c r="G37" i="22" s="1"/>
  <c r="G38" i="22" s="1"/>
  <c r="G39" i="22" s="1"/>
  <c r="G40" i="22" s="1"/>
  <c r="G41" i="22" s="1"/>
  <c r="G42" i="22" s="1"/>
  <c r="G43" i="22" s="1"/>
  <c r="G44" i="22" s="1"/>
  <c r="G45" i="22" s="1"/>
  <c r="G46" i="22" s="1"/>
  <c r="G47" i="22" s="1"/>
  <c r="G48" i="22" s="1"/>
  <c r="G49" i="22" s="1"/>
  <c r="G50" i="22" s="1"/>
  <c r="G51" i="22" s="1"/>
  <c r="G52" i="22" s="1"/>
  <c r="G53" i="22" s="1"/>
  <c r="F94" i="17"/>
  <c r="H65" i="17"/>
  <c r="H36" i="17"/>
  <c r="N12" i="17"/>
  <c r="N20" i="17"/>
  <c r="N28" i="17"/>
  <c r="N5" i="17"/>
  <c r="N13" i="17"/>
  <c r="N21" i="17"/>
  <c r="F170" i="26"/>
  <c r="G24" i="36"/>
  <c r="L26" i="28" s="1"/>
  <c r="L25" i="28"/>
  <c r="K19" i="36"/>
  <c r="L25" i="56"/>
  <c r="F20" i="36"/>
  <c r="V16" i="36"/>
  <c r="P17" i="36"/>
  <c r="F14" i="36"/>
  <c r="E14" i="36" s="1"/>
  <c r="H14" i="36"/>
  <c r="G14" i="36"/>
  <c r="E292" i="26"/>
  <c r="E378" i="5"/>
  <c r="F259" i="5"/>
  <c r="G200" i="5"/>
  <c r="G199" i="5"/>
  <c r="G191" i="5"/>
  <c r="H14" i="5"/>
  <c r="G194" i="5"/>
  <c r="G197" i="5"/>
  <c r="G192" i="5"/>
  <c r="G198" i="5"/>
  <c r="G195" i="5"/>
  <c r="G190" i="5"/>
  <c r="G193" i="5"/>
  <c r="G196" i="5"/>
  <c r="G23" i="5"/>
  <c r="F217" i="5"/>
  <c r="F252" i="5"/>
  <c r="F201" i="5"/>
  <c r="G210" i="5"/>
  <c r="G214" i="5"/>
  <c r="G206" i="5"/>
  <c r="G212" i="5"/>
  <c r="G215" i="5"/>
  <c r="G209" i="5"/>
  <c r="G208" i="5"/>
  <c r="G211" i="5"/>
  <c r="G207" i="5"/>
  <c r="G216" i="5"/>
  <c r="G213" i="5"/>
  <c r="H16" i="5"/>
  <c r="F255" i="5"/>
  <c r="F311" i="5"/>
  <c r="F312" i="5"/>
  <c r="F313" i="5"/>
  <c r="F318" i="5"/>
  <c r="F261" i="5"/>
  <c r="G202" i="26"/>
  <c r="H196" i="26"/>
  <c r="I15" i="26"/>
  <c r="H200" i="26"/>
  <c r="H191" i="26"/>
  <c r="H199" i="26"/>
  <c r="H194" i="26"/>
  <c r="H201" i="26"/>
  <c r="H197" i="26"/>
  <c r="H192" i="26"/>
  <c r="H195" i="26"/>
  <c r="H198" i="26"/>
  <c r="H193" i="26"/>
  <c r="N12" i="49"/>
  <c r="O12" i="49" s="1"/>
  <c r="Q27" i="56"/>
  <c r="R27" i="56" s="1"/>
  <c r="E24" i="46"/>
  <c r="F218" i="26"/>
  <c r="G218" i="26"/>
  <c r="G170" i="26"/>
  <c r="I170" i="26"/>
  <c r="I79" i="26"/>
  <c r="H170" i="26"/>
  <c r="I217" i="26"/>
  <c r="I216" i="26"/>
  <c r="I208" i="26"/>
  <c r="I211" i="26"/>
  <c r="I214" i="26"/>
  <c r="I209" i="26"/>
  <c r="I212" i="26"/>
  <c r="I215" i="26"/>
  <c r="I207" i="26"/>
  <c r="I210" i="26"/>
  <c r="I213" i="26"/>
  <c r="J17" i="26"/>
  <c r="F79" i="26"/>
  <c r="G79" i="26"/>
  <c r="Q35" i="26"/>
  <c r="Q57" i="26" s="1"/>
  <c r="R30" i="26"/>
  <c r="R48" i="26" s="1"/>
  <c r="H218" i="26"/>
  <c r="H79" i="26"/>
  <c r="L60" i="5"/>
  <c r="L62" i="5" s="1"/>
  <c r="K179" i="5"/>
  <c r="K180" i="5"/>
  <c r="K178" i="5"/>
  <c r="K177" i="5"/>
  <c r="K184" i="5"/>
  <c r="K176" i="5"/>
  <c r="K183" i="5"/>
  <c r="K175" i="5"/>
  <c r="K182" i="5"/>
  <c r="K174" i="5"/>
  <c r="K181" i="5"/>
  <c r="M47" i="5"/>
  <c r="N29" i="5"/>
  <c r="M46" i="5"/>
  <c r="M52" i="5" s="1"/>
  <c r="M12" i="5" s="1"/>
  <c r="M34" i="5"/>
  <c r="M56" i="5" s="1"/>
  <c r="N28" i="5"/>
  <c r="L178" i="5"/>
  <c r="L177" i="5"/>
  <c r="L184" i="5"/>
  <c r="L176" i="5"/>
  <c r="L183" i="5"/>
  <c r="L175" i="5"/>
  <c r="L182" i="5"/>
  <c r="L174" i="5"/>
  <c r="L179" i="5"/>
  <c r="L181" i="5"/>
  <c r="L180" i="5"/>
  <c r="K21" i="5"/>
  <c r="K19" i="5"/>
  <c r="O33" i="5"/>
  <c r="N51" i="5"/>
  <c r="O30" i="5"/>
  <c r="N48" i="5"/>
  <c r="AJ37" i="32"/>
  <c r="M37" i="32"/>
  <c r="Z37" i="32" s="1"/>
  <c r="AD72" i="28" s="1"/>
  <c r="AJ35" i="32"/>
  <c r="Q27" i="28"/>
  <c r="K28" i="32"/>
  <c r="X28" i="32" s="1"/>
  <c r="U70" i="28" s="1"/>
  <c r="AJ30" i="32"/>
  <c r="AJ40" i="32"/>
  <c r="AJ38" i="32"/>
  <c r="AJ34" i="32"/>
  <c r="AJ36" i="32"/>
  <c r="AJ39" i="32"/>
  <c r="AJ33" i="32"/>
  <c r="AJ41" i="32"/>
  <c r="D43" i="30"/>
  <c r="G43" i="31"/>
  <c r="H43" i="31" s="1"/>
  <c r="I43" i="31" s="1"/>
  <c r="M43" i="31" s="1"/>
  <c r="AI57" i="28" s="1"/>
  <c r="G39" i="49"/>
  <c r="H39" i="49" s="1"/>
  <c r="G42" i="28" a="1"/>
  <c r="G38" i="31"/>
  <c r="H38" i="31" s="1"/>
  <c r="I38" i="31" s="1"/>
  <c r="M38" i="31" s="1"/>
  <c r="AD57" i="28" s="1"/>
  <c r="D38" i="30"/>
  <c r="G34" i="49"/>
  <c r="H34" i="49" s="1"/>
  <c r="I34" i="49" s="1"/>
  <c r="J34" i="49" s="1"/>
  <c r="G31" i="31"/>
  <c r="H31" i="31" s="1"/>
  <c r="I31" i="31" s="1"/>
  <c r="M31" i="31" s="1"/>
  <c r="W57" i="28" s="1"/>
  <c r="D31" i="30"/>
  <c r="G27" i="49"/>
  <c r="H27" i="49" s="1"/>
  <c r="H58" i="14"/>
  <c r="H74" i="14" s="1"/>
  <c r="H90" i="14" s="1"/>
  <c r="L123" i="28"/>
  <c r="M47" i="28"/>
  <c r="L75" i="28"/>
  <c r="L99" i="28" s="1"/>
  <c r="D19" i="30"/>
  <c r="G19" i="31"/>
  <c r="H19" i="31" s="1"/>
  <c r="I19" i="31" s="1"/>
  <c r="M19" i="31" s="1"/>
  <c r="K57" i="28" s="1"/>
  <c r="G15" i="49"/>
  <c r="H15" i="49" s="1"/>
  <c r="G24" i="31"/>
  <c r="H24" i="31" s="1"/>
  <c r="I24" i="31" s="1"/>
  <c r="M24" i="31" s="1"/>
  <c r="P57" i="28" s="1"/>
  <c r="G20" i="49"/>
  <c r="H20" i="49" s="1"/>
  <c r="I20" i="49" s="1"/>
  <c r="J20" i="49" s="1"/>
  <c r="D24" i="30"/>
  <c r="D29" i="30"/>
  <c r="G29" i="31"/>
  <c r="H29" i="31" s="1"/>
  <c r="I29" i="31" s="1"/>
  <c r="M29" i="31" s="1"/>
  <c r="U57" i="28" s="1"/>
  <c r="G25" i="49"/>
  <c r="H25" i="49" s="1"/>
  <c r="G30" i="49"/>
  <c r="H30" i="49" s="1"/>
  <c r="G34" i="31"/>
  <c r="H34" i="31" s="1"/>
  <c r="I34" i="31" s="1"/>
  <c r="M34" i="31" s="1"/>
  <c r="Z57" i="28" s="1"/>
  <c r="D34" i="30"/>
  <c r="G39" i="31"/>
  <c r="H39" i="31" s="1"/>
  <c r="I39" i="31" s="1"/>
  <c r="M39" i="31" s="1"/>
  <c r="AE57" i="28" s="1"/>
  <c r="D39" i="30"/>
  <c r="G35" i="49"/>
  <c r="H35" i="49" s="1"/>
  <c r="I35" i="49" s="1"/>
  <c r="J35" i="49" s="1"/>
  <c r="D24" i="46"/>
  <c r="K24" i="46" s="1"/>
  <c r="F24" i="46"/>
  <c r="J24" i="46"/>
  <c r="L24" i="46" s="1"/>
  <c r="G30" i="31"/>
  <c r="H30" i="31" s="1"/>
  <c r="I30" i="31" s="1"/>
  <c r="M30" i="31" s="1"/>
  <c r="V57" i="28" s="1"/>
  <c r="D30" i="30"/>
  <c r="G26" i="49"/>
  <c r="H26" i="49" s="1"/>
  <c r="G36" i="31"/>
  <c r="H36" i="31" s="1"/>
  <c r="I36" i="31" s="1"/>
  <c r="M36" i="31" s="1"/>
  <c r="AB57" i="28" s="1"/>
  <c r="D36" i="30"/>
  <c r="G32" i="49"/>
  <c r="H32" i="49" s="1"/>
  <c r="I32" i="49" s="1"/>
  <c r="J32" i="49" s="1"/>
  <c r="AJ32" i="32"/>
  <c r="G26" i="31"/>
  <c r="H26" i="31" s="1"/>
  <c r="I26" i="31" s="1"/>
  <c r="M26" i="31" s="1"/>
  <c r="R57" i="28" s="1"/>
  <c r="D26" i="30"/>
  <c r="G22" i="49"/>
  <c r="H22" i="49" s="1"/>
  <c r="D17" i="30"/>
  <c r="G17" i="31"/>
  <c r="H17" i="31" s="1"/>
  <c r="I17" i="31" s="1"/>
  <c r="M17" i="31" s="1"/>
  <c r="I57" i="28" s="1"/>
  <c r="G13" i="49"/>
  <c r="H13" i="49" s="1"/>
  <c r="I13" i="49" s="1"/>
  <c r="J13" i="49" s="1"/>
  <c r="D25" i="30"/>
  <c r="G25" i="31"/>
  <c r="H25" i="31" s="1"/>
  <c r="I25" i="31" s="1"/>
  <c r="M25" i="31" s="1"/>
  <c r="Q57" i="28" s="1"/>
  <c r="G21" i="49"/>
  <c r="H21" i="49" s="1"/>
  <c r="I21" i="49" s="1"/>
  <c r="J21" i="49" s="1"/>
  <c r="D27" i="30"/>
  <c r="G27" i="31"/>
  <c r="H27" i="31" s="1"/>
  <c r="I27" i="31" s="1"/>
  <c r="M27" i="31" s="1"/>
  <c r="S57" i="28" s="1"/>
  <c r="G23" i="49"/>
  <c r="H23" i="49" s="1"/>
  <c r="I23" i="49" s="1"/>
  <c r="J23" i="49" s="1"/>
  <c r="G32" i="31"/>
  <c r="H32" i="31" s="1"/>
  <c r="I32" i="31" s="1"/>
  <c r="M32" i="31" s="1"/>
  <c r="X57" i="28" s="1"/>
  <c r="G28" i="49"/>
  <c r="H28" i="49" s="1"/>
  <c r="I28" i="49" s="1"/>
  <c r="J28" i="49" s="1"/>
  <c r="D32" i="30"/>
  <c r="D37" i="30"/>
  <c r="G37" i="31"/>
  <c r="H37" i="31" s="1"/>
  <c r="I37" i="31" s="1"/>
  <c r="M37" i="31" s="1"/>
  <c r="AC57" i="28" s="1"/>
  <c r="G33" i="49"/>
  <c r="H33" i="49" s="1"/>
  <c r="I33" i="49" s="1"/>
  <c r="J33" i="49" s="1"/>
  <c r="G38" i="49"/>
  <c r="H38" i="49" s="1"/>
  <c r="I38" i="49" s="1"/>
  <c r="J38" i="49" s="1"/>
  <c r="G42" i="31"/>
  <c r="H42" i="31" s="1"/>
  <c r="I42" i="31" s="1"/>
  <c r="M42" i="31" s="1"/>
  <c r="AH57" i="28" s="1"/>
  <c r="D42" i="30"/>
  <c r="G20" i="31"/>
  <c r="H20" i="31" s="1"/>
  <c r="I20" i="31" s="1"/>
  <c r="M20" i="31" s="1"/>
  <c r="L57" i="28" s="1"/>
  <c r="D20" i="30"/>
  <c r="G16" i="49"/>
  <c r="H16" i="49" s="1"/>
  <c r="I16" i="49" s="1"/>
  <c r="J16" i="49" s="1"/>
  <c r="D21" i="30"/>
  <c r="G21" i="31"/>
  <c r="H21" i="31" s="1"/>
  <c r="I21" i="31" s="1"/>
  <c r="M21" i="31" s="1"/>
  <c r="M57" i="28" s="1"/>
  <c r="G17" i="49"/>
  <c r="H17" i="49" s="1"/>
  <c r="I17" i="49" s="1"/>
  <c r="J17" i="49" s="1"/>
  <c r="L37" i="32"/>
  <c r="Y37" i="32" s="1"/>
  <c r="AD71" i="28" s="1"/>
  <c r="E25" i="46"/>
  <c r="G33" i="31"/>
  <c r="H33" i="31" s="1"/>
  <c r="I33" i="31" s="1"/>
  <c r="M33" i="31" s="1"/>
  <c r="Y57" i="28" s="1"/>
  <c r="D33" i="30"/>
  <c r="G29" i="49"/>
  <c r="H29" i="49" s="1"/>
  <c r="D41" i="30"/>
  <c r="G41" i="31"/>
  <c r="H41" i="31" s="1"/>
  <c r="I41" i="31" s="1"/>
  <c r="M41" i="31" s="1"/>
  <c r="AG57" i="28" s="1"/>
  <c r="G37" i="49"/>
  <c r="H37" i="49" s="1"/>
  <c r="I37" i="49" s="1"/>
  <c r="J37" i="49" s="1"/>
  <c r="AJ42" i="32"/>
  <c r="D35" i="30"/>
  <c r="G35" i="31"/>
  <c r="H35" i="31" s="1"/>
  <c r="I35" i="31" s="1"/>
  <c r="M35" i="31" s="1"/>
  <c r="AA57" i="28" s="1"/>
  <c r="G31" i="49"/>
  <c r="H31" i="49" s="1"/>
  <c r="G40" i="31"/>
  <c r="H40" i="31" s="1"/>
  <c r="I40" i="31" s="1"/>
  <c r="M40" i="31" s="1"/>
  <c r="AF57" i="28" s="1"/>
  <c r="G36" i="49"/>
  <c r="H36" i="49" s="1"/>
  <c r="I36" i="49" s="1"/>
  <c r="J36" i="49" s="1"/>
  <c r="D40" i="30"/>
  <c r="G18" i="31"/>
  <c r="H18" i="31" s="1"/>
  <c r="I18" i="31" s="1"/>
  <c r="M18" i="31" s="1"/>
  <c r="J57" i="28" s="1"/>
  <c r="G14" i="49"/>
  <c r="H14" i="49" s="1"/>
  <c r="I14" i="49" s="1"/>
  <c r="J14" i="49" s="1"/>
  <c r="D18" i="30"/>
  <c r="G23" i="31"/>
  <c r="H23" i="31" s="1"/>
  <c r="I23" i="31" s="1"/>
  <c r="M23" i="31" s="1"/>
  <c r="O57" i="28" s="1"/>
  <c r="D23" i="30"/>
  <c r="G19" i="49"/>
  <c r="H19" i="49" s="1"/>
  <c r="I19" i="49" s="1"/>
  <c r="J19" i="49" s="1"/>
  <c r="G28" i="31"/>
  <c r="H28" i="31" s="1"/>
  <c r="I28" i="31" s="1"/>
  <c r="M28" i="31" s="1"/>
  <c r="T57" i="28" s="1"/>
  <c r="D28" i="30"/>
  <c r="G24" i="49"/>
  <c r="H24" i="49" s="1"/>
  <c r="I24" i="49" s="1"/>
  <c r="J24" i="49" s="1"/>
  <c r="G18" i="49"/>
  <c r="H18" i="49" s="1"/>
  <c r="I18" i="49" s="1"/>
  <c r="J18" i="49" s="1"/>
  <c r="G22" i="31"/>
  <c r="H22" i="31" s="1"/>
  <c r="I22" i="31" s="1"/>
  <c r="M22" i="31" s="1"/>
  <c r="N57" i="28" s="1"/>
  <c r="D22" i="30"/>
  <c r="F26" i="46"/>
  <c r="J26" i="46"/>
  <c r="L26" i="46" s="1"/>
  <c r="D26" i="46"/>
  <c r="K26" i="46" s="1"/>
  <c r="K11" i="49"/>
  <c r="N11" i="49"/>
  <c r="O11" i="49" s="1"/>
  <c r="E427" i="5" l="1"/>
  <c r="F314" i="5"/>
  <c r="F315" i="5"/>
  <c r="F309" i="5"/>
  <c r="F317" i="5"/>
  <c r="F308" i="5"/>
  <c r="F352" i="5"/>
  <c r="J397" i="5"/>
  <c r="K397" i="5" s="1"/>
  <c r="L397" i="5" s="1"/>
  <c r="M397" i="5" s="1"/>
  <c r="N397" i="5" s="1"/>
  <c r="O397" i="5" s="1"/>
  <c r="P397" i="5" s="1"/>
  <c r="Q397" i="5" s="1"/>
  <c r="R397" i="5" s="1"/>
  <c r="S397" i="5" s="1"/>
  <c r="T397" i="5" s="1"/>
  <c r="U397" i="5" s="1"/>
  <c r="V397" i="5" s="1"/>
  <c r="W397" i="5" s="1"/>
  <c r="X397" i="5" s="1"/>
  <c r="Y397" i="5" s="1"/>
  <c r="Z397" i="5" s="1"/>
  <c r="AA397" i="5" s="1"/>
  <c r="AB397" i="5" s="1"/>
  <c r="AC397" i="5" s="1"/>
  <c r="AD397" i="5" s="1"/>
  <c r="AE397" i="5" s="1"/>
  <c r="AF397" i="5" s="1"/>
  <c r="AG397" i="5" s="1"/>
  <c r="I411" i="5"/>
  <c r="F351" i="5"/>
  <c r="I408" i="5"/>
  <c r="J394" i="5"/>
  <c r="K394" i="5" s="1"/>
  <c r="L394" i="5" s="1"/>
  <c r="M394" i="5" s="1"/>
  <c r="N394" i="5" s="1"/>
  <c r="O394" i="5" s="1"/>
  <c r="P394" i="5" s="1"/>
  <c r="Q394" i="5" s="1"/>
  <c r="R394" i="5" s="1"/>
  <c r="S394" i="5" s="1"/>
  <c r="T394" i="5" s="1"/>
  <c r="U394" i="5" s="1"/>
  <c r="V394" i="5" s="1"/>
  <c r="W394" i="5" s="1"/>
  <c r="X394" i="5" s="1"/>
  <c r="Y394" i="5" s="1"/>
  <c r="Z394" i="5" s="1"/>
  <c r="AA394" i="5" s="1"/>
  <c r="AB394" i="5" s="1"/>
  <c r="AC394" i="5" s="1"/>
  <c r="AD394" i="5" s="1"/>
  <c r="AE394" i="5" s="1"/>
  <c r="AF394" i="5" s="1"/>
  <c r="AG394" i="5" s="1"/>
  <c r="J393" i="5"/>
  <c r="K393" i="5" s="1"/>
  <c r="L393" i="5" s="1"/>
  <c r="M393" i="5" s="1"/>
  <c r="N393" i="5" s="1"/>
  <c r="O393" i="5" s="1"/>
  <c r="P393" i="5" s="1"/>
  <c r="Q393" i="5" s="1"/>
  <c r="R393" i="5" s="1"/>
  <c r="S393" i="5" s="1"/>
  <c r="T393" i="5" s="1"/>
  <c r="U393" i="5" s="1"/>
  <c r="V393" i="5" s="1"/>
  <c r="W393" i="5" s="1"/>
  <c r="X393" i="5" s="1"/>
  <c r="Y393" i="5" s="1"/>
  <c r="Z393" i="5" s="1"/>
  <c r="AA393" i="5" s="1"/>
  <c r="AB393" i="5" s="1"/>
  <c r="AC393" i="5" s="1"/>
  <c r="AD393" i="5" s="1"/>
  <c r="AE393" i="5" s="1"/>
  <c r="AF393" i="5" s="1"/>
  <c r="AG393" i="5" s="1"/>
  <c r="I407" i="5"/>
  <c r="I410" i="5"/>
  <c r="J396" i="5"/>
  <c r="K396" i="5" s="1"/>
  <c r="L396" i="5" s="1"/>
  <c r="M396" i="5" s="1"/>
  <c r="N396" i="5" s="1"/>
  <c r="O396" i="5" s="1"/>
  <c r="P396" i="5" s="1"/>
  <c r="Q396" i="5" s="1"/>
  <c r="R396" i="5" s="1"/>
  <c r="S396" i="5" s="1"/>
  <c r="T396" i="5" s="1"/>
  <c r="U396" i="5" s="1"/>
  <c r="V396" i="5" s="1"/>
  <c r="W396" i="5" s="1"/>
  <c r="X396" i="5" s="1"/>
  <c r="Y396" i="5" s="1"/>
  <c r="Z396" i="5" s="1"/>
  <c r="AA396" i="5" s="1"/>
  <c r="AB396" i="5" s="1"/>
  <c r="AC396" i="5" s="1"/>
  <c r="AD396" i="5" s="1"/>
  <c r="AE396" i="5" s="1"/>
  <c r="AF396" i="5" s="1"/>
  <c r="AG396" i="5" s="1"/>
  <c r="I416" i="5"/>
  <c r="J402" i="5"/>
  <c r="K402" i="5" s="1"/>
  <c r="L402" i="5" s="1"/>
  <c r="M402" i="5" s="1"/>
  <c r="N402" i="5" s="1"/>
  <c r="O402" i="5" s="1"/>
  <c r="P402" i="5" s="1"/>
  <c r="Q402" i="5" s="1"/>
  <c r="R402" i="5" s="1"/>
  <c r="S402" i="5" s="1"/>
  <c r="T402" i="5" s="1"/>
  <c r="U402" i="5" s="1"/>
  <c r="V402" i="5" s="1"/>
  <c r="W402" i="5" s="1"/>
  <c r="X402" i="5" s="1"/>
  <c r="Y402" i="5" s="1"/>
  <c r="Z402" i="5" s="1"/>
  <c r="AA402" i="5" s="1"/>
  <c r="AB402" i="5" s="1"/>
  <c r="AC402" i="5" s="1"/>
  <c r="AD402" i="5" s="1"/>
  <c r="AE402" i="5" s="1"/>
  <c r="AF402" i="5" s="1"/>
  <c r="AG402" i="5" s="1"/>
  <c r="J400" i="5"/>
  <c r="K400" i="5" s="1"/>
  <c r="L400" i="5" s="1"/>
  <c r="M400" i="5" s="1"/>
  <c r="N400" i="5" s="1"/>
  <c r="O400" i="5" s="1"/>
  <c r="P400" i="5" s="1"/>
  <c r="Q400" i="5" s="1"/>
  <c r="R400" i="5" s="1"/>
  <c r="S400" i="5" s="1"/>
  <c r="T400" i="5" s="1"/>
  <c r="U400" i="5" s="1"/>
  <c r="V400" i="5" s="1"/>
  <c r="W400" i="5" s="1"/>
  <c r="X400" i="5" s="1"/>
  <c r="Y400" i="5" s="1"/>
  <c r="Z400" i="5" s="1"/>
  <c r="AA400" i="5" s="1"/>
  <c r="AB400" i="5" s="1"/>
  <c r="AC400" i="5" s="1"/>
  <c r="AD400" i="5" s="1"/>
  <c r="AE400" i="5" s="1"/>
  <c r="AF400" i="5" s="1"/>
  <c r="AG400" i="5" s="1"/>
  <c r="I414" i="5"/>
  <c r="F357" i="5"/>
  <c r="F310" i="5"/>
  <c r="J401" i="5"/>
  <c r="K401" i="5" s="1"/>
  <c r="L401" i="5" s="1"/>
  <c r="M401" i="5" s="1"/>
  <c r="N401" i="5" s="1"/>
  <c r="O401" i="5" s="1"/>
  <c r="P401" i="5" s="1"/>
  <c r="Q401" i="5" s="1"/>
  <c r="R401" i="5" s="1"/>
  <c r="S401" i="5" s="1"/>
  <c r="T401" i="5" s="1"/>
  <c r="U401" i="5" s="1"/>
  <c r="V401" i="5" s="1"/>
  <c r="W401" i="5" s="1"/>
  <c r="X401" i="5" s="1"/>
  <c r="Y401" i="5" s="1"/>
  <c r="Z401" i="5" s="1"/>
  <c r="AA401" i="5" s="1"/>
  <c r="AB401" i="5" s="1"/>
  <c r="AC401" i="5" s="1"/>
  <c r="AD401" i="5" s="1"/>
  <c r="AE401" i="5" s="1"/>
  <c r="AF401" i="5" s="1"/>
  <c r="AG401" i="5" s="1"/>
  <c r="I415" i="5"/>
  <c r="J398" i="5"/>
  <c r="I412" i="5"/>
  <c r="I395" i="5"/>
  <c r="H409" i="5"/>
  <c r="H417" i="5" s="1"/>
  <c r="G255" i="5"/>
  <c r="F350" i="5"/>
  <c r="F355" i="5"/>
  <c r="F354" i="5"/>
  <c r="F358" i="5"/>
  <c r="G259" i="5"/>
  <c r="G258" i="5"/>
  <c r="I27" i="17"/>
  <c r="H27" i="17"/>
  <c r="O27" i="17"/>
  <c r="G27" i="17"/>
  <c r="F27" i="17"/>
  <c r="M27" i="17"/>
  <c r="E27" i="17"/>
  <c r="K27" i="17"/>
  <c r="C27" i="17"/>
  <c r="J27" i="17"/>
  <c r="L27" i="17"/>
  <c r="D27" i="17"/>
  <c r="O19" i="17"/>
  <c r="G19" i="17"/>
  <c r="F19" i="17"/>
  <c r="M19" i="17"/>
  <c r="E19" i="17"/>
  <c r="K19" i="17"/>
  <c r="C19" i="17"/>
  <c r="J19" i="17"/>
  <c r="L19" i="17"/>
  <c r="I19" i="17"/>
  <c r="H19" i="17"/>
  <c r="D19" i="17"/>
  <c r="E35" i="17"/>
  <c r="D35" i="17"/>
  <c r="C35" i="17"/>
  <c r="I35" i="17"/>
  <c r="G35" i="17"/>
  <c r="F35" i="17"/>
  <c r="K21" i="17"/>
  <c r="C21" i="17"/>
  <c r="J21" i="17"/>
  <c r="I21" i="17"/>
  <c r="O21" i="17"/>
  <c r="G21" i="17"/>
  <c r="F21" i="17"/>
  <c r="M21" i="17"/>
  <c r="L21" i="17"/>
  <c r="H21" i="17"/>
  <c r="E21" i="17"/>
  <c r="D21" i="17"/>
  <c r="C94" i="17"/>
  <c r="E94" i="17"/>
  <c r="D94" i="17"/>
  <c r="G94" i="17"/>
  <c r="L11" i="17"/>
  <c r="D11" i="17"/>
  <c r="K11" i="17"/>
  <c r="C11" i="17"/>
  <c r="J11" i="17"/>
  <c r="I11" i="17"/>
  <c r="H11" i="17"/>
  <c r="O11" i="17"/>
  <c r="G11" i="17"/>
  <c r="F11" i="17"/>
  <c r="M11" i="17"/>
  <c r="E11" i="17"/>
  <c r="H9" i="17"/>
  <c r="O9" i="17"/>
  <c r="G9" i="17"/>
  <c r="F9" i="17"/>
  <c r="M9" i="17"/>
  <c r="E9" i="17"/>
  <c r="L9" i="17"/>
  <c r="D9" i="17"/>
  <c r="K9" i="17"/>
  <c r="C9" i="17"/>
  <c r="J9" i="17"/>
  <c r="I9" i="17"/>
  <c r="G93" i="17"/>
  <c r="C93" i="17"/>
  <c r="E93" i="17"/>
  <c r="D93" i="17"/>
  <c r="G65" i="17"/>
  <c r="E65" i="17"/>
  <c r="D65" i="17"/>
  <c r="C65" i="17"/>
  <c r="F65" i="17"/>
  <c r="I65" i="17"/>
  <c r="O15" i="17"/>
  <c r="G15" i="17"/>
  <c r="F15" i="17"/>
  <c r="M15" i="17"/>
  <c r="E15" i="17"/>
  <c r="K15" i="17"/>
  <c r="C15" i="17"/>
  <c r="J15" i="17"/>
  <c r="L15" i="17"/>
  <c r="I15" i="17"/>
  <c r="H15" i="17"/>
  <c r="D15" i="17"/>
  <c r="L7" i="17"/>
  <c r="D7" i="17"/>
  <c r="K7" i="17"/>
  <c r="C7" i="17"/>
  <c r="J7" i="17"/>
  <c r="I7" i="17"/>
  <c r="H7" i="17"/>
  <c r="O7" i="17"/>
  <c r="G7" i="17"/>
  <c r="F7" i="17"/>
  <c r="M7" i="17"/>
  <c r="E7" i="17"/>
  <c r="M14" i="17"/>
  <c r="E14" i="17"/>
  <c r="L14" i="17"/>
  <c r="D14" i="17"/>
  <c r="K14" i="17"/>
  <c r="C14" i="17"/>
  <c r="I14" i="17"/>
  <c r="H14" i="17"/>
  <c r="G14" i="17"/>
  <c r="F14" i="17"/>
  <c r="O14" i="17"/>
  <c r="J14" i="17"/>
  <c r="E36" i="17"/>
  <c r="D36" i="17"/>
  <c r="C36" i="17"/>
  <c r="I36" i="17"/>
  <c r="G36" i="17"/>
  <c r="F36" i="17"/>
  <c r="H5" i="17"/>
  <c r="O5" i="17"/>
  <c r="G5" i="17"/>
  <c r="F5" i="17"/>
  <c r="M5" i="17"/>
  <c r="E5" i="17"/>
  <c r="L5" i="17"/>
  <c r="D5" i="17"/>
  <c r="K5" i="17"/>
  <c r="C5" i="17"/>
  <c r="J5" i="17"/>
  <c r="I5" i="17"/>
  <c r="O23" i="17"/>
  <c r="G23" i="17"/>
  <c r="F23" i="17"/>
  <c r="M23" i="17"/>
  <c r="E23" i="17"/>
  <c r="K23" i="17"/>
  <c r="C23" i="17"/>
  <c r="J23" i="17"/>
  <c r="H23" i="17"/>
  <c r="D23" i="17"/>
  <c r="L23" i="17"/>
  <c r="I23" i="17"/>
  <c r="J6" i="17"/>
  <c r="I6" i="17"/>
  <c r="H6" i="17"/>
  <c r="O6" i="17"/>
  <c r="G6" i="17"/>
  <c r="F6" i="17"/>
  <c r="M6" i="17"/>
  <c r="E6" i="17"/>
  <c r="L6" i="17"/>
  <c r="D6" i="17"/>
  <c r="K6" i="17"/>
  <c r="C6" i="17"/>
  <c r="M22" i="17"/>
  <c r="E22" i="17"/>
  <c r="L22" i="17"/>
  <c r="D22" i="17"/>
  <c r="K22" i="17"/>
  <c r="C22" i="17"/>
  <c r="I22" i="17"/>
  <c r="H22" i="17"/>
  <c r="O22" i="17"/>
  <c r="J22" i="17"/>
  <c r="G22" i="17"/>
  <c r="F22" i="17"/>
  <c r="H67" i="17"/>
  <c r="F96" i="17"/>
  <c r="H38" i="17"/>
  <c r="J29" i="22"/>
  <c r="K25" i="17"/>
  <c r="C25" i="17"/>
  <c r="J25" i="17"/>
  <c r="I25" i="17"/>
  <c r="O25" i="17"/>
  <c r="G25" i="17"/>
  <c r="F25" i="17"/>
  <c r="M25" i="17"/>
  <c r="L25" i="17"/>
  <c r="H25" i="17"/>
  <c r="E25" i="17"/>
  <c r="D25" i="17"/>
  <c r="K17" i="17"/>
  <c r="C17" i="17"/>
  <c r="J17" i="17"/>
  <c r="I17" i="17"/>
  <c r="O17" i="17"/>
  <c r="G17" i="17"/>
  <c r="F17" i="17"/>
  <c r="E17" i="17"/>
  <c r="D17" i="17"/>
  <c r="M17" i="17"/>
  <c r="L17" i="17"/>
  <c r="H17" i="17"/>
  <c r="K28" i="17"/>
  <c r="C28" i="17"/>
  <c r="J28" i="17"/>
  <c r="I28" i="17"/>
  <c r="H28" i="17"/>
  <c r="O28" i="17"/>
  <c r="G28" i="17"/>
  <c r="M28" i="17"/>
  <c r="E28" i="17"/>
  <c r="L28" i="17"/>
  <c r="D28" i="17"/>
  <c r="F28" i="17"/>
  <c r="O26" i="17"/>
  <c r="M26" i="17"/>
  <c r="E26" i="17"/>
  <c r="L26" i="17"/>
  <c r="D26" i="17"/>
  <c r="K26" i="17"/>
  <c r="C26" i="17"/>
  <c r="I26" i="17"/>
  <c r="H26" i="17"/>
  <c r="G26" i="17"/>
  <c r="F26" i="17"/>
  <c r="J26" i="17"/>
  <c r="I24" i="17"/>
  <c r="H24" i="17"/>
  <c r="O24" i="17"/>
  <c r="G24" i="17"/>
  <c r="M24" i="17"/>
  <c r="E24" i="17"/>
  <c r="L24" i="17"/>
  <c r="D24" i="17"/>
  <c r="K24" i="17"/>
  <c r="J24" i="17"/>
  <c r="F24" i="17"/>
  <c r="C24" i="17"/>
  <c r="E37" i="17"/>
  <c r="D37" i="17"/>
  <c r="C37" i="17"/>
  <c r="I37" i="17"/>
  <c r="G37" i="17"/>
  <c r="F37" i="17"/>
  <c r="G64" i="17"/>
  <c r="D64" i="17"/>
  <c r="C64" i="17"/>
  <c r="I64" i="17"/>
  <c r="F64" i="17"/>
  <c r="E64" i="17"/>
  <c r="J13" i="17"/>
  <c r="O13" i="17"/>
  <c r="G13" i="17"/>
  <c r="I13" i="17"/>
  <c r="H13" i="17"/>
  <c r="F13" i="17"/>
  <c r="E13" i="17"/>
  <c r="D13" i="17"/>
  <c r="M13" i="17"/>
  <c r="C13" i="17"/>
  <c r="L13" i="17"/>
  <c r="K13" i="17"/>
  <c r="I20" i="17"/>
  <c r="H20" i="17"/>
  <c r="O20" i="17"/>
  <c r="G20" i="17"/>
  <c r="M20" i="17"/>
  <c r="E20" i="17"/>
  <c r="L20" i="17"/>
  <c r="D20" i="17"/>
  <c r="F20" i="17"/>
  <c r="C20" i="17"/>
  <c r="K20" i="17"/>
  <c r="J20" i="17"/>
  <c r="M18" i="17"/>
  <c r="E18" i="17"/>
  <c r="L18" i="17"/>
  <c r="D18" i="17"/>
  <c r="K18" i="17"/>
  <c r="C18" i="17"/>
  <c r="I18" i="17"/>
  <c r="H18" i="17"/>
  <c r="J18" i="17"/>
  <c r="G18" i="17"/>
  <c r="F18" i="17"/>
  <c r="O18" i="17"/>
  <c r="I16" i="17"/>
  <c r="H16" i="17"/>
  <c r="O16" i="17"/>
  <c r="G16" i="17"/>
  <c r="M16" i="17"/>
  <c r="E16" i="17"/>
  <c r="L16" i="17"/>
  <c r="D16" i="17"/>
  <c r="K16" i="17"/>
  <c r="J16" i="17"/>
  <c r="F16" i="17"/>
  <c r="C16" i="17"/>
  <c r="G66" i="17"/>
  <c r="F66" i="17"/>
  <c r="E66" i="17"/>
  <c r="D66" i="17"/>
  <c r="C66" i="17"/>
  <c r="I66" i="17"/>
  <c r="F12" i="17"/>
  <c r="M12" i="17"/>
  <c r="E12" i="17"/>
  <c r="L12" i="17"/>
  <c r="D12" i="17"/>
  <c r="K12" i="17"/>
  <c r="C12" i="17"/>
  <c r="J12" i="17"/>
  <c r="I12" i="17"/>
  <c r="H12" i="17"/>
  <c r="O12" i="17"/>
  <c r="G12" i="17"/>
  <c r="J10" i="17"/>
  <c r="I10" i="17"/>
  <c r="H10" i="17"/>
  <c r="O10" i="17"/>
  <c r="G10" i="17"/>
  <c r="F10" i="17"/>
  <c r="M10" i="17"/>
  <c r="E10" i="17"/>
  <c r="L10" i="17"/>
  <c r="D10" i="17"/>
  <c r="K10" i="17"/>
  <c r="C10" i="17"/>
  <c r="F8" i="17"/>
  <c r="M8" i="17"/>
  <c r="E8" i="17"/>
  <c r="L8" i="17"/>
  <c r="D8" i="17"/>
  <c r="K8" i="17"/>
  <c r="C8" i="17"/>
  <c r="J8" i="17"/>
  <c r="I8" i="17"/>
  <c r="H8" i="17"/>
  <c r="O8" i="17"/>
  <c r="G8" i="17"/>
  <c r="E95" i="17"/>
  <c r="C95" i="17"/>
  <c r="G95" i="17"/>
  <c r="D95" i="17"/>
  <c r="G25" i="36"/>
  <c r="G26" i="36" s="1"/>
  <c r="G27" i="36" s="1"/>
  <c r="G28" i="36" s="1"/>
  <c r="G29" i="36" s="1"/>
  <c r="G30" i="36" s="1"/>
  <c r="G31" i="36" s="1"/>
  <c r="G32" i="36" s="1"/>
  <c r="G33" i="36" s="1"/>
  <c r="G34" i="36" s="1"/>
  <c r="G35" i="36" s="1"/>
  <c r="G36" i="36" s="1"/>
  <c r="G37" i="36" s="1"/>
  <c r="G38" i="36" s="1"/>
  <c r="G39" i="36" s="1"/>
  <c r="G40" i="36" s="1"/>
  <c r="G41" i="36" s="1"/>
  <c r="G42" i="36" s="1"/>
  <c r="G43" i="36" s="1"/>
  <c r="G44" i="36" s="1"/>
  <c r="L26" i="56"/>
  <c r="K20" i="36"/>
  <c r="F21" i="36"/>
  <c r="P18" i="36"/>
  <c r="V17" i="36"/>
  <c r="D15" i="46"/>
  <c r="O61" i="28"/>
  <c r="O85" i="28" s="1"/>
  <c r="V61" i="28"/>
  <c r="V85" i="28" s="1"/>
  <c r="AB61" i="28"/>
  <c r="AB85" i="28" s="1"/>
  <c r="U61" i="28"/>
  <c r="U85" i="28" s="1"/>
  <c r="Z61" i="28"/>
  <c r="Z85" i="28" s="1"/>
  <c r="P61" i="28"/>
  <c r="P85" i="28" s="1"/>
  <c r="G61" i="28"/>
  <c r="G85" i="28" s="1"/>
  <c r="I61" i="28"/>
  <c r="I85" i="28" s="1"/>
  <c r="K61" i="28"/>
  <c r="K85" i="28" s="1"/>
  <c r="AC61" i="28"/>
  <c r="AC85" i="28" s="1"/>
  <c r="N61" i="28"/>
  <c r="N85" i="28" s="1"/>
  <c r="X61" i="28"/>
  <c r="X85" i="28" s="1"/>
  <c r="Q61" i="28"/>
  <c r="Q85" i="28" s="1"/>
  <c r="AG61" i="28"/>
  <c r="AG85" i="28" s="1"/>
  <c r="AD61" i="28"/>
  <c r="AD85" i="28" s="1"/>
  <c r="AI61" i="28"/>
  <c r="AI85" i="28" s="1"/>
  <c r="M61" i="28"/>
  <c r="M85" i="28" s="1"/>
  <c r="J61" i="28"/>
  <c r="J85" i="28" s="1"/>
  <c r="W61" i="28"/>
  <c r="W85" i="28" s="1"/>
  <c r="AE61" i="28"/>
  <c r="AE85" i="28" s="1"/>
  <c r="S61" i="28"/>
  <c r="S85" i="28" s="1"/>
  <c r="AH61" i="28"/>
  <c r="AH85" i="28" s="1"/>
  <c r="R61" i="28"/>
  <c r="R85" i="28" s="1"/>
  <c r="AF61" i="28"/>
  <c r="AF85" i="28" s="1"/>
  <c r="AA61" i="28"/>
  <c r="AA85" i="28" s="1"/>
  <c r="L61" i="28"/>
  <c r="L85" i="28" s="1"/>
  <c r="H61" i="28"/>
  <c r="H85" i="28" s="1"/>
  <c r="T61" i="28"/>
  <c r="T85" i="28" s="1"/>
  <c r="Y61" i="28"/>
  <c r="Y85" i="28" s="1"/>
  <c r="E389" i="5"/>
  <c r="E420" i="5"/>
  <c r="F359" i="5"/>
  <c r="G217" i="5"/>
  <c r="H194" i="5"/>
  <c r="H197" i="5"/>
  <c r="H192" i="5"/>
  <c r="H198" i="5"/>
  <c r="H260" i="5" s="1"/>
  <c r="H195" i="5"/>
  <c r="H23" i="5"/>
  <c r="H200" i="5"/>
  <c r="H190" i="5"/>
  <c r="H193" i="5"/>
  <c r="H196" i="5"/>
  <c r="H191" i="5"/>
  <c r="I14" i="5"/>
  <c r="H199" i="5"/>
  <c r="G253" i="5"/>
  <c r="H202" i="26"/>
  <c r="G252" i="5"/>
  <c r="G201" i="5"/>
  <c r="G261" i="5"/>
  <c r="G257" i="5"/>
  <c r="G262" i="5"/>
  <c r="I200" i="26"/>
  <c r="I191" i="26"/>
  <c r="I196" i="26"/>
  <c r="I199" i="26"/>
  <c r="I194" i="26"/>
  <c r="I197" i="26"/>
  <c r="I192" i="26"/>
  <c r="I195" i="26"/>
  <c r="I198" i="26"/>
  <c r="I201" i="26"/>
  <c r="I193" i="26"/>
  <c r="J15" i="26"/>
  <c r="F356" i="5"/>
  <c r="F353" i="5"/>
  <c r="F304" i="5"/>
  <c r="F300" i="5"/>
  <c r="F296" i="5"/>
  <c r="F301" i="5"/>
  <c r="F371" i="5" s="1"/>
  <c r="F297" i="5"/>
  <c r="F302" i="5"/>
  <c r="F372" i="5" s="1"/>
  <c r="F298" i="5"/>
  <c r="F368" i="5" s="1"/>
  <c r="F294" i="5"/>
  <c r="F303" i="5"/>
  <c r="F299" i="5"/>
  <c r="F369" i="5" s="1"/>
  <c r="F295" i="5"/>
  <c r="F365" i="5" s="1"/>
  <c r="F263" i="5"/>
  <c r="G260" i="5"/>
  <c r="F360" i="5"/>
  <c r="G254" i="5"/>
  <c r="H213" i="5"/>
  <c r="H209" i="5"/>
  <c r="H215" i="5"/>
  <c r="H207" i="5"/>
  <c r="H212" i="5"/>
  <c r="H208" i="5"/>
  <c r="H214" i="5"/>
  <c r="H211" i="5"/>
  <c r="H216" i="5"/>
  <c r="H210" i="5"/>
  <c r="I16" i="5"/>
  <c r="H206" i="5"/>
  <c r="G256" i="5"/>
  <c r="R27" i="28"/>
  <c r="J211" i="26"/>
  <c r="J214" i="26"/>
  <c r="J209" i="26"/>
  <c r="J212" i="26"/>
  <c r="J215" i="26"/>
  <c r="J207" i="26"/>
  <c r="J217" i="26"/>
  <c r="J210" i="26"/>
  <c r="J213" i="26"/>
  <c r="J216" i="26"/>
  <c r="J208" i="26"/>
  <c r="K17" i="26"/>
  <c r="R35" i="26"/>
  <c r="R57" i="26" s="1"/>
  <c r="S30" i="26"/>
  <c r="S48" i="26" s="1"/>
  <c r="I218" i="26"/>
  <c r="N46" i="5"/>
  <c r="O28" i="5"/>
  <c r="M177" i="5"/>
  <c r="M184" i="5"/>
  <c r="M176" i="5"/>
  <c r="M183" i="5"/>
  <c r="M175" i="5"/>
  <c r="M182" i="5"/>
  <c r="M174" i="5"/>
  <c r="M178" i="5"/>
  <c r="M181" i="5"/>
  <c r="M180" i="5"/>
  <c r="M179" i="5"/>
  <c r="L19" i="5"/>
  <c r="L21" i="5"/>
  <c r="K230" i="5"/>
  <c r="K222" i="5"/>
  <c r="K231" i="5"/>
  <c r="K223" i="5"/>
  <c r="K229" i="5"/>
  <c r="K228" i="5"/>
  <c r="K227" i="5"/>
  <c r="K226" i="5"/>
  <c r="K225" i="5"/>
  <c r="K232" i="5"/>
  <c r="K224" i="5"/>
  <c r="N47" i="5"/>
  <c r="O29" i="5"/>
  <c r="L185" i="5"/>
  <c r="O51" i="5"/>
  <c r="K241" i="5"/>
  <c r="K242" i="5"/>
  <c r="K240" i="5"/>
  <c r="K247" i="5"/>
  <c r="K239" i="5"/>
  <c r="K246" i="5"/>
  <c r="K238" i="5"/>
  <c r="K245" i="5"/>
  <c r="K237" i="5"/>
  <c r="K244" i="5"/>
  <c r="K243" i="5"/>
  <c r="K185" i="5"/>
  <c r="O48" i="5"/>
  <c r="M57" i="5"/>
  <c r="N37" i="49"/>
  <c r="O37" i="49" s="1"/>
  <c r="K37" i="49"/>
  <c r="N16" i="49"/>
  <c r="O16" i="49" s="1"/>
  <c r="K16" i="49"/>
  <c r="I25" i="49"/>
  <c r="J25" i="49" s="1"/>
  <c r="I31" i="49"/>
  <c r="J31" i="49" s="1"/>
  <c r="N32" i="49"/>
  <c r="O32" i="49" s="1"/>
  <c r="K32" i="49"/>
  <c r="N21" i="49"/>
  <c r="O21" i="49" s="1"/>
  <c r="K21" i="49"/>
  <c r="N18" i="49"/>
  <c r="O18" i="49" s="1"/>
  <c r="K18" i="49"/>
  <c r="N24" i="49"/>
  <c r="O24" i="49" s="1"/>
  <c r="K24" i="49"/>
  <c r="K35" i="49"/>
  <c r="N35" i="49"/>
  <c r="O35" i="49" s="1"/>
  <c r="K33" i="49"/>
  <c r="N33" i="49"/>
  <c r="O33" i="49" s="1"/>
  <c r="N23" i="49"/>
  <c r="O23" i="49" s="1"/>
  <c r="K23" i="49"/>
  <c r="I15" i="49"/>
  <c r="J15" i="49" s="1"/>
  <c r="I29" i="49"/>
  <c r="J29" i="49" s="1"/>
  <c r="N36" i="49"/>
  <c r="O36" i="49" s="1"/>
  <c r="K36" i="49"/>
  <c r="N17" i="49"/>
  <c r="O17" i="49" s="1"/>
  <c r="K17" i="49"/>
  <c r="N38" i="49"/>
  <c r="O38" i="49" s="1"/>
  <c r="K38" i="49"/>
  <c r="N20" i="49"/>
  <c r="O20" i="49" s="1"/>
  <c r="K20" i="49"/>
  <c r="I22" i="49"/>
  <c r="J22" i="49" s="1"/>
  <c r="AF81" i="28"/>
  <c r="K14" i="49"/>
  <c r="N14" i="49"/>
  <c r="O14" i="49" s="1"/>
  <c r="Q81" i="28"/>
  <c r="U81" i="28"/>
  <c r="AC46" i="28"/>
  <c r="U46" i="28"/>
  <c r="M46" i="28"/>
  <c r="AH45" i="28"/>
  <c r="Z45" i="28"/>
  <c r="R45" i="28"/>
  <c r="J45" i="28"/>
  <c r="AE44" i="28"/>
  <c r="W44" i="28"/>
  <c r="O44" i="28"/>
  <c r="G44" i="28"/>
  <c r="AB43" i="28"/>
  <c r="T43" i="28"/>
  <c r="L43" i="28"/>
  <c r="AG42" i="28"/>
  <c r="Y42" i="28"/>
  <c r="Q42" i="28"/>
  <c r="I42" i="28"/>
  <c r="AB46" i="28"/>
  <c r="T46" i="28"/>
  <c r="L46" i="28"/>
  <c r="AG45" i="28"/>
  <c r="Y45" i="28"/>
  <c r="Q45" i="28"/>
  <c r="I45" i="28"/>
  <c r="AD44" i="28"/>
  <c r="V44" i="28"/>
  <c r="N44" i="28"/>
  <c r="AI43" i="28"/>
  <c r="AA43" i="28"/>
  <c r="S43" i="28"/>
  <c r="K43" i="28"/>
  <c r="AF42" i="28"/>
  <c r="X42" i="28"/>
  <c r="P42" i="28"/>
  <c r="H42" i="28"/>
  <c r="AI46" i="28"/>
  <c r="AA46" i="28"/>
  <c r="S46" i="28"/>
  <c r="K46" i="28"/>
  <c r="AF45" i="28"/>
  <c r="X45" i="28"/>
  <c r="P45" i="28"/>
  <c r="H45" i="28"/>
  <c r="AC44" i="28"/>
  <c r="U44" i="28"/>
  <c r="M44" i="28"/>
  <c r="AH43" i="28"/>
  <c r="Z43" i="28"/>
  <c r="R43" i="28"/>
  <c r="J43" i="28"/>
  <c r="AE42" i="28"/>
  <c r="W42" i="28"/>
  <c r="O42" i="28"/>
  <c r="G42" i="28"/>
  <c r="AF46" i="28"/>
  <c r="X46" i="28"/>
  <c r="P46" i="28"/>
  <c r="H46" i="28"/>
  <c r="AC45" i="28"/>
  <c r="U45" i="28"/>
  <c r="M45" i="28"/>
  <c r="AH44" i="28"/>
  <c r="Z44" i="28"/>
  <c r="R44" i="28"/>
  <c r="J44" i="28"/>
  <c r="AE43" i="28"/>
  <c r="W43" i="28"/>
  <c r="O43" i="28"/>
  <c r="G43" i="28"/>
  <c r="AB42" i="28"/>
  <c r="T42" i="28"/>
  <c r="L42" i="28"/>
  <c r="W46" i="28"/>
  <c r="G46" i="28"/>
  <c r="T45" i="28"/>
  <c r="AG44" i="28"/>
  <c r="Q44" i="28"/>
  <c r="AD43" i="28"/>
  <c r="N43" i="28"/>
  <c r="AA42" i="28"/>
  <c r="K42" i="28"/>
  <c r="V46" i="28"/>
  <c r="AI45" i="28"/>
  <c r="S45" i="28"/>
  <c r="AF44" i="28"/>
  <c r="P44" i="28"/>
  <c r="AC43" i="28"/>
  <c r="M43" i="28"/>
  <c r="Z42" i="28"/>
  <c r="J42" i="28"/>
  <c r="Y46" i="28"/>
  <c r="AI44" i="28"/>
  <c r="P43" i="28"/>
  <c r="AH46" i="28"/>
  <c r="R46" i="28"/>
  <c r="AE45" i="28"/>
  <c r="O45" i="28"/>
  <c r="AB44" i="28"/>
  <c r="L44" i="28"/>
  <c r="Y43" i="28"/>
  <c r="I43" i="28"/>
  <c r="V42" i="28"/>
  <c r="V45" i="28"/>
  <c r="AG46" i="28"/>
  <c r="Q46" i="28"/>
  <c r="AD45" i="28"/>
  <c r="N45" i="28"/>
  <c r="AA44" i="28"/>
  <c r="K44" i="28"/>
  <c r="X43" i="28"/>
  <c r="H43" i="28"/>
  <c r="U42" i="28"/>
  <c r="Z46" i="28"/>
  <c r="J46" i="28"/>
  <c r="W45" i="28"/>
  <c r="T44" i="28"/>
  <c r="Q43" i="28"/>
  <c r="N42" i="28"/>
  <c r="AC42" i="28"/>
  <c r="AE46" i="28"/>
  <c r="O46" i="28"/>
  <c r="AB45" i="28"/>
  <c r="L45" i="28"/>
  <c r="Y44" i="28"/>
  <c r="I44" i="28"/>
  <c r="V43" i="28"/>
  <c r="AI42" i="28"/>
  <c r="S42" i="28"/>
  <c r="G45" i="28"/>
  <c r="AD42" i="28"/>
  <c r="S44" i="28"/>
  <c r="AD46" i="28"/>
  <c r="N46" i="28"/>
  <c r="AA45" i="28"/>
  <c r="K45" i="28"/>
  <c r="X44" i="28"/>
  <c r="H44" i="28"/>
  <c r="U43" i="28"/>
  <c r="AH42" i="28"/>
  <c r="R42" i="28"/>
  <c r="AG43" i="28"/>
  <c r="I46" i="28"/>
  <c r="AF43" i="28"/>
  <c r="M42" i="28"/>
  <c r="Y81" i="28"/>
  <c r="AB81" i="28"/>
  <c r="I27" i="49"/>
  <c r="J27" i="49" s="1"/>
  <c r="I39" i="49"/>
  <c r="J39" i="49" s="1"/>
  <c r="O81" i="28"/>
  <c r="AA81" i="28"/>
  <c r="F25" i="46"/>
  <c r="D25" i="46"/>
  <c r="K25" i="46" s="1"/>
  <c r="J25" i="46"/>
  <c r="L25" i="46" s="1"/>
  <c r="L81" i="28"/>
  <c r="R81" i="28"/>
  <c r="N34" i="49"/>
  <c r="O34" i="49" s="1"/>
  <c r="K34" i="49"/>
  <c r="N81" i="28"/>
  <c r="I26" i="49"/>
  <c r="J26" i="49" s="1"/>
  <c r="X81" i="28"/>
  <c r="I81" i="28"/>
  <c r="K28" i="49"/>
  <c r="N28" i="49"/>
  <c r="O28" i="49" s="1"/>
  <c r="AE81" i="28"/>
  <c r="AC81" i="28"/>
  <c r="AH81" i="28"/>
  <c r="V81" i="28"/>
  <c r="P81" i="28"/>
  <c r="I58" i="14"/>
  <c r="I74" i="14" s="1"/>
  <c r="I90" i="14" s="1"/>
  <c r="M123" i="28"/>
  <c r="M75" i="28"/>
  <c r="M99" i="28" s="1"/>
  <c r="W81" i="28"/>
  <c r="AI81" i="28"/>
  <c r="T81" i="28"/>
  <c r="J81" i="28"/>
  <c r="K13" i="49"/>
  <c r="N13" i="49"/>
  <c r="O13" i="49" s="1"/>
  <c r="AG81" i="28"/>
  <c r="S81" i="28"/>
  <c r="Z81" i="28"/>
  <c r="I30" i="49"/>
  <c r="J30" i="49" s="1"/>
  <c r="M81" i="28"/>
  <c r="K81" i="28"/>
  <c r="AD81" i="28"/>
  <c r="K19" i="49"/>
  <c r="N19" i="49"/>
  <c r="O19" i="49" s="1"/>
  <c r="F366" i="5" l="1"/>
  <c r="H261" i="5"/>
  <c r="J395" i="5"/>
  <c r="K395" i="5" s="1"/>
  <c r="L395" i="5" s="1"/>
  <c r="M395" i="5" s="1"/>
  <c r="N395" i="5" s="1"/>
  <c r="O395" i="5" s="1"/>
  <c r="P395" i="5" s="1"/>
  <c r="Q395" i="5" s="1"/>
  <c r="R395" i="5" s="1"/>
  <c r="S395" i="5" s="1"/>
  <c r="T395" i="5" s="1"/>
  <c r="U395" i="5" s="1"/>
  <c r="V395" i="5" s="1"/>
  <c r="W395" i="5" s="1"/>
  <c r="X395" i="5" s="1"/>
  <c r="Y395" i="5" s="1"/>
  <c r="Z395" i="5" s="1"/>
  <c r="AA395" i="5" s="1"/>
  <c r="AB395" i="5" s="1"/>
  <c r="AC395" i="5" s="1"/>
  <c r="AD395" i="5" s="1"/>
  <c r="AE395" i="5" s="1"/>
  <c r="AF395" i="5" s="1"/>
  <c r="AG395" i="5" s="1"/>
  <c r="I409" i="5"/>
  <c r="I417" i="5" s="1"/>
  <c r="F364" i="5"/>
  <c r="F367" i="5"/>
  <c r="K398" i="5"/>
  <c r="J412" i="5"/>
  <c r="G355" i="5"/>
  <c r="H253" i="5"/>
  <c r="F370" i="5"/>
  <c r="H255" i="5"/>
  <c r="F374" i="5"/>
  <c r="G351" i="5"/>
  <c r="F373" i="5"/>
  <c r="H17" i="56"/>
  <c r="C5" i="27"/>
  <c r="H17" i="28"/>
  <c r="H131" i="28" s="1"/>
  <c r="M17" i="56"/>
  <c r="C10" i="27"/>
  <c r="M17" i="28"/>
  <c r="M131" i="28" s="1"/>
  <c r="L17" i="56"/>
  <c r="C9" i="27"/>
  <c r="L17" i="28"/>
  <c r="L131" i="28" s="1"/>
  <c r="AD17" i="56"/>
  <c r="C27" i="27"/>
  <c r="C28" i="27" s="1"/>
  <c r="C29" i="27" s="1"/>
  <c r="C30" i="27" s="1"/>
  <c r="C31" i="27" s="1"/>
  <c r="C32" i="27" s="1"/>
  <c r="AD17" i="28"/>
  <c r="G96" i="17"/>
  <c r="E96" i="17"/>
  <c r="C96" i="17"/>
  <c r="D96" i="17"/>
  <c r="J280" i="5" a="1"/>
  <c r="J267" i="26" a="1"/>
  <c r="G17" i="56"/>
  <c r="C4" i="27"/>
  <c r="G17" i="28"/>
  <c r="G131" i="28" s="1"/>
  <c r="I17" i="56"/>
  <c r="C6" i="27"/>
  <c r="I17" i="28"/>
  <c r="I131" i="28" s="1"/>
  <c r="R17" i="56"/>
  <c r="C15" i="27"/>
  <c r="R17" i="28"/>
  <c r="R131" i="28" s="1"/>
  <c r="AB17" i="56"/>
  <c r="C25" i="27"/>
  <c r="AB17" i="28"/>
  <c r="AB131" i="28" s="1"/>
  <c r="AA17" i="56"/>
  <c r="C24" i="27"/>
  <c r="AA17" i="28"/>
  <c r="AA131" i="28" s="1"/>
  <c r="G67" i="17"/>
  <c r="F67" i="17"/>
  <c r="E67" i="17"/>
  <c r="D67" i="17"/>
  <c r="C67" i="17"/>
  <c r="I67" i="17"/>
  <c r="P17" i="56"/>
  <c r="C13" i="27"/>
  <c r="P17" i="28"/>
  <c r="P131" i="28" s="1"/>
  <c r="K17" i="56"/>
  <c r="C8" i="27"/>
  <c r="K17" i="28"/>
  <c r="K131" i="28" s="1"/>
  <c r="U17" i="56"/>
  <c r="C18" i="27"/>
  <c r="U17" i="28"/>
  <c r="U131" i="28" s="1"/>
  <c r="T17" i="56"/>
  <c r="C17" i="27"/>
  <c r="T17" i="28"/>
  <c r="H68" i="17"/>
  <c r="F97" i="17"/>
  <c r="H39" i="17"/>
  <c r="J30" i="22"/>
  <c r="Z17" i="56"/>
  <c r="C23" i="27"/>
  <c r="Z17" i="28"/>
  <c r="Z131" i="28" s="1"/>
  <c r="Q17" i="56"/>
  <c r="C14" i="27"/>
  <c r="Q17" i="28"/>
  <c r="Q131" i="28" s="1"/>
  <c r="W17" i="56"/>
  <c r="C20" i="27"/>
  <c r="W17" i="28"/>
  <c r="W131" i="28" s="1"/>
  <c r="AC17" i="56"/>
  <c r="C26" i="27"/>
  <c r="AC17" i="28"/>
  <c r="AC131" i="28" s="1"/>
  <c r="V17" i="56"/>
  <c r="C19" i="27"/>
  <c r="V17" i="28"/>
  <c r="V131" i="28" s="1"/>
  <c r="O17" i="56"/>
  <c r="C12" i="27"/>
  <c r="O17" i="28"/>
  <c r="O131" i="28" s="1"/>
  <c r="E38" i="17"/>
  <c r="D38" i="17"/>
  <c r="C38" i="17"/>
  <c r="I38" i="17"/>
  <c r="G38" i="17"/>
  <c r="F38" i="17"/>
  <c r="J17" i="56"/>
  <c r="C7" i="27"/>
  <c r="J17" i="28"/>
  <c r="J131" i="28" s="1"/>
  <c r="N17" i="56"/>
  <c r="C11" i="27"/>
  <c r="N17" i="28"/>
  <c r="N131" i="28" s="1"/>
  <c r="S17" i="56"/>
  <c r="C16" i="27"/>
  <c r="S17" i="28"/>
  <c r="S131" i="28" s="1"/>
  <c r="X17" i="56"/>
  <c r="C21" i="27"/>
  <c r="X17" i="28"/>
  <c r="X131" i="28" s="1"/>
  <c r="Y17" i="56"/>
  <c r="C22" i="27"/>
  <c r="Y17" i="28"/>
  <c r="Y131" i="28" s="1"/>
  <c r="E17" i="46"/>
  <c r="J17" i="46" s="1"/>
  <c r="K21" i="36"/>
  <c r="F22" i="36"/>
  <c r="V18" i="36"/>
  <c r="P19" i="36"/>
  <c r="H254" i="5"/>
  <c r="G359" i="5"/>
  <c r="J201" i="26"/>
  <c r="J199" i="26"/>
  <c r="J194" i="26"/>
  <c r="J191" i="26"/>
  <c r="J197" i="26"/>
  <c r="J192" i="26"/>
  <c r="J195" i="26"/>
  <c r="J198" i="26"/>
  <c r="J193" i="26"/>
  <c r="J200" i="26"/>
  <c r="J196" i="26"/>
  <c r="K15" i="26"/>
  <c r="H258" i="5"/>
  <c r="H259" i="5"/>
  <c r="G350" i="5"/>
  <c r="G315" i="5"/>
  <c r="G311" i="5"/>
  <c r="G317" i="5"/>
  <c r="G313" i="5"/>
  <c r="G309" i="5"/>
  <c r="G318" i="5"/>
  <c r="G314" i="5"/>
  <c r="G310" i="5"/>
  <c r="G308" i="5"/>
  <c r="G312" i="5"/>
  <c r="G316" i="5"/>
  <c r="H256" i="5"/>
  <c r="G354" i="5"/>
  <c r="I200" i="5"/>
  <c r="I197" i="5"/>
  <c r="I192" i="5"/>
  <c r="I198" i="5"/>
  <c r="I195" i="5"/>
  <c r="I23" i="5"/>
  <c r="I190" i="5"/>
  <c r="I193" i="5"/>
  <c r="I196" i="5"/>
  <c r="I194" i="5"/>
  <c r="I191" i="5"/>
  <c r="J14" i="5"/>
  <c r="I199" i="5"/>
  <c r="G304" i="5"/>
  <c r="G300" i="5"/>
  <c r="G296" i="5"/>
  <c r="G302" i="5"/>
  <c r="G298" i="5"/>
  <c r="G294" i="5"/>
  <c r="G303" i="5"/>
  <c r="G299" i="5"/>
  <c r="G295" i="5"/>
  <c r="G263" i="5"/>
  <c r="G297" i="5"/>
  <c r="G301" i="5"/>
  <c r="H217" i="5"/>
  <c r="I202" i="26"/>
  <c r="H201" i="5"/>
  <c r="H252" i="5"/>
  <c r="G352" i="5"/>
  <c r="G358" i="5"/>
  <c r="I216" i="5"/>
  <c r="I208" i="5"/>
  <c r="I212" i="5"/>
  <c r="I215" i="5"/>
  <c r="I210" i="5"/>
  <c r="I214" i="5"/>
  <c r="I211" i="5"/>
  <c r="I207" i="5"/>
  <c r="I213" i="5"/>
  <c r="J16" i="5"/>
  <c r="I206" i="5"/>
  <c r="I209" i="5"/>
  <c r="H262" i="5"/>
  <c r="G356" i="5"/>
  <c r="G353" i="5"/>
  <c r="G360" i="5"/>
  <c r="G357" i="5"/>
  <c r="H257" i="5"/>
  <c r="J218" i="26"/>
  <c r="K217" i="26"/>
  <c r="K214" i="26"/>
  <c r="K209" i="26"/>
  <c r="K212" i="26"/>
  <c r="K215" i="26"/>
  <c r="K207" i="26"/>
  <c r="K210" i="26"/>
  <c r="K213" i="26"/>
  <c r="K216" i="26"/>
  <c r="K208" i="26"/>
  <c r="K211" i="26"/>
  <c r="L17" i="26"/>
  <c r="S35" i="26"/>
  <c r="S57" i="26" s="1"/>
  <c r="T30" i="26"/>
  <c r="T48" i="26" s="1"/>
  <c r="O47" i="5"/>
  <c r="M60" i="5"/>
  <c r="M62" i="5" s="1"/>
  <c r="K233" i="5"/>
  <c r="K248" i="5"/>
  <c r="O46" i="5"/>
  <c r="M185" i="5"/>
  <c r="L240" i="5"/>
  <c r="L247" i="5"/>
  <c r="L239" i="5"/>
  <c r="L246" i="5"/>
  <c r="L238" i="5"/>
  <c r="L245" i="5"/>
  <c r="L237" i="5"/>
  <c r="L244" i="5"/>
  <c r="L243" i="5"/>
  <c r="L242" i="5"/>
  <c r="L241" i="5"/>
  <c r="L229" i="5"/>
  <c r="L228" i="5"/>
  <c r="L227" i="5"/>
  <c r="L226" i="5"/>
  <c r="L230" i="5"/>
  <c r="L222" i="5"/>
  <c r="L225" i="5"/>
  <c r="L232" i="5"/>
  <c r="L224" i="5"/>
  <c r="L231" i="5"/>
  <c r="L223" i="5"/>
  <c r="K15" i="49"/>
  <c r="N15" i="49"/>
  <c r="O15" i="49" s="1"/>
  <c r="K39" i="49"/>
  <c r="N39" i="49"/>
  <c r="O39" i="49" s="1"/>
  <c r="K30" i="49"/>
  <c r="N30" i="49"/>
  <c r="O30" i="49" s="1"/>
  <c r="K27" i="49"/>
  <c r="N27" i="49"/>
  <c r="O27" i="49" s="1"/>
  <c r="AC54" i="14"/>
  <c r="AC70" i="14" s="1"/>
  <c r="AG95" i="28"/>
  <c r="AG119" i="28"/>
  <c r="G55" i="14"/>
  <c r="G71" i="14" s="1"/>
  <c r="K96" i="28"/>
  <c r="K120" i="28"/>
  <c r="E54" i="14"/>
  <c r="E70" i="14" s="1"/>
  <c r="I95" i="28"/>
  <c r="I119" i="28"/>
  <c r="L54" i="14"/>
  <c r="L70" i="14" s="1"/>
  <c r="P95" i="28"/>
  <c r="P119" i="28"/>
  <c r="AB55" i="14"/>
  <c r="AB71" i="14" s="1"/>
  <c r="AF96" i="28"/>
  <c r="AF120" i="28"/>
  <c r="C54" i="14"/>
  <c r="G95" i="28"/>
  <c r="G119" i="28"/>
  <c r="I56" i="14"/>
  <c r="I72" i="14" s="1"/>
  <c r="M97" i="28"/>
  <c r="M121" i="28"/>
  <c r="K53" i="14"/>
  <c r="K69" i="14" s="1"/>
  <c r="O94" i="28"/>
  <c r="O118" i="28"/>
  <c r="Q55" i="14"/>
  <c r="Q71" i="14" s="1"/>
  <c r="U96" i="28"/>
  <c r="U120" i="28"/>
  <c r="W57" i="14"/>
  <c r="W73" i="14" s="1"/>
  <c r="AA98" i="28"/>
  <c r="AA122" i="28"/>
  <c r="W54" i="14"/>
  <c r="W70" i="14" s="1"/>
  <c r="AA119" i="28"/>
  <c r="AA95" i="28"/>
  <c r="H54" i="14"/>
  <c r="H70" i="14" s="1"/>
  <c r="L119" i="28"/>
  <c r="L95" i="28"/>
  <c r="N53" i="14"/>
  <c r="N69" i="14" s="1"/>
  <c r="R94" i="28"/>
  <c r="R118" i="28"/>
  <c r="Z57" i="14"/>
  <c r="Z73" i="14" s="1"/>
  <c r="AD98" i="28"/>
  <c r="AD122" i="28"/>
  <c r="U55" i="14"/>
  <c r="U71" i="14" s="1"/>
  <c r="Y96" i="28"/>
  <c r="Y120" i="28"/>
  <c r="P55" i="14"/>
  <c r="P71" i="14" s="1"/>
  <c r="T96" i="28"/>
  <c r="T120" i="28"/>
  <c r="W55" i="14"/>
  <c r="W71" i="14" s="1"/>
  <c r="AA96" i="28"/>
  <c r="AA120" i="28"/>
  <c r="U54" i="14"/>
  <c r="U70" i="14" s="1"/>
  <c r="Y95" i="28"/>
  <c r="Y119" i="28"/>
  <c r="AE55" i="14"/>
  <c r="AE71" i="14" s="1"/>
  <c r="AI96" i="28"/>
  <c r="AI120" i="28"/>
  <c r="O56" i="14"/>
  <c r="O72" i="14" s="1"/>
  <c r="S97" i="28"/>
  <c r="S121" i="28"/>
  <c r="AC55" i="14"/>
  <c r="AC71" i="14" s="1"/>
  <c r="AC87" i="14" s="1"/>
  <c r="AG96" i="28"/>
  <c r="AG120" i="28"/>
  <c r="K54" i="14"/>
  <c r="K70" i="14" s="1"/>
  <c r="O95" i="28"/>
  <c r="O119" i="28"/>
  <c r="Q56" i="14"/>
  <c r="Q72" i="14" s="1"/>
  <c r="U97" i="28"/>
  <c r="U121" i="28"/>
  <c r="S53" i="14"/>
  <c r="S69" i="14" s="1"/>
  <c r="W94" i="28"/>
  <c r="W118" i="28"/>
  <c r="Y55" i="14"/>
  <c r="Y71" i="14" s="1"/>
  <c r="AC96" i="28"/>
  <c r="AC120" i="28"/>
  <c r="AE57" i="14"/>
  <c r="AE73" i="14" s="1"/>
  <c r="AI98" i="28"/>
  <c r="AI122" i="28"/>
  <c r="AE54" i="14"/>
  <c r="AE70" i="14" s="1"/>
  <c r="AI119" i="28"/>
  <c r="AI95" i="28"/>
  <c r="H57" i="14"/>
  <c r="H73" i="14" s="1"/>
  <c r="L98" i="28"/>
  <c r="L122" i="28"/>
  <c r="P54" i="14"/>
  <c r="P70" i="14" s="1"/>
  <c r="T119" i="28"/>
  <c r="T95" i="28"/>
  <c r="V56" i="14"/>
  <c r="V72" i="14" s="1"/>
  <c r="Z97" i="28"/>
  <c r="Z121" i="28"/>
  <c r="E55" i="14"/>
  <c r="E71" i="14" s="1"/>
  <c r="I96" i="28"/>
  <c r="I120" i="28"/>
  <c r="M55" i="14"/>
  <c r="M71" i="14" s="1"/>
  <c r="Q96" i="28"/>
  <c r="Q120" i="28"/>
  <c r="N56" i="14"/>
  <c r="N72" i="14" s="1"/>
  <c r="R97" i="28"/>
  <c r="R121" i="28"/>
  <c r="AD53" i="14"/>
  <c r="AD69" i="14" s="1"/>
  <c r="AH94" i="28"/>
  <c r="AH118" i="28"/>
  <c r="O55" i="14"/>
  <c r="O71" i="14" s="1"/>
  <c r="S96" i="28"/>
  <c r="S120" i="28"/>
  <c r="H56" i="14"/>
  <c r="H72" i="14" s="1"/>
  <c r="L97" i="28"/>
  <c r="L121" i="28"/>
  <c r="S56" i="14"/>
  <c r="S72" i="14" s="1"/>
  <c r="W121" i="28"/>
  <c r="W97" i="28"/>
  <c r="J56" i="14"/>
  <c r="J72" i="14" s="1"/>
  <c r="J88" i="14" s="1"/>
  <c r="N97" i="28"/>
  <c r="N121" i="28"/>
  <c r="H55" i="14"/>
  <c r="H71" i="14" s="1"/>
  <c r="H87" i="14" s="1"/>
  <c r="L96" i="28"/>
  <c r="L120" i="28"/>
  <c r="U57" i="14"/>
  <c r="U73" i="14" s="1"/>
  <c r="Y98" i="28"/>
  <c r="Y122" i="28"/>
  <c r="AE56" i="14"/>
  <c r="AE72" i="14" s="1"/>
  <c r="AI97" i="28"/>
  <c r="AI121" i="28"/>
  <c r="P56" i="14"/>
  <c r="P72" i="14" s="1"/>
  <c r="P88" i="14" s="1"/>
  <c r="T97" i="28"/>
  <c r="T121" i="28"/>
  <c r="S54" i="14"/>
  <c r="S70" i="14" s="1"/>
  <c r="W95" i="28"/>
  <c r="W119" i="28"/>
  <c r="Y56" i="14"/>
  <c r="Y72" i="14" s="1"/>
  <c r="AC97" i="28"/>
  <c r="AC121" i="28"/>
  <c r="AA53" i="14"/>
  <c r="AA69" i="14" s="1"/>
  <c r="AE94" i="28"/>
  <c r="AE118" i="28"/>
  <c r="D56" i="14"/>
  <c r="D72" i="14" s="1"/>
  <c r="H121" i="28"/>
  <c r="H97" i="28"/>
  <c r="D53" i="14"/>
  <c r="D69" i="14" s="1"/>
  <c r="H94" i="28"/>
  <c r="H118" i="28"/>
  <c r="J55" i="14"/>
  <c r="J71" i="14" s="1"/>
  <c r="N96" i="28"/>
  <c r="N120" i="28"/>
  <c r="P57" i="14"/>
  <c r="P73" i="14" s="1"/>
  <c r="T98" i="28"/>
  <c r="T122" i="28"/>
  <c r="X54" i="14"/>
  <c r="X70" i="14" s="1"/>
  <c r="AB119" i="28"/>
  <c r="AB95" i="28"/>
  <c r="AD56" i="14"/>
  <c r="AD72" i="14" s="1"/>
  <c r="AH97" i="28"/>
  <c r="AH121" i="28"/>
  <c r="K31" i="49"/>
  <c r="N31" i="49"/>
  <c r="O31" i="49" s="1"/>
  <c r="Q54" i="14"/>
  <c r="Q70" i="14" s="1"/>
  <c r="U119" i="28"/>
  <c r="U95" i="28"/>
  <c r="Z53" i="14"/>
  <c r="Z69" i="14" s="1"/>
  <c r="AD94" i="28"/>
  <c r="AD118" i="28"/>
  <c r="X56" i="14"/>
  <c r="X72" i="14" s="1"/>
  <c r="AB97" i="28"/>
  <c r="AB121" i="28"/>
  <c r="F57" i="14"/>
  <c r="F73" i="14" s="1"/>
  <c r="J98" i="28"/>
  <c r="J122" i="28"/>
  <c r="Z56" i="14"/>
  <c r="Z72" i="14" s="1"/>
  <c r="Z88" i="14" s="1"/>
  <c r="AD97" i="28"/>
  <c r="AD121" i="28"/>
  <c r="X55" i="14"/>
  <c r="X71" i="14" s="1"/>
  <c r="X87" i="14" s="1"/>
  <c r="AB96" i="28"/>
  <c r="AB120" i="28"/>
  <c r="F53" i="14"/>
  <c r="F69" i="14" s="1"/>
  <c r="J94" i="28"/>
  <c r="J118" i="28"/>
  <c r="R57" i="14"/>
  <c r="R73" i="14" s="1"/>
  <c r="V98" i="28"/>
  <c r="V122" i="28"/>
  <c r="C57" i="14"/>
  <c r="G98" i="28"/>
  <c r="G122" i="28"/>
  <c r="AA54" i="14"/>
  <c r="AA70" i="14" s="1"/>
  <c r="AE95" i="28"/>
  <c r="AE119" i="28"/>
  <c r="D57" i="14"/>
  <c r="D73" i="14" s="1"/>
  <c r="H98" i="28"/>
  <c r="H122" i="28"/>
  <c r="F54" i="14"/>
  <c r="F70" i="14" s="1"/>
  <c r="J119" i="28"/>
  <c r="J95" i="28"/>
  <c r="L56" i="14"/>
  <c r="L72" i="14" s="1"/>
  <c r="P121" i="28"/>
  <c r="P97" i="28"/>
  <c r="L53" i="14"/>
  <c r="L69" i="14" s="1"/>
  <c r="P94" i="28"/>
  <c r="P118" i="28"/>
  <c r="R55" i="14"/>
  <c r="R71" i="14" s="1"/>
  <c r="V96" i="28"/>
  <c r="V120" i="28"/>
  <c r="X57" i="14"/>
  <c r="X73" i="14" s="1"/>
  <c r="AB98" i="28"/>
  <c r="AB122" i="28"/>
  <c r="C55" i="14"/>
  <c r="G96" i="28"/>
  <c r="G120" i="28"/>
  <c r="I57" i="14"/>
  <c r="I73" i="14" s="1"/>
  <c r="M98" i="28"/>
  <c r="M122" i="28"/>
  <c r="D55" i="14"/>
  <c r="D71" i="14" s="1"/>
  <c r="H96" i="28"/>
  <c r="H120" i="28"/>
  <c r="C56" i="14"/>
  <c r="G121" i="28"/>
  <c r="G97" i="28"/>
  <c r="K57" i="14"/>
  <c r="K73" i="14" s="1"/>
  <c r="O98" i="28"/>
  <c r="O122" i="28"/>
  <c r="V57" i="14"/>
  <c r="V73" i="14" s="1"/>
  <c r="Z98" i="28"/>
  <c r="Z122" i="28"/>
  <c r="M57" i="14"/>
  <c r="M73" i="14" s="1"/>
  <c r="Q98" i="28"/>
  <c r="Q122" i="28"/>
  <c r="K56" i="14"/>
  <c r="K72" i="14" s="1"/>
  <c r="O121" i="28"/>
  <c r="O97" i="28"/>
  <c r="V53" i="14"/>
  <c r="V69" i="14" s="1"/>
  <c r="Z94" i="28"/>
  <c r="Z118" i="28"/>
  <c r="G53" i="14"/>
  <c r="G69" i="14" s="1"/>
  <c r="K94" i="28"/>
  <c r="K118" i="28"/>
  <c r="S57" i="14"/>
  <c r="S73" i="14" s="1"/>
  <c r="W98" i="28"/>
  <c r="W122" i="28"/>
  <c r="F55" i="14"/>
  <c r="F71" i="14" s="1"/>
  <c r="F87" i="14" s="1"/>
  <c r="J96" i="28"/>
  <c r="J120" i="28"/>
  <c r="L57" i="14"/>
  <c r="L73" i="14" s="1"/>
  <c r="L89" i="14" s="1"/>
  <c r="P98" i="28"/>
  <c r="P122" i="28"/>
  <c r="N54" i="14"/>
  <c r="N70" i="14" s="1"/>
  <c r="R119" i="28"/>
  <c r="R95" i="28"/>
  <c r="T56" i="14"/>
  <c r="T72" i="14" s="1"/>
  <c r="X121" i="28"/>
  <c r="X97" i="28"/>
  <c r="T53" i="14"/>
  <c r="T69" i="14" s="1"/>
  <c r="X94" i="28"/>
  <c r="X118" i="28"/>
  <c r="Z55" i="14"/>
  <c r="Z71" i="14" s="1"/>
  <c r="AD96" i="28"/>
  <c r="AD120" i="28"/>
  <c r="E53" i="14"/>
  <c r="E69" i="14" s="1"/>
  <c r="E85" i="14" s="1"/>
  <c r="I94" i="28"/>
  <c r="I118" i="28"/>
  <c r="K55" i="14"/>
  <c r="K71" i="14" s="1"/>
  <c r="O96" i="28"/>
  <c r="O120" i="28"/>
  <c r="Q57" i="14"/>
  <c r="Q73" i="14" s="1"/>
  <c r="Q89" i="14" s="1"/>
  <c r="U98" i="28"/>
  <c r="U122" i="28"/>
  <c r="K25" i="49"/>
  <c r="N25" i="49"/>
  <c r="O25" i="49" s="1"/>
  <c r="AC56" i="14"/>
  <c r="AC72" i="14" s="1"/>
  <c r="AG121" i="28"/>
  <c r="AG97" i="28"/>
  <c r="I53" i="14"/>
  <c r="I69" i="14" s="1"/>
  <c r="M94" i="28"/>
  <c r="M118" i="28"/>
  <c r="T55" i="14"/>
  <c r="T71" i="14" s="1"/>
  <c r="X96" i="28"/>
  <c r="X120" i="28"/>
  <c r="O53" i="14"/>
  <c r="O69" i="14" s="1"/>
  <c r="O85" i="14" s="1"/>
  <c r="S94" i="28"/>
  <c r="S118" i="28"/>
  <c r="AA57" i="14"/>
  <c r="AA73" i="14" s="1"/>
  <c r="AA89" i="14" s="1"/>
  <c r="AE98" i="28"/>
  <c r="AE122" i="28"/>
  <c r="Q53" i="14"/>
  <c r="Q69" i="14" s="1"/>
  <c r="U94" i="28"/>
  <c r="U118" i="28"/>
  <c r="AC57" i="14"/>
  <c r="AC73" i="14" s="1"/>
  <c r="AG98" i="28"/>
  <c r="AG122" i="28"/>
  <c r="AA56" i="14"/>
  <c r="AA72" i="14" s="1"/>
  <c r="AE121" i="28"/>
  <c r="AE97" i="28"/>
  <c r="I54" i="14"/>
  <c r="I70" i="14" s="1"/>
  <c r="I86" i="14" s="1"/>
  <c r="M119" i="28"/>
  <c r="M95" i="28"/>
  <c r="W53" i="14"/>
  <c r="W69" i="14" s="1"/>
  <c r="AA94" i="28"/>
  <c r="AA118" i="28"/>
  <c r="H53" i="14"/>
  <c r="H69" i="14" s="1"/>
  <c r="L94" i="28"/>
  <c r="L118" i="28"/>
  <c r="N55" i="14"/>
  <c r="N71" i="14" s="1"/>
  <c r="R96" i="28"/>
  <c r="R120" i="28"/>
  <c r="T57" i="14"/>
  <c r="T73" i="14" s="1"/>
  <c r="T89" i="14" s="1"/>
  <c r="X98" i="28"/>
  <c r="X122" i="28"/>
  <c r="V54" i="14"/>
  <c r="V70" i="14" s="1"/>
  <c r="V86" i="14" s="1"/>
  <c r="Z119" i="28"/>
  <c r="Z95" i="28"/>
  <c r="AB56" i="14"/>
  <c r="AB72" i="14" s="1"/>
  <c r="AF121" i="28"/>
  <c r="AF97" i="28"/>
  <c r="AB53" i="14"/>
  <c r="AB69" i="14" s="1"/>
  <c r="AF94" i="28"/>
  <c r="AF118" i="28"/>
  <c r="E56" i="14"/>
  <c r="E72" i="14" s="1"/>
  <c r="I121" i="28"/>
  <c r="I97" i="28"/>
  <c r="M53" i="14"/>
  <c r="M69" i="14" s="1"/>
  <c r="Q94" i="28"/>
  <c r="Q118" i="28"/>
  <c r="S55" i="14"/>
  <c r="S71" i="14" s="1"/>
  <c r="W96" i="28"/>
  <c r="W120" i="28"/>
  <c r="Y57" i="14"/>
  <c r="Y73" i="14" s="1"/>
  <c r="AC98" i="28"/>
  <c r="AC122" i="28"/>
  <c r="J57" i="14"/>
  <c r="J73" i="14" s="1"/>
  <c r="J89" i="14" s="1"/>
  <c r="N98" i="28"/>
  <c r="N122" i="28"/>
  <c r="N29" i="49"/>
  <c r="O29" i="49" s="1"/>
  <c r="K29" i="49"/>
  <c r="AB54" i="14"/>
  <c r="AB70" i="14" s="1"/>
  <c r="AF95" i="28"/>
  <c r="AF119" i="28"/>
  <c r="G56" i="14"/>
  <c r="G72" i="14" s="1"/>
  <c r="K97" i="28"/>
  <c r="K121" i="28"/>
  <c r="AE53" i="14"/>
  <c r="AE69" i="14" s="1"/>
  <c r="AI94" i="28"/>
  <c r="AI118" i="28"/>
  <c r="Y53" i="14"/>
  <c r="Y69" i="14" s="1"/>
  <c r="AC94" i="28"/>
  <c r="AC118" i="28"/>
  <c r="D54" i="14"/>
  <c r="D70" i="14" s="1"/>
  <c r="H95" i="28"/>
  <c r="H119" i="28"/>
  <c r="R56" i="14"/>
  <c r="R72" i="14" s="1"/>
  <c r="V97" i="28"/>
  <c r="V121" i="28"/>
  <c r="N57" i="14"/>
  <c r="N73" i="14" s="1"/>
  <c r="R98" i="28"/>
  <c r="R122" i="28"/>
  <c r="Y54" i="14"/>
  <c r="Y70" i="14" s="1"/>
  <c r="Y86" i="14" s="1"/>
  <c r="AC119" i="28"/>
  <c r="AC95" i="28"/>
  <c r="J54" i="14"/>
  <c r="J70" i="14" s="1"/>
  <c r="N95" i="28"/>
  <c r="N119" i="28"/>
  <c r="P53" i="14"/>
  <c r="P69" i="14" s="1"/>
  <c r="T94" i="28"/>
  <c r="T118" i="28"/>
  <c r="V55" i="14"/>
  <c r="V71" i="14" s="1"/>
  <c r="Z96" i="28"/>
  <c r="Z120" i="28"/>
  <c r="AB57" i="14"/>
  <c r="AB73" i="14" s="1"/>
  <c r="AF98" i="28"/>
  <c r="AF122" i="28"/>
  <c r="AD54" i="14"/>
  <c r="AD70" i="14" s="1"/>
  <c r="AD86" i="14" s="1"/>
  <c r="AH119" i="28"/>
  <c r="AH95" i="28"/>
  <c r="G57" i="14"/>
  <c r="G73" i="14" s="1"/>
  <c r="K98" i="28"/>
  <c r="K122" i="28"/>
  <c r="G54" i="14"/>
  <c r="G70" i="14" s="1"/>
  <c r="K119" i="28"/>
  <c r="K95" i="28"/>
  <c r="M56" i="14"/>
  <c r="M72" i="14" s="1"/>
  <c r="Q121" i="28"/>
  <c r="Q97" i="28"/>
  <c r="U53" i="14"/>
  <c r="U69" i="14" s="1"/>
  <c r="Y94" i="28"/>
  <c r="Y118" i="28"/>
  <c r="AA55" i="14"/>
  <c r="AA71" i="14" s="1"/>
  <c r="AE96" i="28"/>
  <c r="AE120" i="28"/>
  <c r="N26" i="49"/>
  <c r="O26" i="49" s="1"/>
  <c r="K26" i="49"/>
  <c r="M54" i="14"/>
  <c r="M70" i="14" s="1"/>
  <c r="M86" i="14" s="1"/>
  <c r="Q95" i="28"/>
  <c r="Q119" i="28"/>
  <c r="E57" i="14"/>
  <c r="E73" i="14" s="1"/>
  <c r="I98" i="28"/>
  <c r="I122" i="28"/>
  <c r="W56" i="14"/>
  <c r="W72" i="14" s="1"/>
  <c r="AA97" i="28"/>
  <c r="AA121" i="28"/>
  <c r="R54" i="14"/>
  <c r="R70" i="14" s="1"/>
  <c r="R86" i="14" s="1"/>
  <c r="V95" i="28"/>
  <c r="V119" i="28"/>
  <c r="J53" i="14"/>
  <c r="J69" i="14" s="1"/>
  <c r="N94" i="28"/>
  <c r="N118" i="28"/>
  <c r="T54" i="14"/>
  <c r="T70" i="14" s="1"/>
  <c r="T86" i="14" s="1"/>
  <c r="X95" i="28"/>
  <c r="X119" i="28"/>
  <c r="R53" i="14"/>
  <c r="R69" i="14" s="1"/>
  <c r="V94" i="28"/>
  <c r="V118" i="28"/>
  <c r="AD57" i="14"/>
  <c r="AD73" i="14" s="1"/>
  <c r="AH98" i="28"/>
  <c r="AH122" i="28"/>
  <c r="L55" i="14"/>
  <c r="L71" i="14" s="1"/>
  <c r="L87" i="14" s="1"/>
  <c r="P96" i="28"/>
  <c r="P120" i="28"/>
  <c r="Z54" i="14"/>
  <c r="Z70" i="14" s="1"/>
  <c r="AD95" i="28"/>
  <c r="AD119" i="28"/>
  <c r="X53" i="14"/>
  <c r="X69" i="14" s="1"/>
  <c r="X85" i="14" s="1"/>
  <c r="AB94" i="28"/>
  <c r="AB118" i="28"/>
  <c r="AD55" i="14"/>
  <c r="AD71" i="14" s="1"/>
  <c r="AH96" i="28"/>
  <c r="AH120" i="28"/>
  <c r="C53" i="14"/>
  <c r="G94" i="28"/>
  <c r="G118" i="28"/>
  <c r="I55" i="14"/>
  <c r="I71" i="14" s="1"/>
  <c r="I87" i="14" s="1"/>
  <c r="M96" i="28"/>
  <c r="M120" i="28"/>
  <c r="O57" i="14"/>
  <c r="O73" i="14" s="1"/>
  <c r="S98" i="28"/>
  <c r="S122" i="28"/>
  <c r="O54" i="14"/>
  <c r="O70" i="14" s="1"/>
  <c r="S119" i="28"/>
  <c r="S95" i="28"/>
  <c r="U56" i="14"/>
  <c r="U72" i="14" s="1"/>
  <c r="Y121" i="28"/>
  <c r="Y97" i="28"/>
  <c r="AC53" i="14"/>
  <c r="AC69" i="14" s="1"/>
  <c r="AG94" i="28"/>
  <c r="AG118" i="28"/>
  <c r="F56" i="14"/>
  <c r="F72" i="14" s="1"/>
  <c r="J97" i="28"/>
  <c r="J121" i="28"/>
  <c r="N22" i="49"/>
  <c r="O22" i="49" s="1"/>
  <c r="K22" i="49"/>
  <c r="F375" i="5" l="1"/>
  <c r="I257" i="5"/>
  <c r="L398" i="5"/>
  <c r="K412" i="5"/>
  <c r="I258" i="5"/>
  <c r="G365" i="5"/>
  <c r="G374" i="5"/>
  <c r="G370" i="5"/>
  <c r="G369" i="5"/>
  <c r="I261" i="5"/>
  <c r="G371" i="5"/>
  <c r="I254" i="5"/>
  <c r="AD277" i="26"/>
  <c r="AD263" i="26" s="1"/>
  <c r="V277" i="26"/>
  <c r="V263" i="26" s="1"/>
  <c r="N277" i="26"/>
  <c r="N263" i="26" s="1"/>
  <c r="AD276" i="26"/>
  <c r="AD262" i="26" s="1"/>
  <c r="V276" i="26"/>
  <c r="V262" i="26" s="1"/>
  <c r="N276" i="26"/>
  <c r="N262" i="26" s="1"/>
  <c r="AD275" i="26"/>
  <c r="AD261" i="26" s="1"/>
  <c r="V275" i="26"/>
  <c r="V261" i="26" s="1"/>
  <c r="N275" i="26"/>
  <c r="N261" i="26" s="1"/>
  <c r="AD274" i="26"/>
  <c r="AD260" i="26" s="1"/>
  <c r="V274" i="26"/>
  <c r="V260" i="26" s="1"/>
  <c r="N274" i="26"/>
  <c r="N260" i="26" s="1"/>
  <c r="AD273" i="26"/>
  <c r="AD259" i="26" s="1"/>
  <c r="V273" i="26"/>
  <c r="V259" i="26" s="1"/>
  <c r="N273" i="26"/>
  <c r="N259" i="26" s="1"/>
  <c r="AD272" i="26"/>
  <c r="AD258" i="26" s="1"/>
  <c r="V272" i="26"/>
  <c r="V258" i="26" s="1"/>
  <c r="N272" i="26"/>
  <c r="N258" i="26" s="1"/>
  <c r="AD271" i="26"/>
  <c r="AD257" i="26" s="1"/>
  <c r="V271" i="26"/>
  <c r="V257" i="26" s="1"/>
  <c r="N271" i="26"/>
  <c r="N257" i="26" s="1"/>
  <c r="AD270" i="26"/>
  <c r="AD256" i="26" s="1"/>
  <c r="V270" i="26"/>
  <c r="V256" i="26" s="1"/>
  <c r="N270" i="26"/>
  <c r="N256" i="26" s="1"/>
  <c r="AD269" i="26"/>
  <c r="AD255" i="26" s="1"/>
  <c r="V269" i="26"/>
  <c r="V255" i="26" s="1"/>
  <c r="N269" i="26"/>
  <c r="N255" i="26" s="1"/>
  <c r="AD268" i="26"/>
  <c r="AD254" i="26" s="1"/>
  <c r="V268" i="26"/>
  <c r="V254" i="26" s="1"/>
  <c r="N268" i="26"/>
  <c r="N254" i="26" s="1"/>
  <c r="AD267" i="26"/>
  <c r="V267" i="26"/>
  <c r="N267" i="26"/>
  <c r="AC277" i="26"/>
  <c r="AC263" i="26" s="1"/>
  <c r="U277" i="26"/>
  <c r="U263" i="26" s="1"/>
  <c r="M277" i="26"/>
  <c r="M263" i="26" s="1"/>
  <c r="AC276" i="26"/>
  <c r="AC262" i="26" s="1"/>
  <c r="U276" i="26"/>
  <c r="U262" i="26" s="1"/>
  <c r="M276" i="26"/>
  <c r="M262" i="26" s="1"/>
  <c r="AC275" i="26"/>
  <c r="AC261" i="26" s="1"/>
  <c r="U275" i="26"/>
  <c r="U261" i="26" s="1"/>
  <c r="M275" i="26"/>
  <c r="M261" i="26" s="1"/>
  <c r="AC274" i="26"/>
  <c r="AC260" i="26" s="1"/>
  <c r="U274" i="26"/>
  <c r="U260" i="26" s="1"/>
  <c r="M274" i="26"/>
  <c r="M260" i="26" s="1"/>
  <c r="AC273" i="26"/>
  <c r="AC259" i="26" s="1"/>
  <c r="U273" i="26"/>
  <c r="U259" i="26" s="1"/>
  <c r="M273" i="26"/>
  <c r="M259" i="26" s="1"/>
  <c r="AC272" i="26"/>
  <c r="AC258" i="26" s="1"/>
  <c r="U272" i="26"/>
  <c r="U258" i="26" s="1"/>
  <c r="M272" i="26"/>
  <c r="M258" i="26" s="1"/>
  <c r="AC271" i="26"/>
  <c r="AC257" i="26" s="1"/>
  <c r="U271" i="26"/>
  <c r="U257" i="26" s="1"/>
  <c r="M271" i="26"/>
  <c r="M257" i="26" s="1"/>
  <c r="AC270" i="26"/>
  <c r="AC256" i="26" s="1"/>
  <c r="U270" i="26"/>
  <c r="U256" i="26" s="1"/>
  <c r="M270" i="26"/>
  <c r="M256" i="26" s="1"/>
  <c r="AC269" i="26"/>
  <c r="AC255" i="26" s="1"/>
  <c r="U269" i="26"/>
  <c r="U255" i="26" s="1"/>
  <c r="M269" i="26"/>
  <c r="M255" i="26" s="1"/>
  <c r="AC268" i="26"/>
  <c r="AC254" i="26" s="1"/>
  <c r="U268" i="26"/>
  <c r="U254" i="26" s="1"/>
  <c r="M268" i="26"/>
  <c r="M254" i="26" s="1"/>
  <c r="AC267" i="26"/>
  <c r="U267" i="26"/>
  <c r="M267" i="26"/>
  <c r="Z277" i="26"/>
  <c r="Z263" i="26" s="1"/>
  <c r="R277" i="26"/>
  <c r="R263" i="26" s="1"/>
  <c r="J277" i="26"/>
  <c r="J263" i="26" s="1"/>
  <c r="Z276" i="26"/>
  <c r="Z262" i="26" s="1"/>
  <c r="R276" i="26"/>
  <c r="R262" i="26" s="1"/>
  <c r="J276" i="26"/>
  <c r="J262" i="26" s="1"/>
  <c r="Z275" i="26"/>
  <c r="Z261" i="26" s="1"/>
  <c r="R275" i="26"/>
  <c r="R261" i="26" s="1"/>
  <c r="J275" i="26"/>
  <c r="J261" i="26" s="1"/>
  <c r="Z274" i="26"/>
  <c r="Z260" i="26" s="1"/>
  <c r="R274" i="26"/>
  <c r="R260" i="26" s="1"/>
  <c r="J274" i="26"/>
  <c r="J260" i="26" s="1"/>
  <c r="Z273" i="26"/>
  <c r="Z259" i="26" s="1"/>
  <c r="R273" i="26"/>
  <c r="R259" i="26" s="1"/>
  <c r="J273" i="26"/>
  <c r="J259" i="26" s="1"/>
  <c r="Z272" i="26"/>
  <c r="Z258" i="26" s="1"/>
  <c r="R272" i="26"/>
  <c r="R258" i="26" s="1"/>
  <c r="J272" i="26"/>
  <c r="J258" i="26" s="1"/>
  <c r="Z271" i="26"/>
  <c r="Z257" i="26" s="1"/>
  <c r="R271" i="26"/>
  <c r="R257" i="26" s="1"/>
  <c r="J271" i="26"/>
  <c r="J257" i="26" s="1"/>
  <c r="Z270" i="26"/>
  <c r="Z256" i="26" s="1"/>
  <c r="R270" i="26"/>
  <c r="R256" i="26" s="1"/>
  <c r="J270" i="26"/>
  <c r="J256" i="26" s="1"/>
  <c r="Z269" i="26"/>
  <c r="Z255" i="26" s="1"/>
  <c r="R269" i="26"/>
  <c r="R255" i="26" s="1"/>
  <c r="J269" i="26"/>
  <c r="J255" i="26" s="1"/>
  <c r="Z268" i="26"/>
  <c r="Z254" i="26" s="1"/>
  <c r="R268" i="26"/>
  <c r="R254" i="26" s="1"/>
  <c r="J268" i="26"/>
  <c r="J254" i="26" s="1"/>
  <c r="Z267" i="26"/>
  <c r="R267" i="26"/>
  <c r="J267" i="26"/>
  <c r="AG277" i="26"/>
  <c r="AG263" i="26" s="1"/>
  <c r="Y277" i="26"/>
  <c r="Y263" i="26" s="1"/>
  <c r="Q277" i="26"/>
  <c r="Q263" i="26" s="1"/>
  <c r="AG276" i="26"/>
  <c r="AG262" i="26" s="1"/>
  <c r="Y276" i="26"/>
  <c r="Y262" i="26" s="1"/>
  <c r="Q276" i="26"/>
  <c r="Q262" i="26" s="1"/>
  <c r="AG275" i="26"/>
  <c r="AG261" i="26" s="1"/>
  <c r="Y275" i="26"/>
  <c r="Y261" i="26" s="1"/>
  <c r="Q275" i="26"/>
  <c r="Q261" i="26" s="1"/>
  <c r="AG274" i="26"/>
  <c r="AG260" i="26" s="1"/>
  <c r="Y274" i="26"/>
  <c r="Y260" i="26" s="1"/>
  <c r="Q274" i="26"/>
  <c r="Q260" i="26" s="1"/>
  <c r="AG273" i="26"/>
  <c r="AG259" i="26" s="1"/>
  <c r="Y273" i="26"/>
  <c r="Y259" i="26" s="1"/>
  <c r="Q273" i="26"/>
  <c r="Q259" i="26" s="1"/>
  <c r="AG272" i="26"/>
  <c r="AG258" i="26" s="1"/>
  <c r="Y272" i="26"/>
  <c r="Y258" i="26" s="1"/>
  <c r="Q272" i="26"/>
  <c r="Q258" i="26" s="1"/>
  <c r="AG271" i="26"/>
  <c r="AG257" i="26" s="1"/>
  <c r="Y271" i="26"/>
  <c r="Y257" i="26" s="1"/>
  <c r="Q271" i="26"/>
  <c r="Q257" i="26" s="1"/>
  <c r="AG270" i="26"/>
  <c r="AG256" i="26" s="1"/>
  <c r="Y270" i="26"/>
  <c r="Y256" i="26" s="1"/>
  <c r="Q270" i="26"/>
  <c r="Q256" i="26" s="1"/>
  <c r="AG269" i="26"/>
  <c r="AG255" i="26" s="1"/>
  <c r="Y269" i="26"/>
  <c r="Y255" i="26" s="1"/>
  <c r="Q269" i="26"/>
  <c r="Q255" i="26" s="1"/>
  <c r="AG268" i="26"/>
  <c r="AG254" i="26" s="1"/>
  <c r="Y268" i="26"/>
  <c r="Y254" i="26" s="1"/>
  <c r="Q268" i="26"/>
  <c r="Q254" i="26" s="1"/>
  <c r="AG267" i="26"/>
  <c r="Y267" i="26"/>
  <c r="Q267" i="26"/>
  <c r="AE277" i="26"/>
  <c r="AE263" i="26" s="1"/>
  <c r="W277" i="26"/>
  <c r="W263" i="26" s="1"/>
  <c r="O277" i="26"/>
  <c r="O263" i="26" s="1"/>
  <c r="AE276" i="26"/>
  <c r="AE262" i="26" s="1"/>
  <c r="W276" i="26"/>
  <c r="W262" i="26" s="1"/>
  <c r="O276" i="26"/>
  <c r="O262" i="26" s="1"/>
  <c r="AE275" i="26"/>
  <c r="AE261" i="26" s="1"/>
  <c r="L277" i="26"/>
  <c r="L263" i="26" s="1"/>
  <c r="P276" i="26"/>
  <c r="P262" i="26" s="1"/>
  <c r="T275" i="26"/>
  <c r="T261" i="26" s="1"/>
  <c r="AB274" i="26"/>
  <c r="AB260" i="26" s="1"/>
  <c r="L274" i="26"/>
  <c r="L260" i="26" s="1"/>
  <c r="T273" i="26"/>
  <c r="T259" i="26" s="1"/>
  <c r="AB272" i="26"/>
  <c r="AB258" i="26" s="1"/>
  <c r="L272" i="26"/>
  <c r="L258" i="26" s="1"/>
  <c r="T271" i="26"/>
  <c r="T257" i="26" s="1"/>
  <c r="AB270" i="26"/>
  <c r="AB256" i="26" s="1"/>
  <c r="L270" i="26"/>
  <c r="L256" i="26" s="1"/>
  <c r="T269" i="26"/>
  <c r="T255" i="26" s="1"/>
  <c r="AB268" i="26"/>
  <c r="AB254" i="26" s="1"/>
  <c r="L268" i="26"/>
  <c r="L254" i="26" s="1"/>
  <c r="T267" i="26"/>
  <c r="AF277" i="26"/>
  <c r="AF263" i="26" s="1"/>
  <c r="K277" i="26"/>
  <c r="K263" i="26" s="1"/>
  <c r="L276" i="26"/>
  <c r="L262" i="26" s="1"/>
  <c r="S275" i="26"/>
  <c r="S261" i="26" s="1"/>
  <c r="AA274" i="26"/>
  <c r="AA260" i="26" s="1"/>
  <c r="K274" i="26"/>
  <c r="K260" i="26" s="1"/>
  <c r="S273" i="26"/>
  <c r="S259" i="26" s="1"/>
  <c r="AA272" i="26"/>
  <c r="AA258" i="26" s="1"/>
  <c r="K272" i="26"/>
  <c r="K258" i="26" s="1"/>
  <c r="S271" i="26"/>
  <c r="S257" i="26" s="1"/>
  <c r="AA270" i="26"/>
  <c r="AA256" i="26" s="1"/>
  <c r="K270" i="26"/>
  <c r="K256" i="26" s="1"/>
  <c r="S269" i="26"/>
  <c r="S255" i="26" s="1"/>
  <c r="AA268" i="26"/>
  <c r="AA254" i="26" s="1"/>
  <c r="K268" i="26"/>
  <c r="K254" i="26" s="1"/>
  <c r="S267" i="26"/>
  <c r="AB277" i="26"/>
  <c r="AB263" i="26" s="1"/>
  <c r="AF276" i="26"/>
  <c r="AF262" i="26" s="1"/>
  <c r="K276" i="26"/>
  <c r="K262" i="26" s="1"/>
  <c r="P275" i="26"/>
  <c r="P261" i="26" s="1"/>
  <c r="X274" i="26"/>
  <c r="X260" i="26" s="1"/>
  <c r="AF273" i="26"/>
  <c r="AF259" i="26" s="1"/>
  <c r="P273" i="26"/>
  <c r="P259" i="26" s="1"/>
  <c r="X272" i="26"/>
  <c r="X258" i="26" s="1"/>
  <c r="AF271" i="26"/>
  <c r="AF257" i="26" s="1"/>
  <c r="P271" i="26"/>
  <c r="P257" i="26" s="1"/>
  <c r="X270" i="26"/>
  <c r="X256" i="26" s="1"/>
  <c r="AF269" i="26"/>
  <c r="AF255" i="26" s="1"/>
  <c r="P269" i="26"/>
  <c r="P255" i="26" s="1"/>
  <c r="X268" i="26"/>
  <c r="X254" i="26" s="1"/>
  <c r="AF267" i="26"/>
  <c r="P267" i="26"/>
  <c r="AA277" i="26"/>
  <c r="AA263" i="26" s="1"/>
  <c r="AB276" i="26"/>
  <c r="AB262" i="26" s="1"/>
  <c r="AF275" i="26"/>
  <c r="AF261" i="26" s="1"/>
  <c r="O275" i="26"/>
  <c r="O261" i="26" s="1"/>
  <c r="W274" i="26"/>
  <c r="W260" i="26" s="1"/>
  <c r="AE273" i="26"/>
  <c r="AE259" i="26" s="1"/>
  <c r="O273" i="26"/>
  <c r="O259" i="26" s="1"/>
  <c r="W272" i="26"/>
  <c r="W258" i="26" s="1"/>
  <c r="AE271" i="26"/>
  <c r="AE257" i="26" s="1"/>
  <c r="O271" i="26"/>
  <c r="O257" i="26" s="1"/>
  <c r="W270" i="26"/>
  <c r="W256" i="26" s="1"/>
  <c r="AE269" i="26"/>
  <c r="AE255" i="26" s="1"/>
  <c r="O269" i="26"/>
  <c r="O255" i="26" s="1"/>
  <c r="W268" i="26"/>
  <c r="W254" i="26" s="1"/>
  <c r="AE267" i="26"/>
  <c r="O267" i="26"/>
  <c r="X277" i="26"/>
  <c r="X263" i="26" s="1"/>
  <c r="AA276" i="26"/>
  <c r="AA262" i="26" s="1"/>
  <c r="AB275" i="26"/>
  <c r="AB261" i="26" s="1"/>
  <c r="L275" i="26"/>
  <c r="L261" i="26" s="1"/>
  <c r="T274" i="26"/>
  <c r="T260" i="26" s="1"/>
  <c r="AB273" i="26"/>
  <c r="AB259" i="26" s="1"/>
  <c r="L273" i="26"/>
  <c r="L259" i="26" s="1"/>
  <c r="T272" i="26"/>
  <c r="T258" i="26" s="1"/>
  <c r="AB271" i="26"/>
  <c r="AB257" i="26" s="1"/>
  <c r="L271" i="26"/>
  <c r="L257" i="26" s="1"/>
  <c r="T270" i="26"/>
  <c r="T256" i="26" s="1"/>
  <c r="AB269" i="26"/>
  <c r="AB255" i="26" s="1"/>
  <c r="L269" i="26"/>
  <c r="L255" i="26" s="1"/>
  <c r="T268" i="26"/>
  <c r="T254" i="26" s="1"/>
  <c r="AB267" i="26"/>
  <c r="L267" i="26"/>
  <c r="T277" i="26"/>
  <c r="T263" i="26" s="1"/>
  <c r="X276" i="26"/>
  <c r="X262" i="26" s="1"/>
  <c r="AA275" i="26"/>
  <c r="AA261" i="26" s="1"/>
  <c r="K275" i="26"/>
  <c r="K261" i="26" s="1"/>
  <c r="S274" i="26"/>
  <c r="S260" i="26" s="1"/>
  <c r="AA273" i="26"/>
  <c r="AA259" i="26" s="1"/>
  <c r="K273" i="26"/>
  <c r="K259" i="26" s="1"/>
  <c r="S272" i="26"/>
  <c r="S258" i="26" s="1"/>
  <c r="AA271" i="26"/>
  <c r="AA257" i="26" s="1"/>
  <c r="K271" i="26"/>
  <c r="K257" i="26" s="1"/>
  <c r="S270" i="26"/>
  <c r="S256" i="26" s="1"/>
  <c r="AA269" i="26"/>
  <c r="AA255" i="26" s="1"/>
  <c r="K269" i="26"/>
  <c r="K255" i="26" s="1"/>
  <c r="S268" i="26"/>
  <c r="S254" i="26" s="1"/>
  <c r="AA267" i="26"/>
  <c r="K267" i="26"/>
  <c r="S277" i="26"/>
  <c r="S263" i="26" s="1"/>
  <c r="T276" i="26"/>
  <c r="T262" i="26" s="1"/>
  <c r="X275" i="26"/>
  <c r="X261" i="26" s="1"/>
  <c r="AF274" i="26"/>
  <c r="AF260" i="26" s="1"/>
  <c r="P274" i="26"/>
  <c r="P260" i="26" s="1"/>
  <c r="X273" i="26"/>
  <c r="X259" i="26" s="1"/>
  <c r="AF272" i="26"/>
  <c r="AF258" i="26" s="1"/>
  <c r="P272" i="26"/>
  <c r="P258" i="26" s="1"/>
  <c r="X271" i="26"/>
  <c r="X257" i="26" s="1"/>
  <c r="AF270" i="26"/>
  <c r="AF256" i="26" s="1"/>
  <c r="P270" i="26"/>
  <c r="P256" i="26" s="1"/>
  <c r="X269" i="26"/>
  <c r="X255" i="26" s="1"/>
  <c r="AF268" i="26"/>
  <c r="AF254" i="26" s="1"/>
  <c r="P268" i="26"/>
  <c r="P254" i="26" s="1"/>
  <c r="X267" i="26"/>
  <c r="P277" i="26"/>
  <c r="P263" i="26" s="1"/>
  <c r="S276" i="26"/>
  <c r="S262" i="26" s="1"/>
  <c r="W275" i="26"/>
  <c r="W261" i="26" s="1"/>
  <c r="AE274" i="26"/>
  <c r="AE260" i="26" s="1"/>
  <c r="O274" i="26"/>
  <c r="O260" i="26" s="1"/>
  <c r="W273" i="26"/>
  <c r="W259" i="26" s="1"/>
  <c r="AE272" i="26"/>
  <c r="AE258" i="26" s="1"/>
  <c r="O272" i="26"/>
  <c r="O258" i="26" s="1"/>
  <c r="W271" i="26"/>
  <c r="W257" i="26" s="1"/>
  <c r="AE270" i="26"/>
  <c r="AE256" i="26" s="1"/>
  <c r="O270" i="26"/>
  <c r="O256" i="26" s="1"/>
  <c r="W269" i="26"/>
  <c r="W255" i="26" s="1"/>
  <c r="AE268" i="26"/>
  <c r="AE254" i="26" s="1"/>
  <c r="O268" i="26"/>
  <c r="O254" i="26" s="1"/>
  <c r="W267" i="26"/>
  <c r="AB290" i="5"/>
  <c r="T290" i="5"/>
  <c r="L290" i="5"/>
  <c r="AB289" i="5"/>
  <c r="T289" i="5"/>
  <c r="L289" i="5"/>
  <c r="AB288" i="5"/>
  <c r="T288" i="5"/>
  <c r="L288" i="5"/>
  <c r="AB287" i="5"/>
  <c r="T287" i="5"/>
  <c r="L287" i="5"/>
  <c r="AB286" i="5"/>
  <c r="AB272" i="5" s="1"/>
  <c r="T286" i="5"/>
  <c r="T272" i="5" s="1"/>
  <c r="L286" i="5"/>
  <c r="L272" i="5" s="1"/>
  <c r="AB285" i="5"/>
  <c r="T285" i="5"/>
  <c r="L285" i="5"/>
  <c r="AB284" i="5"/>
  <c r="T284" i="5"/>
  <c r="L284" i="5"/>
  <c r="AB283" i="5"/>
  <c r="T283" i="5"/>
  <c r="L283" i="5"/>
  <c r="AB282" i="5"/>
  <c r="T282" i="5"/>
  <c r="L282" i="5"/>
  <c r="AB281" i="5"/>
  <c r="T281" i="5"/>
  <c r="L281" i="5"/>
  <c r="AB280" i="5"/>
  <c r="AA290" i="5"/>
  <c r="S290" i="5"/>
  <c r="K290" i="5"/>
  <c r="AA289" i="5"/>
  <c r="S289" i="5"/>
  <c r="K289" i="5"/>
  <c r="AA288" i="5"/>
  <c r="S288" i="5"/>
  <c r="K288" i="5"/>
  <c r="AA287" i="5"/>
  <c r="S287" i="5"/>
  <c r="K287" i="5"/>
  <c r="AA286" i="5"/>
  <c r="AA272" i="5" s="1"/>
  <c r="S286" i="5"/>
  <c r="S272" i="5" s="1"/>
  <c r="K286" i="5"/>
  <c r="K272" i="5" s="1"/>
  <c r="AA285" i="5"/>
  <c r="S285" i="5"/>
  <c r="K285" i="5"/>
  <c r="AA284" i="5"/>
  <c r="S284" i="5"/>
  <c r="K284" i="5"/>
  <c r="AA283" i="5"/>
  <c r="S283" i="5"/>
  <c r="K283" i="5"/>
  <c r="AA282" i="5"/>
  <c r="S282" i="5"/>
  <c r="K282" i="5"/>
  <c r="AA281" i="5"/>
  <c r="S281" i="5"/>
  <c r="K281" i="5"/>
  <c r="AA280" i="5"/>
  <c r="Z290" i="5"/>
  <c r="R290" i="5"/>
  <c r="J290" i="5"/>
  <c r="Z289" i="5"/>
  <c r="R289" i="5"/>
  <c r="J289" i="5"/>
  <c r="Z288" i="5"/>
  <c r="R288" i="5"/>
  <c r="J288" i="5"/>
  <c r="Z287" i="5"/>
  <c r="R287" i="5"/>
  <c r="J287" i="5"/>
  <c r="Z286" i="5"/>
  <c r="Z272" i="5" s="1"/>
  <c r="R286" i="5"/>
  <c r="R272" i="5" s="1"/>
  <c r="J286" i="5"/>
  <c r="J272" i="5" s="1"/>
  <c r="Z285" i="5"/>
  <c r="R285" i="5"/>
  <c r="J285" i="5"/>
  <c r="Z284" i="5"/>
  <c r="R284" i="5"/>
  <c r="J284" i="5"/>
  <c r="Z283" i="5"/>
  <c r="R283" i="5"/>
  <c r="J283" i="5"/>
  <c r="Z282" i="5"/>
  <c r="R282" i="5"/>
  <c r="J282" i="5"/>
  <c r="Z281" i="5"/>
  <c r="R281" i="5"/>
  <c r="J281" i="5"/>
  <c r="Z280" i="5"/>
  <c r="R280" i="5"/>
  <c r="AG290" i="5"/>
  <c r="Y290" i="5"/>
  <c r="Q290" i="5"/>
  <c r="AG289" i="5"/>
  <c r="Y289" i="5"/>
  <c r="Q289" i="5"/>
  <c r="AG288" i="5"/>
  <c r="Y288" i="5"/>
  <c r="Q288" i="5"/>
  <c r="AG287" i="5"/>
  <c r="Y287" i="5"/>
  <c r="Q287" i="5"/>
  <c r="AG286" i="5"/>
  <c r="AG272" i="5" s="1"/>
  <c r="Y286" i="5"/>
  <c r="Y272" i="5" s="1"/>
  <c r="Q286" i="5"/>
  <c r="Q272" i="5" s="1"/>
  <c r="AG285" i="5"/>
  <c r="Y285" i="5"/>
  <c r="Q285" i="5"/>
  <c r="AG284" i="5"/>
  <c r="Y284" i="5"/>
  <c r="Q284" i="5"/>
  <c r="AG283" i="5"/>
  <c r="Y283" i="5"/>
  <c r="Q283" i="5"/>
  <c r="AG282" i="5"/>
  <c r="Y282" i="5"/>
  <c r="Q282" i="5"/>
  <c r="AG281" i="5"/>
  <c r="Y281" i="5"/>
  <c r="Q281" i="5"/>
  <c r="AG280" i="5"/>
  <c r="Y280" i="5"/>
  <c r="AF290" i="5"/>
  <c r="X290" i="5"/>
  <c r="P290" i="5"/>
  <c r="AF289" i="5"/>
  <c r="X289" i="5"/>
  <c r="P289" i="5"/>
  <c r="AF288" i="5"/>
  <c r="X288" i="5"/>
  <c r="P288" i="5"/>
  <c r="AF287" i="5"/>
  <c r="X287" i="5"/>
  <c r="P287" i="5"/>
  <c r="AF286" i="5"/>
  <c r="AF272" i="5" s="1"/>
  <c r="X286" i="5"/>
  <c r="X272" i="5" s="1"/>
  <c r="P286" i="5"/>
  <c r="P272" i="5" s="1"/>
  <c r="AF285" i="5"/>
  <c r="X285" i="5"/>
  <c r="P285" i="5"/>
  <c r="AF284" i="5"/>
  <c r="X284" i="5"/>
  <c r="P284" i="5"/>
  <c r="AF283" i="5"/>
  <c r="X283" i="5"/>
  <c r="P283" i="5"/>
  <c r="AF282" i="5"/>
  <c r="X282" i="5"/>
  <c r="P282" i="5"/>
  <c r="AF281" i="5"/>
  <c r="X281" i="5"/>
  <c r="AE290" i="5"/>
  <c r="W290" i="5"/>
  <c r="O290" i="5"/>
  <c r="AE289" i="5"/>
  <c r="W289" i="5"/>
  <c r="O289" i="5"/>
  <c r="AE288" i="5"/>
  <c r="W288" i="5"/>
  <c r="O288" i="5"/>
  <c r="AE287" i="5"/>
  <c r="W287" i="5"/>
  <c r="O287" i="5"/>
  <c r="AE286" i="5"/>
  <c r="AE272" i="5" s="1"/>
  <c r="W286" i="5"/>
  <c r="W272" i="5" s="1"/>
  <c r="O286" i="5"/>
  <c r="O272" i="5" s="1"/>
  <c r="AE285" i="5"/>
  <c r="W285" i="5"/>
  <c r="O285" i="5"/>
  <c r="AE284" i="5"/>
  <c r="W284" i="5"/>
  <c r="O284" i="5"/>
  <c r="AE283" i="5"/>
  <c r="W283" i="5"/>
  <c r="O283" i="5"/>
  <c r="AE282" i="5"/>
  <c r="W282" i="5"/>
  <c r="O282" i="5"/>
  <c r="AD290" i="5"/>
  <c r="V289" i="5"/>
  <c r="N288" i="5"/>
  <c r="AD286" i="5"/>
  <c r="AD272" i="5" s="1"/>
  <c r="V285" i="5"/>
  <c r="N284" i="5"/>
  <c r="AD282" i="5"/>
  <c r="AC281" i="5"/>
  <c r="AF280" i="5"/>
  <c r="T280" i="5"/>
  <c r="K280" i="5"/>
  <c r="AC290" i="5"/>
  <c r="U289" i="5"/>
  <c r="M288" i="5"/>
  <c r="AC286" i="5"/>
  <c r="AC272" i="5" s="1"/>
  <c r="U285" i="5"/>
  <c r="M284" i="5"/>
  <c r="AC282" i="5"/>
  <c r="W281" i="5"/>
  <c r="AE280" i="5"/>
  <c r="S280" i="5"/>
  <c r="J280" i="5"/>
  <c r="V290" i="5"/>
  <c r="N289" i="5"/>
  <c r="AD287" i="5"/>
  <c r="V286" i="5"/>
  <c r="V272" i="5" s="1"/>
  <c r="N285" i="5"/>
  <c r="AD283" i="5"/>
  <c r="V282" i="5"/>
  <c r="V281" i="5"/>
  <c r="AD280" i="5"/>
  <c r="Q280" i="5"/>
  <c r="U290" i="5"/>
  <c r="M289" i="5"/>
  <c r="AC287" i="5"/>
  <c r="U286" i="5"/>
  <c r="U272" i="5" s="1"/>
  <c r="M285" i="5"/>
  <c r="AC283" i="5"/>
  <c r="U282" i="5"/>
  <c r="U281" i="5"/>
  <c r="AC280" i="5"/>
  <c r="P280" i="5"/>
  <c r="N290" i="5"/>
  <c r="AD288" i="5"/>
  <c r="V287" i="5"/>
  <c r="N286" i="5"/>
  <c r="N272" i="5" s="1"/>
  <c r="AD284" i="5"/>
  <c r="V283" i="5"/>
  <c r="N282" i="5"/>
  <c r="P281" i="5"/>
  <c r="X280" i="5"/>
  <c r="O280" i="5"/>
  <c r="M290" i="5"/>
  <c r="AC288" i="5"/>
  <c r="U287" i="5"/>
  <c r="M286" i="5"/>
  <c r="M272" i="5" s="1"/>
  <c r="AC284" i="5"/>
  <c r="U283" i="5"/>
  <c r="M282" i="5"/>
  <c r="O281" i="5"/>
  <c r="W280" i="5"/>
  <c r="N280" i="5"/>
  <c r="AD289" i="5"/>
  <c r="V288" i="5"/>
  <c r="N287" i="5"/>
  <c r="AD285" i="5"/>
  <c r="V284" i="5"/>
  <c r="N283" i="5"/>
  <c r="AE281" i="5"/>
  <c r="N281" i="5"/>
  <c r="V280" i="5"/>
  <c r="M280" i="5"/>
  <c r="AC289" i="5"/>
  <c r="U288" i="5"/>
  <c r="M287" i="5"/>
  <c r="AC285" i="5"/>
  <c r="U284" i="5"/>
  <c r="M283" i="5"/>
  <c r="AD281" i="5"/>
  <c r="M281" i="5"/>
  <c r="U280" i="5"/>
  <c r="L280" i="5"/>
  <c r="AI17" i="28"/>
  <c r="AI131" i="28" s="1"/>
  <c r="E32" i="46"/>
  <c r="E33" i="46" s="1"/>
  <c r="AH17" i="28"/>
  <c r="AH131" i="28" s="1"/>
  <c r="AF17" i="28"/>
  <c r="AF131" i="28" s="1"/>
  <c r="AG17" i="28"/>
  <c r="AG131" i="28" s="1"/>
  <c r="AD131" i="28"/>
  <c r="AE17" i="28"/>
  <c r="AE131" i="28" s="1"/>
  <c r="H69" i="17"/>
  <c r="F98" i="17"/>
  <c r="H40" i="17"/>
  <c r="J31" i="22"/>
  <c r="AG17" i="56"/>
  <c r="AI17" i="56"/>
  <c r="AE17" i="56"/>
  <c r="AF17" i="56"/>
  <c r="AH17" i="56"/>
  <c r="E39" i="17"/>
  <c r="D39" i="17"/>
  <c r="C39" i="17"/>
  <c r="I39" i="17"/>
  <c r="G39" i="17"/>
  <c r="F39" i="17"/>
  <c r="G97" i="17"/>
  <c r="C97" i="17"/>
  <c r="E97" i="17"/>
  <c r="D97" i="17"/>
  <c r="G68" i="17"/>
  <c r="I68" i="17"/>
  <c r="F68" i="17"/>
  <c r="E68" i="17"/>
  <c r="D68" i="17"/>
  <c r="C68" i="17"/>
  <c r="T131" i="28"/>
  <c r="AO48" i="32"/>
  <c r="AQ48" i="32"/>
  <c r="AP48" i="32"/>
  <c r="AR48" i="32"/>
  <c r="D17" i="46"/>
  <c r="F17" i="46"/>
  <c r="K22" i="36"/>
  <c r="F23" i="36"/>
  <c r="P20" i="36"/>
  <c r="V19" i="36"/>
  <c r="I316" i="5"/>
  <c r="I312" i="5"/>
  <c r="I308" i="5"/>
  <c r="I317" i="5"/>
  <c r="I318" i="5"/>
  <c r="I314" i="5"/>
  <c r="I310" i="5"/>
  <c r="I315" i="5"/>
  <c r="I311" i="5"/>
  <c r="I313" i="5"/>
  <c r="I309" i="5"/>
  <c r="G367" i="5"/>
  <c r="J199" i="5"/>
  <c r="J192" i="5"/>
  <c r="J198" i="5"/>
  <c r="J195" i="5"/>
  <c r="J190" i="5"/>
  <c r="J200" i="5"/>
  <c r="J193" i="5"/>
  <c r="J196" i="5"/>
  <c r="J191" i="5"/>
  <c r="J194" i="5"/>
  <c r="K14" i="5"/>
  <c r="J197" i="5"/>
  <c r="I260" i="5"/>
  <c r="I253" i="5"/>
  <c r="H316" i="5"/>
  <c r="H312" i="5"/>
  <c r="H308" i="5"/>
  <c r="H317" i="5"/>
  <c r="H313" i="5"/>
  <c r="H309" i="5"/>
  <c r="H318" i="5"/>
  <c r="H314" i="5"/>
  <c r="H310" i="5"/>
  <c r="H315" i="5"/>
  <c r="H311" i="5"/>
  <c r="I256" i="5"/>
  <c r="I259" i="5"/>
  <c r="G364" i="5"/>
  <c r="G373" i="5"/>
  <c r="I262" i="5"/>
  <c r="I217" i="5"/>
  <c r="G372" i="5"/>
  <c r="I255" i="5"/>
  <c r="G368" i="5"/>
  <c r="H358" i="5"/>
  <c r="H354" i="5"/>
  <c r="H350" i="5"/>
  <c r="H359" i="5"/>
  <c r="H355" i="5"/>
  <c r="H351" i="5"/>
  <c r="H360" i="5"/>
  <c r="H356" i="5"/>
  <c r="H352" i="5"/>
  <c r="H357" i="5"/>
  <c r="H353" i="5"/>
  <c r="J211" i="5"/>
  <c r="J215" i="5"/>
  <c r="J207" i="5"/>
  <c r="J213" i="5"/>
  <c r="J216" i="5"/>
  <c r="J208" i="5"/>
  <c r="J214" i="5"/>
  <c r="J210" i="5"/>
  <c r="J206" i="5"/>
  <c r="K16" i="5"/>
  <c r="J209" i="5"/>
  <c r="J212" i="5"/>
  <c r="G366" i="5"/>
  <c r="I252" i="5"/>
  <c r="I201" i="5"/>
  <c r="K197" i="26"/>
  <c r="K192" i="26"/>
  <c r="K199" i="26"/>
  <c r="K195" i="26"/>
  <c r="K194" i="26"/>
  <c r="K198" i="26"/>
  <c r="K193" i="26"/>
  <c r="K201" i="26"/>
  <c r="K196" i="26"/>
  <c r="L15" i="26"/>
  <c r="K200" i="26"/>
  <c r="K191" i="26"/>
  <c r="J202" i="26"/>
  <c r="H301" i="5"/>
  <c r="H297" i="5"/>
  <c r="H302" i="5"/>
  <c r="H298" i="5"/>
  <c r="H294" i="5"/>
  <c r="H303" i="5"/>
  <c r="H299" i="5"/>
  <c r="H295" i="5"/>
  <c r="H263" i="5"/>
  <c r="H304" i="5"/>
  <c r="H300" i="5"/>
  <c r="H296" i="5"/>
  <c r="O86" i="14"/>
  <c r="AD89" i="14"/>
  <c r="P85" i="14"/>
  <c r="T35" i="26"/>
  <c r="T57" i="26" s="1"/>
  <c r="U30" i="26"/>
  <c r="U48" i="26" s="1"/>
  <c r="K218" i="26"/>
  <c r="L209" i="26"/>
  <c r="L212" i="26"/>
  <c r="L215" i="26"/>
  <c r="L207" i="26"/>
  <c r="L210" i="26"/>
  <c r="L217" i="26"/>
  <c r="L213" i="26"/>
  <c r="L216" i="26"/>
  <c r="L208" i="26"/>
  <c r="L211" i="26"/>
  <c r="L214" i="26"/>
  <c r="M17" i="26"/>
  <c r="L233" i="5"/>
  <c r="L248" i="5"/>
  <c r="M19" i="5"/>
  <c r="M21" i="5"/>
  <c r="I85" i="14"/>
  <c r="E89" i="14"/>
  <c r="X89" i="14"/>
  <c r="O89" i="14"/>
  <c r="G86" i="14"/>
  <c r="G89" i="14"/>
  <c r="K87" i="14"/>
  <c r="Q86" i="14"/>
  <c r="N87" i="14"/>
  <c r="T85" i="14"/>
  <c r="L85" i="14"/>
  <c r="Q88" i="14"/>
  <c r="U87" i="14"/>
  <c r="AD87" i="14"/>
  <c r="S87" i="14"/>
  <c r="V89" i="14"/>
  <c r="U88" i="14"/>
  <c r="W88" i="14"/>
  <c r="W86" i="14"/>
  <c r="E86" i="14"/>
  <c r="AB89" i="14"/>
  <c r="Y85" i="14"/>
  <c r="AB88" i="14"/>
  <c r="Z87" i="14"/>
  <c r="R87" i="14"/>
  <c r="J85" i="14"/>
  <c r="U85" i="14"/>
  <c r="AB86" i="14"/>
  <c r="Y89" i="14"/>
  <c r="AA85" i="14"/>
  <c r="S88" i="14"/>
  <c r="N89" i="14"/>
  <c r="AC85" i="14"/>
  <c r="Z86" i="14"/>
  <c r="E88" i="14"/>
  <c r="S89" i="14"/>
  <c r="Q85" i="14"/>
  <c r="K88" i="14"/>
  <c r="M88" i="14"/>
  <c r="H85" i="14"/>
  <c r="AA88" i="14"/>
  <c r="V85" i="14"/>
  <c r="X88" i="14"/>
  <c r="X86" i="14"/>
  <c r="AD85" i="14"/>
  <c r="N88" i="14"/>
  <c r="H89" i="14"/>
  <c r="O88" i="14"/>
  <c r="K85" i="14"/>
  <c r="J86" i="14"/>
  <c r="R85" i="14"/>
  <c r="R88" i="14"/>
  <c r="T87" i="14"/>
  <c r="AC88" i="14"/>
  <c r="N86" i="14"/>
  <c r="R89" i="14"/>
  <c r="Y87" i="14"/>
  <c r="W87" i="14"/>
  <c r="AB87" i="14"/>
  <c r="V87" i="14"/>
  <c r="AF69" i="14"/>
  <c r="AF85" i="14" s="1"/>
  <c r="AE85" i="14"/>
  <c r="AB85" i="14"/>
  <c r="L88" i="14"/>
  <c r="Y88" i="14"/>
  <c r="H88" i="14"/>
  <c r="V88" i="14"/>
  <c r="K86" i="14"/>
  <c r="Z89" i="14"/>
  <c r="W89" i="14"/>
  <c r="G87" i="14"/>
  <c r="I89" i="14"/>
  <c r="AA86" i="14"/>
  <c r="Z85" i="14"/>
  <c r="P89" i="14"/>
  <c r="AE88" i="14"/>
  <c r="AF72" i="14"/>
  <c r="AF88" i="14" s="1"/>
  <c r="M87" i="14"/>
  <c r="AE86" i="14"/>
  <c r="AF70" i="14"/>
  <c r="AF86" i="14" s="1"/>
  <c r="AE87" i="14"/>
  <c r="AF71" i="14"/>
  <c r="AF87" i="14" s="1"/>
  <c r="I88" i="14"/>
  <c r="M85" i="14"/>
  <c r="W85" i="14"/>
  <c r="K89" i="14"/>
  <c r="F85" i="14"/>
  <c r="S85" i="14"/>
  <c r="P87" i="14"/>
  <c r="H86" i="14"/>
  <c r="L86" i="14"/>
  <c r="F88" i="14"/>
  <c r="AA87" i="14"/>
  <c r="G88" i="14"/>
  <c r="AC89" i="14"/>
  <c r="G85" i="14"/>
  <c r="F86" i="14"/>
  <c r="F89" i="14"/>
  <c r="AD88" i="14"/>
  <c r="S86" i="14"/>
  <c r="O87" i="14"/>
  <c r="P86" i="14"/>
  <c r="N85" i="14"/>
  <c r="Q87" i="14"/>
  <c r="AC86" i="14"/>
  <c r="T88" i="14"/>
  <c r="M89" i="14"/>
  <c r="J87" i="14"/>
  <c r="U89" i="14"/>
  <c r="E87" i="14"/>
  <c r="AE89" i="14"/>
  <c r="AF73" i="14"/>
  <c r="AF89" i="14" s="1"/>
  <c r="U86" i="14"/>
  <c r="H368" i="5" l="1"/>
  <c r="H366" i="5"/>
  <c r="I360" i="5"/>
  <c r="M398" i="5"/>
  <c r="L412" i="5"/>
  <c r="H374" i="5"/>
  <c r="H371" i="5"/>
  <c r="H373" i="5"/>
  <c r="H367" i="5"/>
  <c r="H364" i="5"/>
  <c r="I351" i="5"/>
  <c r="I355" i="5"/>
  <c r="H372" i="5"/>
  <c r="AD341" i="5"/>
  <c r="AD271" i="5"/>
  <c r="AA346" i="5"/>
  <c r="AA276" i="5"/>
  <c r="G69" i="17"/>
  <c r="I69" i="17"/>
  <c r="F69" i="17"/>
  <c r="E69" i="17"/>
  <c r="C69" i="17"/>
  <c r="D69" i="17"/>
  <c r="P337" i="5"/>
  <c r="P348" i="5" s="1"/>
  <c r="P267" i="5"/>
  <c r="T336" i="5"/>
  <c r="T266" i="5"/>
  <c r="T5" i="5"/>
  <c r="T10" i="5"/>
  <c r="T4" i="5"/>
  <c r="T9" i="5"/>
  <c r="T39" i="5"/>
  <c r="T42" i="5"/>
  <c r="T37" i="5"/>
  <c r="T38" i="5"/>
  <c r="X338" i="5"/>
  <c r="X268" i="5"/>
  <c r="Y346" i="5"/>
  <c r="Y276" i="5"/>
  <c r="AA338" i="5"/>
  <c r="AA268" i="5"/>
  <c r="AB341" i="5"/>
  <c r="AB271" i="5"/>
  <c r="V10" i="26"/>
  <c r="V253" i="26"/>
  <c r="V6" i="26"/>
  <c r="V7" i="26"/>
  <c r="V11" i="26"/>
  <c r="V5" i="26"/>
  <c r="U336" i="5"/>
  <c r="U266" i="5"/>
  <c r="U9" i="5"/>
  <c r="U4" i="5"/>
  <c r="U5" i="5"/>
  <c r="U10" i="5"/>
  <c r="U39" i="5"/>
  <c r="U42" i="5"/>
  <c r="U37" i="5"/>
  <c r="U38" i="5"/>
  <c r="AC345" i="5"/>
  <c r="AC275" i="5"/>
  <c r="N343" i="5"/>
  <c r="N273" i="5"/>
  <c r="AC340" i="5"/>
  <c r="AC270" i="5"/>
  <c r="N338" i="5"/>
  <c r="N268" i="5"/>
  <c r="AC336" i="5"/>
  <c r="AC266" i="5"/>
  <c r="AC9" i="5"/>
  <c r="AC4" i="5"/>
  <c r="AC5" i="5"/>
  <c r="AC10" i="5"/>
  <c r="AC38" i="5"/>
  <c r="AC39" i="5"/>
  <c r="AC42" i="5"/>
  <c r="AC37" i="5"/>
  <c r="U346" i="5"/>
  <c r="U276" i="5"/>
  <c r="AD343" i="5"/>
  <c r="AD273" i="5"/>
  <c r="M340" i="5"/>
  <c r="M270" i="5"/>
  <c r="AF336" i="5"/>
  <c r="AF266" i="5"/>
  <c r="AF10" i="5"/>
  <c r="AF4" i="5"/>
  <c r="AF5" i="5"/>
  <c r="AF9" i="5"/>
  <c r="AF37" i="5"/>
  <c r="AF42" i="5"/>
  <c r="AF38" i="5"/>
  <c r="AF39" i="5"/>
  <c r="AD346" i="5"/>
  <c r="AD276" i="5"/>
  <c r="W340" i="5"/>
  <c r="W270" i="5"/>
  <c r="O343" i="5"/>
  <c r="O273" i="5"/>
  <c r="AE345" i="5"/>
  <c r="AE275" i="5"/>
  <c r="AF338" i="5"/>
  <c r="AF268" i="5"/>
  <c r="X341" i="5"/>
  <c r="X271" i="5"/>
  <c r="P344" i="5"/>
  <c r="P274" i="5"/>
  <c r="AF346" i="5"/>
  <c r="AF276" i="5"/>
  <c r="AG338" i="5"/>
  <c r="AG268" i="5"/>
  <c r="Y341" i="5"/>
  <c r="Y271" i="5"/>
  <c r="Q344" i="5"/>
  <c r="Q274" i="5"/>
  <c r="AG346" i="5"/>
  <c r="AG276" i="5"/>
  <c r="Z338" i="5"/>
  <c r="Z268" i="5"/>
  <c r="R341" i="5"/>
  <c r="R271" i="5"/>
  <c r="J344" i="5"/>
  <c r="J274" i="5"/>
  <c r="Z346" i="5"/>
  <c r="Z276" i="5"/>
  <c r="K339" i="5"/>
  <c r="K269" i="5"/>
  <c r="AA341" i="5"/>
  <c r="AA271" i="5"/>
  <c r="S344" i="5"/>
  <c r="S274" i="5"/>
  <c r="AB336" i="5"/>
  <c r="AB266" i="5"/>
  <c r="AB5" i="5"/>
  <c r="AB10" i="5"/>
  <c r="AB4" i="5"/>
  <c r="AB9" i="5"/>
  <c r="AB38" i="5"/>
  <c r="J24" i="14" s="1"/>
  <c r="AB39" i="5"/>
  <c r="J25" i="14" s="1"/>
  <c r="AB42" i="5"/>
  <c r="J28" i="14" s="1"/>
  <c r="AB37" i="5"/>
  <c r="J23" i="14" s="1"/>
  <c r="T339" i="5"/>
  <c r="T269" i="5"/>
  <c r="AB344" i="5"/>
  <c r="AB274" i="5"/>
  <c r="AD10" i="26"/>
  <c r="AD253" i="26"/>
  <c r="AD7" i="26"/>
  <c r="AD6" i="26"/>
  <c r="AD5" i="26"/>
  <c r="AD11" i="26"/>
  <c r="U344" i="5"/>
  <c r="U274" i="5"/>
  <c r="U339" i="5"/>
  <c r="U269" i="5"/>
  <c r="M345" i="5"/>
  <c r="M275" i="5"/>
  <c r="AC268" i="5"/>
  <c r="AC338" i="5"/>
  <c r="V345" i="5"/>
  <c r="V275" i="5"/>
  <c r="O340" i="5"/>
  <c r="O270" i="5"/>
  <c r="W345" i="5"/>
  <c r="W275" i="5"/>
  <c r="AF343" i="5"/>
  <c r="AF273" i="5"/>
  <c r="Y338" i="5"/>
  <c r="Y268" i="5"/>
  <c r="R338" i="5"/>
  <c r="R268" i="5"/>
  <c r="R346" i="5"/>
  <c r="R276" i="5"/>
  <c r="K344" i="5"/>
  <c r="K274" i="5"/>
  <c r="T344" i="5"/>
  <c r="T274" i="5"/>
  <c r="AC10" i="26"/>
  <c r="AC253" i="26"/>
  <c r="AC7" i="26"/>
  <c r="AC6" i="26"/>
  <c r="AC11" i="26"/>
  <c r="AC5" i="26"/>
  <c r="AR50" i="32"/>
  <c r="AR54" i="32"/>
  <c r="AR53" i="32"/>
  <c r="AR55" i="32"/>
  <c r="AR51" i="32"/>
  <c r="AR56" i="32"/>
  <c r="AR52" i="32"/>
  <c r="M337" i="5"/>
  <c r="M348" i="5" s="1"/>
  <c r="M267" i="5"/>
  <c r="M336" i="5"/>
  <c r="M266" i="5"/>
  <c r="M9" i="5"/>
  <c r="M4" i="5"/>
  <c r="M5" i="5"/>
  <c r="M10" i="5"/>
  <c r="V344" i="5"/>
  <c r="V274" i="5"/>
  <c r="V339" i="5"/>
  <c r="V269" i="5"/>
  <c r="U337" i="5"/>
  <c r="U348" i="5" s="1"/>
  <c r="U267" i="5"/>
  <c r="Q336" i="5"/>
  <c r="Q266" i="5"/>
  <c r="Q4" i="5"/>
  <c r="Q9" i="5"/>
  <c r="Q10" i="5"/>
  <c r="Q5" i="5"/>
  <c r="Q39" i="5"/>
  <c r="Q37" i="5"/>
  <c r="Q42" i="5"/>
  <c r="Q38" i="5"/>
  <c r="N345" i="5"/>
  <c r="N275" i="5"/>
  <c r="U341" i="5"/>
  <c r="U271" i="5"/>
  <c r="AC337" i="5"/>
  <c r="AC348" i="5" s="1"/>
  <c r="AC267" i="5"/>
  <c r="O338" i="5"/>
  <c r="O268" i="5"/>
  <c r="AE340" i="5"/>
  <c r="AE270" i="5"/>
  <c r="W343" i="5"/>
  <c r="W273" i="5"/>
  <c r="O346" i="5"/>
  <c r="O276" i="5"/>
  <c r="P339" i="5"/>
  <c r="P269" i="5"/>
  <c r="AF341" i="5"/>
  <c r="AF271" i="5"/>
  <c r="X344" i="5"/>
  <c r="X274" i="5"/>
  <c r="Y336" i="5"/>
  <c r="Y266" i="5"/>
  <c r="Y4" i="5"/>
  <c r="Y9" i="5"/>
  <c r="Y10" i="5"/>
  <c r="Y5" i="5"/>
  <c r="Y39" i="5"/>
  <c r="Y37" i="5"/>
  <c r="Y42" i="5"/>
  <c r="Y38" i="5"/>
  <c r="Q339" i="5"/>
  <c r="Q269" i="5"/>
  <c r="AG341" i="5"/>
  <c r="AG271" i="5"/>
  <c r="Y344" i="5"/>
  <c r="Y274" i="5"/>
  <c r="R336" i="5"/>
  <c r="R266" i="5"/>
  <c r="R9" i="5"/>
  <c r="R10" i="5"/>
  <c r="R4" i="5"/>
  <c r="R5" i="5"/>
  <c r="R42" i="5"/>
  <c r="H28" i="14" s="1"/>
  <c r="R39" i="5"/>
  <c r="H25" i="14" s="1"/>
  <c r="R37" i="5"/>
  <c r="H23" i="14" s="1"/>
  <c r="R38" i="5"/>
  <c r="H24" i="14" s="1"/>
  <c r="J339" i="5"/>
  <c r="J269" i="5"/>
  <c r="Z341" i="5"/>
  <c r="Z271" i="5"/>
  <c r="R344" i="5"/>
  <c r="R274" i="5"/>
  <c r="AA336" i="5"/>
  <c r="AA266" i="5"/>
  <c r="AA5" i="5"/>
  <c r="AA10" i="5"/>
  <c r="AA9" i="5"/>
  <c r="AA4" i="5"/>
  <c r="AA38" i="5"/>
  <c r="AA39" i="5"/>
  <c r="AA42" i="5"/>
  <c r="AA37" i="5"/>
  <c r="S339" i="5"/>
  <c r="S269" i="5"/>
  <c r="AA344" i="5"/>
  <c r="AA274" i="5"/>
  <c r="L337" i="5"/>
  <c r="L348" i="5" s="1"/>
  <c r="L267" i="5"/>
  <c r="AB339" i="5"/>
  <c r="AB269" i="5"/>
  <c r="L345" i="5"/>
  <c r="L275" i="5"/>
  <c r="L336" i="5"/>
  <c r="L266" i="5"/>
  <c r="L5" i="5"/>
  <c r="L10" i="5"/>
  <c r="L4" i="5"/>
  <c r="L9" i="5"/>
  <c r="P341" i="5"/>
  <c r="P271" i="5"/>
  <c r="X346" i="5"/>
  <c r="X276" i="5"/>
  <c r="AG343" i="5"/>
  <c r="AG273" i="5"/>
  <c r="J341" i="5"/>
  <c r="J271" i="5"/>
  <c r="Z343" i="5"/>
  <c r="Z273" i="5"/>
  <c r="S341" i="5"/>
  <c r="S271" i="5"/>
  <c r="L339" i="5"/>
  <c r="L269" i="5"/>
  <c r="W253" i="26"/>
  <c r="W6" i="26"/>
  <c r="W7" i="26"/>
  <c r="W10" i="26"/>
  <c r="W5" i="26"/>
  <c r="W11" i="26"/>
  <c r="AP50" i="32"/>
  <c r="AP51" i="32"/>
  <c r="AP52" i="32"/>
  <c r="AP55" i="32"/>
  <c r="AP53" i="32"/>
  <c r="AP54" i="32"/>
  <c r="AP56" i="32"/>
  <c r="AD337" i="5"/>
  <c r="AD348" i="5" s="1"/>
  <c r="AD267" i="5"/>
  <c r="V336" i="5"/>
  <c r="V266" i="5"/>
  <c r="V9" i="5"/>
  <c r="V5" i="5"/>
  <c r="V10" i="5"/>
  <c r="V4" i="5"/>
  <c r="V37" i="5"/>
  <c r="V42" i="5"/>
  <c r="V38" i="5"/>
  <c r="V39" i="5"/>
  <c r="AD345" i="5"/>
  <c r="AD275" i="5"/>
  <c r="U343" i="5"/>
  <c r="U273" i="5"/>
  <c r="AD340" i="5"/>
  <c r="AD270" i="5"/>
  <c r="U268" i="5"/>
  <c r="U338" i="5"/>
  <c r="AD336" i="5"/>
  <c r="AD266" i="5"/>
  <c r="AD9" i="5"/>
  <c r="AD5" i="5"/>
  <c r="AD4" i="5"/>
  <c r="AD10" i="5"/>
  <c r="AD37" i="5"/>
  <c r="AD42" i="5"/>
  <c r="AD38" i="5"/>
  <c r="AD39" i="5"/>
  <c r="V346" i="5"/>
  <c r="V276" i="5"/>
  <c r="AD338" i="5"/>
  <c r="AD268" i="5"/>
  <c r="W338" i="5"/>
  <c r="W268" i="5"/>
  <c r="O341" i="5"/>
  <c r="O271" i="5"/>
  <c r="AE343" i="5"/>
  <c r="AE273" i="5"/>
  <c r="W346" i="5"/>
  <c r="W276" i="5"/>
  <c r="X339" i="5"/>
  <c r="X269" i="5"/>
  <c r="AF344" i="5"/>
  <c r="AF274" i="5"/>
  <c r="AG336" i="5"/>
  <c r="AG266" i="5"/>
  <c r="AG4" i="5"/>
  <c r="AG9" i="5"/>
  <c r="AG10" i="5"/>
  <c r="AG5" i="5"/>
  <c r="AG39" i="5"/>
  <c r="K25" i="14" s="1"/>
  <c r="AG37" i="5"/>
  <c r="K23" i="14" s="1"/>
  <c r="AG42" i="5"/>
  <c r="K28" i="14" s="1"/>
  <c r="AG38" i="5"/>
  <c r="K24" i="14" s="1"/>
  <c r="Y339" i="5"/>
  <c r="Y269" i="5"/>
  <c r="AG344" i="5"/>
  <c r="AG274" i="5"/>
  <c r="Z336" i="5"/>
  <c r="Z266" i="5"/>
  <c r="Z9" i="5"/>
  <c r="Z10" i="5"/>
  <c r="Z4" i="5"/>
  <c r="Z5" i="5"/>
  <c r="Z38" i="5"/>
  <c r="Z42" i="5"/>
  <c r="Z39" i="5"/>
  <c r="Z37" i="5"/>
  <c r="R339" i="5"/>
  <c r="R269" i="5"/>
  <c r="Z344" i="5"/>
  <c r="Z274" i="5"/>
  <c r="K337" i="5"/>
  <c r="K348" i="5" s="1"/>
  <c r="K267" i="5"/>
  <c r="AA339" i="5"/>
  <c r="AA269" i="5"/>
  <c r="K345" i="5"/>
  <c r="K275" i="5"/>
  <c r="T337" i="5"/>
  <c r="T348" i="5" s="1"/>
  <c r="T267" i="5"/>
  <c r="L340" i="5"/>
  <c r="L270" i="5"/>
  <c r="T345" i="5"/>
  <c r="T275" i="5"/>
  <c r="M339" i="5"/>
  <c r="M269" i="5"/>
  <c r="N337" i="5"/>
  <c r="N348" i="5" s="1"/>
  <c r="N267" i="5"/>
  <c r="N336" i="5"/>
  <c r="N266" i="5"/>
  <c r="N9" i="5"/>
  <c r="N10" i="5"/>
  <c r="N4" i="5"/>
  <c r="N5" i="5"/>
  <c r="AC344" i="5"/>
  <c r="AC274" i="5"/>
  <c r="AC339" i="5"/>
  <c r="AC269" i="5"/>
  <c r="V337" i="5"/>
  <c r="V348" i="5" s="1"/>
  <c r="V267" i="5"/>
  <c r="J336" i="5"/>
  <c r="J266" i="5"/>
  <c r="J9" i="5"/>
  <c r="J6" i="5"/>
  <c r="J10" i="5"/>
  <c r="J4" i="5"/>
  <c r="J5" i="5"/>
  <c r="M344" i="5"/>
  <c r="M274" i="5"/>
  <c r="N340" i="5"/>
  <c r="N270" i="5"/>
  <c r="AE338" i="5"/>
  <c r="AE268" i="5"/>
  <c r="W341" i="5"/>
  <c r="W271" i="5"/>
  <c r="O274" i="5"/>
  <c r="O344" i="5"/>
  <c r="AE276" i="5"/>
  <c r="AE346" i="5"/>
  <c r="AF339" i="5"/>
  <c r="AF269" i="5"/>
  <c r="P345" i="5"/>
  <c r="P275" i="5"/>
  <c r="Q267" i="5"/>
  <c r="Q337" i="5"/>
  <c r="Q348" i="5" s="1"/>
  <c r="AG339" i="5"/>
  <c r="AG269" i="5"/>
  <c r="Q345" i="5"/>
  <c r="Q275" i="5"/>
  <c r="J337" i="5"/>
  <c r="J348" i="5" s="1"/>
  <c r="J267" i="5"/>
  <c r="Z339" i="5"/>
  <c r="Z269" i="5"/>
  <c r="J345" i="5"/>
  <c r="J275" i="5"/>
  <c r="S337" i="5"/>
  <c r="S348" i="5" s="1"/>
  <c r="S267" i="5"/>
  <c r="K340" i="5"/>
  <c r="K270" i="5"/>
  <c r="S345" i="5"/>
  <c r="S275" i="5"/>
  <c r="AB337" i="5"/>
  <c r="AB348" i="5" s="1"/>
  <c r="AB267" i="5"/>
  <c r="T340" i="5"/>
  <c r="T270" i="5"/>
  <c r="L343" i="5"/>
  <c r="L273" i="5"/>
  <c r="AB345" i="5"/>
  <c r="AB275" i="5"/>
  <c r="Q253" i="26"/>
  <c r="Q10" i="26"/>
  <c r="Q6" i="26"/>
  <c r="Q7" i="26"/>
  <c r="Q11" i="26"/>
  <c r="Q5" i="26"/>
  <c r="P336" i="5"/>
  <c r="P266" i="5"/>
  <c r="P10" i="5"/>
  <c r="P4" i="5"/>
  <c r="P5" i="5"/>
  <c r="P9" i="5"/>
  <c r="P42" i="5"/>
  <c r="P38" i="5"/>
  <c r="P39" i="5"/>
  <c r="P37" i="5"/>
  <c r="Q341" i="5"/>
  <c r="Q271" i="5"/>
  <c r="AQ52" i="32"/>
  <c r="AQ51" i="32"/>
  <c r="AQ53" i="32"/>
  <c r="AQ50" i="32"/>
  <c r="AQ54" i="32"/>
  <c r="AQ55" i="32"/>
  <c r="AQ56" i="32"/>
  <c r="AO50" i="32"/>
  <c r="AO51" i="32"/>
  <c r="AO55" i="32"/>
  <c r="AO52" i="32"/>
  <c r="AO53" i="32"/>
  <c r="AO54" i="32"/>
  <c r="AO56" i="32"/>
  <c r="F99" i="17"/>
  <c r="H70" i="17"/>
  <c r="H41" i="17"/>
  <c r="J32" i="22"/>
  <c r="U340" i="5"/>
  <c r="U270" i="5"/>
  <c r="AE337" i="5"/>
  <c r="AE348" i="5" s="1"/>
  <c r="AE267" i="5"/>
  <c r="W336" i="5"/>
  <c r="W266" i="5"/>
  <c r="W10" i="5"/>
  <c r="W5" i="5"/>
  <c r="W9" i="5"/>
  <c r="W4" i="5"/>
  <c r="W39" i="5"/>
  <c r="I25" i="14" s="1"/>
  <c r="W37" i="5"/>
  <c r="I23" i="14" s="1"/>
  <c r="W42" i="5"/>
  <c r="I28" i="14" s="1"/>
  <c r="W38" i="5"/>
  <c r="I24" i="14" s="1"/>
  <c r="M346" i="5"/>
  <c r="M276" i="5"/>
  <c r="V343" i="5"/>
  <c r="V273" i="5"/>
  <c r="M341" i="5"/>
  <c r="M271" i="5"/>
  <c r="V338" i="5"/>
  <c r="V268" i="5"/>
  <c r="S336" i="5"/>
  <c r="S266" i="5"/>
  <c r="S5" i="5"/>
  <c r="S10" i="5"/>
  <c r="S4" i="5"/>
  <c r="S9" i="5"/>
  <c r="S39" i="5"/>
  <c r="S42" i="5"/>
  <c r="S37" i="5"/>
  <c r="S38" i="5"/>
  <c r="U345" i="5"/>
  <c r="U275" i="5"/>
  <c r="V341" i="5"/>
  <c r="V271" i="5"/>
  <c r="O339" i="5"/>
  <c r="O269" i="5"/>
  <c r="AE341" i="5"/>
  <c r="AE271" i="5"/>
  <c r="W344" i="5"/>
  <c r="W274" i="5"/>
  <c r="X337" i="5"/>
  <c r="X348" i="5" s="1"/>
  <c r="X267" i="5"/>
  <c r="P340" i="5"/>
  <c r="P270" i="5"/>
  <c r="X345" i="5"/>
  <c r="X275" i="5"/>
  <c r="Y267" i="5"/>
  <c r="Y337" i="5"/>
  <c r="Y348" i="5" s="1"/>
  <c r="Q340" i="5"/>
  <c r="Q270" i="5"/>
  <c r="Y345" i="5"/>
  <c r="Y275" i="5"/>
  <c r="R337" i="5"/>
  <c r="R348" i="5" s="1"/>
  <c r="R267" i="5"/>
  <c r="J340" i="5"/>
  <c r="J270" i="5"/>
  <c r="R345" i="5"/>
  <c r="R275" i="5"/>
  <c r="AA337" i="5"/>
  <c r="AA348" i="5" s="1"/>
  <c r="AA267" i="5"/>
  <c r="S340" i="5"/>
  <c r="S270" i="5"/>
  <c r="K343" i="5"/>
  <c r="K273" i="5"/>
  <c r="AA345" i="5"/>
  <c r="AA275" i="5"/>
  <c r="L338" i="5"/>
  <c r="L268" i="5"/>
  <c r="AB340" i="5"/>
  <c r="AB270" i="5"/>
  <c r="T343" i="5"/>
  <c r="T273" i="5"/>
  <c r="L346" i="5"/>
  <c r="L276" i="5"/>
  <c r="Y253" i="26"/>
  <c r="Y10" i="26"/>
  <c r="Y6" i="26"/>
  <c r="Y7" i="26"/>
  <c r="Y11" i="26"/>
  <c r="Y5" i="26"/>
  <c r="J253" i="26"/>
  <c r="J10" i="26"/>
  <c r="J6" i="26"/>
  <c r="J7" i="26"/>
  <c r="J11" i="26"/>
  <c r="J5" i="26"/>
  <c r="E40" i="17"/>
  <c r="D40" i="17"/>
  <c r="C40" i="17"/>
  <c r="I40" i="17"/>
  <c r="G40" i="17"/>
  <c r="F40" i="17"/>
  <c r="AC341" i="5"/>
  <c r="AC271" i="5"/>
  <c r="N339" i="5"/>
  <c r="N269" i="5"/>
  <c r="O337" i="5"/>
  <c r="O348" i="5" s="1"/>
  <c r="O267" i="5"/>
  <c r="O336" i="5"/>
  <c r="O266" i="5"/>
  <c r="O10" i="5"/>
  <c r="O5" i="5"/>
  <c r="O9" i="5"/>
  <c r="O4" i="5"/>
  <c r="O39" i="5"/>
  <c r="P30" i="5" s="1"/>
  <c r="O37" i="5"/>
  <c r="P28" i="5" s="1"/>
  <c r="O42" i="5"/>
  <c r="P33" i="5" s="1"/>
  <c r="O38" i="5"/>
  <c r="P29" i="5" s="1"/>
  <c r="AD344" i="5"/>
  <c r="AD274" i="5"/>
  <c r="AD339" i="5"/>
  <c r="AD269" i="5"/>
  <c r="AE336" i="5"/>
  <c r="AE266" i="5"/>
  <c r="AE10" i="5"/>
  <c r="AE5" i="5"/>
  <c r="AE9" i="5"/>
  <c r="AE4" i="5"/>
  <c r="AE38" i="5"/>
  <c r="AE39" i="5"/>
  <c r="AE37" i="5"/>
  <c r="AE42" i="5"/>
  <c r="AC346" i="5"/>
  <c r="AC276" i="5"/>
  <c r="W339" i="5"/>
  <c r="W269" i="5"/>
  <c r="AE344" i="5"/>
  <c r="AE274" i="5"/>
  <c r="AF337" i="5"/>
  <c r="AF348" i="5" s="1"/>
  <c r="AF267" i="5"/>
  <c r="X340" i="5"/>
  <c r="X270" i="5"/>
  <c r="P343" i="5"/>
  <c r="P273" i="5"/>
  <c r="AF345" i="5"/>
  <c r="AF275" i="5"/>
  <c r="AG337" i="5"/>
  <c r="AG348" i="5" s="1"/>
  <c r="AG267" i="5"/>
  <c r="Y340" i="5"/>
  <c r="Y270" i="5"/>
  <c r="Q343" i="5"/>
  <c r="Q273" i="5"/>
  <c r="AG345" i="5"/>
  <c r="AG275" i="5"/>
  <c r="Z337" i="5"/>
  <c r="Z348" i="5" s="1"/>
  <c r="Z267" i="5"/>
  <c r="R340" i="5"/>
  <c r="R270" i="5"/>
  <c r="J343" i="5"/>
  <c r="J273" i="5"/>
  <c r="Z345" i="5"/>
  <c r="Z275" i="5"/>
  <c r="K338" i="5"/>
  <c r="K268" i="5"/>
  <c r="AA340" i="5"/>
  <c r="AA270" i="5"/>
  <c r="S343" i="5"/>
  <c r="S273" i="5"/>
  <c r="K346" i="5"/>
  <c r="K276" i="5"/>
  <c r="T338" i="5"/>
  <c r="T268" i="5"/>
  <c r="L341" i="5"/>
  <c r="L271" i="5"/>
  <c r="AB343" i="5"/>
  <c r="AB273" i="5"/>
  <c r="T346" i="5"/>
  <c r="T276" i="5"/>
  <c r="K253" i="26"/>
  <c r="K10" i="26"/>
  <c r="K7" i="26"/>
  <c r="K6" i="26"/>
  <c r="K5" i="26"/>
  <c r="K11" i="26"/>
  <c r="L253" i="26"/>
  <c r="L7" i="26"/>
  <c r="L10" i="26"/>
  <c r="L6" i="26"/>
  <c r="L5" i="26"/>
  <c r="L11" i="26"/>
  <c r="O253" i="26"/>
  <c r="O10" i="26"/>
  <c r="O6" i="26"/>
  <c r="O7" i="26"/>
  <c r="O5" i="26"/>
  <c r="O11" i="26"/>
  <c r="P253" i="26"/>
  <c r="P10" i="26"/>
  <c r="P6" i="26"/>
  <c r="P7" i="26"/>
  <c r="P5" i="26"/>
  <c r="P11" i="26"/>
  <c r="S253" i="26"/>
  <c r="S10" i="26"/>
  <c r="S7" i="26"/>
  <c r="S6" i="26"/>
  <c r="S5" i="26"/>
  <c r="S11" i="26"/>
  <c r="T253" i="26"/>
  <c r="T10" i="26"/>
  <c r="T7" i="26"/>
  <c r="T6" i="26"/>
  <c r="T11" i="26"/>
  <c r="T5" i="26"/>
  <c r="AG253" i="26"/>
  <c r="AG10" i="26"/>
  <c r="AG7" i="26"/>
  <c r="AG6" i="26"/>
  <c r="AG5" i="26"/>
  <c r="AG11" i="26"/>
  <c r="R253" i="26"/>
  <c r="R10" i="26"/>
  <c r="R6" i="26"/>
  <c r="R7" i="26"/>
  <c r="R11" i="26"/>
  <c r="R5" i="26"/>
  <c r="M10" i="26"/>
  <c r="M253" i="26"/>
  <c r="M7" i="26"/>
  <c r="M6" i="26"/>
  <c r="M11" i="26"/>
  <c r="M5" i="26"/>
  <c r="C98" i="17"/>
  <c r="E98" i="17"/>
  <c r="D98" i="17"/>
  <c r="G98" i="17"/>
  <c r="M343" i="5"/>
  <c r="M273" i="5"/>
  <c r="V340" i="5"/>
  <c r="V270" i="5"/>
  <c r="M338" i="5"/>
  <c r="M268" i="5"/>
  <c r="X336" i="5"/>
  <c r="X266" i="5"/>
  <c r="X10" i="5"/>
  <c r="X4" i="5"/>
  <c r="X5" i="5"/>
  <c r="X9" i="5"/>
  <c r="X37" i="5"/>
  <c r="X42" i="5"/>
  <c r="X38" i="5"/>
  <c r="X39" i="5"/>
  <c r="N346" i="5"/>
  <c r="N276" i="5"/>
  <c r="AC343" i="5"/>
  <c r="AC273" i="5"/>
  <c r="N341" i="5"/>
  <c r="N271" i="5"/>
  <c r="W337" i="5"/>
  <c r="W348" i="5" s="1"/>
  <c r="W267" i="5"/>
  <c r="K336" i="5"/>
  <c r="K266" i="5"/>
  <c r="K5" i="5"/>
  <c r="K6" i="5"/>
  <c r="K10" i="5"/>
  <c r="K4" i="5"/>
  <c r="K9" i="5"/>
  <c r="N344" i="5"/>
  <c r="N274" i="5"/>
  <c r="AE339" i="5"/>
  <c r="AE269" i="5"/>
  <c r="O345" i="5"/>
  <c r="O275" i="5"/>
  <c r="P338" i="5"/>
  <c r="P268" i="5"/>
  <c r="AF340" i="5"/>
  <c r="AF270" i="5"/>
  <c r="X343" i="5"/>
  <c r="X273" i="5"/>
  <c r="P346" i="5"/>
  <c r="P276" i="5"/>
  <c r="Q338" i="5"/>
  <c r="Q268" i="5"/>
  <c r="AG340" i="5"/>
  <c r="AG270" i="5"/>
  <c r="Y343" i="5"/>
  <c r="Y273" i="5"/>
  <c r="Q346" i="5"/>
  <c r="Q276" i="5"/>
  <c r="J338" i="5"/>
  <c r="J268" i="5"/>
  <c r="Z340" i="5"/>
  <c r="Z270" i="5"/>
  <c r="R343" i="5"/>
  <c r="R273" i="5"/>
  <c r="J346" i="5"/>
  <c r="J276" i="5"/>
  <c r="S338" i="5"/>
  <c r="S268" i="5"/>
  <c r="K341" i="5"/>
  <c r="K271" i="5"/>
  <c r="AA343" i="5"/>
  <c r="AA273" i="5"/>
  <c r="S346" i="5"/>
  <c r="S276" i="5"/>
  <c r="AB338" i="5"/>
  <c r="AB268" i="5"/>
  <c r="T341" i="5"/>
  <c r="T271" i="5"/>
  <c r="L344" i="5"/>
  <c r="L274" i="5"/>
  <c r="AB346" i="5"/>
  <c r="AB276" i="5"/>
  <c r="X253" i="26"/>
  <c r="X10" i="26"/>
  <c r="X6" i="26"/>
  <c r="X7" i="26"/>
  <c r="X5" i="26"/>
  <c r="X11" i="26"/>
  <c r="AA253" i="26"/>
  <c r="AA7" i="26"/>
  <c r="AA10" i="26"/>
  <c r="AA6" i="26"/>
  <c r="AA5" i="26"/>
  <c r="AA11" i="26"/>
  <c r="AB253" i="26"/>
  <c r="AB7" i="26"/>
  <c r="AB10" i="26"/>
  <c r="AB6" i="26"/>
  <c r="AB11" i="26"/>
  <c r="AB5" i="26"/>
  <c r="AE253" i="26"/>
  <c r="AE7" i="26"/>
  <c r="AE6" i="26"/>
  <c r="AE10" i="26"/>
  <c r="AE5" i="26"/>
  <c r="AE11" i="26"/>
  <c r="AF253" i="26"/>
  <c r="AF7" i="26"/>
  <c r="AF10" i="26"/>
  <c r="AF6" i="26"/>
  <c r="AF11" i="26"/>
  <c r="AF5" i="26"/>
  <c r="Z253" i="26"/>
  <c r="Z10" i="26"/>
  <c r="Z6" i="26"/>
  <c r="Z7" i="26"/>
  <c r="Z5" i="26"/>
  <c r="Z11" i="26"/>
  <c r="U10" i="26"/>
  <c r="U253" i="26"/>
  <c r="U7" i="26"/>
  <c r="U6" i="26"/>
  <c r="U11" i="26"/>
  <c r="U5" i="26"/>
  <c r="N10" i="26"/>
  <c r="N253" i="26"/>
  <c r="N6" i="26"/>
  <c r="N7" i="26"/>
  <c r="N11" i="26"/>
  <c r="N5" i="26"/>
  <c r="K23" i="36"/>
  <c r="F24" i="36"/>
  <c r="P21" i="36"/>
  <c r="V20" i="36"/>
  <c r="K202" i="26"/>
  <c r="I359" i="5"/>
  <c r="I350" i="5"/>
  <c r="L199" i="26"/>
  <c r="L192" i="26"/>
  <c r="L195" i="26"/>
  <c r="L197" i="26"/>
  <c r="L198" i="26"/>
  <c r="L193" i="26"/>
  <c r="L201" i="26"/>
  <c r="L196" i="26"/>
  <c r="M15" i="26"/>
  <c r="L200" i="26"/>
  <c r="L191" i="26"/>
  <c r="L194" i="26"/>
  <c r="J217" i="5"/>
  <c r="H370" i="5"/>
  <c r="I357" i="5"/>
  <c r="I354" i="5"/>
  <c r="I352" i="5"/>
  <c r="I353" i="5"/>
  <c r="I358" i="5"/>
  <c r="H365" i="5"/>
  <c r="I356" i="5"/>
  <c r="K198" i="5"/>
  <c r="K195" i="5"/>
  <c r="K190" i="5"/>
  <c r="K200" i="5"/>
  <c r="K193" i="5"/>
  <c r="K196" i="5"/>
  <c r="K191" i="5"/>
  <c r="K199" i="5"/>
  <c r="K194" i="5"/>
  <c r="L14" i="5"/>
  <c r="K197" i="5"/>
  <c r="K192" i="5"/>
  <c r="K214" i="5"/>
  <c r="K206" i="5"/>
  <c r="K210" i="5"/>
  <c r="K216" i="5"/>
  <c r="K208" i="5"/>
  <c r="L16" i="5"/>
  <c r="K215" i="5"/>
  <c r="K211" i="5"/>
  <c r="K207" i="5"/>
  <c r="K213" i="5"/>
  <c r="K209" i="5"/>
  <c r="K212" i="5"/>
  <c r="I301" i="5"/>
  <c r="I297" i="5"/>
  <c r="I303" i="5"/>
  <c r="I299" i="5"/>
  <c r="I295" i="5"/>
  <c r="I263" i="5"/>
  <c r="I304" i="5"/>
  <c r="I374" i="5" s="1"/>
  <c r="I300" i="5"/>
  <c r="I296" i="5"/>
  <c r="I294" i="5"/>
  <c r="I298" i="5"/>
  <c r="I302" i="5"/>
  <c r="H369" i="5"/>
  <c r="G375" i="5"/>
  <c r="J201" i="5"/>
  <c r="L218" i="26"/>
  <c r="V30" i="26"/>
  <c r="V48" i="26" s="1"/>
  <c r="U35" i="26"/>
  <c r="U57" i="26" s="1"/>
  <c r="M212" i="26"/>
  <c r="M215" i="26"/>
  <c r="M207" i="26"/>
  <c r="M210" i="26"/>
  <c r="M217" i="26"/>
  <c r="M213" i="26"/>
  <c r="M216" i="26"/>
  <c r="M208" i="26"/>
  <c r="M211" i="26"/>
  <c r="M214" i="26"/>
  <c r="M209" i="26"/>
  <c r="N17" i="26"/>
  <c r="M247" i="5"/>
  <c r="M239" i="5"/>
  <c r="M246" i="5"/>
  <c r="M238" i="5"/>
  <c r="M245" i="5"/>
  <c r="M237" i="5"/>
  <c r="M244" i="5"/>
  <c r="M240" i="5"/>
  <c r="M243" i="5"/>
  <c r="M242" i="5"/>
  <c r="M241" i="5"/>
  <c r="M228" i="5"/>
  <c r="M227" i="5"/>
  <c r="M226" i="5"/>
  <c r="M225" i="5"/>
  <c r="M232" i="5"/>
  <c r="M224" i="5"/>
  <c r="M229" i="5"/>
  <c r="M231" i="5"/>
  <c r="M223" i="5"/>
  <c r="M230" i="5"/>
  <c r="M222" i="5"/>
  <c r="I369" i="5" l="1"/>
  <c r="M412" i="5"/>
  <c r="N398" i="5"/>
  <c r="I365" i="5"/>
  <c r="I367" i="5"/>
  <c r="I372" i="5"/>
  <c r="I368" i="5"/>
  <c r="I364" i="5"/>
  <c r="U104" i="26"/>
  <c r="U107" i="26"/>
  <c r="U99" i="26"/>
  <c r="U102" i="26"/>
  <c r="U105" i="26"/>
  <c r="U108" i="26"/>
  <c r="U100" i="26"/>
  <c r="U103" i="26"/>
  <c r="U106" i="26"/>
  <c r="U98" i="26"/>
  <c r="U101" i="26"/>
  <c r="Q416" i="5"/>
  <c r="Q332" i="5"/>
  <c r="X145" i="5"/>
  <c r="X148" i="5"/>
  <c r="X151" i="5"/>
  <c r="X143" i="5"/>
  <c r="X146" i="5"/>
  <c r="X149" i="5"/>
  <c r="X152" i="5"/>
  <c r="X144" i="5"/>
  <c r="X150" i="5"/>
  <c r="X147" i="5"/>
  <c r="X142" i="5"/>
  <c r="P68" i="26"/>
  <c r="P70" i="26"/>
  <c r="P71" i="26"/>
  <c r="P73" i="26"/>
  <c r="P74" i="26"/>
  <c r="P72" i="26"/>
  <c r="P77" i="26"/>
  <c r="P69" i="26"/>
  <c r="P75" i="26"/>
  <c r="P78" i="26"/>
  <c r="P76" i="26"/>
  <c r="T416" i="5"/>
  <c r="T332" i="5"/>
  <c r="AF415" i="5"/>
  <c r="AF331" i="5"/>
  <c r="W71" i="5"/>
  <c r="W74" i="5"/>
  <c r="W75" i="5"/>
  <c r="W67" i="5"/>
  <c r="W70" i="5"/>
  <c r="W73" i="5"/>
  <c r="W76" i="5"/>
  <c r="W68" i="5"/>
  <c r="W77" i="5"/>
  <c r="W72" i="5"/>
  <c r="W69" i="5"/>
  <c r="Q75" i="26"/>
  <c r="Q78" i="26"/>
  <c r="Q77" i="26"/>
  <c r="Q72" i="26"/>
  <c r="Q73" i="26"/>
  <c r="Q70" i="26"/>
  <c r="Q76" i="26"/>
  <c r="Q71" i="26"/>
  <c r="Q68" i="26"/>
  <c r="Q74" i="26"/>
  <c r="Q69" i="26"/>
  <c r="S409" i="5"/>
  <c r="S325" i="5"/>
  <c r="T161" i="5"/>
  <c r="T164" i="5"/>
  <c r="T165" i="5"/>
  <c r="T168" i="5"/>
  <c r="T160" i="5"/>
  <c r="T166" i="5"/>
  <c r="T158" i="5"/>
  <c r="T162" i="5"/>
  <c r="T159" i="5"/>
  <c r="T163" i="5"/>
  <c r="T167" i="5"/>
  <c r="AC413" i="5"/>
  <c r="AC329" i="5"/>
  <c r="R103" i="26"/>
  <c r="R106" i="26"/>
  <c r="R98" i="26"/>
  <c r="R101" i="26"/>
  <c r="R104" i="26"/>
  <c r="R107" i="26"/>
  <c r="R99" i="26"/>
  <c r="R102" i="26"/>
  <c r="R105" i="26"/>
  <c r="R108" i="26"/>
  <c r="R100" i="26"/>
  <c r="P105" i="26"/>
  <c r="P108" i="26"/>
  <c r="P100" i="26"/>
  <c r="P103" i="26"/>
  <c r="P106" i="26"/>
  <c r="P98" i="26"/>
  <c r="P101" i="26"/>
  <c r="P104" i="26"/>
  <c r="P107" i="26"/>
  <c r="P99" i="26"/>
  <c r="P102" i="26"/>
  <c r="O151" i="26"/>
  <c r="O143" i="26"/>
  <c r="O146" i="26"/>
  <c r="O149" i="26"/>
  <c r="O152" i="26"/>
  <c r="O144" i="26"/>
  <c r="O147" i="26"/>
  <c r="O150" i="26"/>
  <c r="O153" i="26"/>
  <c r="O145" i="26"/>
  <c r="O148" i="26"/>
  <c r="T413" i="5"/>
  <c r="T329" i="5"/>
  <c r="J326" i="5"/>
  <c r="J410" i="5"/>
  <c r="W414" i="5"/>
  <c r="W330" i="5"/>
  <c r="S88" i="5"/>
  <c r="S86" i="5"/>
  <c r="S89" i="5"/>
  <c r="S92" i="5"/>
  <c r="S84" i="5"/>
  <c r="S87" i="5"/>
  <c r="S90" i="5"/>
  <c r="S91" i="5"/>
  <c r="S85" i="5"/>
  <c r="S82" i="5"/>
  <c r="S83" i="5"/>
  <c r="V413" i="5"/>
  <c r="V329" i="5"/>
  <c r="U410" i="5"/>
  <c r="U326" i="5"/>
  <c r="Q168" i="26"/>
  <c r="Q166" i="26"/>
  <c r="Q160" i="26"/>
  <c r="Q163" i="26"/>
  <c r="Q161" i="26"/>
  <c r="Q169" i="26"/>
  <c r="Q164" i="26"/>
  <c r="Q162" i="26"/>
  <c r="Q159" i="26"/>
  <c r="Q165" i="26"/>
  <c r="Q167" i="26"/>
  <c r="K410" i="5"/>
  <c r="K326" i="5"/>
  <c r="P415" i="5"/>
  <c r="P331" i="5"/>
  <c r="J72" i="5"/>
  <c r="J75" i="5"/>
  <c r="J67" i="5"/>
  <c r="J76" i="5"/>
  <c r="J68" i="5"/>
  <c r="J71" i="5"/>
  <c r="J74" i="5"/>
  <c r="J77" i="5"/>
  <c r="J69" i="5"/>
  <c r="J73" i="5"/>
  <c r="J70" i="5"/>
  <c r="Z406" i="5"/>
  <c r="Z322" i="5"/>
  <c r="Z8" i="5"/>
  <c r="Z7" i="5"/>
  <c r="AD415" i="5"/>
  <c r="AD331" i="5"/>
  <c r="M73" i="5"/>
  <c r="M76" i="5"/>
  <c r="M68" i="5"/>
  <c r="M77" i="5"/>
  <c r="M69" i="5"/>
  <c r="M72" i="5"/>
  <c r="M75" i="5"/>
  <c r="M67" i="5"/>
  <c r="M70" i="5"/>
  <c r="M74" i="5"/>
  <c r="M71" i="5"/>
  <c r="AC104" i="26"/>
  <c r="AC107" i="26"/>
  <c r="AC99" i="26"/>
  <c r="AC102" i="26"/>
  <c r="AC105" i="26"/>
  <c r="AC108" i="26"/>
  <c r="AC100" i="26"/>
  <c r="AC103" i="26"/>
  <c r="AC106" i="26"/>
  <c r="AC98" i="26"/>
  <c r="AC101" i="26"/>
  <c r="W415" i="5"/>
  <c r="W331" i="5"/>
  <c r="M415" i="5"/>
  <c r="M331" i="5"/>
  <c r="AD107" i="26"/>
  <c r="AD99" i="26"/>
  <c r="AD102" i="26"/>
  <c r="AD105" i="26"/>
  <c r="AD108" i="26"/>
  <c r="AD100" i="26"/>
  <c r="AD103" i="26"/>
  <c r="AD106" i="26"/>
  <c r="AD98" i="26"/>
  <c r="AD101" i="26"/>
  <c r="AD104" i="26"/>
  <c r="AB322" i="5"/>
  <c r="AB406" i="5"/>
  <c r="AB7" i="5"/>
  <c r="AB8" i="5"/>
  <c r="AG416" i="5"/>
  <c r="AG332" i="5"/>
  <c r="AE415" i="5"/>
  <c r="AE331" i="5"/>
  <c r="AC406" i="5"/>
  <c r="AC322" i="5"/>
  <c r="AC8" i="5"/>
  <c r="AC7" i="5"/>
  <c r="U152" i="5"/>
  <c r="U144" i="5"/>
  <c r="U147" i="5"/>
  <c r="U150" i="5"/>
  <c r="U142" i="5"/>
  <c r="U145" i="5"/>
  <c r="U148" i="5"/>
  <c r="U151" i="5"/>
  <c r="U143" i="5"/>
  <c r="U146" i="5"/>
  <c r="U149" i="5"/>
  <c r="N88" i="26"/>
  <c r="N91" i="26"/>
  <c r="N83" i="26"/>
  <c r="N89" i="26"/>
  <c r="N92" i="26"/>
  <c r="N84" i="26"/>
  <c r="N87" i="26"/>
  <c r="N90" i="26"/>
  <c r="N86" i="26"/>
  <c r="N93" i="26"/>
  <c r="N85" i="26"/>
  <c r="U153" i="26"/>
  <c r="U145" i="26"/>
  <c r="U148" i="26"/>
  <c r="U151" i="26"/>
  <c r="U143" i="26"/>
  <c r="U146" i="26"/>
  <c r="U149" i="26"/>
  <c r="U152" i="26"/>
  <c r="U144" i="26"/>
  <c r="U147" i="26"/>
  <c r="U150" i="26"/>
  <c r="AF165" i="26"/>
  <c r="AF160" i="26"/>
  <c r="AF162" i="26"/>
  <c r="AF163" i="26"/>
  <c r="AF169" i="26"/>
  <c r="AF166" i="26"/>
  <c r="AF167" i="26"/>
  <c r="AF161" i="26"/>
  <c r="AF168" i="26"/>
  <c r="AF159" i="26"/>
  <c r="AF164" i="26"/>
  <c r="AE91" i="26"/>
  <c r="AE83" i="26"/>
  <c r="AE86" i="26"/>
  <c r="AE92" i="26"/>
  <c r="AE84" i="26"/>
  <c r="AE87" i="26"/>
  <c r="AE90" i="26"/>
  <c r="AE93" i="26"/>
  <c r="AE85" i="26"/>
  <c r="AE88" i="26"/>
  <c r="AE89" i="26"/>
  <c r="X68" i="26"/>
  <c r="X72" i="26"/>
  <c r="X71" i="26"/>
  <c r="X73" i="26"/>
  <c r="X74" i="26"/>
  <c r="X77" i="26"/>
  <c r="X78" i="26"/>
  <c r="X69" i="26"/>
  <c r="X70" i="26"/>
  <c r="X75" i="26"/>
  <c r="X76" i="26"/>
  <c r="L414" i="5"/>
  <c r="L330" i="5"/>
  <c r="AA329" i="5"/>
  <c r="AA413" i="5"/>
  <c r="R413" i="5"/>
  <c r="R329" i="5"/>
  <c r="Y413" i="5"/>
  <c r="Y329" i="5"/>
  <c r="X413" i="5"/>
  <c r="X329" i="5"/>
  <c r="AE409" i="5"/>
  <c r="AE325" i="5"/>
  <c r="X74" i="5"/>
  <c r="X77" i="5"/>
  <c r="X69" i="5"/>
  <c r="X70" i="5"/>
  <c r="X73" i="5"/>
  <c r="X76" i="5"/>
  <c r="X68" i="5"/>
  <c r="X71" i="5"/>
  <c r="X75" i="5"/>
  <c r="X72" i="5"/>
  <c r="X67" i="5"/>
  <c r="M161" i="26"/>
  <c r="M166" i="26"/>
  <c r="M164" i="26"/>
  <c r="M169" i="26"/>
  <c r="M167" i="26"/>
  <c r="M163" i="26"/>
  <c r="M159" i="26"/>
  <c r="M162" i="26"/>
  <c r="M160" i="26"/>
  <c r="M168" i="26"/>
  <c r="M165" i="26"/>
  <c r="R92" i="26"/>
  <c r="R84" i="26"/>
  <c r="R87" i="26"/>
  <c r="R93" i="26"/>
  <c r="R85" i="26"/>
  <c r="R88" i="26"/>
  <c r="R91" i="26"/>
  <c r="R83" i="26"/>
  <c r="R86" i="26"/>
  <c r="R89" i="26"/>
  <c r="R90" i="26"/>
  <c r="S76" i="26"/>
  <c r="S77" i="26"/>
  <c r="S71" i="26"/>
  <c r="S69" i="26"/>
  <c r="S74" i="26"/>
  <c r="S70" i="26"/>
  <c r="S72" i="26"/>
  <c r="S68" i="26"/>
  <c r="S75" i="26"/>
  <c r="S73" i="26"/>
  <c r="S78" i="26"/>
  <c r="P86" i="26"/>
  <c r="P89" i="26"/>
  <c r="P87" i="26"/>
  <c r="P90" i="26"/>
  <c r="P93" i="26"/>
  <c r="P85" i="26"/>
  <c r="P88" i="26"/>
  <c r="P92" i="26"/>
  <c r="P84" i="26"/>
  <c r="P91" i="26"/>
  <c r="P83" i="26"/>
  <c r="K69" i="26"/>
  <c r="K74" i="26"/>
  <c r="K72" i="26"/>
  <c r="K68" i="26"/>
  <c r="K77" i="26"/>
  <c r="K75" i="26"/>
  <c r="K78" i="26"/>
  <c r="K70" i="26"/>
  <c r="K76" i="26"/>
  <c r="K71" i="26"/>
  <c r="K73" i="26"/>
  <c r="AB413" i="5"/>
  <c r="AB329" i="5"/>
  <c r="S413" i="5"/>
  <c r="S329" i="5"/>
  <c r="J413" i="5"/>
  <c r="J329" i="5"/>
  <c r="Q413" i="5"/>
  <c r="Q329" i="5"/>
  <c r="P413" i="5"/>
  <c r="P329" i="5"/>
  <c r="W325" i="5"/>
  <c r="W409" i="5"/>
  <c r="AE150" i="5"/>
  <c r="AE142" i="5"/>
  <c r="AE145" i="5"/>
  <c r="AE148" i="5"/>
  <c r="AE151" i="5"/>
  <c r="AE143" i="5"/>
  <c r="AE146" i="5"/>
  <c r="AE149" i="5"/>
  <c r="AE152" i="5"/>
  <c r="AE147" i="5"/>
  <c r="AE144" i="5"/>
  <c r="AD330" i="5"/>
  <c r="AD414" i="5"/>
  <c r="O162" i="5"/>
  <c r="O165" i="5"/>
  <c r="O166" i="5"/>
  <c r="O158" i="5"/>
  <c r="O161" i="5"/>
  <c r="O167" i="5"/>
  <c r="O159" i="5"/>
  <c r="O163" i="5"/>
  <c r="O168" i="5"/>
  <c r="O164" i="5"/>
  <c r="O160" i="5"/>
  <c r="AC327" i="5"/>
  <c r="AC411" i="5"/>
  <c r="J68" i="26"/>
  <c r="J73" i="26"/>
  <c r="J76" i="26"/>
  <c r="J78" i="26"/>
  <c r="J69" i="26"/>
  <c r="J70" i="26"/>
  <c r="J72" i="26"/>
  <c r="J74" i="26"/>
  <c r="J71" i="26"/>
  <c r="J75" i="26"/>
  <c r="J77" i="26"/>
  <c r="Y108" i="26"/>
  <c r="Y100" i="26"/>
  <c r="Y103" i="26"/>
  <c r="Y106" i="26"/>
  <c r="Y98" i="26"/>
  <c r="Y101" i="26"/>
  <c r="Y104" i="26"/>
  <c r="Y107" i="26"/>
  <c r="Y99" i="26"/>
  <c r="Y102" i="26"/>
  <c r="Y105" i="26"/>
  <c r="W92" i="5"/>
  <c r="W84" i="5"/>
  <c r="W90" i="5"/>
  <c r="W88" i="5"/>
  <c r="W91" i="5"/>
  <c r="W86" i="5"/>
  <c r="W82" i="5"/>
  <c r="W85" i="5"/>
  <c r="W87" i="5"/>
  <c r="W83" i="5"/>
  <c r="W89" i="5"/>
  <c r="H71" i="17"/>
  <c r="F100" i="17"/>
  <c r="H42" i="17"/>
  <c r="J33" i="22"/>
  <c r="P145" i="5"/>
  <c r="P148" i="5"/>
  <c r="P151" i="5"/>
  <c r="P143" i="5"/>
  <c r="P146" i="5"/>
  <c r="P149" i="5"/>
  <c r="P152" i="5"/>
  <c r="P144" i="5"/>
  <c r="P150" i="5"/>
  <c r="P147" i="5"/>
  <c r="P142" i="5"/>
  <c r="Q108" i="26"/>
  <c r="Q100" i="26"/>
  <c r="Q103" i="26"/>
  <c r="Q106" i="26"/>
  <c r="Q98" i="26"/>
  <c r="Q101" i="26"/>
  <c r="Q104" i="26"/>
  <c r="Q107" i="26"/>
  <c r="Q99" i="26"/>
  <c r="Q102" i="26"/>
  <c r="Q105" i="26"/>
  <c r="J163" i="5"/>
  <c r="J166" i="5"/>
  <c r="J158" i="5"/>
  <c r="J167" i="5"/>
  <c r="J159" i="5"/>
  <c r="J162" i="5"/>
  <c r="J168" i="5"/>
  <c r="J160" i="5"/>
  <c r="J164" i="5"/>
  <c r="J161" i="5"/>
  <c r="J165" i="5"/>
  <c r="AC409" i="5"/>
  <c r="AC325" i="5"/>
  <c r="N406" i="5"/>
  <c r="N322" i="5"/>
  <c r="N8" i="5"/>
  <c r="N7" i="5"/>
  <c r="AG90" i="5"/>
  <c r="AG88" i="5"/>
  <c r="AG91" i="5"/>
  <c r="AG86" i="5"/>
  <c r="AG89" i="5"/>
  <c r="AG84" i="5"/>
  <c r="AG92" i="5"/>
  <c r="AG83" i="5"/>
  <c r="AG85" i="5"/>
  <c r="AG82" i="5"/>
  <c r="AG87" i="5"/>
  <c r="U408" i="5"/>
  <c r="U324" i="5"/>
  <c r="J411" i="5"/>
  <c r="J327" i="5"/>
  <c r="L70" i="5"/>
  <c r="L73" i="5"/>
  <c r="L74" i="5"/>
  <c r="L77" i="5"/>
  <c r="L69" i="5"/>
  <c r="L72" i="5"/>
  <c r="L75" i="5"/>
  <c r="L67" i="5"/>
  <c r="L76" i="5"/>
  <c r="L71" i="5"/>
  <c r="L68" i="5"/>
  <c r="AB409" i="5"/>
  <c r="AB325" i="5"/>
  <c r="AA406" i="5"/>
  <c r="AA322" i="5"/>
  <c r="AA8" i="5"/>
  <c r="AA7" i="5"/>
  <c r="R406" i="5"/>
  <c r="R322" i="5"/>
  <c r="R8" i="5"/>
  <c r="R7" i="5"/>
  <c r="Y406" i="5"/>
  <c r="Y322" i="5"/>
  <c r="Y7" i="5"/>
  <c r="Y8" i="5"/>
  <c r="O416" i="5"/>
  <c r="O332" i="5"/>
  <c r="AC407" i="5"/>
  <c r="AC323" i="5"/>
  <c r="U407" i="5"/>
  <c r="U323" i="5"/>
  <c r="M152" i="5"/>
  <c r="M144" i="5"/>
  <c r="M147" i="5"/>
  <c r="M150" i="5"/>
  <c r="M142" i="5"/>
  <c r="M145" i="5"/>
  <c r="M148" i="5"/>
  <c r="M151" i="5"/>
  <c r="M143" i="5"/>
  <c r="M149" i="5"/>
  <c r="M146" i="5"/>
  <c r="AE75" i="26"/>
  <c r="AE70" i="26"/>
  <c r="AE73" i="26"/>
  <c r="AE69" i="26"/>
  <c r="AE76" i="26"/>
  <c r="AE78" i="26"/>
  <c r="AE71" i="26"/>
  <c r="AE68" i="26"/>
  <c r="AE77" i="26"/>
  <c r="AE72" i="26"/>
  <c r="AE74" i="26"/>
  <c r="S416" i="5"/>
  <c r="S332" i="5"/>
  <c r="O415" i="5"/>
  <c r="O331" i="5"/>
  <c r="K416" i="5"/>
  <c r="K332" i="5"/>
  <c r="AE414" i="5"/>
  <c r="AE330" i="5"/>
  <c r="Y75" i="26"/>
  <c r="Y69" i="26"/>
  <c r="Y78" i="26"/>
  <c r="Y70" i="26"/>
  <c r="Y73" i="26"/>
  <c r="Y71" i="26"/>
  <c r="Y76" i="26"/>
  <c r="Y77" i="26"/>
  <c r="Y72" i="26"/>
  <c r="Y74" i="26"/>
  <c r="Y68" i="26"/>
  <c r="Y407" i="5"/>
  <c r="Y323" i="5"/>
  <c r="V407" i="5"/>
  <c r="V323" i="5"/>
  <c r="N147" i="5"/>
  <c r="N150" i="5"/>
  <c r="N142" i="5"/>
  <c r="N145" i="5"/>
  <c r="N148" i="5"/>
  <c r="N151" i="5"/>
  <c r="N143" i="5"/>
  <c r="N146" i="5"/>
  <c r="N152" i="5"/>
  <c r="N149" i="5"/>
  <c r="N144" i="5"/>
  <c r="P411" i="5"/>
  <c r="P327" i="5"/>
  <c r="J409" i="5"/>
  <c r="J325" i="5"/>
  <c r="Y77" i="5"/>
  <c r="Y69" i="5"/>
  <c r="Y72" i="5"/>
  <c r="Y73" i="5"/>
  <c r="Y76" i="5"/>
  <c r="Y68" i="5"/>
  <c r="Y71" i="5"/>
  <c r="Y74" i="5"/>
  <c r="Y70" i="5"/>
  <c r="Y75" i="5"/>
  <c r="Y67" i="5"/>
  <c r="Q406" i="5"/>
  <c r="Q322" i="5"/>
  <c r="Q7" i="5"/>
  <c r="Q8" i="5"/>
  <c r="AC93" i="26"/>
  <c r="AC85" i="26"/>
  <c r="AC88" i="26"/>
  <c r="AC86" i="26"/>
  <c r="AC89" i="26"/>
  <c r="AC92" i="26"/>
  <c r="AC84" i="26"/>
  <c r="AC87" i="26"/>
  <c r="AC91" i="26"/>
  <c r="AC83" i="26"/>
  <c r="AC90" i="26"/>
  <c r="N107" i="26"/>
  <c r="N99" i="26"/>
  <c r="N102" i="26"/>
  <c r="N105" i="26"/>
  <c r="N108" i="26"/>
  <c r="N100" i="26"/>
  <c r="N103" i="26"/>
  <c r="N106" i="26"/>
  <c r="N98" i="26"/>
  <c r="N101" i="26"/>
  <c r="N104" i="26"/>
  <c r="AB101" i="26"/>
  <c r="AB104" i="26"/>
  <c r="AB107" i="26"/>
  <c r="AB99" i="26"/>
  <c r="AB102" i="26"/>
  <c r="AB105" i="26"/>
  <c r="AB108" i="26"/>
  <c r="AB100" i="26"/>
  <c r="AB103" i="26"/>
  <c r="AB106" i="26"/>
  <c r="AB98" i="26"/>
  <c r="V410" i="5"/>
  <c r="V326" i="5"/>
  <c r="S167" i="26"/>
  <c r="S160" i="26"/>
  <c r="S159" i="26"/>
  <c r="S163" i="26"/>
  <c r="S162" i="26"/>
  <c r="S168" i="26"/>
  <c r="S165" i="26"/>
  <c r="S166" i="26"/>
  <c r="S164" i="26"/>
  <c r="S169" i="26"/>
  <c r="S161" i="26"/>
  <c r="K164" i="26"/>
  <c r="K167" i="26"/>
  <c r="K161" i="26"/>
  <c r="K168" i="26"/>
  <c r="K159" i="26"/>
  <c r="K169" i="26"/>
  <c r="K160" i="26"/>
  <c r="K162" i="26"/>
  <c r="K163" i="26"/>
  <c r="K165" i="26"/>
  <c r="K166" i="26"/>
  <c r="AE71" i="5"/>
  <c r="AE74" i="5"/>
  <c r="AE77" i="5"/>
  <c r="AE75" i="5"/>
  <c r="AE67" i="5"/>
  <c r="AE70" i="5"/>
  <c r="AE73" i="5"/>
  <c r="AE76" i="5"/>
  <c r="AE68" i="5"/>
  <c r="AE72" i="5"/>
  <c r="AE69" i="5"/>
  <c r="O92" i="5"/>
  <c r="O90" i="5"/>
  <c r="O88" i="5"/>
  <c r="O91" i="5"/>
  <c r="O82" i="5"/>
  <c r="O89" i="5"/>
  <c r="O86" i="5"/>
  <c r="O83" i="5"/>
  <c r="O87" i="5"/>
  <c r="O84" i="5"/>
  <c r="O85" i="5"/>
  <c r="Y165" i="26"/>
  <c r="Y167" i="26"/>
  <c r="Y160" i="26"/>
  <c r="Y164" i="26"/>
  <c r="Y163" i="26"/>
  <c r="Y169" i="26"/>
  <c r="Y159" i="26"/>
  <c r="Y166" i="26"/>
  <c r="Y161" i="26"/>
  <c r="Y168" i="26"/>
  <c r="Y162" i="26"/>
  <c r="K413" i="5"/>
  <c r="K329" i="5"/>
  <c r="U415" i="5"/>
  <c r="U331" i="5"/>
  <c r="W150" i="5"/>
  <c r="W142" i="5"/>
  <c r="W145" i="5"/>
  <c r="W148" i="5"/>
  <c r="W151" i="5"/>
  <c r="W143" i="5"/>
  <c r="W146" i="5"/>
  <c r="W149" i="5"/>
  <c r="W152" i="5"/>
  <c r="W147" i="5"/>
  <c r="W144" i="5"/>
  <c r="L413" i="5"/>
  <c r="L329" i="5"/>
  <c r="J407" i="5"/>
  <c r="J323" i="5"/>
  <c r="W411" i="5"/>
  <c r="W327" i="5"/>
  <c r="T415" i="5"/>
  <c r="T331" i="5"/>
  <c r="AA409" i="5"/>
  <c r="AA325" i="5"/>
  <c r="AF414" i="5"/>
  <c r="AF330" i="5"/>
  <c r="O411" i="5"/>
  <c r="O327" i="5"/>
  <c r="AD322" i="5"/>
  <c r="AD406" i="5"/>
  <c r="AD8" i="5"/>
  <c r="AD7" i="5"/>
  <c r="V147" i="5"/>
  <c r="V150" i="5"/>
  <c r="V142" i="5"/>
  <c r="V145" i="5"/>
  <c r="V148" i="5"/>
  <c r="V151" i="5"/>
  <c r="V143" i="5"/>
  <c r="V146" i="5"/>
  <c r="V152" i="5"/>
  <c r="V149" i="5"/>
  <c r="V144" i="5"/>
  <c r="W91" i="26"/>
  <c r="W83" i="26"/>
  <c r="W86" i="26"/>
  <c r="W92" i="26"/>
  <c r="W84" i="26"/>
  <c r="W87" i="26"/>
  <c r="W90" i="26"/>
  <c r="W93" i="26"/>
  <c r="W85" i="26"/>
  <c r="W89" i="26"/>
  <c r="W88" i="26"/>
  <c r="L149" i="5"/>
  <c r="L152" i="5"/>
  <c r="L144" i="5"/>
  <c r="L147" i="5"/>
  <c r="L150" i="5"/>
  <c r="L142" i="5"/>
  <c r="L145" i="5"/>
  <c r="L148" i="5"/>
  <c r="L151" i="5"/>
  <c r="L146" i="5"/>
  <c r="L143" i="5"/>
  <c r="R416" i="5"/>
  <c r="R332" i="5"/>
  <c r="Z416" i="5"/>
  <c r="Z332" i="5"/>
  <c r="AF416" i="5"/>
  <c r="AF332" i="5"/>
  <c r="AF406" i="5"/>
  <c r="AF322" i="5"/>
  <c r="AF7" i="5"/>
  <c r="AF8" i="5"/>
  <c r="AC415" i="5"/>
  <c r="AC331" i="5"/>
  <c r="V148" i="26"/>
  <c r="V151" i="26"/>
  <c r="V143" i="26"/>
  <c r="V146" i="26"/>
  <c r="V149" i="26"/>
  <c r="V152" i="26"/>
  <c r="V144" i="26"/>
  <c r="V147" i="26"/>
  <c r="V150" i="26"/>
  <c r="V153" i="26"/>
  <c r="V145" i="26"/>
  <c r="X408" i="5"/>
  <c r="X324" i="5"/>
  <c r="T91" i="5"/>
  <c r="T89" i="5"/>
  <c r="T92" i="5"/>
  <c r="T87" i="5"/>
  <c r="T90" i="5"/>
  <c r="T86" i="5"/>
  <c r="T84" i="5"/>
  <c r="T85" i="5"/>
  <c r="T82" i="5"/>
  <c r="T88" i="5"/>
  <c r="T83" i="5"/>
  <c r="Z161" i="26"/>
  <c r="Z168" i="26"/>
  <c r="Z164" i="26"/>
  <c r="Z165" i="26"/>
  <c r="Z167" i="26"/>
  <c r="Z163" i="26"/>
  <c r="Z169" i="26"/>
  <c r="Z159" i="26"/>
  <c r="Z160" i="26"/>
  <c r="Z162" i="26"/>
  <c r="Z166" i="26"/>
  <c r="AF86" i="26"/>
  <c r="AF89" i="26"/>
  <c r="AF87" i="26"/>
  <c r="AF90" i="26"/>
  <c r="AF93" i="26"/>
  <c r="AF85" i="26"/>
  <c r="AF88" i="26"/>
  <c r="AF91" i="26"/>
  <c r="AF83" i="26"/>
  <c r="AF84" i="26"/>
  <c r="AF92" i="26"/>
  <c r="AE102" i="26"/>
  <c r="AE105" i="26"/>
  <c r="AE108" i="26"/>
  <c r="AE100" i="26"/>
  <c r="AE103" i="26"/>
  <c r="AE106" i="26"/>
  <c r="AE98" i="26"/>
  <c r="AE101" i="26"/>
  <c r="AE104" i="26"/>
  <c r="AE107" i="26"/>
  <c r="AE99" i="26"/>
  <c r="AA168" i="26"/>
  <c r="AA164" i="26"/>
  <c r="AA167" i="26"/>
  <c r="AA166" i="26"/>
  <c r="AA169" i="26"/>
  <c r="AA159" i="26"/>
  <c r="AA160" i="26"/>
  <c r="AA162" i="26"/>
  <c r="AA163" i="26"/>
  <c r="AA165" i="26"/>
  <c r="AA161" i="26"/>
  <c r="X105" i="26"/>
  <c r="X108" i="26"/>
  <c r="X100" i="26"/>
  <c r="X103" i="26"/>
  <c r="X106" i="26"/>
  <c r="X98" i="26"/>
  <c r="X101" i="26"/>
  <c r="X104" i="26"/>
  <c r="X107" i="26"/>
  <c r="X99" i="26"/>
  <c r="X102" i="26"/>
  <c r="K406" i="5"/>
  <c r="K322" i="5"/>
  <c r="K8" i="5"/>
  <c r="K23" i="5" s="1"/>
  <c r="H142" i="28" s="1"/>
  <c r="K7" i="5"/>
  <c r="N416" i="5"/>
  <c r="N332" i="5"/>
  <c r="X165" i="5"/>
  <c r="X168" i="5"/>
  <c r="X160" i="5"/>
  <c r="X161" i="5"/>
  <c r="X164" i="5"/>
  <c r="X162" i="5"/>
  <c r="X166" i="5"/>
  <c r="X167" i="5"/>
  <c r="X163" i="5"/>
  <c r="X159" i="5"/>
  <c r="X158" i="5"/>
  <c r="M413" i="5"/>
  <c r="M329" i="5"/>
  <c r="M93" i="26"/>
  <c r="M85" i="26"/>
  <c r="M88" i="26"/>
  <c r="M86" i="26"/>
  <c r="M89" i="26"/>
  <c r="M92" i="26"/>
  <c r="M84" i="26"/>
  <c r="M87" i="26"/>
  <c r="M91" i="26"/>
  <c r="M83" i="26"/>
  <c r="M90" i="26"/>
  <c r="R152" i="26"/>
  <c r="R144" i="26"/>
  <c r="R147" i="26"/>
  <c r="R150" i="26"/>
  <c r="R153" i="26"/>
  <c r="R145" i="26"/>
  <c r="R148" i="26"/>
  <c r="R151" i="26"/>
  <c r="R143" i="26"/>
  <c r="R146" i="26"/>
  <c r="R149" i="26"/>
  <c r="T73" i="26"/>
  <c r="T76" i="26"/>
  <c r="T78" i="26"/>
  <c r="T71" i="26"/>
  <c r="T68" i="26"/>
  <c r="T70" i="26"/>
  <c r="T74" i="26"/>
  <c r="T72" i="26"/>
  <c r="T69" i="26"/>
  <c r="T75" i="26"/>
  <c r="T77" i="26"/>
  <c r="S87" i="26"/>
  <c r="S90" i="26"/>
  <c r="S88" i="26"/>
  <c r="S91" i="26"/>
  <c r="S83" i="26"/>
  <c r="S86" i="26"/>
  <c r="S89" i="26"/>
  <c r="S92" i="26"/>
  <c r="S84" i="26"/>
  <c r="S93" i="26"/>
  <c r="S85" i="26"/>
  <c r="P146" i="26"/>
  <c r="P149" i="26"/>
  <c r="P152" i="26"/>
  <c r="P144" i="26"/>
  <c r="P147" i="26"/>
  <c r="P150" i="26"/>
  <c r="P153" i="26"/>
  <c r="P145" i="26"/>
  <c r="P148" i="26"/>
  <c r="P151" i="26"/>
  <c r="P143" i="26"/>
  <c r="L163" i="26"/>
  <c r="L165" i="26"/>
  <c r="L166" i="26"/>
  <c r="L168" i="26"/>
  <c r="L159" i="26"/>
  <c r="L169" i="26"/>
  <c r="L160" i="26"/>
  <c r="L161" i="26"/>
  <c r="L162" i="26"/>
  <c r="L164" i="26"/>
  <c r="L167" i="26"/>
  <c r="K87" i="26"/>
  <c r="K90" i="26"/>
  <c r="K88" i="26"/>
  <c r="K91" i="26"/>
  <c r="K83" i="26"/>
  <c r="K86" i="26"/>
  <c r="K89" i="26"/>
  <c r="K92" i="26"/>
  <c r="K84" i="26"/>
  <c r="K93" i="26"/>
  <c r="K85" i="26"/>
  <c r="AE92" i="5"/>
  <c r="AE84" i="5"/>
  <c r="AE90" i="5"/>
  <c r="AE85" i="5"/>
  <c r="AE88" i="5"/>
  <c r="AE91" i="5"/>
  <c r="AE87" i="5"/>
  <c r="AE82" i="5"/>
  <c r="AE83" i="5"/>
  <c r="AE89" i="5"/>
  <c r="AE86" i="5"/>
  <c r="Q29" i="5"/>
  <c r="P47" i="5"/>
  <c r="J165" i="26"/>
  <c r="J167" i="26"/>
  <c r="J168" i="26"/>
  <c r="J159" i="26"/>
  <c r="J160" i="26"/>
  <c r="J162" i="26"/>
  <c r="J161" i="26"/>
  <c r="J163" i="26"/>
  <c r="J164" i="26"/>
  <c r="J166" i="26"/>
  <c r="J169" i="26"/>
  <c r="Y89" i="26"/>
  <c r="Y92" i="26"/>
  <c r="Y84" i="26"/>
  <c r="Y90" i="26"/>
  <c r="Y93" i="26"/>
  <c r="Y85" i="26"/>
  <c r="Y88" i="26"/>
  <c r="Y91" i="26"/>
  <c r="Y83" i="26"/>
  <c r="Y86" i="26"/>
  <c r="Y87" i="26"/>
  <c r="AB410" i="5"/>
  <c r="AB326" i="5"/>
  <c r="S410" i="5"/>
  <c r="S326" i="5"/>
  <c r="R407" i="5"/>
  <c r="R323" i="5"/>
  <c r="X415" i="5"/>
  <c r="X331" i="5"/>
  <c r="AE411" i="5"/>
  <c r="AE327" i="5"/>
  <c r="S406" i="5"/>
  <c r="S322" i="5"/>
  <c r="S8" i="5"/>
  <c r="S7" i="5"/>
  <c r="M416" i="5"/>
  <c r="M332" i="5"/>
  <c r="W162" i="5"/>
  <c r="W165" i="5"/>
  <c r="W166" i="5"/>
  <c r="W158" i="5"/>
  <c r="W161" i="5"/>
  <c r="W167" i="5"/>
  <c r="W159" i="5"/>
  <c r="W168" i="5"/>
  <c r="W160" i="5"/>
  <c r="W163" i="5"/>
  <c r="W164" i="5"/>
  <c r="E41" i="17"/>
  <c r="D41" i="17"/>
  <c r="C41" i="17"/>
  <c r="I41" i="17"/>
  <c r="G41" i="17"/>
  <c r="F41" i="17"/>
  <c r="P87" i="5"/>
  <c r="P88" i="5"/>
  <c r="P91" i="5"/>
  <c r="P86" i="5"/>
  <c r="P92" i="5"/>
  <c r="P89" i="5"/>
  <c r="P83" i="5"/>
  <c r="P90" i="5"/>
  <c r="P84" i="5"/>
  <c r="P85" i="5"/>
  <c r="P82" i="5"/>
  <c r="Q89" i="26"/>
  <c r="Q92" i="26"/>
  <c r="Q84" i="26"/>
  <c r="Q90" i="26"/>
  <c r="Q93" i="26"/>
  <c r="Q85" i="26"/>
  <c r="Q88" i="26"/>
  <c r="Q91" i="26"/>
  <c r="Q83" i="26"/>
  <c r="Q87" i="26"/>
  <c r="Q86" i="26"/>
  <c r="T410" i="5"/>
  <c r="T326" i="5"/>
  <c r="S407" i="5"/>
  <c r="S323" i="5"/>
  <c r="Q415" i="5"/>
  <c r="Q331" i="5"/>
  <c r="AF409" i="5"/>
  <c r="AF325" i="5"/>
  <c r="AE408" i="5"/>
  <c r="AE324" i="5"/>
  <c r="J102" i="5"/>
  <c r="J104" i="5"/>
  <c r="J105" i="5"/>
  <c r="J97" i="5"/>
  <c r="J106" i="5"/>
  <c r="J98" i="5"/>
  <c r="J107" i="5"/>
  <c r="J99" i="5"/>
  <c r="J101" i="5"/>
  <c r="J103" i="5"/>
  <c r="J100" i="5"/>
  <c r="L410" i="5"/>
  <c r="L326" i="5"/>
  <c r="K407" i="5"/>
  <c r="K323" i="5"/>
  <c r="AG414" i="5"/>
  <c r="AG330" i="5"/>
  <c r="AG168" i="5"/>
  <c r="AG160" i="5"/>
  <c r="AG163" i="5"/>
  <c r="AG164" i="5"/>
  <c r="AG167" i="5"/>
  <c r="AG159" i="5"/>
  <c r="AG165" i="5"/>
  <c r="AG166" i="5"/>
  <c r="AG162" i="5"/>
  <c r="AG158" i="5"/>
  <c r="AG161" i="5"/>
  <c r="X409" i="5"/>
  <c r="X325" i="5"/>
  <c r="W408" i="5"/>
  <c r="W324" i="5"/>
  <c r="V322" i="5"/>
  <c r="V406" i="5"/>
  <c r="V8" i="5"/>
  <c r="V7" i="5"/>
  <c r="L161" i="5"/>
  <c r="L164" i="5"/>
  <c r="L165" i="5"/>
  <c r="L168" i="5"/>
  <c r="L160" i="5"/>
  <c r="L166" i="5"/>
  <c r="L162" i="5"/>
  <c r="L158" i="5"/>
  <c r="L167" i="5"/>
  <c r="L163" i="5"/>
  <c r="L159" i="5"/>
  <c r="Q90" i="5"/>
  <c r="Q88" i="5"/>
  <c r="Q91" i="5"/>
  <c r="Q86" i="5"/>
  <c r="Q89" i="5"/>
  <c r="Q83" i="5"/>
  <c r="Q84" i="5"/>
  <c r="Q87" i="5"/>
  <c r="Q85" i="5"/>
  <c r="Q82" i="5"/>
  <c r="Q92" i="5"/>
  <c r="AC153" i="26"/>
  <c r="AC145" i="26"/>
  <c r="AC148" i="26"/>
  <c r="AC151" i="26"/>
  <c r="AC143" i="26"/>
  <c r="AC146" i="26"/>
  <c r="AC149" i="26"/>
  <c r="AC152" i="26"/>
  <c r="AC144" i="26"/>
  <c r="AC147" i="26"/>
  <c r="AC150" i="26"/>
  <c r="R408" i="5"/>
  <c r="R324" i="5"/>
  <c r="O410" i="5"/>
  <c r="O326" i="5"/>
  <c r="U325" i="5"/>
  <c r="U409" i="5"/>
  <c r="AD148" i="26"/>
  <c r="AD151" i="26"/>
  <c r="AD143" i="26"/>
  <c r="AD146" i="26"/>
  <c r="AD149" i="26"/>
  <c r="AD152" i="26"/>
  <c r="AD144" i="26"/>
  <c r="AD147" i="26"/>
  <c r="AD150" i="26"/>
  <c r="AD153" i="26"/>
  <c r="AD145" i="26"/>
  <c r="S414" i="5"/>
  <c r="S330" i="5"/>
  <c r="J414" i="5"/>
  <c r="J330" i="5"/>
  <c r="Q414" i="5"/>
  <c r="Q330" i="5"/>
  <c r="P414" i="5"/>
  <c r="P330" i="5"/>
  <c r="O413" i="5"/>
  <c r="O329" i="5"/>
  <c r="M410" i="5"/>
  <c r="M326" i="5"/>
  <c r="N408" i="5"/>
  <c r="N324" i="5"/>
  <c r="U406" i="5"/>
  <c r="U322" i="5"/>
  <c r="U8" i="5"/>
  <c r="U7" i="5"/>
  <c r="AB411" i="5"/>
  <c r="AB327" i="5"/>
  <c r="T406" i="5"/>
  <c r="T322" i="5"/>
  <c r="T7" i="5"/>
  <c r="T8" i="5"/>
  <c r="N166" i="26"/>
  <c r="N164" i="26"/>
  <c r="N167" i="26"/>
  <c r="N165" i="26"/>
  <c r="N162" i="26"/>
  <c r="N159" i="26"/>
  <c r="N169" i="26"/>
  <c r="N160" i="26"/>
  <c r="N161" i="26"/>
  <c r="N168" i="26"/>
  <c r="N163" i="26"/>
  <c r="AB150" i="26"/>
  <c r="AB153" i="26"/>
  <c r="AB145" i="26"/>
  <c r="AB148" i="26"/>
  <c r="AB151" i="26"/>
  <c r="AB143" i="26"/>
  <c r="AB146" i="26"/>
  <c r="AB149" i="26"/>
  <c r="AB152" i="26"/>
  <c r="AB144" i="26"/>
  <c r="AB147" i="26"/>
  <c r="J416" i="5"/>
  <c r="J332" i="5"/>
  <c r="P416" i="5"/>
  <c r="P332" i="5"/>
  <c r="AG108" i="26"/>
  <c r="AG100" i="26"/>
  <c r="AG103" i="26"/>
  <c r="AG106" i="26"/>
  <c r="AG98" i="26"/>
  <c r="AG101" i="26"/>
  <c r="AG104" i="26"/>
  <c r="AG107" i="26"/>
  <c r="AG99" i="26"/>
  <c r="AG102" i="26"/>
  <c r="AG105" i="26"/>
  <c r="Z415" i="5"/>
  <c r="Z331" i="5"/>
  <c r="AG331" i="5"/>
  <c r="AG415" i="5"/>
  <c r="AD409" i="5"/>
  <c r="AD325" i="5"/>
  <c r="N409" i="5"/>
  <c r="N325" i="5"/>
  <c r="J85" i="5"/>
  <c r="J91" i="5"/>
  <c r="J86" i="5"/>
  <c r="J89" i="5"/>
  <c r="J92" i="5"/>
  <c r="J83" i="5"/>
  <c r="J88" i="5"/>
  <c r="J84" i="5"/>
  <c r="J90" i="5"/>
  <c r="J82" i="5"/>
  <c r="J87" i="5"/>
  <c r="V89" i="5"/>
  <c r="V87" i="5"/>
  <c r="V90" i="5"/>
  <c r="V85" i="5"/>
  <c r="V88" i="5"/>
  <c r="V84" i="5"/>
  <c r="V86" i="5"/>
  <c r="V82" i="5"/>
  <c r="V91" i="5"/>
  <c r="V83" i="5"/>
  <c r="V92" i="5"/>
  <c r="Z413" i="5"/>
  <c r="Z329" i="5"/>
  <c r="AA88" i="5"/>
  <c r="AA86" i="5"/>
  <c r="AA89" i="5"/>
  <c r="AA92" i="5"/>
  <c r="AA84" i="5"/>
  <c r="AA87" i="5"/>
  <c r="AA91" i="5"/>
  <c r="AA82" i="5"/>
  <c r="AA90" i="5"/>
  <c r="AA85" i="5"/>
  <c r="AA83" i="5"/>
  <c r="Q409" i="5"/>
  <c r="Q325" i="5"/>
  <c r="P409" i="5"/>
  <c r="P325" i="5"/>
  <c r="M86" i="5"/>
  <c r="M92" i="5"/>
  <c r="M87" i="5"/>
  <c r="M90" i="5"/>
  <c r="M85" i="5"/>
  <c r="M84" i="5"/>
  <c r="M82" i="5"/>
  <c r="M89" i="5"/>
  <c r="M83" i="5"/>
  <c r="M91" i="5"/>
  <c r="M88" i="5"/>
  <c r="AD88" i="26"/>
  <c r="AD91" i="26"/>
  <c r="AD83" i="26"/>
  <c r="AD89" i="26"/>
  <c r="AD92" i="26"/>
  <c r="AD84" i="26"/>
  <c r="AD87" i="26"/>
  <c r="AD90" i="26"/>
  <c r="AD86" i="26"/>
  <c r="AD93" i="26"/>
  <c r="AD85" i="26"/>
  <c r="U73" i="5"/>
  <c r="U76" i="5"/>
  <c r="U68" i="5"/>
  <c r="U77" i="5"/>
  <c r="U69" i="5"/>
  <c r="U72" i="5"/>
  <c r="U75" i="5"/>
  <c r="U67" i="5"/>
  <c r="U70" i="5"/>
  <c r="U74" i="5"/>
  <c r="U71" i="5"/>
  <c r="X169" i="26"/>
  <c r="X161" i="26"/>
  <c r="X167" i="26"/>
  <c r="X168" i="26"/>
  <c r="X166" i="26"/>
  <c r="X159" i="26"/>
  <c r="X164" i="26"/>
  <c r="X162" i="26"/>
  <c r="X165" i="26"/>
  <c r="X163" i="26"/>
  <c r="X160" i="26"/>
  <c r="K88" i="5"/>
  <c r="K86" i="5"/>
  <c r="K89" i="5"/>
  <c r="K92" i="5"/>
  <c r="K87" i="5"/>
  <c r="K85" i="5"/>
  <c r="K84" i="5"/>
  <c r="K90" i="5"/>
  <c r="K82" i="5"/>
  <c r="K91" i="5"/>
  <c r="K83" i="5"/>
  <c r="AG149" i="26"/>
  <c r="AG152" i="26"/>
  <c r="AG144" i="26"/>
  <c r="AG147" i="26"/>
  <c r="AG150" i="26"/>
  <c r="AG153" i="26"/>
  <c r="AG145" i="26"/>
  <c r="AG148" i="26"/>
  <c r="AG151" i="26"/>
  <c r="AG143" i="26"/>
  <c r="AG146" i="26"/>
  <c r="Z70" i="26"/>
  <c r="Z78" i="26"/>
  <c r="Z69" i="26"/>
  <c r="Z77" i="26"/>
  <c r="Z75" i="26"/>
  <c r="Z73" i="26"/>
  <c r="Z72" i="26"/>
  <c r="Z74" i="26"/>
  <c r="Z76" i="26"/>
  <c r="Z68" i="26"/>
  <c r="Z71" i="26"/>
  <c r="T411" i="5"/>
  <c r="T327" i="5"/>
  <c r="Z410" i="5"/>
  <c r="Z326" i="5"/>
  <c r="AF410" i="5"/>
  <c r="AF326" i="5"/>
  <c r="M104" i="26"/>
  <c r="M107" i="26"/>
  <c r="M99" i="26"/>
  <c r="M102" i="26"/>
  <c r="M105" i="26"/>
  <c r="M108" i="26"/>
  <c r="M100" i="26"/>
  <c r="M103" i="26"/>
  <c r="M106" i="26"/>
  <c r="M98" i="26"/>
  <c r="M101" i="26"/>
  <c r="S106" i="26"/>
  <c r="S98" i="26"/>
  <c r="S101" i="26"/>
  <c r="S104" i="26"/>
  <c r="S107" i="26"/>
  <c r="S99" i="26"/>
  <c r="S102" i="26"/>
  <c r="S105" i="26"/>
  <c r="S108" i="26"/>
  <c r="S100" i="26"/>
  <c r="S103" i="26"/>
  <c r="AA410" i="5"/>
  <c r="AA326" i="5"/>
  <c r="Q33" i="5"/>
  <c r="P51" i="5"/>
  <c r="J103" i="26"/>
  <c r="J106" i="26"/>
  <c r="J98" i="26"/>
  <c r="J101" i="26"/>
  <c r="J104" i="26"/>
  <c r="J107" i="26"/>
  <c r="J99" i="26"/>
  <c r="J102" i="26"/>
  <c r="J105" i="26"/>
  <c r="J108" i="26"/>
  <c r="J100" i="26"/>
  <c r="P74" i="5"/>
  <c r="P77" i="5"/>
  <c r="P69" i="5"/>
  <c r="P70" i="5"/>
  <c r="P73" i="5"/>
  <c r="P76" i="5"/>
  <c r="P68" i="5"/>
  <c r="P71" i="5"/>
  <c r="P75" i="5"/>
  <c r="P72" i="5"/>
  <c r="P67" i="5"/>
  <c r="AC414" i="5"/>
  <c r="AC330" i="5"/>
  <c r="AG148" i="5"/>
  <c r="AG151" i="5"/>
  <c r="AG143" i="5"/>
  <c r="AG146" i="5"/>
  <c r="AG149" i="5"/>
  <c r="AG152" i="5"/>
  <c r="AG144" i="5"/>
  <c r="AG147" i="5"/>
  <c r="AG145" i="5"/>
  <c r="AG150" i="5"/>
  <c r="AG142" i="5"/>
  <c r="L409" i="5"/>
  <c r="L325" i="5"/>
  <c r="L91" i="5"/>
  <c r="L89" i="5"/>
  <c r="L92" i="5"/>
  <c r="L87" i="5"/>
  <c r="L90" i="5"/>
  <c r="L88" i="5"/>
  <c r="L85" i="5"/>
  <c r="L84" i="5"/>
  <c r="L82" i="5"/>
  <c r="L86" i="5"/>
  <c r="L83" i="5"/>
  <c r="W413" i="5"/>
  <c r="W329" i="5"/>
  <c r="U411" i="5"/>
  <c r="U327" i="5"/>
  <c r="V409" i="5"/>
  <c r="V325" i="5"/>
  <c r="M406" i="5"/>
  <c r="M322" i="5"/>
  <c r="M8" i="5"/>
  <c r="M7" i="5"/>
  <c r="V71" i="26"/>
  <c r="V74" i="26"/>
  <c r="V73" i="26"/>
  <c r="V77" i="26"/>
  <c r="V72" i="26"/>
  <c r="V78" i="26"/>
  <c r="V75" i="26"/>
  <c r="V69" i="26"/>
  <c r="V76" i="26"/>
  <c r="V70" i="26"/>
  <c r="V68" i="26"/>
  <c r="U75" i="26"/>
  <c r="U71" i="26"/>
  <c r="U78" i="26"/>
  <c r="U69" i="26"/>
  <c r="U70" i="26"/>
  <c r="U72" i="26"/>
  <c r="U73" i="26"/>
  <c r="U76" i="26"/>
  <c r="U74" i="26"/>
  <c r="U77" i="26"/>
  <c r="U68" i="26"/>
  <c r="Z103" i="26"/>
  <c r="Z106" i="26"/>
  <c r="Z98" i="26"/>
  <c r="Z101" i="26"/>
  <c r="Z104" i="26"/>
  <c r="Z107" i="26"/>
  <c r="Z99" i="26"/>
  <c r="Z102" i="26"/>
  <c r="Z105" i="26"/>
  <c r="Z108" i="26"/>
  <c r="Z100" i="26"/>
  <c r="AF105" i="26"/>
  <c r="AF108" i="26"/>
  <c r="AF100" i="26"/>
  <c r="AF103" i="26"/>
  <c r="AF106" i="26"/>
  <c r="AF98" i="26"/>
  <c r="AF101" i="26"/>
  <c r="AF104" i="26"/>
  <c r="AF107" i="26"/>
  <c r="AF99" i="26"/>
  <c r="AF102" i="26"/>
  <c r="AB78" i="26"/>
  <c r="AB69" i="26"/>
  <c r="AB70" i="26"/>
  <c r="AB73" i="26"/>
  <c r="AB75" i="26"/>
  <c r="AB76" i="26"/>
  <c r="AB72" i="26"/>
  <c r="AB71" i="26"/>
  <c r="AB74" i="26"/>
  <c r="AB68" i="26"/>
  <c r="AB77" i="26"/>
  <c r="AA87" i="26"/>
  <c r="AA90" i="26"/>
  <c r="AA88" i="26"/>
  <c r="AA91" i="26"/>
  <c r="AA83" i="26"/>
  <c r="AA86" i="26"/>
  <c r="AA89" i="26"/>
  <c r="AA93" i="26"/>
  <c r="AA85" i="26"/>
  <c r="AA92" i="26"/>
  <c r="AA84" i="26"/>
  <c r="X146" i="26"/>
  <c r="X149" i="26"/>
  <c r="X152" i="26"/>
  <c r="X144" i="26"/>
  <c r="X147" i="26"/>
  <c r="X150" i="26"/>
  <c r="X153" i="26"/>
  <c r="X145" i="26"/>
  <c r="X148" i="26"/>
  <c r="X151" i="26"/>
  <c r="X143" i="26"/>
  <c r="K146" i="5"/>
  <c r="K149" i="5"/>
  <c r="K152" i="5"/>
  <c r="K144" i="5"/>
  <c r="K147" i="5"/>
  <c r="K150" i="5"/>
  <c r="K142" i="5"/>
  <c r="K145" i="5"/>
  <c r="K151" i="5"/>
  <c r="K148" i="5"/>
  <c r="K143" i="5"/>
  <c r="W407" i="5"/>
  <c r="W323" i="5"/>
  <c r="X406" i="5"/>
  <c r="X322" i="5"/>
  <c r="X7" i="5"/>
  <c r="X8" i="5"/>
  <c r="AG162" i="26"/>
  <c r="AG167" i="26"/>
  <c r="AG165" i="26"/>
  <c r="AG168" i="26"/>
  <c r="AG160" i="26"/>
  <c r="AG163" i="26"/>
  <c r="AG166" i="26"/>
  <c r="AG164" i="26"/>
  <c r="AG159" i="26"/>
  <c r="AG161" i="26"/>
  <c r="AG169" i="26"/>
  <c r="T90" i="26"/>
  <c r="T93" i="26"/>
  <c r="T85" i="26"/>
  <c r="T91" i="26"/>
  <c r="T83" i="26"/>
  <c r="T86" i="26"/>
  <c r="T89" i="26"/>
  <c r="T92" i="26"/>
  <c r="T84" i="26"/>
  <c r="T88" i="26"/>
  <c r="T87" i="26"/>
  <c r="S147" i="26"/>
  <c r="S150" i="26"/>
  <c r="S153" i="26"/>
  <c r="S145" i="26"/>
  <c r="S148" i="26"/>
  <c r="S151" i="26"/>
  <c r="S143" i="26"/>
  <c r="S146" i="26"/>
  <c r="S149" i="26"/>
  <c r="S152" i="26"/>
  <c r="S144" i="26"/>
  <c r="O160" i="26"/>
  <c r="O163" i="26"/>
  <c r="O168" i="26"/>
  <c r="O164" i="26"/>
  <c r="O166" i="26"/>
  <c r="O167" i="26"/>
  <c r="O161" i="26"/>
  <c r="O165" i="26"/>
  <c r="O159" i="26"/>
  <c r="O169" i="26"/>
  <c r="O162" i="26"/>
  <c r="L90" i="26"/>
  <c r="L93" i="26"/>
  <c r="L85" i="26"/>
  <c r="L91" i="26"/>
  <c r="L83" i="26"/>
  <c r="L86" i="26"/>
  <c r="L89" i="26"/>
  <c r="L92" i="26"/>
  <c r="L84" i="26"/>
  <c r="L87" i="26"/>
  <c r="L88" i="26"/>
  <c r="K147" i="26"/>
  <c r="K150" i="26"/>
  <c r="K153" i="26"/>
  <c r="K145" i="26"/>
  <c r="K148" i="26"/>
  <c r="K151" i="26"/>
  <c r="K143" i="26"/>
  <c r="K146" i="26"/>
  <c r="K149" i="26"/>
  <c r="K152" i="26"/>
  <c r="K144" i="26"/>
  <c r="P46" i="5"/>
  <c r="Q28" i="5"/>
  <c r="J92" i="26"/>
  <c r="J84" i="26"/>
  <c r="J87" i="26"/>
  <c r="J93" i="26"/>
  <c r="J85" i="26"/>
  <c r="J88" i="26"/>
  <c r="J91" i="26"/>
  <c r="J83" i="26"/>
  <c r="J86" i="26"/>
  <c r="J90" i="26"/>
  <c r="J89" i="26"/>
  <c r="L408" i="5"/>
  <c r="L324" i="5"/>
  <c r="AA407" i="5"/>
  <c r="AA323" i="5"/>
  <c r="Y415" i="5"/>
  <c r="Y331" i="5"/>
  <c r="P410" i="5"/>
  <c r="P326" i="5"/>
  <c r="O409" i="5"/>
  <c r="O325" i="5"/>
  <c r="V408" i="5"/>
  <c r="V324" i="5"/>
  <c r="W406" i="5"/>
  <c r="W322" i="5"/>
  <c r="W7" i="5"/>
  <c r="W8" i="5"/>
  <c r="E99" i="17"/>
  <c r="C99" i="17"/>
  <c r="G99" i="17"/>
  <c r="D99" i="17"/>
  <c r="Q411" i="5"/>
  <c r="Q327" i="5"/>
  <c r="P165" i="5"/>
  <c r="P168" i="5"/>
  <c r="P160" i="5"/>
  <c r="P161" i="5"/>
  <c r="P164" i="5"/>
  <c r="P162" i="5"/>
  <c r="P167" i="5"/>
  <c r="P163" i="5"/>
  <c r="P159" i="5"/>
  <c r="P158" i="5"/>
  <c r="P166" i="5"/>
  <c r="AB407" i="5"/>
  <c r="AB323" i="5"/>
  <c r="J415" i="5"/>
  <c r="J331" i="5"/>
  <c r="AG409" i="5"/>
  <c r="AG325" i="5"/>
  <c r="N410" i="5"/>
  <c r="N326" i="5"/>
  <c r="N89" i="5"/>
  <c r="N87" i="5"/>
  <c r="N90" i="5"/>
  <c r="N85" i="5"/>
  <c r="N88" i="5"/>
  <c r="N92" i="5"/>
  <c r="N82" i="5"/>
  <c r="N86" i="5"/>
  <c r="N83" i="5"/>
  <c r="N91" i="5"/>
  <c r="N84" i="5"/>
  <c r="T407" i="5"/>
  <c r="T323" i="5"/>
  <c r="Z414" i="5"/>
  <c r="Z330" i="5"/>
  <c r="Z72" i="5"/>
  <c r="Z75" i="5"/>
  <c r="Z67" i="5"/>
  <c r="Z76" i="5"/>
  <c r="Z68" i="5"/>
  <c r="Z71" i="5"/>
  <c r="Z74" i="5"/>
  <c r="Z77" i="5"/>
  <c r="Z69" i="5"/>
  <c r="Z73" i="5"/>
  <c r="Z70" i="5"/>
  <c r="Y409" i="5"/>
  <c r="Y325" i="5"/>
  <c r="AG77" i="5"/>
  <c r="AG69" i="5"/>
  <c r="AG72" i="5"/>
  <c r="AG73" i="5"/>
  <c r="AG76" i="5"/>
  <c r="AG68" i="5"/>
  <c r="AG71" i="5"/>
  <c r="AG74" i="5"/>
  <c r="AG70" i="5"/>
  <c r="AG75" i="5"/>
  <c r="AG67" i="5"/>
  <c r="W416" i="5"/>
  <c r="W332" i="5"/>
  <c r="AD408" i="5"/>
  <c r="AD324" i="5"/>
  <c r="AD76" i="5"/>
  <c r="AD68" i="5"/>
  <c r="AD71" i="5"/>
  <c r="AD77" i="5"/>
  <c r="AD72" i="5"/>
  <c r="AD75" i="5"/>
  <c r="AD67" i="5"/>
  <c r="AD70" i="5"/>
  <c r="AD73" i="5"/>
  <c r="AD74" i="5"/>
  <c r="AD69" i="5"/>
  <c r="AD410" i="5"/>
  <c r="AD326" i="5"/>
  <c r="AD407" i="5"/>
  <c r="AD323" i="5"/>
  <c r="W164" i="26"/>
  <c r="W161" i="26"/>
  <c r="W169" i="26"/>
  <c r="W167" i="26"/>
  <c r="W159" i="26"/>
  <c r="W163" i="26"/>
  <c r="W166" i="26"/>
  <c r="W162" i="26"/>
  <c r="W165" i="26"/>
  <c r="W168" i="26"/>
  <c r="W160" i="26"/>
  <c r="AA75" i="5"/>
  <c r="AA67" i="5"/>
  <c r="AA70" i="5"/>
  <c r="AA71" i="5"/>
  <c r="AA74" i="5"/>
  <c r="AA77" i="5"/>
  <c r="AA69" i="5"/>
  <c r="AA72" i="5"/>
  <c r="AA76" i="5"/>
  <c r="AA73" i="5"/>
  <c r="AA68" i="5"/>
  <c r="R85" i="5"/>
  <c r="R91" i="5"/>
  <c r="R86" i="5"/>
  <c r="R89" i="5"/>
  <c r="R92" i="5"/>
  <c r="R83" i="5"/>
  <c r="R90" i="5"/>
  <c r="R84" i="5"/>
  <c r="R87" i="5"/>
  <c r="R82" i="5"/>
  <c r="R88" i="5"/>
  <c r="Y90" i="5"/>
  <c r="Y88" i="5"/>
  <c r="Y91" i="5"/>
  <c r="Y86" i="5"/>
  <c r="Y89" i="5"/>
  <c r="Y83" i="5"/>
  <c r="Y87" i="5"/>
  <c r="Y92" i="5"/>
  <c r="Y84" i="5"/>
  <c r="Y82" i="5"/>
  <c r="Y85" i="5"/>
  <c r="Q148" i="5"/>
  <c r="Q151" i="5"/>
  <c r="Q143" i="5"/>
  <c r="Q146" i="5"/>
  <c r="Q149" i="5"/>
  <c r="Q152" i="5"/>
  <c r="Q144" i="5"/>
  <c r="Q147" i="5"/>
  <c r="Q145" i="5"/>
  <c r="Q150" i="5"/>
  <c r="Q142" i="5"/>
  <c r="T414" i="5"/>
  <c r="T330" i="5"/>
  <c r="Y408" i="5"/>
  <c r="Y324" i="5"/>
  <c r="V415" i="5"/>
  <c r="V331" i="5"/>
  <c r="U414" i="5"/>
  <c r="U330" i="5"/>
  <c r="AB414" i="5"/>
  <c r="AB330" i="5"/>
  <c r="AB70" i="5"/>
  <c r="AB73" i="5"/>
  <c r="AB74" i="5"/>
  <c r="AB77" i="5"/>
  <c r="AB69" i="5"/>
  <c r="AB72" i="5"/>
  <c r="AB75" i="5"/>
  <c r="AB67" i="5"/>
  <c r="AB76" i="5"/>
  <c r="AB71" i="5"/>
  <c r="AB68" i="5"/>
  <c r="AA327" i="5"/>
  <c r="AA411" i="5"/>
  <c r="R411" i="5"/>
  <c r="R327" i="5"/>
  <c r="Y411" i="5"/>
  <c r="Y327" i="5"/>
  <c r="X411" i="5"/>
  <c r="X327" i="5"/>
  <c r="W410" i="5"/>
  <c r="W326" i="5"/>
  <c r="AF87" i="5"/>
  <c r="AF85" i="5"/>
  <c r="AF88" i="5"/>
  <c r="AF91" i="5"/>
  <c r="AF86" i="5"/>
  <c r="AF84" i="5"/>
  <c r="AF92" i="5"/>
  <c r="AF83" i="5"/>
  <c r="AF89" i="5"/>
  <c r="AF90" i="5"/>
  <c r="AF82" i="5"/>
  <c r="AD413" i="5"/>
  <c r="AD329" i="5"/>
  <c r="AC86" i="5"/>
  <c r="AC92" i="5"/>
  <c r="AC87" i="5"/>
  <c r="AC90" i="5"/>
  <c r="AC91" i="5"/>
  <c r="AC88" i="5"/>
  <c r="AC82" i="5"/>
  <c r="AC84" i="5"/>
  <c r="AC85" i="5"/>
  <c r="AC89" i="5"/>
  <c r="AC83" i="5"/>
  <c r="AC410" i="5"/>
  <c r="AC326" i="5"/>
  <c r="V162" i="26"/>
  <c r="V164" i="26"/>
  <c r="V165" i="26"/>
  <c r="V159" i="26"/>
  <c r="V166" i="26"/>
  <c r="V167" i="26"/>
  <c r="V160" i="26"/>
  <c r="V169" i="26"/>
  <c r="V163" i="26"/>
  <c r="V168" i="26"/>
  <c r="V161" i="26"/>
  <c r="AA408" i="5"/>
  <c r="AA324" i="5"/>
  <c r="P407" i="5"/>
  <c r="P323" i="5"/>
  <c r="AA416" i="5"/>
  <c r="AA332" i="5"/>
  <c r="AE151" i="26"/>
  <c r="AE143" i="26"/>
  <c r="AE146" i="26"/>
  <c r="AE149" i="26"/>
  <c r="AE152" i="26"/>
  <c r="AE144" i="26"/>
  <c r="AE147" i="26"/>
  <c r="AE150" i="26"/>
  <c r="AE153" i="26"/>
  <c r="AE145" i="26"/>
  <c r="AE148" i="26"/>
  <c r="X87" i="5"/>
  <c r="X88" i="5"/>
  <c r="X91" i="5"/>
  <c r="X86" i="5"/>
  <c r="X90" i="5"/>
  <c r="X85" i="5"/>
  <c r="X83" i="5"/>
  <c r="X92" i="5"/>
  <c r="X89" i="5"/>
  <c r="X84" i="5"/>
  <c r="X82" i="5"/>
  <c r="AA78" i="26"/>
  <c r="AA70" i="26"/>
  <c r="AA73" i="26"/>
  <c r="AA76" i="26"/>
  <c r="AA75" i="26"/>
  <c r="AA77" i="26"/>
  <c r="AA71" i="26"/>
  <c r="AA68" i="26"/>
  <c r="AA69" i="26"/>
  <c r="AA74" i="26"/>
  <c r="AA72" i="26"/>
  <c r="T167" i="26"/>
  <c r="T159" i="26"/>
  <c r="T164" i="26"/>
  <c r="T163" i="26"/>
  <c r="T162" i="26"/>
  <c r="T168" i="26"/>
  <c r="T165" i="26"/>
  <c r="T166" i="26"/>
  <c r="T160" i="26"/>
  <c r="T169" i="26"/>
  <c r="T161" i="26"/>
  <c r="K106" i="26"/>
  <c r="K98" i="26"/>
  <c r="K101" i="26"/>
  <c r="K104" i="26"/>
  <c r="K107" i="26"/>
  <c r="K99" i="26"/>
  <c r="K102" i="26"/>
  <c r="K105" i="26"/>
  <c r="K108" i="26"/>
  <c r="K100" i="26"/>
  <c r="K103" i="26"/>
  <c r="Y410" i="5"/>
  <c r="Y326" i="5"/>
  <c r="AE162" i="5"/>
  <c r="AE165" i="5"/>
  <c r="AE166" i="5"/>
  <c r="AE158" i="5"/>
  <c r="AE161" i="5"/>
  <c r="AE167" i="5"/>
  <c r="AE159" i="5"/>
  <c r="AE163" i="5"/>
  <c r="AE168" i="5"/>
  <c r="AE164" i="5"/>
  <c r="AE160" i="5"/>
  <c r="AE416" i="5"/>
  <c r="AE332" i="5"/>
  <c r="R414" i="5"/>
  <c r="R330" i="5"/>
  <c r="U166" i="26"/>
  <c r="U160" i="26"/>
  <c r="U161" i="26"/>
  <c r="U163" i="26"/>
  <c r="U165" i="26"/>
  <c r="U164" i="26"/>
  <c r="U162" i="26"/>
  <c r="U168" i="26"/>
  <c r="U169" i="26"/>
  <c r="U167" i="26"/>
  <c r="U159" i="26"/>
  <c r="Z92" i="26"/>
  <c r="Z84" i="26"/>
  <c r="Z87" i="26"/>
  <c r="Z93" i="26"/>
  <c r="Z85" i="26"/>
  <c r="Z88" i="26"/>
  <c r="Z91" i="26"/>
  <c r="Z83" i="26"/>
  <c r="Z86" i="26"/>
  <c r="Z90" i="26"/>
  <c r="Z89" i="26"/>
  <c r="AB161" i="26"/>
  <c r="AB160" i="26"/>
  <c r="AB168" i="26"/>
  <c r="AB164" i="26"/>
  <c r="AB166" i="26"/>
  <c r="AB167" i="26"/>
  <c r="AB159" i="26"/>
  <c r="AB165" i="26"/>
  <c r="AB169" i="26"/>
  <c r="AB162" i="26"/>
  <c r="AB163" i="26"/>
  <c r="AA147" i="26"/>
  <c r="AA150" i="26"/>
  <c r="AA153" i="26"/>
  <c r="AA145" i="26"/>
  <c r="AA148" i="26"/>
  <c r="AA151" i="26"/>
  <c r="AA143" i="26"/>
  <c r="AA146" i="26"/>
  <c r="AA149" i="26"/>
  <c r="AA152" i="26"/>
  <c r="AA144" i="26"/>
  <c r="AB324" i="5"/>
  <c r="AB408" i="5"/>
  <c r="S408" i="5"/>
  <c r="S324" i="5"/>
  <c r="J408" i="5"/>
  <c r="J324" i="5"/>
  <c r="Q408" i="5"/>
  <c r="Q324" i="5"/>
  <c r="P408" i="5"/>
  <c r="P324" i="5"/>
  <c r="K75" i="5"/>
  <c r="K67" i="5"/>
  <c r="K70" i="5"/>
  <c r="K71" i="5"/>
  <c r="K74" i="5"/>
  <c r="K77" i="5"/>
  <c r="K69" i="5"/>
  <c r="K72" i="5"/>
  <c r="K76" i="5"/>
  <c r="K73" i="5"/>
  <c r="K68" i="5"/>
  <c r="M153" i="26"/>
  <c r="M145" i="26"/>
  <c r="M148" i="26"/>
  <c r="M151" i="26"/>
  <c r="M143" i="26"/>
  <c r="M146" i="26"/>
  <c r="M149" i="26"/>
  <c r="M152" i="26"/>
  <c r="M144" i="26"/>
  <c r="M147" i="26"/>
  <c r="M150" i="26"/>
  <c r="AG77" i="26"/>
  <c r="AG69" i="26"/>
  <c r="AG76" i="26"/>
  <c r="AG72" i="26"/>
  <c r="AG71" i="26"/>
  <c r="AG75" i="26"/>
  <c r="AG78" i="26"/>
  <c r="AG70" i="26"/>
  <c r="AG73" i="26"/>
  <c r="AG68" i="26"/>
  <c r="AG74" i="26"/>
  <c r="T101" i="26"/>
  <c r="T104" i="26"/>
  <c r="T107" i="26"/>
  <c r="T99" i="26"/>
  <c r="T102" i="26"/>
  <c r="T105" i="26"/>
  <c r="T108" i="26"/>
  <c r="T100" i="26"/>
  <c r="T103" i="26"/>
  <c r="T106" i="26"/>
  <c r="T98" i="26"/>
  <c r="O73" i="26"/>
  <c r="O69" i="26"/>
  <c r="O76" i="26"/>
  <c r="O78" i="26"/>
  <c r="O75" i="26"/>
  <c r="O71" i="26"/>
  <c r="O70" i="26"/>
  <c r="O68" i="26"/>
  <c r="O74" i="26"/>
  <c r="O77" i="26"/>
  <c r="O72" i="26"/>
  <c r="L150" i="26"/>
  <c r="L153" i="26"/>
  <c r="L145" i="26"/>
  <c r="L148" i="26"/>
  <c r="L151" i="26"/>
  <c r="L143" i="26"/>
  <c r="L146" i="26"/>
  <c r="L149" i="26"/>
  <c r="L152" i="26"/>
  <c r="L144" i="26"/>
  <c r="L147" i="26"/>
  <c r="T408" i="5"/>
  <c r="T324" i="5"/>
  <c r="K408" i="5"/>
  <c r="K324" i="5"/>
  <c r="Z407" i="5"/>
  <c r="Z323" i="5"/>
  <c r="AG407" i="5"/>
  <c r="AG323" i="5"/>
  <c r="AF407" i="5"/>
  <c r="AF323" i="5"/>
  <c r="AE406" i="5"/>
  <c r="AE322" i="5"/>
  <c r="AE7" i="5"/>
  <c r="AE8" i="5"/>
  <c r="Q30" i="5"/>
  <c r="P48" i="5"/>
  <c r="O323" i="5"/>
  <c r="O407" i="5"/>
  <c r="J152" i="26"/>
  <c r="J144" i="26"/>
  <c r="J147" i="26"/>
  <c r="J150" i="26"/>
  <c r="J153" i="26"/>
  <c r="J145" i="26"/>
  <c r="J148" i="26"/>
  <c r="J151" i="26"/>
  <c r="J143" i="26"/>
  <c r="J146" i="26"/>
  <c r="J149" i="26"/>
  <c r="S146" i="5"/>
  <c r="S149" i="5"/>
  <c r="S152" i="5"/>
  <c r="S144" i="5"/>
  <c r="S147" i="5"/>
  <c r="S150" i="5"/>
  <c r="S142" i="5"/>
  <c r="S145" i="5"/>
  <c r="S151" i="5"/>
  <c r="S148" i="5"/>
  <c r="S143" i="5"/>
  <c r="Q323" i="5"/>
  <c r="Q407" i="5"/>
  <c r="O414" i="5"/>
  <c r="O330" i="5"/>
  <c r="J406" i="5"/>
  <c r="J322" i="5"/>
  <c r="J8" i="5"/>
  <c r="J7" i="5"/>
  <c r="N76" i="5"/>
  <c r="N68" i="5"/>
  <c r="N71" i="5"/>
  <c r="N72" i="5"/>
  <c r="N75" i="5"/>
  <c r="N67" i="5"/>
  <c r="N70" i="5"/>
  <c r="N73" i="5"/>
  <c r="N77" i="5"/>
  <c r="N74" i="5"/>
  <c r="N69" i="5"/>
  <c r="M409" i="5"/>
  <c r="M325" i="5"/>
  <c r="Z163" i="5"/>
  <c r="Z166" i="5"/>
  <c r="Z158" i="5"/>
  <c r="Z167" i="5"/>
  <c r="Z159" i="5"/>
  <c r="Z162" i="5"/>
  <c r="Z168" i="5"/>
  <c r="Z160" i="5"/>
  <c r="Z165" i="5"/>
  <c r="Z161" i="5"/>
  <c r="Z164" i="5"/>
  <c r="AD89" i="5"/>
  <c r="AD87" i="5"/>
  <c r="AD90" i="5"/>
  <c r="AD85" i="5"/>
  <c r="AD88" i="5"/>
  <c r="AD82" i="5"/>
  <c r="AD84" i="5"/>
  <c r="AD92" i="5"/>
  <c r="AD83" i="5"/>
  <c r="AD86" i="5"/>
  <c r="AD91" i="5"/>
  <c r="V76" i="5"/>
  <c r="V68" i="5"/>
  <c r="V71" i="5"/>
  <c r="V72" i="5"/>
  <c r="V75" i="5"/>
  <c r="V67" i="5"/>
  <c r="V70" i="5"/>
  <c r="V73" i="5"/>
  <c r="V77" i="5"/>
  <c r="V74" i="5"/>
  <c r="V69" i="5"/>
  <c r="W74" i="26"/>
  <c r="W78" i="26"/>
  <c r="W77" i="26"/>
  <c r="W69" i="26"/>
  <c r="W72" i="26"/>
  <c r="W71" i="26"/>
  <c r="W75" i="26"/>
  <c r="W70" i="26"/>
  <c r="W73" i="26"/>
  <c r="W68" i="26"/>
  <c r="W76" i="26"/>
  <c r="S411" i="5"/>
  <c r="S327" i="5"/>
  <c r="X416" i="5"/>
  <c r="X332" i="5"/>
  <c r="L406" i="5"/>
  <c r="L322" i="5"/>
  <c r="L7" i="5"/>
  <c r="L8" i="5"/>
  <c r="AA414" i="5"/>
  <c r="AA330" i="5"/>
  <c r="AA146" i="5"/>
  <c r="AA149" i="5"/>
  <c r="AA152" i="5"/>
  <c r="AA144" i="5"/>
  <c r="AA147" i="5"/>
  <c r="AA150" i="5"/>
  <c r="AA142" i="5"/>
  <c r="AA145" i="5"/>
  <c r="AA143" i="5"/>
  <c r="AA151" i="5"/>
  <c r="AA148" i="5"/>
  <c r="Z411" i="5"/>
  <c r="Z327" i="5"/>
  <c r="R72" i="5"/>
  <c r="R75" i="5"/>
  <c r="R67" i="5"/>
  <c r="R76" i="5"/>
  <c r="R68" i="5"/>
  <c r="R71" i="5"/>
  <c r="R74" i="5"/>
  <c r="R77" i="5"/>
  <c r="R69" i="5"/>
  <c r="R73" i="5"/>
  <c r="R70" i="5"/>
  <c r="AG411" i="5"/>
  <c r="AG327" i="5"/>
  <c r="Y168" i="5"/>
  <c r="Y160" i="5"/>
  <c r="Y163" i="5"/>
  <c r="Y164" i="5"/>
  <c r="Y167" i="5"/>
  <c r="Y159" i="5"/>
  <c r="Y165" i="5"/>
  <c r="Y161" i="5"/>
  <c r="Y166" i="5"/>
  <c r="Y162" i="5"/>
  <c r="Y158" i="5"/>
  <c r="AF411" i="5"/>
  <c r="AF327" i="5"/>
  <c r="AE410" i="5"/>
  <c r="AE326" i="5"/>
  <c r="N415" i="5"/>
  <c r="N331" i="5"/>
  <c r="Q77" i="5"/>
  <c r="Q69" i="5"/>
  <c r="Q72" i="5"/>
  <c r="Q73" i="5"/>
  <c r="Q76" i="5"/>
  <c r="Q68" i="5"/>
  <c r="Q71" i="5"/>
  <c r="Q74" i="5"/>
  <c r="Q70" i="5"/>
  <c r="Q75" i="5"/>
  <c r="Q67" i="5"/>
  <c r="V414" i="5"/>
  <c r="V330" i="5"/>
  <c r="M407" i="5"/>
  <c r="M323" i="5"/>
  <c r="AC70" i="26"/>
  <c r="AC72" i="26"/>
  <c r="AC73" i="26"/>
  <c r="AC69" i="26"/>
  <c r="AC76" i="26"/>
  <c r="AC75" i="26"/>
  <c r="AC68" i="26"/>
  <c r="AC74" i="26"/>
  <c r="AC71" i="26"/>
  <c r="AC77" i="26"/>
  <c r="AC78" i="26"/>
  <c r="AC408" i="5"/>
  <c r="AC324" i="5"/>
  <c r="AD169" i="26"/>
  <c r="AD166" i="26"/>
  <c r="AD162" i="26"/>
  <c r="AD165" i="26"/>
  <c r="AD163" i="26"/>
  <c r="AD160" i="26"/>
  <c r="AD161" i="26"/>
  <c r="AD159" i="26"/>
  <c r="AD164" i="26"/>
  <c r="AD168" i="26"/>
  <c r="AD167" i="26"/>
  <c r="AB161" i="5"/>
  <c r="AB164" i="5"/>
  <c r="AB165" i="5"/>
  <c r="AB168" i="5"/>
  <c r="AB160" i="5"/>
  <c r="AB166" i="5"/>
  <c r="AB158" i="5"/>
  <c r="AB162" i="5"/>
  <c r="AB167" i="5"/>
  <c r="AB159" i="5"/>
  <c r="AB163" i="5"/>
  <c r="AF74" i="5"/>
  <c r="AF77" i="5"/>
  <c r="AF69" i="5"/>
  <c r="AF70" i="5"/>
  <c r="AF73" i="5"/>
  <c r="AF76" i="5"/>
  <c r="AF68" i="5"/>
  <c r="AF71" i="5"/>
  <c r="AF75" i="5"/>
  <c r="AF72" i="5"/>
  <c r="AF67" i="5"/>
  <c r="AC73" i="5"/>
  <c r="AC76" i="5"/>
  <c r="AC68" i="5"/>
  <c r="AC77" i="5"/>
  <c r="AC69" i="5"/>
  <c r="AC72" i="5"/>
  <c r="AC75" i="5"/>
  <c r="AC67" i="5"/>
  <c r="AC70" i="5"/>
  <c r="AC74" i="5"/>
  <c r="AC71" i="5"/>
  <c r="U164" i="5"/>
  <c r="U167" i="5"/>
  <c r="U159" i="5"/>
  <c r="U168" i="5"/>
  <c r="U160" i="5"/>
  <c r="U163" i="5"/>
  <c r="U161" i="5"/>
  <c r="U158" i="5"/>
  <c r="U165" i="5"/>
  <c r="U162" i="5"/>
  <c r="U166" i="5"/>
  <c r="V107" i="26"/>
  <c r="V99" i="26"/>
  <c r="V102" i="26"/>
  <c r="V105" i="26"/>
  <c r="V108" i="26"/>
  <c r="V100" i="26"/>
  <c r="V103" i="26"/>
  <c r="V106" i="26"/>
  <c r="V98" i="26"/>
  <c r="V101" i="26"/>
  <c r="V104" i="26"/>
  <c r="T149" i="5"/>
  <c r="T152" i="5"/>
  <c r="T144" i="5"/>
  <c r="T147" i="5"/>
  <c r="T150" i="5"/>
  <c r="T142" i="5"/>
  <c r="T145" i="5"/>
  <c r="T148" i="5"/>
  <c r="T151" i="5"/>
  <c r="T146" i="5"/>
  <c r="T143" i="5"/>
  <c r="AB416" i="5"/>
  <c r="AB332" i="5"/>
  <c r="K103" i="5"/>
  <c r="K105" i="5"/>
  <c r="K97" i="5"/>
  <c r="K106" i="5"/>
  <c r="K98" i="5"/>
  <c r="K107" i="5"/>
  <c r="K99" i="5"/>
  <c r="K100" i="5"/>
  <c r="K102" i="5"/>
  <c r="K104" i="5"/>
  <c r="K101" i="5"/>
  <c r="R161" i="26"/>
  <c r="R164" i="26"/>
  <c r="R168" i="26"/>
  <c r="R166" i="26"/>
  <c r="R169" i="26"/>
  <c r="R165" i="26"/>
  <c r="R167" i="26"/>
  <c r="R160" i="26"/>
  <c r="R159" i="26"/>
  <c r="R163" i="26"/>
  <c r="R162" i="26"/>
  <c r="O91" i="26"/>
  <c r="O83" i="26"/>
  <c r="O86" i="26"/>
  <c r="O92" i="26"/>
  <c r="O84" i="26"/>
  <c r="O87" i="26"/>
  <c r="O90" i="26"/>
  <c r="O93" i="26"/>
  <c r="O85" i="26"/>
  <c r="O89" i="26"/>
  <c r="O88" i="26"/>
  <c r="O150" i="5"/>
  <c r="O142" i="5"/>
  <c r="O145" i="5"/>
  <c r="O148" i="5"/>
  <c r="O151" i="5"/>
  <c r="O143" i="5"/>
  <c r="O146" i="5"/>
  <c r="O149" i="5"/>
  <c r="O147" i="5"/>
  <c r="O144" i="5"/>
  <c r="O152" i="5"/>
  <c r="S166" i="5"/>
  <c r="S161" i="5"/>
  <c r="S162" i="5"/>
  <c r="S165" i="5"/>
  <c r="S163" i="5"/>
  <c r="S164" i="5"/>
  <c r="S168" i="5"/>
  <c r="S160" i="5"/>
  <c r="S158" i="5"/>
  <c r="S159" i="5"/>
  <c r="S167" i="5"/>
  <c r="W102" i="26"/>
  <c r="W105" i="26"/>
  <c r="W108" i="26"/>
  <c r="W100" i="26"/>
  <c r="W103" i="26"/>
  <c r="W106" i="26"/>
  <c r="W98" i="26"/>
  <c r="W101" i="26"/>
  <c r="W104" i="26"/>
  <c r="W107" i="26"/>
  <c r="W99" i="26"/>
  <c r="L415" i="5"/>
  <c r="L331" i="5"/>
  <c r="R151" i="5"/>
  <c r="R143" i="5"/>
  <c r="R146" i="5"/>
  <c r="R149" i="5"/>
  <c r="R152" i="5"/>
  <c r="R144" i="5"/>
  <c r="R147" i="5"/>
  <c r="R150" i="5"/>
  <c r="R142" i="5"/>
  <c r="R148" i="5"/>
  <c r="R145" i="5"/>
  <c r="O408" i="5"/>
  <c r="O324" i="5"/>
  <c r="AF78" i="26"/>
  <c r="AF76" i="26"/>
  <c r="AF70" i="26"/>
  <c r="AF68" i="26"/>
  <c r="AF72" i="26"/>
  <c r="AF71" i="26"/>
  <c r="AF73" i="26"/>
  <c r="AF74" i="26"/>
  <c r="AF77" i="26"/>
  <c r="AF69" i="26"/>
  <c r="AF75" i="26"/>
  <c r="M75" i="26"/>
  <c r="M71" i="26"/>
  <c r="M78" i="26"/>
  <c r="M69" i="26"/>
  <c r="M73" i="26"/>
  <c r="M72" i="26"/>
  <c r="M76" i="26"/>
  <c r="M77" i="26"/>
  <c r="M68" i="26"/>
  <c r="M74" i="26"/>
  <c r="M70" i="26"/>
  <c r="N148" i="26"/>
  <c r="N151" i="26"/>
  <c r="N143" i="26"/>
  <c r="N146" i="26"/>
  <c r="N149" i="26"/>
  <c r="N152" i="26"/>
  <c r="N144" i="26"/>
  <c r="N147" i="26"/>
  <c r="N150" i="26"/>
  <c r="N153" i="26"/>
  <c r="N145" i="26"/>
  <c r="AF146" i="26"/>
  <c r="AF149" i="26"/>
  <c r="AF152" i="26"/>
  <c r="AF144" i="26"/>
  <c r="AF147" i="26"/>
  <c r="AF150" i="26"/>
  <c r="AF153" i="26"/>
  <c r="AF145" i="26"/>
  <c r="AF148" i="26"/>
  <c r="AF151" i="26"/>
  <c r="AF143" i="26"/>
  <c r="X86" i="26"/>
  <c r="X89" i="26"/>
  <c r="X87" i="26"/>
  <c r="X90" i="26"/>
  <c r="X93" i="26"/>
  <c r="X85" i="26"/>
  <c r="X88" i="26"/>
  <c r="X91" i="26"/>
  <c r="X83" i="26"/>
  <c r="X84" i="26"/>
  <c r="X92" i="26"/>
  <c r="K411" i="5"/>
  <c r="K327" i="5"/>
  <c r="AG410" i="5"/>
  <c r="AG326" i="5"/>
  <c r="N414" i="5"/>
  <c r="N330" i="5"/>
  <c r="L75" i="26"/>
  <c r="L77" i="26"/>
  <c r="L78" i="26"/>
  <c r="L69" i="26"/>
  <c r="L68" i="26"/>
  <c r="L73" i="26"/>
  <c r="L70" i="26"/>
  <c r="L76" i="26"/>
  <c r="L71" i="26"/>
  <c r="L74" i="26"/>
  <c r="L72" i="26"/>
  <c r="L411" i="5"/>
  <c r="L327" i="5"/>
  <c r="R410" i="5"/>
  <c r="R326" i="5"/>
  <c r="X410" i="5"/>
  <c r="X326" i="5"/>
  <c r="AC416" i="5"/>
  <c r="AC332" i="5"/>
  <c r="O406" i="5"/>
  <c r="O322" i="5"/>
  <c r="O7" i="5"/>
  <c r="O8" i="5"/>
  <c r="Y149" i="26"/>
  <c r="Y152" i="26"/>
  <c r="Y144" i="26"/>
  <c r="Y147" i="26"/>
  <c r="Y150" i="26"/>
  <c r="Y153" i="26"/>
  <c r="Y145" i="26"/>
  <c r="Y148" i="26"/>
  <c r="Y151" i="26"/>
  <c r="Y143" i="26"/>
  <c r="Y146" i="26"/>
  <c r="G70" i="17"/>
  <c r="I70" i="17"/>
  <c r="F70" i="17"/>
  <c r="D70" i="17"/>
  <c r="C70" i="17"/>
  <c r="E70" i="17"/>
  <c r="Q149" i="26"/>
  <c r="Q152" i="26"/>
  <c r="Q144" i="26"/>
  <c r="Q147" i="26"/>
  <c r="Q150" i="26"/>
  <c r="Q153" i="26"/>
  <c r="Q145" i="26"/>
  <c r="Q148" i="26"/>
  <c r="Q151" i="26"/>
  <c r="Q143" i="26"/>
  <c r="Q146" i="26"/>
  <c r="J151" i="5"/>
  <c r="J143" i="5"/>
  <c r="J146" i="5"/>
  <c r="J149" i="5"/>
  <c r="J152" i="5"/>
  <c r="J144" i="5"/>
  <c r="J147" i="5"/>
  <c r="J150" i="5"/>
  <c r="J142" i="5"/>
  <c r="J148" i="5"/>
  <c r="J145" i="5"/>
  <c r="N407" i="5"/>
  <c r="N323" i="5"/>
  <c r="Z85" i="5"/>
  <c r="Z91" i="5"/>
  <c r="Z86" i="5"/>
  <c r="Z89" i="5"/>
  <c r="Z92" i="5"/>
  <c r="Z83" i="5"/>
  <c r="Z87" i="5"/>
  <c r="Z88" i="5"/>
  <c r="Z84" i="5"/>
  <c r="Z82" i="5"/>
  <c r="Z90" i="5"/>
  <c r="AD167" i="5"/>
  <c r="AD159" i="5"/>
  <c r="AD162" i="5"/>
  <c r="AD163" i="5"/>
  <c r="AD166" i="5"/>
  <c r="AD164" i="5"/>
  <c r="AD158" i="5"/>
  <c r="AD168" i="5"/>
  <c r="AD160" i="5"/>
  <c r="AD161" i="5"/>
  <c r="AD165" i="5"/>
  <c r="AG413" i="5"/>
  <c r="AG329" i="5"/>
  <c r="L407" i="5"/>
  <c r="L323" i="5"/>
  <c r="Y414" i="5"/>
  <c r="Y330" i="5"/>
  <c r="X414" i="5"/>
  <c r="X330" i="5"/>
  <c r="Q168" i="5"/>
  <c r="Q160" i="5"/>
  <c r="Q163" i="5"/>
  <c r="Q164" i="5"/>
  <c r="Q167" i="5"/>
  <c r="Q165" i="5"/>
  <c r="Q159" i="5"/>
  <c r="Q161" i="5"/>
  <c r="Q158" i="5"/>
  <c r="Q162" i="5"/>
  <c r="Q166" i="5"/>
  <c r="AB149" i="5"/>
  <c r="AB152" i="5"/>
  <c r="AB144" i="5"/>
  <c r="AB147" i="5"/>
  <c r="AB150" i="5"/>
  <c r="AB142" i="5"/>
  <c r="AB145" i="5"/>
  <c r="AB148" i="5"/>
  <c r="AB151" i="5"/>
  <c r="AB146" i="5"/>
  <c r="AB143" i="5"/>
  <c r="AF145" i="5"/>
  <c r="AF148" i="5"/>
  <c r="AF151" i="5"/>
  <c r="AF143" i="5"/>
  <c r="AF146" i="5"/>
  <c r="AF149" i="5"/>
  <c r="AF152" i="5"/>
  <c r="AF144" i="5"/>
  <c r="AF150" i="5"/>
  <c r="AF147" i="5"/>
  <c r="AF142" i="5"/>
  <c r="AC164" i="5"/>
  <c r="AC167" i="5"/>
  <c r="AC159" i="5"/>
  <c r="AC168" i="5"/>
  <c r="AC160" i="5"/>
  <c r="AC163" i="5"/>
  <c r="AC161" i="5"/>
  <c r="AC162" i="5"/>
  <c r="AC166" i="5"/>
  <c r="AC158" i="5"/>
  <c r="AC165" i="5"/>
  <c r="N76" i="26"/>
  <c r="N71" i="26"/>
  <c r="N70" i="26"/>
  <c r="N74" i="26"/>
  <c r="N75" i="26"/>
  <c r="N77" i="26"/>
  <c r="N72" i="26"/>
  <c r="N78" i="26"/>
  <c r="N68" i="26"/>
  <c r="N69" i="26"/>
  <c r="N73" i="26"/>
  <c r="U93" i="26"/>
  <c r="U85" i="26"/>
  <c r="U88" i="26"/>
  <c r="U86" i="26"/>
  <c r="U89" i="26"/>
  <c r="U92" i="26"/>
  <c r="U84" i="26"/>
  <c r="U87" i="26"/>
  <c r="U91" i="26"/>
  <c r="U83" i="26"/>
  <c r="U90" i="26"/>
  <c r="Z152" i="26"/>
  <c r="Z144" i="26"/>
  <c r="Z147" i="26"/>
  <c r="Z150" i="26"/>
  <c r="Z153" i="26"/>
  <c r="Z145" i="26"/>
  <c r="Z148" i="26"/>
  <c r="Z151" i="26"/>
  <c r="Z143" i="26"/>
  <c r="Z146" i="26"/>
  <c r="Z149" i="26"/>
  <c r="AE162" i="26"/>
  <c r="AE165" i="26"/>
  <c r="AE160" i="26"/>
  <c r="AE159" i="26"/>
  <c r="AE169" i="26"/>
  <c r="AE163" i="26"/>
  <c r="AE168" i="26"/>
  <c r="AE164" i="26"/>
  <c r="AE166" i="26"/>
  <c r="AE167" i="26"/>
  <c r="AE161" i="26"/>
  <c r="AB90" i="26"/>
  <c r="AB93" i="26"/>
  <c r="AB85" i="26"/>
  <c r="AB91" i="26"/>
  <c r="AB83" i="26"/>
  <c r="AB86" i="26"/>
  <c r="AB89" i="26"/>
  <c r="AB92" i="26"/>
  <c r="AB84" i="26"/>
  <c r="AB88" i="26"/>
  <c r="AB87" i="26"/>
  <c r="AA106" i="26"/>
  <c r="AA98" i="26"/>
  <c r="AA101" i="26"/>
  <c r="AA104" i="26"/>
  <c r="AA107" i="26"/>
  <c r="AA99" i="26"/>
  <c r="AA102" i="26"/>
  <c r="AA105" i="26"/>
  <c r="AA108" i="26"/>
  <c r="AA100" i="26"/>
  <c r="AA103" i="26"/>
  <c r="K166" i="5"/>
  <c r="K161" i="5"/>
  <c r="K162" i="5"/>
  <c r="K165" i="5"/>
  <c r="K163" i="5"/>
  <c r="K158" i="5"/>
  <c r="K167" i="5"/>
  <c r="K164" i="5"/>
  <c r="K159" i="5"/>
  <c r="K168" i="5"/>
  <c r="K160" i="5"/>
  <c r="N411" i="5"/>
  <c r="N327" i="5"/>
  <c r="M408" i="5"/>
  <c r="M324" i="5"/>
  <c r="R68" i="26"/>
  <c r="R73" i="26"/>
  <c r="R76" i="26"/>
  <c r="R69" i="26"/>
  <c r="R70" i="26"/>
  <c r="R75" i="26"/>
  <c r="R71" i="26"/>
  <c r="R77" i="26"/>
  <c r="R74" i="26"/>
  <c r="R78" i="26"/>
  <c r="R72" i="26"/>
  <c r="AG89" i="26"/>
  <c r="AG92" i="26"/>
  <c r="AG84" i="26"/>
  <c r="AG90" i="26"/>
  <c r="AG93" i="26"/>
  <c r="AG85" i="26"/>
  <c r="AG88" i="26"/>
  <c r="AG91" i="26"/>
  <c r="AG83" i="26"/>
  <c r="AG87" i="26"/>
  <c r="AG86" i="26"/>
  <c r="T150" i="26"/>
  <c r="T153" i="26"/>
  <c r="T145" i="26"/>
  <c r="T148" i="26"/>
  <c r="T151" i="26"/>
  <c r="T143" i="26"/>
  <c r="T146" i="26"/>
  <c r="T149" i="26"/>
  <c r="T152" i="26"/>
  <c r="T144" i="26"/>
  <c r="T147" i="26"/>
  <c r="P168" i="26"/>
  <c r="P169" i="26"/>
  <c r="P166" i="26"/>
  <c r="P167" i="26"/>
  <c r="P161" i="26"/>
  <c r="P160" i="26"/>
  <c r="P163" i="26"/>
  <c r="P159" i="26"/>
  <c r="P164" i="26"/>
  <c r="P162" i="26"/>
  <c r="P165" i="26"/>
  <c r="O102" i="26"/>
  <c r="O105" i="26"/>
  <c r="O108" i="26"/>
  <c r="O100" i="26"/>
  <c r="O103" i="26"/>
  <c r="O106" i="26"/>
  <c r="O98" i="26"/>
  <c r="O101" i="26"/>
  <c r="O104" i="26"/>
  <c r="O107" i="26"/>
  <c r="O99" i="26"/>
  <c r="L101" i="26"/>
  <c r="L104" i="26"/>
  <c r="L107" i="26"/>
  <c r="L99" i="26"/>
  <c r="L102" i="26"/>
  <c r="L105" i="26"/>
  <c r="L108" i="26"/>
  <c r="L100" i="26"/>
  <c r="L103" i="26"/>
  <c r="L106" i="26"/>
  <c r="L98" i="26"/>
  <c r="O71" i="5"/>
  <c r="O74" i="5"/>
  <c r="O75" i="5"/>
  <c r="O67" i="5"/>
  <c r="O70" i="5"/>
  <c r="O73" i="5"/>
  <c r="O76" i="5"/>
  <c r="O68" i="5"/>
  <c r="O77" i="5"/>
  <c r="O72" i="5"/>
  <c r="O69" i="5"/>
  <c r="L416" i="5"/>
  <c r="L332" i="5"/>
  <c r="AA415" i="5"/>
  <c r="AA331" i="5"/>
  <c r="R415" i="5"/>
  <c r="R331" i="5"/>
  <c r="Q410" i="5"/>
  <c r="Q326" i="5"/>
  <c r="X407" i="5"/>
  <c r="X323" i="5"/>
  <c r="V411" i="5"/>
  <c r="V327" i="5"/>
  <c r="S75" i="5"/>
  <c r="S67" i="5"/>
  <c r="S70" i="5"/>
  <c r="S71" i="5"/>
  <c r="S74" i="5"/>
  <c r="S77" i="5"/>
  <c r="S69" i="5"/>
  <c r="S72" i="5"/>
  <c r="S76" i="5"/>
  <c r="S73" i="5"/>
  <c r="S68" i="5"/>
  <c r="M411" i="5"/>
  <c r="M327" i="5"/>
  <c r="AE407" i="5"/>
  <c r="AE323" i="5"/>
  <c r="P406" i="5"/>
  <c r="P322" i="5"/>
  <c r="P7" i="5"/>
  <c r="P8" i="5"/>
  <c r="AB415" i="5"/>
  <c r="AB331" i="5"/>
  <c r="S415" i="5"/>
  <c r="S331" i="5"/>
  <c r="Z409" i="5"/>
  <c r="Z325" i="5"/>
  <c r="M414" i="5"/>
  <c r="M330" i="5"/>
  <c r="N167" i="5"/>
  <c r="N159" i="5"/>
  <c r="N162" i="5"/>
  <c r="N163" i="5"/>
  <c r="N166" i="5"/>
  <c r="N164" i="5"/>
  <c r="N168" i="5"/>
  <c r="N160" i="5"/>
  <c r="N165" i="5"/>
  <c r="N161" i="5"/>
  <c r="N158" i="5"/>
  <c r="K415" i="5"/>
  <c r="K331" i="5"/>
  <c r="R409" i="5"/>
  <c r="R325" i="5"/>
  <c r="Z151" i="5"/>
  <c r="Z143" i="5"/>
  <c r="Z146" i="5"/>
  <c r="Z149" i="5"/>
  <c r="Z152" i="5"/>
  <c r="Z144" i="5"/>
  <c r="Z147" i="5"/>
  <c r="Z150" i="5"/>
  <c r="Z142" i="5"/>
  <c r="Z148" i="5"/>
  <c r="Z145" i="5"/>
  <c r="AG406" i="5"/>
  <c r="AG322" i="5"/>
  <c r="AG7" i="5"/>
  <c r="AG8" i="5"/>
  <c r="AE413" i="5"/>
  <c r="AE329" i="5"/>
  <c r="V416" i="5"/>
  <c r="V332" i="5"/>
  <c r="AD147" i="5"/>
  <c r="AD150" i="5"/>
  <c r="AD142" i="5"/>
  <c r="AD145" i="5"/>
  <c r="AD148" i="5"/>
  <c r="AD151" i="5"/>
  <c r="AD143" i="5"/>
  <c r="AD146" i="5"/>
  <c r="AD152" i="5"/>
  <c r="AD149" i="5"/>
  <c r="AD144" i="5"/>
  <c r="U413" i="5"/>
  <c r="U329" i="5"/>
  <c r="V167" i="5"/>
  <c r="V159" i="5"/>
  <c r="V162" i="5"/>
  <c r="V163" i="5"/>
  <c r="V166" i="5"/>
  <c r="V164" i="5"/>
  <c r="V168" i="5"/>
  <c r="V160" i="5"/>
  <c r="V158" i="5"/>
  <c r="V165" i="5"/>
  <c r="V161" i="5"/>
  <c r="W151" i="26"/>
  <c r="W143" i="26"/>
  <c r="W146" i="26"/>
  <c r="W149" i="26"/>
  <c r="W152" i="26"/>
  <c r="W144" i="26"/>
  <c r="W147" i="26"/>
  <c r="W150" i="26"/>
  <c r="W153" i="26"/>
  <c r="W145" i="26"/>
  <c r="W148" i="26"/>
  <c r="AA166" i="5"/>
  <c r="AA161" i="5"/>
  <c r="AA162" i="5"/>
  <c r="AA165" i="5"/>
  <c r="AA163" i="5"/>
  <c r="AA167" i="5"/>
  <c r="AA159" i="5"/>
  <c r="AA164" i="5"/>
  <c r="AA158" i="5"/>
  <c r="AA160" i="5"/>
  <c r="AA168" i="5"/>
  <c r="R163" i="5"/>
  <c r="R166" i="5"/>
  <c r="R158" i="5"/>
  <c r="R167" i="5"/>
  <c r="R159" i="5"/>
  <c r="R162" i="5"/>
  <c r="R168" i="5"/>
  <c r="R160" i="5"/>
  <c r="R164" i="5"/>
  <c r="R165" i="5"/>
  <c r="R161" i="5"/>
  <c r="Y148" i="5"/>
  <c r="Y151" i="5"/>
  <c r="Y143" i="5"/>
  <c r="Y146" i="5"/>
  <c r="Y149" i="5"/>
  <c r="Y152" i="5"/>
  <c r="Y144" i="5"/>
  <c r="Y147" i="5"/>
  <c r="Y145" i="5"/>
  <c r="Y150" i="5"/>
  <c r="Y142" i="5"/>
  <c r="M164" i="5"/>
  <c r="M167" i="5"/>
  <c r="M159" i="5"/>
  <c r="M168" i="5"/>
  <c r="M160" i="5"/>
  <c r="M163" i="5"/>
  <c r="M161" i="5"/>
  <c r="M166" i="5"/>
  <c r="M165" i="5"/>
  <c r="M158" i="5"/>
  <c r="M162" i="5"/>
  <c r="AC159" i="26"/>
  <c r="AC162" i="26"/>
  <c r="AC164" i="26"/>
  <c r="AC168" i="26"/>
  <c r="AC165" i="26"/>
  <c r="AC169" i="26"/>
  <c r="AC160" i="26"/>
  <c r="AC166" i="26"/>
  <c r="AC163" i="26"/>
  <c r="AC167" i="26"/>
  <c r="AC161" i="26"/>
  <c r="K414" i="5"/>
  <c r="K330" i="5"/>
  <c r="AF413" i="5"/>
  <c r="AF329" i="5"/>
  <c r="AD73" i="26"/>
  <c r="AD68" i="26"/>
  <c r="AD75" i="26"/>
  <c r="AD76" i="26"/>
  <c r="AD78" i="26"/>
  <c r="AD71" i="26"/>
  <c r="AD69" i="26"/>
  <c r="AD74" i="26"/>
  <c r="AD77" i="26"/>
  <c r="AD70" i="26"/>
  <c r="AD72" i="26"/>
  <c r="T409" i="5"/>
  <c r="T325" i="5"/>
  <c r="AB91" i="5"/>
  <c r="AB89" i="5"/>
  <c r="AB92" i="5"/>
  <c r="AB87" i="5"/>
  <c r="AB90" i="5"/>
  <c r="AB88" i="5"/>
  <c r="AB82" i="5"/>
  <c r="AB84" i="5"/>
  <c r="AB85" i="5"/>
  <c r="AB83" i="5"/>
  <c r="AB86" i="5"/>
  <c r="K409" i="5"/>
  <c r="K325" i="5"/>
  <c r="Z408" i="5"/>
  <c r="Z324" i="5"/>
  <c r="AG408" i="5"/>
  <c r="AG324" i="5"/>
  <c r="AF408" i="5"/>
  <c r="AF324" i="5"/>
  <c r="AD416" i="5"/>
  <c r="AD332" i="5"/>
  <c r="AF165" i="5"/>
  <c r="AF168" i="5"/>
  <c r="AF160" i="5"/>
  <c r="AF161" i="5"/>
  <c r="AF164" i="5"/>
  <c r="AF162" i="5"/>
  <c r="AF166" i="5"/>
  <c r="AF167" i="5"/>
  <c r="AF163" i="5"/>
  <c r="AF159" i="5"/>
  <c r="AF158" i="5"/>
  <c r="U416" i="5"/>
  <c r="U332" i="5"/>
  <c r="AC152" i="5"/>
  <c r="AC144" i="5"/>
  <c r="AC147" i="5"/>
  <c r="AC150" i="5"/>
  <c r="AC142" i="5"/>
  <c r="AC145" i="5"/>
  <c r="AC148" i="5"/>
  <c r="AC151" i="5"/>
  <c r="AC143" i="5"/>
  <c r="AC149" i="5"/>
  <c r="AC146" i="5"/>
  <c r="N413" i="5"/>
  <c r="N329" i="5"/>
  <c r="U86" i="5"/>
  <c r="U92" i="5"/>
  <c r="U87" i="5"/>
  <c r="U90" i="5"/>
  <c r="U89" i="5"/>
  <c r="U84" i="5"/>
  <c r="U85" i="5"/>
  <c r="U82" i="5"/>
  <c r="U91" i="5"/>
  <c r="U88" i="5"/>
  <c r="U83" i="5"/>
  <c r="V88" i="26"/>
  <c r="V91" i="26"/>
  <c r="V83" i="26"/>
  <c r="V89" i="26"/>
  <c r="V92" i="26"/>
  <c r="V84" i="26"/>
  <c r="V87" i="26"/>
  <c r="V90" i="26"/>
  <c r="V86" i="26"/>
  <c r="V93" i="26"/>
  <c r="V85" i="26"/>
  <c r="Y416" i="5"/>
  <c r="Y332" i="5"/>
  <c r="T70" i="5"/>
  <c r="T73" i="5"/>
  <c r="T74" i="5"/>
  <c r="T77" i="5"/>
  <c r="T69" i="5"/>
  <c r="T72" i="5"/>
  <c r="T75" i="5"/>
  <c r="T67" i="5"/>
  <c r="T76" i="5"/>
  <c r="T71" i="5"/>
  <c r="T68" i="5"/>
  <c r="AD411" i="5"/>
  <c r="AD327" i="5"/>
  <c r="K24" i="36"/>
  <c r="F25" i="36"/>
  <c r="P22" i="36"/>
  <c r="V21" i="36"/>
  <c r="I371" i="5"/>
  <c r="H375" i="5"/>
  <c r="L199" i="5"/>
  <c r="L190" i="5"/>
  <c r="L200" i="5"/>
  <c r="L193" i="5"/>
  <c r="L196" i="5"/>
  <c r="L191" i="5"/>
  <c r="L194" i="5"/>
  <c r="L197" i="5"/>
  <c r="L192" i="5"/>
  <c r="L198" i="5"/>
  <c r="L195" i="5"/>
  <c r="M14" i="5"/>
  <c r="K217" i="5"/>
  <c r="I373" i="5"/>
  <c r="I370" i="5"/>
  <c r="I366" i="5"/>
  <c r="L202" i="26"/>
  <c r="L209" i="5"/>
  <c r="L213" i="5"/>
  <c r="L216" i="5"/>
  <c r="L211" i="5"/>
  <c r="L215" i="5"/>
  <c r="L214" i="5"/>
  <c r="L207" i="5"/>
  <c r="L210" i="5"/>
  <c r="L206" i="5"/>
  <c r="L212" i="5"/>
  <c r="L208" i="5"/>
  <c r="M16" i="5"/>
  <c r="K201" i="5"/>
  <c r="M195" i="26"/>
  <c r="M198" i="26"/>
  <c r="M192" i="26"/>
  <c r="M193" i="26"/>
  <c r="M201" i="26"/>
  <c r="M196" i="26"/>
  <c r="N15" i="26"/>
  <c r="M200" i="26"/>
  <c r="M191" i="26"/>
  <c r="M194" i="26"/>
  <c r="M199" i="26"/>
  <c r="M197" i="26"/>
  <c r="W30" i="26"/>
  <c r="W48" i="26" s="1"/>
  <c r="V35" i="26"/>
  <c r="V57" i="26" s="1"/>
  <c r="N216" i="26"/>
  <c r="N217" i="26"/>
  <c r="N215" i="26"/>
  <c r="N207" i="26"/>
  <c r="N210" i="26"/>
  <c r="N213" i="26"/>
  <c r="N208" i="26"/>
  <c r="N211" i="26"/>
  <c r="N214" i="26"/>
  <c r="N209" i="26"/>
  <c r="N212" i="26"/>
  <c r="O17" i="26"/>
  <c r="M218" i="26"/>
  <c r="M233" i="5"/>
  <c r="M248" i="5"/>
  <c r="N412" i="5" l="1"/>
  <c r="O398" i="5"/>
  <c r="I375" i="5"/>
  <c r="AC109" i="26"/>
  <c r="Q109" i="26"/>
  <c r="W93" i="5"/>
  <c r="AF170" i="26"/>
  <c r="U154" i="26"/>
  <c r="AC169" i="5"/>
  <c r="Y154" i="26"/>
  <c r="W79" i="26"/>
  <c r="J23" i="5"/>
  <c r="G142" i="28" s="1"/>
  <c r="AA154" i="26"/>
  <c r="AF93" i="5"/>
  <c r="AB78" i="5"/>
  <c r="J94" i="26"/>
  <c r="N170" i="26"/>
  <c r="L169" i="5"/>
  <c r="J108" i="5"/>
  <c r="Q94" i="26"/>
  <c r="AE93" i="5"/>
  <c r="AA170" i="26"/>
  <c r="L153" i="5"/>
  <c r="V169" i="5"/>
  <c r="Z153" i="5"/>
  <c r="T154" i="26"/>
  <c r="AG94" i="26"/>
  <c r="AE170" i="26"/>
  <c r="M169" i="5"/>
  <c r="R28" i="5"/>
  <c r="Q46" i="5"/>
  <c r="P122" i="5"/>
  <c r="P117" i="5"/>
  <c r="P120" i="5"/>
  <c r="P115" i="5"/>
  <c r="P118" i="5"/>
  <c r="P121" i="5"/>
  <c r="P113" i="5"/>
  <c r="P116" i="5"/>
  <c r="P112" i="5"/>
  <c r="P119" i="5"/>
  <c r="P114" i="5"/>
  <c r="S78" i="5"/>
  <c r="O109" i="26"/>
  <c r="X94" i="26"/>
  <c r="W109" i="26"/>
  <c r="J132" i="5"/>
  <c r="J135" i="5"/>
  <c r="J127" i="5"/>
  <c r="J130" i="5"/>
  <c r="J133" i="5"/>
  <c r="J136" i="5"/>
  <c r="J128" i="5"/>
  <c r="J131" i="5"/>
  <c r="J137" i="5"/>
  <c r="J129" i="5"/>
  <c r="J134" i="5"/>
  <c r="R30" i="5"/>
  <c r="Q48" i="5"/>
  <c r="R93" i="5"/>
  <c r="AD78" i="5"/>
  <c r="Z78" i="5"/>
  <c r="Z109" i="26"/>
  <c r="AG153" i="5"/>
  <c r="J109" i="26"/>
  <c r="S109" i="26"/>
  <c r="AG154" i="26"/>
  <c r="AA93" i="5"/>
  <c r="V136" i="5"/>
  <c r="V128" i="5"/>
  <c r="V131" i="5"/>
  <c r="V134" i="5"/>
  <c r="V137" i="5"/>
  <c r="V129" i="5"/>
  <c r="V132" i="5"/>
  <c r="V135" i="5"/>
  <c r="V127" i="5"/>
  <c r="V133" i="5"/>
  <c r="V130" i="5"/>
  <c r="AG169" i="5"/>
  <c r="P93" i="5"/>
  <c r="W169" i="5"/>
  <c r="L170" i="26"/>
  <c r="R154" i="26"/>
  <c r="T93" i="5"/>
  <c r="AF134" i="5"/>
  <c r="AF137" i="5"/>
  <c r="AF129" i="5"/>
  <c r="AF132" i="5"/>
  <c r="AF135" i="5"/>
  <c r="AF130" i="5"/>
  <c r="AF133" i="5"/>
  <c r="AF136" i="5"/>
  <c r="AF131" i="5"/>
  <c r="AF128" i="5"/>
  <c r="AF127" i="5"/>
  <c r="V153" i="5"/>
  <c r="Y170" i="26"/>
  <c r="AE78" i="5"/>
  <c r="S170" i="26"/>
  <c r="Y79" i="26"/>
  <c r="Y137" i="5"/>
  <c r="Y129" i="5"/>
  <c r="Y132" i="5"/>
  <c r="Y135" i="5"/>
  <c r="Y127" i="5"/>
  <c r="Y130" i="5"/>
  <c r="Y133" i="5"/>
  <c r="Y136" i="5"/>
  <c r="Y128" i="5"/>
  <c r="Y134" i="5"/>
  <c r="Y131" i="5"/>
  <c r="AA115" i="5"/>
  <c r="AA118" i="5"/>
  <c r="AA121" i="5"/>
  <c r="AA116" i="5"/>
  <c r="AA119" i="5"/>
  <c r="AA122" i="5"/>
  <c r="AA114" i="5"/>
  <c r="AA117" i="5"/>
  <c r="AA120" i="5"/>
  <c r="AA112" i="5"/>
  <c r="AA113" i="5"/>
  <c r="N116" i="5"/>
  <c r="N119" i="5"/>
  <c r="N122" i="5"/>
  <c r="N114" i="5"/>
  <c r="N117" i="5"/>
  <c r="N120" i="5"/>
  <c r="N112" i="5"/>
  <c r="N115" i="5"/>
  <c r="N118" i="5"/>
  <c r="N113" i="5"/>
  <c r="N121" i="5"/>
  <c r="E42" i="17"/>
  <c r="D42" i="17"/>
  <c r="C42" i="17"/>
  <c r="I42" i="17"/>
  <c r="G42" i="17"/>
  <c r="F42" i="17"/>
  <c r="R109" i="26"/>
  <c r="AA169" i="5"/>
  <c r="AG137" i="5"/>
  <c r="AG129" i="5"/>
  <c r="AG132" i="5"/>
  <c r="AG135" i="5"/>
  <c r="AG127" i="5"/>
  <c r="AG130" i="5"/>
  <c r="AG133" i="5"/>
  <c r="AG136" i="5"/>
  <c r="AG128" i="5"/>
  <c r="AG134" i="5"/>
  <c r="AG131" i="5"/>
  <c r="L109" i="26"/>
  <c r="AF153" i="5"/>
  <c r="AB153" i="5"/>
  <c r="Q169" i="5"/>
  <c r="O131" i="5"/>
  <c r="O134" i="5"/>
  <c r="O137" i="5"/>
  <c r="O129" i="5"/>
  <c r="O132" i="5"/>
  <c r="O135" i="5"/>
  <c r="O127" i="5"/>
  <c r="O130" i="5"/>
  <c r="O128" i="5"/>
  <c r="O136" i="5"/>
  <c r="O133" i="5"/>
  <c r="AF154" i="26"/>
  <c r="M79" i="26"/>
  <c r="AF79" i="26"/>
  <c r="R153" i="5"/>
  <c r="S169" i="5"/>
  <c r="U169" i="5"/>
  <c r="L417" i="5"/>
  <c r="AD93" i="5"/>
  <c r="N78" i="5"/>
  <c r="AE131" i="5"/>
  <c r="AE134" i="5"/>
  <c r="AE137" i="5"/>
  <c r="AE129" i="5"/>
  <c r="AE132" i="5"/>
  <c r="AE135" i="5"/>
  <c r="AE127" i="5"/>
  <c r="AE130" i="5"/>
  <c r="AE136" i="5"/>
  <c r="AE133" i="5"/>
  <c r="AE128" i="5"/>
  <c r="AG79" i="26"/>
  <c r="M154" i="26"/>
  <c r="K109" i="26"/>
  <c r="AA79" i="26"/>
  <c r="X93" i="5"/>
  <c r="Q153" i="5"/>
  <c r="O170" i="26"/>
  <c r="M121" i="5"/>
  <c r="M116" i="5"/>
  <c r="M119" i="5"/>
  <c r="M122" i="5"/>
  <c r="M114" i="5"/>
  <c r="M117" i="5"/>
  <c r="M120" i="5"/>
  <c r="M112" i="5"/>
  <c r="M115" i="5"/>
  <c r="M113" i="5"/>
  <c r="M118" i="5"/>
  <c r="T79" i="26"/>
  <c r="AE109" i="26"/>
  <c r="AF122" i="5"/>
  <c r="AF114" i="5"/>
  <c r="AF117" i="5"/>
  <c r="AF120" i="5"/>
  <c r="AF115" i="5"/>
  <c r="AF118" i="5"/>
  <c r="AF121" i="5"/>
  <c r="AF113" i="5"/>
  <c r="AF116" i="5"/>
  <c r="AF112" i="5"/>
  <c r="AF119" i="5"/>
  <c r="N153" i="5"/>
  <c r="Y117" i="5"/>
  <c r="Y120" i="5"/>
  <c r="Y112" i="5"/>
  <c r="Y115" i="5"/>
  <c r="Y118" i="5"/>
  <c r="Y121" i="5"/>
  <c r="Y113" i="5"/>
  <c r="Y116" i="5"/>
  <c r="Y119" i="5"/>
  <c r="Y122" i="5"/>
  <c r="Y114" i="5"/>
  <c r="AA135" i="5"/>
  <c r="AA127" i="5"/>
  <c r="AA130" i="5"/>
  <c r="AA133" i="5"/>
  <c r="AA136" i="5"/>
  <c r="AA128" i="5"/>
  <c r="AA131" i="5"/>
  <c r="AA134" i="5"/>
  <c r="AA129" i="5"/>
  <c r="AA137" i="5"/>
  <c r="AA132" i="5"/>
  <c r="L78" i="5"/>
  <c r="N136" i="5"/>
  <c r="N128" i="5"/>
  <c r="N131" i="5"/>
  <c r="N134" i="5"/>
  <c r="N137" i="5"/>
  <c r="N129" i="5"/>
  <c r="N132" i="5"/>
  <c r="N135" i="5"/>
  <c r="N127" i="5"/>
  <c r="N133" i="5"/>
  <c r="N130" i="5"/>
  <c r="G100" i="17"/>
  <c r="E100" i="17"/>
  <c r="D100" i="17"/>
  <c r="C100" i="17"/>
  <c r="K79" i="26"/>
  <c r="X78" i="5"/>
  <c r="AD109" i="26"/>
  <c r="T169" i="5"/>
  <c r="P134" i="5"/>
  <c r="P137" i="5"/>
  <c r="P129" i="5"/>
  <c r="P132" i="5"/>
  <c r="P135" i="5"/>
  <c r="P130" i="5"/>
  <c r="P133" i="5"/>
  <c r="P127" i="5"/>
  <c r="P136" i="5"/>
  <c r="P131" i="5"/>
  <c r="P128" i="5"/>
  <c r="V116" i="5"/>
  <c r="V119" i="5"/>
  <c r="V122" i="5"/>
  <c r="V114" i="5"/>
  <c r="V117" i="5"/>
  <c r="V120" i="5"/>
  <c r="V112" i="5"/>
  <c r="V115" i="5"/>
  <c r="V118" i="5"/>
  <c r="V121" i="5"/>
  <c r="V113" i="5"/>
  <c r="F101" i="17"/>
  <c r="H43" i="17"/>
  <c r="H72" i="17"/>
  <c r="J34" i="22"/>
  <c r="X153" i="5"/>
  <c r="AF169" i="5"/>
  <c r="AD153" i="5"/>
  <c r="AG117" i="5"/>
  <c r="AG120" i="5"/>
  <c r="AG112" i="5"/>
  <c r="AG115" i="5"/>
  <c r="AG118" i="5"/>
  <c r="AG121" i="5"/>
  <c r="AG113" i="5"/>
  <c r="AG116" i="5"/>
  <c r="AG119" i="5"/>
  <c r="AG122" i="5"/>
  <c r="AG114" i="5"/>
  <c r="P170" i="26"/>
  <c r="R79" i="26"/>
  <c r="O119" i="5"/>
  <c r="O122" i="5"/>
  <c r="O114" i="5"/>
  <c r="O117" i="5"/>
  <c r="O120" i="5"/>
  <c r="O112" i="5"/>
  <c r="O115" i="5"/>
  <c r="O118" i="5"/>
  <c r="O121" i="5"/>
  <c r="O113" i="5"/>
  <c r="O116" i="5"/>
  <c r="R170" i="26"/>
  <c r="J417" i="5"/>
  <c r="AE119" i="5"/>
  <c r="AE122" i="5"/>
  <c r="AE114" i="5"/>
  <c r="AE117" i="5"/>
  <c r="AE120" i="5"/>
  <c r="AE112" i="5"/>
  <c r="AE115" i="5"/>
  <c r="AE118" i="5"/>
  <c r="AE121" i="5"/>
  <c r="AE113" i="5"/>
  <c r="AE116" i="5"/>
  <c r="AB170" i="26"/>
  <c r="AE169" i="5"/>
  <c r="L94" i="26"/>
  <c r="AG170" i="26"/>
  <c r="AF109" i="26"/>
  <c r="M133" i="5"/>
  <c r="M136" i="5"/>
  <c r="M128" i="5"/>
  <c r="M131" i="5"/>
  <c r="M134" i="5"/>
  <c r="M137" i="5"/>
  <c r="M129" i="5"/>
  <c r="M132" i="5"/>
  <c r="M135" i="5"/>
  <c r="M130" i="5"/>
  <c r="M127" i="5"/>
  <c r="X170" i="26"/>
  <c r="M93" i="5"/>
  <c r="Q93" i="5"/>
  <c r="M94" i="26"/>
  <c r="AF94" i="26"/>
  <c r="N109" i="26"/>
  <c r="Y78" i="5"/>
  <c r="G71" i="17"/>
  <c r="C71" i="17"/>
  <c r="I71" i="17"/>
  <c r="E71" i="17"/>
  <c r="D71" i="17"/>
  <c r="F71" i="17"/>
  <c r="M170" i="26"/>
  <c r="X79" i="26"/>
  <c r="S93" i="5"/>
  <c r="P109" i="26"/>
  <c r="J120" i="5"/>
  <c r="J115" i="5"/>
  <c r="J255" i="5" s="1"/>
  <c r="J118" i="5"/>
  <c r="J121" i="5"/>
  <c r="J261" i="5" s="1"/>
  <c r="J113" i="5"/>
  <c r="J253" i="5" s="1"/>
  <c r="J116" i="5"/>
  <c r="J256" i="5" s="1"/>
  <c r="J119" i="5"/>
  <c r="J122" i="5"/>
  <c r="J114" i="5"/>
  <c r="J112" i="5"/>
  <c r="J117" i="5"/>
  <c r="S135" i="5"/>
  <c r="S127" i="5"/>
  <c r="S130" i="5"/>
  <c r="S133" i="5"/>
  <c r="S136" i="5"/>
  <c r="S131" i="5"/>
  <c r="S134" i="5"/>
  <c r="S137" i="5"/>
  <c r="S132" i="5"/>
  <c r="S129" i="5"/>
  <c r="S128" i="5"/>
  <c r="T78" i="5"/>
  <c r="U93" i="5"/>
  <c r="AC153" i="5"/>
  <c r="AB93" i="5"/>
  <c r="W154" i="26"/>
  <c r="AA109" i="26"/>
  <c r="AB94" i="26"/>
  <c r="N79" i="26"/>
  <c r="L79" i="26"/>
  <c r="O153" i="5"/>
  <c r="K108" i="5"/>
  <c r="AB169" i="5"/>
  <c r="AC79" i="26"/>
  <c r="S153" i="5"/>
  <c r="AA78" i="5"/>
  <c r="W170" i="26"/>
  <c r="AG78" i="5"/>
  <c r="N93" i="5"/>
  <c r="P169" i="5"/>
  <c r="T94" i="26"/>
  <c r="X134" i="5"/>
  <c r="X137" i="5"/>
  <c r="X129" i="5"/>
  <c r="X132" i="5"/>
  <c r="X135" i="5"/>
  <c r="X130" i="5"/>
  <c r="X133" i="5"/>
  <c r="X127" i="5"/>
  <c r="X136" i="5"/>
  <c r="X131" i="5"/>
  <c r="X128" i="5"/>
  <c r="AB79" i="26"/>
  <c r="U79" i="26"/>
  <c r="M109" i="26"/>
  <c r="U78" i="5"/>
  <c r="AD94" i="26"/>
  <c r="U121" i="5"/>
  <c r="U116" i="5"/>
  <c r="U119" i="5"/>
  <c r="U122" i="5"/>
  <c r="U114" i="5"/>
  <c r="U117" i="5"/>
  <c r="U120" i="5"/>
  <c r="U112" i="5"/>
  <c r="U115" i="5"/>
  <c r="U113" i="5"/>
  <c r="U118" i="5"/>
  <c r="Q47" i="5"/>
  <c r="R29" i="5"/>
  <c r="K115" i="5"/>
  <c r="K118" i="5"/>
  <c r="K121" i="5"/>
  <c r="K116" i="5"/>
  <c r="K119" i="5"/>
  <c r="K122" i="5"/>
  <c r="K114" i="5"/>
  <c r="K117" i="5"/>
  <c r="K112" i="5"/>
  <c r="K113" i="5"/>
  <c r="K120" i="5"/>
  <c r="V154" i="26"/>
  <c r="AD116" i="5"/>
  <c r="AD119" i="5"/>
  <c r="AD122" i="5"/>
  <c r="AD114" i="5"/>
  <c r="AD117" i="5"/>
  <c r="AD120" i="5"/>
  <c r="AD112" i="5"/>
  <c r="AD115" i="5"/>
  <c r="AD118" i="5"/>
  <c r="AD121" i="5"/>
  <c r="AD113" i="5"/>
  <c r="K170" i="26"/>
  <c r="N417" i="5"/>
  <c r="J79" i="26"/>
  <c r="S79" i="26"/>
  <c r="AC121" i="5"/>
  <c r="AC116" i="5"/>
  <c r="AC119" i="5"/>
  <c r="AC122" i="5"/>
  <c r="AC114" i="5"/>
  <c r="AC117" i="5"/>
  <c r="AC120" i="5"/>
  <c r="AC112" i="5"/>
  <c r="AC115" i="5"/>
  <c r="AC118" i="5"/>
  <c r="AC113" i="5"/>
  <c r="AB130" i="5"/>
  <c r="AB133" i="5"/>
  <c r="AB136" i="5"/>
  <c r="AB128" i="5"/>
  <c r="AB131" i="5"/>
  <c r="AB134" i="5"/>
  <c r="AB137" i="5"/>
  <c r="AB129" i="5"/>
  <c r="AB127" i="5"/>
  <c r="AB135" i="5"/>
  <c r="AB132" i="5"/>
  <c r="J78" i="5"/>
  <c r="O154" i="26"/>
  <c r="Y153" i="5"/>
  <c r="R169" i="5"/>
  <c r="N169" i="5"/>
  <c r="K169" i="5"/>
  <c r="J153" i="5"/>
  <c r="N154" i="26"/>
  <c r="AC78" i="5"/>
  <c r="AF78" i="5"/>
  <c r="R78" i="5"/>
  <c r="J154" i="26"/>
  <c r="L154" i="26"/>
  <c r="Z94" i="26"/>
  <c r="U170" i="26"/>
  <c r="T170" i="26"/>
  <c r="V170" i="26"/>
  <c r="W131" i="5"/>
  <c r="W134" i="5"/>
  <c r="W137" i="5"/>
  <c r="W129" i="5"/>
  <c r="W132" i="5"/>
  <c r="W135" i="5"/>
  <c r="W127" i="5"/>
  <c r="W130" i="5"/>
  <c r="W136" i="5"/>
  <c r="W133" i="5"/>
  <c r="W128" i="5"/>
  <c r="X122" i="5"/>
  <c r="X114" i="5"/>
  <c r="X117" i="5"/>
  <c r="X120" i="5"/>
  <c r="X115" i="5"/>
  <c r="X118" i="5"/>
  <c r="X121" i="5"/>
  <c r="X113" i="5"/>
  <c r="X116" i="5"/>
  <c r="X119" i="5"/>
  <c r="X112" i="5"/>
  <c r="X154" i="26"/>
  <c r="M417" i="5"/>
  <c r="Q51" i="5"/>
  <c r="R33" i="5"/>
  <c r="Z79" i="26"/>
  <c r="K93" i="5"/>
  <c r="AB154" i="26"/>
  <c r="U133" i="5"/>
  <c r="U136" i="5"/>
  <c r="U128" i="5"/>
  <c r="U131" i="5"/>
  <c r="U134" i="5"/>
  <c r="U137" i="5"/>
  <c r="U129" i="5"/>
  <c r="U132" i="5"/>
  <c r="U127" i="5"/>
  <c r="U130" i="5"/>
  <c r="U135" i="5"/>
  <c r="AC154" i="26"/>
  <c r="K135" i="5"/>
  <c r="K127" i="5"/>
  <c r="K130" i="5"/>
  <c r="K133" i="5"/>
  <c r="K136" i="5"/>
  <c r="K131" i="5"/>
  <c r="K134" i="5"/>
  <c r="K128" i="5"/>
  <c r="K137" i="5"/>
  <c r="K132" i="5"/>
  <c r="K129" i="5"/>
  <c r="X109" i="26"/>
  <c r="AD136" i="5"/>
  <c r="AD128" i="5"/>
  <c r="AD131" i="5"/>
  <c r="AD134" i="5"/>
  <c r="AD137" i="5"/>
  <c r="AD129" i="5"/>
  <c r="AD132" i="5"/>
  <c r="AD135" i="5"/>
  <c r="AD127" i="5"/>
  <c r="AD133" i="5"/>
  <c r="AD130" i="5"/>
  <c r="AC94" i="26"/>
  <c r="R120" i="5"/>
  <c r="R115" i="5"/>
  <c r="R118" i="5"/>
  <c r="R121" i="5"/>
  <c r="R113" i="5"/>
  <c r="R116" i="5"/>
  <c r="R119" i="5"/>
  <c r="R122" i="5"/>
  <c r="R114" i="5"/>
  <c r="R117" i="5"/>
  <c r="R112" i="5"/>
  <c r="P153" i="5"/>
  <c r="Y109" i="26"/>
  <c r="AE153" i="5"/>
  <c r="AE94" i="26"/>
  <c r="N94" i="26"/>
  <c r="AC133" i="5"/>
  <c r="AC136" i="5"/>
  <c r="AC128" i="5"/>
  <c r="AC131" i="5"/>
  <c r="AC134" i="5"/>
  <c r="AC137" i="5"/>
  <c r="AC129" i="5"/>
  <c r="AC132" i="5"/>
  <c r="AC127" i="5"/>
  <c r="AC135" i="5"/>
  <c r="AC130" i="5"/>
  <c r="AB118" i="5"/>
  <c r="AB121" i="5"/>
  <c r="AB113" i="5"/>
  <c r="AB116" i="5"/>
  <c r="AB119" i="5"/>
  <c r="AB122" i="5"/>
  <c r="AB114" i="5"/>
  <c r="AB117" i="5"/>
  <c r="AB120" i="5"/>
  <c r="AB112" i="5"/>
  <c r="AB115" i="5"/>
  <c r="M78" i="5"/>
  <c r="Q170" i="26"/>
  <c r="Q79" i="26"/>
  <c r="W78" i="5"/>
  <c r="U94" i="26"/>
  <c r="L118" i="5"/>
  <c r="L121" i="5"/>
  <c r="L113" i="5"/>
  <c r="L116" i="5"/>
  <c r="L119" i="5"/>
  <c r="L122" i="5"/>
  <c r="L114" i="5"/>
  <c r="L117" i="5"/>
  <c r="L120" i="5"/>
  <c r="L112" i="5"/>
  <c r="L115" i="5"/>
  <c r="Q117" i="5"/>
  <c r="Q120" i="5"/>
  <c r="Q112" i="5"/>
  <c r="Q115" i="5"/>
  <c r="Q118" i="5"/>
  <c r="Q121" i="5"/>
  <c r="Q113" i="5"/>
  <c r="Q116" i="5"/>
  <c r="Q119" i="5"/>
  <c r="Q122" i="5"/>
  <c r="Q114" i="5"/>
  <c r="V94" i="26"/>
  <c r="AD79" i="26"/>
  <c r="AC170" i="26"/>
  <c r="O78" i="5"/>
  <c r="Z154" i="26"/>
  <c r="T153" i="5"/>
  <c r="V109" i="26"/>
  <c r="AD170" i="26"/>
  <c r="AA153" i="5"/>
  <c r="O79" i="26"/>
  <c r="T109" i="26"/>
  <c r="AE154" i="26"/>
  <c r="Y93" i="5"/>
  <c r="W119" i="5"/>
  <c r="W122" i="5"/>
  <c r="W114" i="5"/>
  <c r="W117" i="5"/>
  <c r="W120" i="5"/>
  <c r="W112" i="5"/>
  <c r="W115" i="5"/>
  <c r="W118" i="5"/>
  <c r="W121" i="5"/>
  <c r="W113" i="5"/>
  <c r="W116" i="5"/>
  <c r="K154" i="26"/>
  <c r="K153" i="5"/>
  <c r="AA94" i="26"/>
  <c r="L93" i="5"/>
  <c r="P78" i="5"/>
  <c r="V93" i="5"/>
  <c r="T130" i="5"/>
  <c r="T133" i="5"/>
  <c r="T136" i="5"/>
  <c r="T128" i="5"/>
  <c r="T131" i="5"/>
  <c r="T134" i="5"/>
  <c r="T137" i="5"/>
  <c r="T129" i="5"/>
  <c r="T135" i="5"/>
  <c r="T132" i="5"/>
  <c r="T127" i="5"/>
  <c r="AD154" i="26"/>
  <c r="K94" i="26"/>
  <c r="P154" i="26"/>
  <c r="O93" i="5"/>
  <c r="AB109" i="26"/>
  <c r="M153" i="5"/>
  <c r="R132" i="5"/>
  <c r="R135" i="5"/>
  <c r="R127" i="5"/>
  <c r="R130" i="5"/>
  <c r="R133" i="5"/>
  <c r="R136" i="5"/>
  <c r="R128" i="5"/>
  <c r="R131" i="5"/>
  <c r="R137" i="5"/>
  <c r="R129" i="5"/>
  <c r="R134" i="5"/>
  <c r="O169" i="5"/>
  <c r="P94" i="26"/>
  <c r="U109" i="26"/>
  <c r="Y169" i="5"/>
  <c r="Z169" i="5"/>
  <c r="K78" i="5"/>
  <c r="Z132" i="5"/>
  <c r="Z135" i="5"/>
  <c r="Z127" i="5"/>
  <c r="Z130" i="5"/>
  <c r="Z133" i="5"/>
  <c r="Z136" i="5"/>
  <c r="Z128" i="5"/>
  <c r="Z131" i="5"/>
  <c r="Z137" i="5"/>
  <c r="Z129" i="5"/>
  <c r="Z134" i="5"/>
  <c r="AD169" i="5"/>
  <c r="Z93" i="5"/>
  <c r="Q154" i="26"/>
  <c r="O94" i="26"/>
  <c r="Q78" i="5"/>
  <c r="L130" i="5"/>
  <c r="L133" i="5"/>
  <c r="L136" i="5"/>
  <c r="L128" i="5"/>
  <c r="L131" i="5"/>
  <c r="L134" i="5"/>
  <c r="L137" i="5"/>
  <c r="L129" i="5"/>
  <c r="L135" i="5"/>
  <c r="L132" i="5"/>
  <c r="L127" i="5"/>
  <c r="V78" i="5"/>
  <c r="AC93" i="5"/>
  <c r="S154" i="26"/>
  <c r="V79" i="26"/>
  <c r="J93" i="5"/>
  <c r="AG109" i="26"/>
  <c r="T118" i="5"/>
  <c r="T121" i="5"/>
  <c r="T113" i="5"/>
  <c r="T116" i="5"/>
  <c r="T119" i="5"/>
  <c r="T122" i="5"/>
  <c r="T114" i="5"/>
  <c r="T117" i="5"/>
  <c r="T120" i="5"/>
  <c r="T112" i="5"/>
  <c r="T115" i="5"/>
  <c r="S115" i="5"/>
  <c r="S118" i="5"/>
  <c r="S121" i="5"/>
  <c r="S116" i="5"/>
  <c r="S119" i="5"/>
  <c r="S122" i="5"/>
  <c r="S114" i="5"/>
  <c r="S117" i="5"/>
  <c r="S113" i="5"/>
  <c r="S120" i="5"/>
  <c r="S112" i="5"/>
  <c r="Y94" i="26"/>
  <c r="J170" i="26"/>
  <c r="S94" i="26"/>
  <c r="X169" i="5"/>
  <c r="K417" i="5"/>
  <c r="Z170" i="26"/>
  <c r="W94" i="26"/>
  <c r="W153" i="5"/>
  <c r="Q137" i="5"/>
  <c r="Q129" i="5"/>
  <c r="Q132" i="5"/>
  <c r="Q135" i="5"/>
  <c r="Q127" i="5"/>
  <c r="Q130" i="5"/>
  <c r="Q133" i="5"/>
  <c r="Q136" i="5"/>
  <c r="Q128" i="5"/>
  <c r="Q134" i="5"/>
  <c r="Q131" i="5"/>
  <c r="AE79" i="26"/>
  <c r="AG93" i="5"/>
  <c r="J169" i="5"/>
  <c r="R94" i="26"/>
  <c r="U153" i="5"/>
  <c r="Z120" i="5"/>
  <c r="Z115" i="5"/>
  <c r="Z118" i="5"/>
  <c r="Z121" i="5"/>
  <c r="Z113" i="5"/>
  <c r="Z116" i="5"/>
  <c r="Z119" i="5"/>
  <c r="Z122" i="5"/>
  <c r="Z114" i="5"/>
  <c r="Z117" i="5"/>
  <c r="Z112" i="5"/>
  <c r="P79" i="26"/>
  <c r="F26" i="36"/>
  <c r="K25" i="36"/>
  <c r="V22" i="36"/>
  <c r="P23" i="36"/>
  <c r="M200" i="5"/>
  <c r="M193" i="5"/>
  <c r="M196" i="5"/>
  <c r="M191" i="5"/>
  <c r="M194" i="5"/>
  <c r="M199" i="5"/>
  <c r="M197" i="5"/>
  <c r="M192" i="5"/>
  <c r="M198" i="5"/>
  <c r="M195" i="5"/>
  <c r="M190" i="5"/>
  <c r="N14" i="5"/>
  <c r="M212" i="5"/>
  <c r="M216" i="5"/>
  <c r="M208" i="5"/>
  <c r="M214" i="5"/>
  <c r="M206" i="5"/>
  <c r="M211" i="5"/>
  <c r="M207" i="5"/>
  <c r="M210" i="5"/>
  <c r="M213" i="5"/>
  <c r="M209" i="5"/>
  <c r="M215" i="5"/>
  <c r="N16" i="5"/>
  <c r="L201" i="5"/>
  <c r="M202" i="26"/>
  <c r="N198" i="26"/>
  <c r="N193" i="26"/>
  <c r="N195" i="26"/>
  <c r="N201" i="26"/>
  <c r="N196" i="26"/>
  <c r="O15" i="26"/>
  <c r="N200" i="26"/>
  <c r="N191" i="26"/>
  <c r="N194" i="26"/>
  <c r="N199" i="26"/>
  <c r="N197" i="26"/>
  <c r="N192" i="26"/>
  <c r="L217" i="5"/>
  <c r="N218" i="26"/>
  <c r="X30" i="26"/>
  <c r="X48" i="26" s="1"/>
  <c r="O217" i="26"/>
  <c r="O210" i="26"/>
  <c r="O213" i="26"/>
  <c r="O208" i="26"/>
  <c r="O216" i="26"/>
  <c r="O211" i="26"/>
  <c r="O214" i="26"/>
  <c r="O209" i="26"/>
  <c r="O212" i="26"/>
  <c r="O207" i="26"/>
  <c r="O215" i="26"/>
  <c r="P17" i="26"/>
  <c r="O412" i="5" l="1"/>
  <c r="O417" i="5" s="1"/>
  <c r="P398" i="5"/>
  <c r="J257" i="5"/>
  <c r="J309" i="5" s="1"/>
  <c r="J254" i="5"/>
  <c r="K261" i="5"/>
  <c r="J259" i="5"/>
  <c r="J260" i="5"/>
  <c r="P123" i="5"/>
  <c r="L138" i="5"/>
  <c r="Z138" i="5"/>
  <c r="K254" i="5"/>
  <c r="J262" i="5"/>
  <c r="AD123" i="5"/>
  <c r="K256" i="5"/>
  <c r="J258" i="5"/>
  <c r="K138" i="5"/>
  <c r="K258" i="5"/>
  <c r="E43" i="17"/>
  <c r="D43" i="17"/>
  <c r="C43" i="17"/>
  <c r="I43" i="17"/>
  <c r="G43" i="17"/>
  <c r="F43" i="17"/>
  <c r="P138" i="5"/>
  <c r="AA138" i="5"/>
  <c r="O138" i="5"/>
  <c r="S123" i="5"/>
  <c r="AB138" i="5"/>
  <c r="K253" i="5"/>
  <c r="AE123" i="5"/>
  <c r="G101" i="17"/>
  <c r="C101" i="17"/>
  <c r="E101" i="17"/>
  <c r="D101" i="17"/>
  <c r="M123" i="5"/>
  <c r="AG138" i="5"/>
  <c r="V138" i="5"/>
  <c r="R46" i="5"/>
  <c r="S28" i="5"/>
  <c r="S33" i="5"/>
  <c r="R51" i="5"/>
  <c r="K260" i="5"/>
  <c r="U123" i="5"/>
  <c r="X138" i="5"/>
  <c r="J123" i="5"/>
  <c r="AF123" i="5"/>
  <c r="L123" i="5"/>
  <c r="K123" i="5"/>
  <c r="K255" i="5"/>
  <c r="Y123" i="5"/>
  <c r="W123" i="5"/>
  <c r="AC138" i="5"/>
  <c r="W138" i="5"/>
  <c r="Q138" i="5"/>
  <c r="AB123" i="5"/>
  <c r="AD138" i="5"/>
  <c r="U138" i="5"/>
  <c r="X123" i="5"/>
  <c r="J252" i="5"/>
  <c r="M138" i="5"/>
  <c r="AE138" i="5"/>
  <c r="N123" i="5"/>
  <c r="AA123" i="5"/>
  <c r="Y138" i="5"/>
  <c r="K252" i="5"/>
  <c r="G72" i="17"/>
  <c r="D72" i="17"/>
  <c r="C72" i="17"/>
  <c r="I72" i="17"/>
  <c r="F72" i="17"/>
  <c r="E72" i="17"/>
  <c r="K257" i="5"/>
  <c r="Z123" i="5"/>
  <c r="T138" i="5"/>
  <c r="AC123" i="5"/>
  <c r="K262" i="5"/>
  <c r="S138" i="5"/>
  <c r="N138" i="5"/>
  <c r="R48" i="5"/>
  <c r="S30" i="5"/>
  <c r="AG123" i="5"/>
  <c r="R138" i="5"/>
  <c r="S29" i="5"/>
  <c r="R47" i="5"/>
  <c r="T123" i="5"/>
  <c r="Q123" i="5"/>
  <c r="R123" i="5"/>
  <c r="K259" i="5"/>
  <c r="O123" i="5"/>
  <c r="F102" i="17"/>
  <c r="H73" i="17"/>
  <c r="H44" i="17"/>
  <c r="J35" i="22"/>
  <c r="V123" i="5"/>
  <c r="AF138" i="5"/>
  <c r="J138" i="5"/>
  <c r="F27" i="36"/>
  <c r="K26" i="36"/>
  <c r="P24" i="36"/>
  <c r="V23" i="36"/>
  <c r="M201" i="5"/>
  <c r="N202" i="26"/>
  <c r="N199" i="5"/>
  <c r="N200" i="5"/>
  <c r="N196" i="5"/>
  <c r="N191" i="5"/>
  <c r="N194" i="5"/>
  <c r="N197" i="5"/>
  <c r="N192" i="5"/>
  <c r="N198" i="5"/>
  <c r="N195" i="5"/>
  <c r="N193" i="5"/>
  <c r="N190" i="5"/>
  <c r="O14" i="5"/>
  <c r="M217" i="5"/>
  <c r="O200" i="26"/>
  <c r="O193" i="26"/>
  <c r="O201" i="26"/>
  <c r="O196" i="26"/>
  <c r="P15" i="26"/>
  <c r="O191" i="26"/>
  <c r="O194" i="26"/>
  <c r="O199" i="26"/>
  <c r="O197" i="26"/>
  <c r="O198" i="26"/>
  <c r="O192" i="26"/>
  <c r="O195" i="26"/>
  <c r="N215" i="5"/>
  <c r="N207" i="5"/>
  <c r="N211" i="5"/>
  <c r="N209" i="5"/>
  <c r="N210" i="5"/>
  <c r="N213" i="5"/>
  <c r="N206" i="5"/>
  <c r="N216" i="5"/>
  <c r="N212" i="5"/>
  <c r="N214" i="5"/>
  <c r="N208" i="5"/>
  <c r="O16" i="5"/>
  <c r="P213" i="26"/>
  <c r="P208" i="26"/>
  <c r="P217" i="26"/>
  <c r="P216" i="26"/>
  <c r="P211" i="26"/>
  <c r="P214" i="26"/>
  <c r="P209" i="26"/>
  <c r="P212" i="26"/>
  <c r="P215" i="26"/>
  <c r="P207" i="26"/>
  <c r="P210" i="26"/>
  <c r="Q17" i="26"/>
  <c r="O218" i="26"/>
  <c r="Y30" i="26"/>
  <c r="Y48" i="26" s="1"/>
  <c r="J359" i="5" l="1"/>
  <c r="Q398" i="5"/>
  <c r="P412" i="5"/>
  <c r="P417" i="5" s="1"/>
  <c r="J312" i="5"/>
  <c r="J313" i="5"/>
  <c r="J315" i="5"/>
  <c r="J317" i="5"/>
  <c r="O202" i="26"/>
  <c r="J310" i="5"/>
  <c r="J314" i="5"/>
  <c r="K356" i="5"/>
  <c r="J318" i="5"/>
  <c r="J311" i="5"/>
  <c r="J308" i="5"/>
  <c r="J316" i="5"/>
  <c r="J351" i="5"/>
  <c r="J353" i="5"/>
  <c r="J356" i="5"/>
  <c r="J357" i="5"/>
  <c r="J358" i="5"/>
  <c r="J360" i="5"/>
  <c r="J352" i="5"/>
  <c r="J350" i="5"/>
  <c r="K360" i="5"/>
  <c r="J354" i="5"/>
  <c r="J355" i="5"/>
  <c r="K350" i="5"/>
  <c r="K351" i="5"/>
  <c r="K359" i="5"/>
  <c r="T28" i="5"/>
  <c r="S46" i="5"/>
  <c r="K352" i="5"/>
  <c r="K358" i="5"/>
  <c r="G73" i="17"/>
  <c r="E73" i="17"/>
  <c r="D73" i="17"/>
  <c r="C73" i="17"/>
  <c r="F73" i="17"/>
  <c r="I73" i="17"/>
  <c r="S47" i="5"/>
  <c r="T29" i="5"/>
  <c r="J263" i="5"/>
  <c r="J304" i="5"/>
  <c r="J295" i="5"/>
  <c r="J302" i="5"/>
  <c r="J300" i="5"/>
  <c r="J370" i="5" s="1"/>
  <c r="J297" i="5"/>
  <c r="J298" i="5"/>
  <c r="J296" i="5"/>
  <c r="J303" i="5"/>
  <c r="J294" i="5"/>
  <c r="J301" i="5"/>
  <c r="J299" i="5"/>
  <c r="K355" i="5"/>
  <c r="K353" i="5"/>
  <c r="F103" i="17"/>
  <c r="H74" i="17"/>
  <c r="H45" i="17"/>
  <c r="J36" i="22"/>
  <c r="E44" i="17"/>
  <c r="D44" i="17"/>
  <c r="C44" i="17"/>
  <c r="I44" i="17"/>
  <c r="G44" i="17"/>
  <c r="F44" i="17"/>
  <c r="C102" i="17"/>
  <c r="E102" i="17"/>
  <c r="D102" i="17"/>
  <c r="G102" i="17"/>
  <c r="K357" i="5"/>
  <c r="K295" i="5"/>
  <c r="K296" i="5"/>
  <c r="K299" i="5"/>
  <c r="K297" i="5"/>
  <c r="K302" i="5"/>
  <c r="K300" i="5"/>
  <c r="K301" i="5"/>
  <c r="K263" i="5"/>
  <c r="K304" i="5"/>
  <c r="K298" i="5"/>
  <c r="K303" i="5"/>
  <c r="K294" i="5"/>
  <c r="K354" i="5"/>
  <c r="T30" i="5"/>
  <c r="S48" i="5"/>
  <c r="K313" i="5"/>
  <c r="K309" i="5"/>
  <c r="K316" i="5"/>
  <c r="K312" i="5"/>
  <c r="K315" i="5"/>
  <c r="K317" i="5"/>
  <c r="K318" i="5"/>
  <c r="K308" i="5"/>
  <c r="K310" i="5"/>
  <c r="K311" i="5"/>
  <c r="K314" i="5"/>
  <c r="S51" i="5"/>
  <c r="T33" i="5"/>
  <c r="K27" i="36"/>
  <c r="F28" i="36"/>
  <c r="V24" i="36"/>
  <c r="P25" i="36"/>
  <c r="P201" i="26"/>
  <c r="P196" i="26"/>
  <c r="Q15" i="26"/>
  <c r="P191" i="26"/>
  <c r="P200" i="26"/>
  <c r="P194" i="26"/>
  <c r="P199" i="26"/>
  <c r="P197" i="26"/>
  <c r="P193" i="26"/>
  <c r="P192" i="26"/>
  <c r="P195" i="26"/>
  <c r="P198" i="26"/>
  <c r="N217" i="5"/>
  <c r="O198" i="5"/>
  <c r="O200" i="5"/>
  <c r="O191" i="5"/>
  <c r="P14" i="5"/>
  <c r="O194" i="5"/>
  <c r="O197" i="5"/>
  <c r="O199" i="5"/>
  <c r="O192" i="5"/>
  <c r="O195" i="5"/>
  <c r="O190" i="5"/>
  <c r="O193" i="5"/>
  <c r="O196" i="5"/>
  <c r="O210" i="5"/>
  <c r="O214" i="5"/>
  <c r="O206" i="5"/>
  <c r="O212" i="5"/>
  <c r="O215" i="5"/>
  <c r="O207" i="5"/>
  <c r="O213" i="5"/>
  <c r="O216" i="5"/>
  <c r="O209" i="5"/>
  <c r="O208" i="5"/>
  <c r="O211" i="5"/>
  <c r="P16" i="5"/>
  <c r="N201" i="5"/>
  <c r="Q217" i="26"/>
  <c r="Q208" i="26"/>
  <c r="Q216" i="26"/>
  <c r="Q211" i="26"/>
  <c r="Q214" i="26"/>
  <c r="Q209" i="26"/>
  <c r="Q212" i="26"/>
  <c r="Q215" i="26"/>
  <c r="Q207" i="26"/>
  <c r="Q210" i="26"/>
  <c r="Q213" i="26"/>
  <c r="R17" i="26"/>
  <c r="Z30" i="26"/>
  <c r="Z48" i="26" s="1"/>
  <c r="P218" i="26"/>
  <c r="J372" i="5" l="1"/>
  <c r="J367" i="5"/>
  <c r="J373" i="5"/>
  <c r="R398" i="5"/>
  <c r="Q412" i="5"/>
  <c r="Q417" i="5" s="1"/>
  <c r="J369" i="5"/>
  <c r="J371" i="5"/>
  <c r="K370" i="5"/>
  <c r="J366" i="5"/>
  <c r="J374" i="5"/>
  <c r="K365" i="5"/>
  <c r="J364" i="5"/>
  <c r="J365" i="5"/>
  <c r="J368" i="5"/>
  <c r="K374" i="5"/>
  <c r="K369" i="5"/>
  <c r="U30" i="5"/>
  <c r="T48" i="5"/>
  <c r="E45" i="17"/>
  <c r="D45" i="17"/>
  <c r="C45" i="17"/>
  <c r="I45" i="17"/>
  <c r="G45" i="17"/>
  <c r="F45" i="17"/>
  <c r="T46" i="5"/>
  <c r="U28" i="5"/>
  <c r="F104" i="17"/>
  <c r="H75" i="17"/>
  <c r="H46" i="17"/>
  <c r="J37" i="22"/>
  <c r="G74" i="17"/>
  <c r="F74" i="17"/>
  <c r="E74" i="17"/>
  <c r="D74" i="17"/>
  <c r="C74" i="17"/>
  <c r="I74" i="17"/>
  <c r="T51" i="5"/>
  <c r="U33" i="5"/>
  <c r="E103" i="17"/>
  <c r="C103" i="17"/>
  <c r="G103" i="17"/>
  <c r="D103" i="17"/>
  <c r="K373" i="5"/>
  <c r="K371" i="5"/>
  <c r="U29" i="5"/>
  <c r="T47" i="5"/>
  <c r="K368" i="5"/>
  <c r="K372" i="5"/>
  <c r="K364" i="5"/>
  <c r="K367" i="5"/>
  <c r="K366" i="5"/>
  <c r="K28" i="36"/>
  <c r="F29" i="36"/>
  <c r="P26" i="36"/>
  <c r="V25" i="36"/>
  <c r="O201" i="5"/>
  <c r="P213" i="5"/>
  <c r="P209" i="5"/>
  <c r="P215" i="5"/>
  <c r="P207" i="5"/>
  <c r="P210" i="5"/>
  <c r="P216" i="5"/>
  <c r="P206" i="5"/>
  <c r="P212" i="5"/>
  <c r="P208" i="5"/>
  <c r="P214" i="5"/>
  <c r="P211" i="5"/>
  <c r="Q16" i="5"/>
  <c r="O217" i="5"/>
  <c r="P202" i="26"/>
  <c r="Q191" i="26"/>
  <c r="Q201" i="26"/>
  <c r="R15" i="26"/>
  <c r="Q200" i="26"/>
  <c r="Q194" i="26"/>
  <c r="Q199" i="26"/>
  <c r="Q197" i="26"/>
  <c r="Q192" i="26"/>
  <c r="Q196" i="26"/>
  <c r="Q195" i="26"/>
  <c r="Q198" i="26"/>
  <c r="Q193" i="26"/>
  <c r="P194" i="5"/>
  <c r="P197" i="5"/>
  <c r="P199" i="5"/>
  <c r="P192" i="5"/>
  <c r="P195" i="5"/>
  <c r="P198" i="5"/>
  <c r="P190" i="5"/>
  <c r="P193" i="5"/>
  <c r="P196" i="5"/>
  <c r="P191" i="5"/>
  <c r="P200" i="5"/>
  <c r="Q14" i="5"/>
  <c r="R216" i="26"/>
  <c r="R211" i="26"/>
  <c r="R217" i="26"/>
  <c r="R214" i="26"/>
  <c r="R209" i="26"/>
  <c r="R212" i="26"/>
  <c r="R215" i="26"/>
  <c r="R207" i="26"/>
  <c r="R210" i="26"/>
  <c r="R213" i="26"/>
  <c r="R208" i="26"/>
  <c r="S17" i="26"/>
  <c r="Q218" i="26"/>
  <c r="AA30" i="26"/>
  <c r="AA48" i="26" s="1"/>
  <c r="S398" i="5" l="1"/>
  <c r="R412" i="5"/>
  <c r="R417" i="5" s="1"/>
  <c r="J375" i="5"/>
  <c r="V29" i="5"/>
  <c r="U47" i="5"/>
  <c r="U51" i="5"/>
  <c r="V33" i="5"/>
  <c r="G75" i="17"/>
  <c r="F75" i="17"/>
  <c r="E75" i="17"/>
  <c r="D75" i="17"/>
  <c r="C75" i="17"/>
  <c r="I75" i="17"/>
  <c r="K375" i="5"/>
  <c r="G104" i="17"/>
  <c r="E104" i="17"/>
  <c r="D104" i="17"/>
  <c r="C104" i="17"/>
  <c r="E46" i="17"/>
  <c r="D46" i="17"/>
  <c r="C46" i="17"/>
  <c r="I46" i="17"/>
  <c r="G46" i="17"/>
  <c r="F46" i="17"/>
  <c r="V28" i="5"/>
  <c r="U46" i="5"/>
  <c r="H76" i="17"/>
  <c r="F105" i="17"/>
  <c r="H47" i="17"/>
  <c r="J38" i="22"/>
  <c r="U48" i="5"/>
  <c r="V30" i="5"/>
  <c r="F30" i="36"/>
  <c r="H29" i="36"/>
  <c r="V26" i="36"/>
  <c r="P27" i="36"/>
  <c r="Q202" i="26"/>
  <c r="Q200" i="5"/>
  <c r="Q198" i="5"/>
  <c r="Q197" i="5"/>
  <c r="Q199" i="5"/>
  <c r="Q192" i="5"/>
  <c r="Q195" i="5"/>
  <c r="Q190" i="5"/>
  <c r="Q193" i="5"/>
  <c r="Q196" i="5"/>
  <c r="Q194" i="5"/>
  <c r="Q191" i="5"/>
  <c r="R14" i="5"/>
  <c r="P217" i="5"/>
  <c r="Q216" i="5"/>
  <c r="Q208" i="5"/>
  <c r="Q212" i="5"/>
  <c r="Q215" i="5"/>
  <c r="Q210" i="5"/>
  <c r="Q213" i="5"/>
  <c r="Q206" i="5"/>
  <c r="Q209" i="5"/>
  <c r="Q214" i="5"/>
  <c r="Q211" i="5"/>
  <c r="R16" i="5"/>
  <c r="Q207" i="5"/>
  <c r="P201" i="5"/>
  <c r="R201" i="26"/>
  <c r="R198" i="26"/>
  <c r="R200" i="26"/>
  <c r="R194" i="26"/>
  <c r="R199" i="26"/>
  <c r="R197" i="26"/>
  <c r="R192" i="26"/>
  <c r="R195" i="26"/>
  <c r="R193" i="26"/>
  <c r="R196" i="26"/>
  <c r="S15" i="26"/>
  <c r="R191" i="26"/>
  <c r="AB30" i="26"/>
  <c r="AB48" i="26" s="1"/>
  <c r="S216" i="26"/>
  <c r="S217" i="26"/>
  <c r="S214" i="26"/>
  <c r="S209" i="26"/>
  <c r="S212" i="26"/>
  <c r="S215" i="26"/>
  <c r="S207" i="26"/>
  <c r="S210" i="26"/>
  <c r="S213" i="26"/>
  <c r="S208" i="26"/>
  <c r="S211" i="26"/>
  <c r="T17" i="26"/>
  <c r="R218" i="26"/>
  <c r="T398" i="5" l="1"/>
  <c r="S412" i="5"/>
  <c r="S417" i="5" s="1"/>
  <c r="Q201" i="5"/>
  <c r="V46" i="5"/>
  <c r="W28" i="5"/>
  <c r="W30" i="5"/>
  <c r="V48" i="5"/>
  <c r="W33" i="5"/>
  <c r="V51" i="5"/>
  <c r="F106" i="17"/>
  <c r="H77" i="17"/>
  <c r="H48" i="17"/>
  <c r="J39" i="22"/>
  <c r="E47" i="17"/>
  <c r="D47" i="17"/>
  <c r="C47" i="17"/>
  <c r="I47" i="17"/>
  <c r="G47" i="17"/>
  <c r="F47" i="17"/>
  <c r="G105" i="17"/>
  <c r="C105" i="17"/>
  <c r="D105" i="17"/>
  <c r="E105" i="17"/>
  <c r="G76" i="17"/>
  <c r="I76" i="17"/>
  <c r="F76" i="17"/>
  <c r="E76" i="17"/>
  <c r="D76" i="17"/>
  <c r="C76" i="17"/>
  <c r="W29" i="5"/>
  <c r="V47" i="5"/>
  <c r="H30" i="36"/>
  <c r="K30" i="36" s="1"/>
  <c r="F31" i="36"/>
  <c r="L27" i="28"/>
  <c r="L27" i="56"/>
  <c r="K29" i="36"/>
  <c r="V27" i="36"/>
  <c r="P28" i="36"/>
  <c r="R202" i="26"/>
  <c r="S199" i="26"/>
  <c r="S197" i="26"/>
  <c r="S194" i="26"/>
  <c r="S192" i="26"/>
  <c r="S195" i="26"/>
  <c r="S198" i="26"/>
  <c r="S193" i="26"/>
  <c r="S196" i="26"/>
  <c r="T15" i="26"/>
  <c r="S201" i="26"/>
  <c r="S191" i="26"/>
  <c r="S200" i="26"/>
  <c r="Q217" i="5"/>
  <c r="R199" i="5"/>
  <c r="R192" i="5"/>
  <c r="R195" i="5"/>
  <c r="R190" i="5"/>
  <c r="R198" i="5"/>
  <c r="R193" i="5"/>
  <c r="R196" i="5"/>
  <c r="R191" i="5"/>
  <c r="R197" i="5"/>
  <c r="R194" i="5"/>
  <c r="S14" i="5"/>
  <c r="R200" i="5"/>
  <c r="R211" i="5"/>
  <c r="R215" i="5"/>
  <c r="R207" i="5"/>
  <c r="R213" i="5"/>
  <c r="R216" i="5"/>
  <c r="R206" i="5"/>
  <c r="R209" i="5"/>
  <c r="R212" i="5"/>
  <c r="R208" i="5"/>
  <c r="R214" i="5"/>
  <c r="R210" i="5"/>
  <c r="S16" i="5"/>
  <c r="S218" i="26"/>
  <c r="T217" i="26"/>
  <c r="T209" i="26"/>
  <c r="T212" i="26"/>
  <c r="T215" i="26"/>
  <c r="T207" i="26"/>
  <c r="T210" i="26"/>
  <c r="T213" i="26"/>
  <c r="T208" i="26"/>
  <c r="T211" i="26"/>
  <c r="T216" i="26"/>
  <c r="T214" i="26"/>
  <c r="U17" i="26"/>
  <c r="AC30" i="26"/>
  <c r="AC48" i="26" s="1"/>
  <c r="U398" i="5" l="1"/>
  <c r="T412" i="5"/>
  <c r="T417" i="5" s="1"/>
  <c r="R201" i="5"/>
  <c r="C106" i="17"/>
  <c r="E106" i="17"/>
  <c r="G106" i="17"/>
  <c r="D106" i="17"/>
  <c r="G77" i="17"/>
  <c r="I77" i="17"/>
  <c r="F77" i="17"/>
  <c r="E77" i="17"/>
  <c r="C77" i="17"/>
  <c r="D77" i="17"/>
  <c r="X33" i="5"/>
  <c r="W51" i="5"/>
  <c r="W47" i="5"/>
  <c r="X29" i="5"/>
  <c r="W48" i="5"/>
  <c r="X30" i="5"/>
  <c r="H78" i="17"/>
  <c r="H49" i="17"/>
  <c r="F107" i="17"/>
  <c r="J40" i="22"/>
  <c r="W46" i="5"/>
  <c r="X28" i="5"/>
  <c r="E48" i="17"/>
  <c r="D48" i="17"/>
  <c r="C48" i="17"/>
  <c r="I48" i="17"/>
  <c r="G48" i="17"/>
  <c r="F48" i="17"/>
  <c r="F32" i="36"/>
  <c r="H31" i="36"/>
  <c r="K31" i="36" s="1"/>
  <c r="V28" i="36"/>
  <c r="P29" i="36"/>
  <c r="R217" i="5"/>
  <c r="S202" i="26"/>
  <c r="S214" i="5"/>
  <c r="S206" i="5"/>
  <c r="S210" i="5"/>
  <c r="S216" i="5"/>
  <c r="S208" i="5"/>
  <c r="S209" i="5"/>
  <c r="T16" i="5"/>
  <c r="S212" i="5"/>
  <c r="S211" i="5"/>
  <c r="S215" i="5"/>
  <c r="S213" i="5"/>
  <c r="S207" i="5"/>
  <c r="T199" i="26"/>
  <c r="T192" i="26"/>
  <c r="T197" i="26"/>
  <c r="T195" i="26"/>
  <c r="T198" i="26"/>
  <c r="T193" i="26"/>
  <c r="T196" i="26"/>
  <c r="U15" i="26"/>
  <c r="T201" i="26"/>
  <c r="T191" i="26"/>
  <c r="T200" i="26"/>
  <c r="T194" i="26"/>
  <c r="S198" i="5"/>
  <c r="S199" i="5"/>
  <c r="S195" i="5"/>
  <c r="S190" i="5"/>
  <c r="S193" i="5"/>
  <c r="S196" i="5"/>
  <c r="S191" i="5"/>
  <c r="S200" i="5"/>
  <c r="S194" i="5"/>
  <c r="S192" i="5"/>
  <c r="S197" i="5"/>
  <c r="T14" i="5"/>
  <c r="T218" i="26"/>
  <c r="AD30" i="26"/>
  <c r="AD48" i="26" s="1"/>
  <c r="U212" i="26"/>
  <c r="U215" i="26"/>
  <c r="U207" i="26"/>
  <c r="U210" i="26"/>
  <c r="U213" i="26"/>
  <c r="U208" i="26"/>
  <c r="U211" i="26"/>
  <c r="U216" i="26"/>
  <c r="U214" i="26"/>
  <c r="U217" i="26"/>
  <c r="U209" i="26"/>
  <c r="V17" i="26"/>
  <c r="U412" i="5" l="1"/>
  <c r="U417" i="5" s="1"/>
  <c r="V398" i="5"/>
  <c r="F108" i="17"/>
  <c r="H79" i="17"/>
  <c r="H50" i="17"/>
  <c r="J41" i="22"/>
  <c r="X46" i="5"/>
  <c r="Y28" i="5"/>
  <c r="X51" i="5"/>
  <c r="Y33" i="5"/>
  <c r="E49" i="17"/>
  <c r="D49" i="17"/>
  <c r="C49" i="17"/>
  <c r="I49" i="17"/>
  <c r="G49" i="17"/>
  <c r="F49" i="17"/>
  <c r="X47" i="5"/>
  <c r="Y29" i="5"/>
  <c r="G78" i="17"/>
  <c r="I78" i="17"/>
  <c r="F78" i="17"/>
  <c r="D78" i="17"/>
  <c r="C78" i="17"/>
  <c r="E78" i="17"/>
  <c r="E107" i="17"/>
  <c r="C107" i="17"/>
  <c r="G107" i="17"/>
  <c r="D107" i="17"/>
  <c r="X48" i="5"/>
  <c r="Y30" i="5"/>
  <c r="F33" i="36"/>
  <c r="H32" i="36"/>
  <c r="K32" i="36" s="1"/>
  <c r="P30" i="36"/>
  <c r="V29" i="36"/>
  <c r="T202" i="26"/>
  <c r="T209" i="5"/>
  <c r="T213" i="5"/>
  <c r="T216" i="5"/>
  <c r="T211" i="5"/>
  <c r="T212" i="5"/>
  <c r="T208" i="5"/>
  <c r="T214" i="5"/>
  <c r="T215" i="5"/>
  <c r="T207" i="5"/>
  <c r="U16" i="5"/>
  <c r="T206" i="5"/>
  <c r="T210" i="5"/>
  <c r="S201" i="5"/>
  <c r="S217" i="5"/>
  <c r="T199" i="5"/>
  <c r="T190" i="5"/>
  <c r="T193" i="5"/>
  <c r="T198" i="5"/>
  <c r="T196" i="5"/>
  <c r="T191" i="5"/>
  <c r="T200" i="5"/>
  <c r="T194" i="5"/>
  <c r="T197" i="5"/>
  <c r="T195" i="5"/>
  <c r="U14" i="5"/>
  <c r="T192" i="5"/>
  <c r="U195" i="26"/>
  <c r="U199" i="26"/>
  <c r="U198" i="26"/>
  <c r="U193" i="26"/>
  <c r="U192" i="26"/>
  <c r="U196" i="26"/>
  <c r="V15" i="26"/>
  <c r="U201" i="26"/>
  <c r="U191" i="26"/>
  <c r="U200" i="26"/>
  <c r="U194" i="26"/>
  <c r="U197" i="26"/>
  <c r="AE30" i="26"/>
  <c r="AE48" i="26" s="1"/>
  <c r="V216" i="26"/>
  <c r="V217" i="26"/>
  <c r="V215" i="26"/>
  <c r="V207" i="26"/>
  <c r="V210" i="26"/>
  <c r="V213" i="26"/>
  <c r="V208" i="26"/>
  <c r="V211" i="26"/>
  <c r="V214" i="26"/>
  <c r="V209" i="26"/>
  <c r="V212" i="26"/>
  <c r="W17" i="26"/>
  <c r="U218" i="26"/>
  <c r="V412" i="5" l="1"/>
  <c r="V417" i="5" s="1"/>
  <c r="W398" i="5"/>
  <c r="T201" i="5"/>
  <c r="Y47" i="5"/>
  <c r="Z29" i="5"/>
  <c r="Y51" i="5"/>
  <c r="Z33" i="5"/>
  <c r="Y46" i="5"/>
  <c r="Z28" i="5"/>
  <c r="Y48" i="5"/>
  <c r="Z30" i="5"/>
  <c r="E50" i="17"/>
  <c r="D50" i="17"/>
  <c r="C50" i="17"/>
  <c r="I50" i="17"/>
  <c r="G50" i="17"/>
  <c r="F50" i="17"/>
  <c r="H51" i="17"/>
  <c r="H80" i="17"/>
  <c r="F109" i="17"/>
  <c r="J42" i="22"/>
  <c r="G79" i="17"/>
  <c r="C79" i="17"/>
  <c r="I79" i="17"/>
  <c r="E79" i="17"/>
  <c r="D79" i="17"/>
  <c r="F79" i="17"/>
  <c r="G108" i="17"/>
  <c r="E108" i="17"/>
  <c r="D108" i="17"/>
  <c r="C108" i="17"/>
  <c r="F34" i="36"/>
  <c r="H33" i="36"/>
  <c r="K33" i="36" s="1"/>
  <c r="P31" i="36"/>
  <c r="V30" i="36"/>
  <c r="U202" i="26"/>
  <c r="T217" i="5"/>
  <c r="U212" i="5"/>
  <c r="U216" i="5"/>
  <c r="U208" i="5"/>
  <c r="U214" i="5"/>
  <c r="U206" i="5"/>
  <c r="U211" i="5"/>
  <c r="U215" i="5"/>
  <c r="U207" i="5"/>
  <c r="U210" i="5"/>
  <c r="U209" i="5"/>
  <c r="U213" i="5"/>
  <c r="V16" i="5"/>
  <c r="V198" i="26"/>
  <c r="V193" i="26"/>
  <c r="V196" i="26"/>
  <c r="W15" i="26"/>
  <c r="V195" i="26"/>
  <c r="V201" i="26"/>
  <c r="V191" i="26"/>
  <c r="V200" i="26"/>
  <c r="V194" i="26"/>
  <c r="V197" i="26"/>
  <c r="V199" i="26"/>
  <c r="V192" i="26"/>
  <c r="U200" i="5"/>
  <c r="U193" i="5"/>
  <c r="U198" i="5"/>
  <c r="U196" i="5"/>
  <c r="U191" i="5"/>
  <c r="U194" i="5"/>
  <c r="U197" i="5"/>
  <c r="U192" i="5"/>
  <c r="U190" i="5"/>
  <c r="V14" i="5"/>
  <c r="U199" i="5"/>
  <c r="U195" i="5"/>
  <c r="AF30" i="26"/>
  <c r="AF48" i="26" s="1"/>
  <c r="W217" i="26"/>
  <c r="W210" i="26"/>
  <c r="W213" i="26"/>
  <c r="W208" i="26"/>
  <c r="W211" i="26"/>
  <c r="W214" i="26"/>
  <c r="W216" i="26"/>
  <c r="W209" i="26"/>
  <c r="W212" i="26"/>
  <c r="W207" i="26"/>
  <c r="W215" i="26"/>
  <c r="X17" i="26"/>
  <c r="V218" i="26"/>
  <c r="W412" i="5" l="1"/>
  <c r="W417" i="5" s="1"/>
  <c r="X398" i="5"/>
  <c r="G80" i="17"/>
  <c r="D80" i="17"/>
  <c r="C80" i="17"/>
  <c r="I80" i="17"/>
  <c r="F80" i="17"/>
  <c r="E80" i="17"/>
  <c r="AA28" i="5"/>
  <c r="Z46" i="5"/>
  <c r="Z48" i="5"/>
  <c r="AA30" i="5"/>
  <c r="F110" i="17"/>
  <c r="H81" i="17"/>
  <c r="H52" i="17"/>
  <c r="J43" i="22"/>
  <c r="AA29" i="5"/>
  <c r="Z47" i="5"/>
  <c r="E51" i="17"/>
  <c r="D51" i="17"/>
  <c r="C51" i="17"/>
  <c r="I51" i="17"/>
  <c r="G51" i="17"/>
  <c r="F51" i="17"/>
  <c r="AA33" i="5"/>
  <c r="Z51" i="5"/>
  <c r="G109" i="17"/>
  <c r="C109" i="17"/>
  <c r="E109" i="17"/>
  <c r="D109" i="17"/>
  <c r="F35" i="36"/>
  <c r="H34" i="36"/>
  <c r="K34" i="36" s="1"/>
  <c r="V31" i="36"/>
  <c r="P32" i="36"/>
  <c r="U217" i="5"/>
  <c r="W200" i="26"/>
  <c r="W198" i="26"/>
  <c r="W193" i="26"/>
  <c r="W196" i="26"/>
  <c r="X15" i="26"/>
  <c r="W201" i="26"/>
  <c r="W191" i="26"/>
  <c r="W194" i="26"/>
  <c r="W197" i="26"/>
  <c r="W199" i="26"/>
  <c r="W192" i="26"/>
  <c r="W195" i="26"/>
  <c r="V215" i="5"/>
  <c r="V207" i="5"/>
  <c r="V211" i="5"/>
  <c r="V209" i="5"/>
  <c r="V216" i="5"/>
  <c r="V208" i="5"/>
  <c r="V214" i="5"/>
  <c r="V210" i="5"/>
  <c r="V213" i="5"/>
  <c r="V206" i="5"/>
  <c r="V212" i="5"/>
  <c r="W16" i="5"/>
  <c r="V202" i="26"/>
  <c r="V199" i="5"/>
  <c r="V198" i="5"/>
  <c r="V196" i="5"/>
  <c r="V191" i="5"/>
  <c r="V194" i="5"/>
  <c r="V200" i="5"/>
  <c r="V197" i="5"/>
  <c r="V192" i="5"/>
  <c r="V195" i="5"/>
  <c r="V193" i="5"/>
  <c r="W14" i="5"/>
  <c r="V190" i="5"/>
  <c r="U201" i="5"/>
  <c r="AG30" i="26"/>
  <c r="AG48" i="26" s="1"/>
  <c r="X216" i="26"/>
  <c r="X213" i="26"/>
  <c r="X208" i="26"/>
  <c r="X211" i="26"/>
  <c r="X214" i="26"/>
  <c r="X209" i="26"/>
  <c r="X212" i="26"/>
  <c r="X217" i="26"/>
  <c r="X215" i="26"/>
  <c r="X207" i="26"/>
  <c r="X210" i="26"/>
  <c r="Y17" i="26"/>
  <c r="W218" i="26"/>
  <c r="W202" i="26" l="1"/>
  <c r="Y398" i="5"/>
  <c r="X412" i="5"/>
  <c r="X417" i="5" s="1"/>
  <c r="AA51" i="5"/>
  <c r="AB33" i="5"/>
  <c r="AA47" i="5"/>
  <c r="AB29" i="5"/>
  <c r="C110" i="17"/>
  <c r="E110" i="17"/>
  <c r="G110" i="17"/>
  <c r="D110" i="17"/>
  <c r="F111" i="17"/>
  <c r="H82" i="17"/>
  <c r="H53" i="17"/>
  <c r="J44" i="22"/>
  <c r="G81" i="17"/>
  <c r="E81" i="17"/>
  <c r="D81" i="17"/>
  <c r="C81" i="17"/>
  <c r="F81" i="17"/>
  <c r="I81" i="17"/>
  <c r="AB30" i="5"/>
  <c r="AA48" i="5"/>
  <c r="AB28" i="5"/>
  <c r="AA46" i="5"/>
  <c r="G52" i="17"/>
  <c r="E52" i="17"/>
  <c r="D52" i="17"/>
  <c r="C52" i="17"/>
  <c r="F52" i="17"/>
  <c r="I52" i="17"/>
  <c r="F36" i="36"/>
  <c r="H35" i="36"/>
  <c r="K35" i="36" s="1"/>
  <c r="P33" i="36"/>
  <c r="V32" i="36"/>
  <c r="V217" i="5"/>
  <c r="V201" i="5"/>
  <c r="X196" i="26"/>
  <c r="Y15" i="26"/>
  <c r="X201" i="26"/>
  <c r="X191" i="26"/>
  <c r="X194" i="26"/>
  <c r="X200" i="26"/>
  <c r="X197" i="26"/>
  <c r="X199" i="26"/>
  <c r="X192" i="26"/>
  <c r="X195" i="26"/>
  <c r="X193" i="26"/>
  <c r="X198" i="26"/>
  <c r="W198" i="5"/>
  <c r="W200" i="5"/>
  <c r="W191" i="5"/>
  <c r="X14" i="5"/>
  <c r="W194" i="5"/>
  <c r="W197" i="5"/>
  <c r="W192" i="5"/>
  <c r="W195" i="5"/>
  <c r="W190" i="5"/>
  <c r="W199" i="5"/>
  <c r="W196" i="5"/>
  <c r="W193" i="5"/>
  <c r="W210" i="5"/>
  <c r="W214" i="5"/>
  <c r="W206" i="5"/>
  <c r="W212" i="5"/>
  <c r="W215" i="5"/>
  <c r="W216" i="5"/>
  <c r="W208" i="5"/>
  <c r="W211" i="5"/>
  <c r="W207" i="5"/>
  <c r="W213" i="5"/>
  <c r="W209" i="5"/>
  <c r="X16" i="5"/>
  <c r="Y217" i="26"/>
  <c r="Y208" i="26"/>
  <c r="Y211" i="26"/>
  <c r="Y214" i="26"/>
  <c r="Y209" i="26"/>
  <c r="Y216" i="26"/>
  <c r="Y212" i="26"/>
  <c r="Y215" i="26"/>
  <c r="Y207" i="26"/>
  <c r="Y210" i="26"/>
  <c r="Y213" i="26"/>
  <c r="Z17" i="26"/>
  <c r="X218" i="26"/>
  <c r="Z398" i="5" l="1"/>
  <c r="Y412" i="5"/>
  <c r="Y417" i="5" s="1"/>
  <c r="H83" i="17"/>
  <c r="H54" i="17"/>
  <c r="F112" i="17"/>
  <c r="J45" i="22"/>
  <c r="AB48" i="5"/>
  <c r="AC30" i="5"/>
  <c r="G53" i="17"/>
  <c r="F53" i="17"/>
  <c r="E53" i="17"/>
  <c r="D53" i="17"/>
  <c r="C53" i="17"/>
  <c r="I53" i="17"/>
  <c r="AB47" i="5"/>
  <c r="AC29" i="5"/>
  <c r="G82" i="17"/>
  <c r="F82" i="17"/>
  <c r="E82" i="17"/>
  <c r="D82" i="17"/>
  <c r="C82" i="17"/>
  <c r="I82" i="17"/>
  <c r="E111" i="17"/>
  <c r="C111" i="17"/>
  <c r="G111" i="17"/>
  <c r="D111" i="17"/>
  <c r="AB51" i="5"/>
  <c r="AC33" i="5"/>
  <c r="AB46" i="5"/>
  <c r="AC28" i="5"/>
  <c r="F37" i="36"/>
  <c r="H36" i="36"/>
  <c r="K36" i="36" s="1"/>
  <c r="P34" i="36"/>
  <c r="V33" i="36"/>
  <c r="W201" i="5"/>
  <c r="X213" i="5"/>
  <c r="X209" i="5"/>
  <c r="X215" i="5"/>
  <c r="X207" i="5"/>
  <c r="X214" i="5"/>
  <c r="X211" i="5"/>
  <c r="X210" i="5"/>
  <c r="X206" i="5"/>
  <c r="X208" i="5"/>
  <c r="X212" i="5"/>
  <c r="X216" i="5"/>
  <c r="Y16" i="5"/>
  <c r="X202" i="26"/>
  <c r="W217" i="5"/>
  <c r="Y201" i="26"/>
  <c r="Y191" i="26"/>
  <c r="Y194" i="26"/>
  <c r="Y200" i="26"/>
  <c r="Y197" i="26"/>
  <c r="Y199" i="26"/>
  <c r="Y192" i="26"/>
  <c r="Y195" i="26"/>
  <c r="Z15" i="26"/>
  <c r="Y198" i="26"/>
  <c r="Y193" i="26"/>
  <c r="Y196" i="26"/>
  <c r="X194" i="5"/>
  <c r="X197" i="5"/>
  <c r="X200" i="5"/>
  <c r="X192" i="5"/>
  <c r="X195" i="5"/>
  <c r="X190" i="5"/>
  <c r="X199" i="5"/>
  <c r="X193" i="5"/>
  <c r="X198" i="5"/>
  <c r="X191" i="5"/>
  <c r="Y14" i="5"/>
  <c r="X196" i="5"/>
  <c r="Z211" i="26"/>
  <c r="Z214" i="26"/>
  <c r="Z209" i="26"/>
  <c r="Z216" i="26"/>
  <c r="Z212" i="26"/>
  <c r="Z215" i="26"/>
  <c r="Z207" i="26"/>
  <c r="Z217" i="26"/>
  <c r="Z210" i="26"/>
  <c r="Z213" i="26"/>
  <c r="Z208" i="26"/>
  <c r="AA17" i="26"/>
  <c r="Y218" i="26"/>
  <c r="AA398" i="5" l="1"/>
  <c r="Z412" i="5"/>
  <c r="Z417" i="5" s="1"/>
  <c r="AC47" i="5"/>
  <c r="AD29" i="5"/>
  <c r="AD30" i="5"/>
  <c r="AC48" i="5"/>
  <c r="AD28" i="5"/>
  <c r="AC46" i="5"/>
  <c r="H84" i="17"/>
  <c r="H55" i="17"/>
  <c r="F113" i="17"/>
  <c r="J46" i="22"/>
  <c r="AC51" i="5"/>
  <c r="AD33" i="5"/>
  <c r="G112" i="17"/>
  <c r="E112" i="17"/>
  <c r="D112" i="17"/>
  <c r="C112" i="17"/>
  <c r="G54" i="17"/>
  <c r="F54" i="17"/>
  <c r="E54" i="17"/>
  <c r="D54" i="17"/>
  <c r="C54" i="17"/>
  <c r="I54" i="17"/>
  <c r="G83" i="17"/>
  <c r="F83" i="17"/>
  <c r="E83" i="17"/>
  <c r="D83" i="17"/>
  <c r="C83" i="17"/>
  <c r="I83" i="17"/>
  <c r="H37" i="36"/>
  <c r="K37" i="36" s="1"/>
  <c r="F38" i="36"/>
  <c r="O25" i="56"/>
  <c r="O25" i="28"/>
  <c r="P35" i="36"/>
  <c r="V34" i="36"/>
  <c r="Z201" i="26"/>
  <c r="Z198" i="26"/>
  <c r="Z194" i="26"/>
  <c r="Z200" i="26"/>
  <c r="Z197" i="26"/>
  <c r="Z199" i="26"/>
  <c r="Z192" i="26"/>
  <c r="Z195" i="26"/>
  <c r="Z193" i="26"/>
  <c r="Z191" i="26"/>
  <c r="Z196" i="26"/>
  <c r="AA15" i="26"/>
  <c r="Y200" i="5"/>
  <c r="Y198" i="5"/>
  <c r="Y197" i="5"/>
  <c r="Y192" i="5"/>
  <c r="Y195" i="5"/>
  <c r="Y190" i="5"/>
  <c r="Y199" i="5"/>
  <c r="Y193" i="5"/>
  <c r="Y196" i="5"/>
  <c r="Z14" i="5"/>
  <c r="Y194" i="5"/>
  <c r="Y191" i="5"/>
  <c r="Y216" i="5"/>
  <c r="Y208" i="5"/>
  <c r="Y212" i="5"/>
  <c r="Y215" i="5"/>
  <c r="Y210" i="5"/>
  <c r="Y214" i="5"/>
  <c r="Y211" i="5"/>
  <c r="Y207" i="5"/>
  <c r="Y213" i="5"/>
  <c r="Y206" i="5"/>
  <c r="Y209" i="5"/>
  <c r="Z16" i="5"/>
  <c r="X201" i="5"/>
  <c r="Y202" i="26"/>
  <c r="X217" i="5"/>
  <c r="AA216" i="26"/>
  <c r="AA217" i="26"/>
  <c r="AA214" i="26"/>
  <c r="AA209" i="26"/>
  <c r="AA212" i="26"/>
  <c r="AA215" i="26"/>
  <c r="AA207" i="26"/>
  <c r="AA210" i="26"/>
  <c r="AA213" i="26"/>
  <c r="AA208" i="26"/>
  <c r="AA211" i="26"/>
  <c r="AB17" i="26"/>
  <c r="Z218" i="26"/>
  <c r="AB398" i="5" l="1"/>
  <c r="AA412" i="5"/>
  <c r="AA417" i="5" s="1"/>
  <c r="G84" i="17"/>
  <c r="I84" i="17"/>
  <c r="F84" i="17"/>
  <c r="E84" i="17"/>
  <c r="D84" i="17"/>
  <c r="C84" i="17"/>
  <c r="AD46" i="5"/>
  <c r="AE28" i="5"/>
  <c r="AD51" i="5"/>
  <c r="AE33" i="5"/>
  <c r="AE30" i="5"/>
  <c r="AD48" i="5"/>
  <c r="G55" i="17"/>
  <c r="I55" i="17"/>
  <c r="F55" i="17"/>
  <c r="E55" i="17"/>
  <c r="D55" i="17"/>
  <c r="C55" i="17"/>
  <c r="H85" i="17"/>
  <c r="H56" i="17"/>
  <c r="F114" i="17"/>
  <c r="J47" i="22"/>
  <c r="AD47" i="5"/>
  <c r="AE29" i="5"/>
  <c r="G113" i="17"/>
  <c r="C113" i="17"/>
  <c r="D113" i="17"/>
  <c r="E113" i="17"/>
  <c r="F39" i="36"/>
  <c r="H38" i="36"/>
  <c r="K38" i="36" s="1"/>
  <c r="V35" i="36"/>
  <c r="P36" i="36"/>
  <c r="Z199" i="5"/>
  <c r="Z192" i="5"/>
  <c r="Z200" i="5"/>
  <c r="Z195" i="5"/>
  <c r="Z190" i="5"/>
  <c r="Z193" i="5"/>
  <c r="Z196" i="5"/>
  <c r="Z191" i="5"/>
  <c r="AA14" i="5"/>
  <c r="Z194" i="5"/>
  <c r="Z198" i="5"/>
  <c r="Z197" i="5"/>
  <c r="Z211" i="5"/>
  <c r="Z215" i="5"/>
  <c r="Z207" i="5"/>
  <c r="Z213" i="5"/>
  <c r="Z216" i="5"/>
  <c r="Z210" i="5"/>
  <c r="Z206" i="5"/>
  <c r="Z209" i="5"/>
  <c r="Z212" i="5"/>
  <c r="AA16" i="5"/>
  <c r="Z208" i="5"/>
  <c r="Z214" i="5"/>
  <c r="AA200" i="26"/>
  <c r="AA197" i="26"/>
  <c r="AA199" i="26"/>
  <c r="AA192" i="26"/>
  <c r="AA195" i="26"/>
  <c r="AA194" i="26"/>
  <c r="AA193" i="26"/>
  <c r="AA198" i="26"/>
  <c r="AA196" i="26"/>
  <c r="AB15" i="26"/>
  <c r="AA201" i="26"/>
  <c r="AA191" i="26"/>
  <c r="Y217" i="5"/>
  <c r="Y201" i="5"/>
  <c r="Z202" i="26"/>
  <c r="AB216" i="26"/>
  <c r="AB209" i="26"/>
  <c r="AB212" i="26"/>
  <c r="AB215" i="26"/>
  <c r="AB207" i="26"/>
  <c r="AB210" i="26"/>
  <c r="AB217" i="26"/>
  <c r="AB213" i="26"/>
  <c r="AB208" i="26"/>
  <c r="AB211" i="26"/>
  <c r="AB214" i="26"/>
  <c r="AC17" i="26"/>
  <c r="AA218" i="26"/>
  <c r="AC398" i="5" l="1"/>
  <c r="AB412" i="5"/>
  <c r="AB417" i="5" s="1"/>
  <c r="G85" i="17"/>
  <c r="I85" i="17"/>
  <c r="F85" i="17"/>
  <c r="E85" i="17"/>
  <c r="C85" i="17"/>
  <c r="D85" i="17"/>
  <c r="AF30" i="5"/>
  <c r="AE48" i="5"/>
  <c r="AE46" i="5"/>
  <c r="AF28" i="5"/>
  <c r="C114" i="17"/>
  <c r="E114" i="17"/>
  <c r="G114" i="17"/>
  <c r="D114" i="17"/>
  <c r="AE51" i="5"/>
  <c r="AF33" i="5"/>
  <c r="AF29" i="5"/>
  <c r="AE47" i="5"/>
  <c r="F115" i="17"/>
  <c r="H86" i="17"/>
  <c r="H57" i="17"/>
  <c r="J48" i="22"/>
  <c r="G56" i="17"/>
  <c r="I56" i="17"/>
  <c r="F56" i="17"/>
  <c r="E56" i="17"/>
  <c r="C56" i="17"/>
  <c r="D56" i="17"/>
  <c r="F40" i="36"/>
  <c r="H39" i="36"/>
  <c r="E16" i="46"/>
  <c r="P37" i="36"/>
  <c r="V36" i="36"/>
  <c r="AA214" i="5"/>
  <c r="AA206" i="5"/>
  <c r="AA210" i="5"/>
  <c r="AA216" i="5"/>
  <c r="AA208" i="5"/>
  <c r="AB16" i="5"/>
  <c r="AA207" i="5"/>
  <c r="AA213" i="5"/>
  <c r="AA215" i="5"/>
  <c r="AA209" i="5"/>
  <c r="AA212" i="5"/>
  <c r="AA211" i="5"/>
  <c r="Z201" i="5"/>
  <c r="AA202" i="26"/>
  <c r="Z217" i="5"/>
  <c r="AB199" i="26"/>
  <c r="AB192" i="26"/>
  <c r="AB195" i="26"/>
  <c r="AB200" i="26"/>
  <c r="AB193" i="26"/>
  <c r="AB197" i="26"/>
  <c r="AB198" i="26"/>
  <c r="AB196" i="26"/>
  <c r="AC15" i="26"/>
  <c r="AB191" i="26"/>
  <c r="AB201" i="26"/>
  <c r="AB194" i="26"/>
  <c r="AA198" i="5"/>
  <c r="AA200" i="5"/>
  <c r="AA195" i="5"/>
  <c r="AA190" i="5"/>
  <c r="AA193" i="5"/>
  <c r="AA199" i="5"/>
  <c r="AA196" i="5"/>
  <c r="AA191" i="5"/>
  <c r="AA194" i="5"/>
  <c r="AB14" i="5"/>
  <c r="AA197" i="5"/>
  <c r="AA192" i="5"/>
  <c r="AB218" i="26"/>
  <c r="AC212" i="26"/>
  <c r="AC215" i="26"/>
  <c r="AC207" i="26"/>
  <c r="AC216" i="26"/>
  <c r="AC210" i="26"/>
  <c r="AC217" i="26"/>
  <c r="AC213" i="26"/>
  <c r="AC208" i="26"/>
  <c r="AC211" i="26"/>
  <c r="AC214" i="26"/>
  <c r="AC209" i="26"/>
  <c r="AD17" i="26"/>
  <c r="AC412" i="5" l="1"/>
  <c r="AC417" i="5" s="1"/>
  <c r="AD398" i="5"/>
  <c r="F116" i="17"/>
  <c r="H58" i="17"/>
  <c r="H87" i="17"/>
  <c r="J49" i="22"/>
  <c r="J50" i="22" s="1"/>
  <c r="J51" i="22" s="1"/>
  <c r="J52" i="22" s="1"/>
  <c r="J53" i="22" s="1"/>
  <c r="G86" i="17"/>
  <c r="I86" i="17"/>
  <c r="F86" i="17"/>
  <c r="D86" i="17"/>
  <c r="C86" i="17"/>
  <c r="E86" i="17"/>
  <c r="AF48" i="5"/>
  <c r="AG30" i="5"/>
  <c r="AG48" i="5" s="1"/>
  <c r="G57" i="17"/>
  <c r="I57" i="17"/>
  <c r="F57" i="17"/>
  <c r="D57" i="17"/>
  <c r="C57" i="17"/>
  <c r="E57" i="17"/>
  <c r="E115" i="17"/>
  <c r="C115" i="17"/>
  <c r="G115" i="17"/>
  <c r="D115" i="17"/>
  <c r="AF47" i="5"/>
  <c r="AG29" i="5"/>
  <c r="AG47" i="5" s="1"/>
  <c r="AF46" i="5"/>
  <c r="AG28" i="5"/>
  <c r="AG46" i="5" s="1"/>
  <c r="AF51" i="5"/>
  <c r="AG33" i="5"/>
  <c r="AG51" i="5" s="1"/>
  <c r="F16" i="46"/>
  <c r="J16" i="46"/>
  <c r="D16" i="46"/>
  <c r="E18" i="46"/>
  <c r="K39" i="36"/>
  <c r="F41" i="36"/>
  <c r="H40" i="36"/>
  <c r="K40" i="36" s="1"/>
  <c r="V37" i="36"/>
  <c r="P38" i="36"/>
  <c r="AB209" i="5"/>
  <c r="AB213" i="5"/>
  <c r="AB216" i="5"/>
  <c r="AB211" i="5"/>
  <c r="AB207" i="5"/>
  <c r="AB210" i="5"/>
  <c r="AB215" i="5"/>
  <c r="AB206" i="5"/>
  <c r="AB212" i="5"/>
  <c r="AB208" i="5"/>
  <c r="AC16" i="5"/>
  <c r="AB214" i="5"/>
  <c r="AC199" i="26"/>
  <c r="AC195" i="26"/>
  <c r="AC192" i="26"/>
  <c r="AC193" i="26"/>
  <c r="AC198" i="26"/>
  <c r="AC196" i="26"/>
  <c r="AD15" i="26"/>
  <c r="AC191" i="26"/>
  <c r="AC201" i="26"/>
  <c r="AC194" i="26"/>
  <c r="AC200" i="26"/>
  <c r="AC197" i="26"/>
  <c r="AA201" i="5"/>
  <c r="AA217" i="5"/>
  <c r="AB199" i="5"/>
  <c r="AB190" i="5"/>
  <c r="AB193" i="5"/>
  <c r="AB196" i="5"/>
  <c r="AB191" i="5"/>
  <c r="AB194" i="5"/>
  <c r="AB198" i="5"/>
  <c r="AB197" i="5"/>
  <c r="AC14" i="5"/>
  <c r="AB200" i="5"/>
  <c r="AB192" i="5"/>
  <c r="AB195" i="5"/>
  <c r="AB202" i="26"/>
  <c r="AD216" i="26"/>
  <c r="AD217" i="26"/>
  <c r="AD215" i="26"/>
  <c r="AD207" i="26"/>
  <c r="AD210" i="26"/>
  <c r="AD213" i="26"/>
  <c r="AD208" i="26"/>
  <c r="AD211" i="26"/>
  <c r="AD214" i="26"/>
  <c r="AD209" i="26"/>
  <c r="AD212" i="26"/>
  <c r="AE17" i="26"/>
  <c r="AC218" i="26"/>
  <c r="AD412" i="5" l="1"/>
  <c r="AD417" i="5" s="1"/>
  <c r="AE398" i="5"/>
  <c r="AB217" i="5"/>
  <c r="I87" i="17"/>
  <c r="G87" i="17"/>
  <c r="C87" i="17"/>
  <c r="D87" i="17"/>
  <c r="F87" i="17"/>
  <c r="E87" i="17"/>
  <c r="G58" i="17"/>
  <c r="C58" i="17"/>
  <c r="I58" i="17"/>
  <c r="E58" i="17"/>
  <c r="D58" i="17"/>
  <c r="F58" i="17"/>
  <c r="G116" i="17"/>
  <c r="E116" i="17"/>
  <c r="D116" i="17"/>
  <c r="C116" i="17"/>
  <c r="F42" i="36"/>
  <c r="H41" i="36"/>
  <c r="K41" i="36" s="1"/>
  <c r="J18" i="46"/>
  <c r="D18" i="46"/>
  <c r="F18" i="46"/>
  <c r="V38" i="36"/>
  <c r="P39" i="36"/>
  <c r="AB201" i="5"/>
  <c r="AC202" i="26"/>
  <c r="AD193" i="26"/>
  <c r="AD198" i="26"/>
  <c r="AD196" i="26"/>
  <c r="AE15" i="26"/>
  <c r="AD191" i="26"/>
  <c r="AD199" i="26"/>
  <c r="AD201" i="26"/>
  <c r="AD194" i="26"/>
  <c r="AD200" i="26"/>
  <c r="AD197" i="26"/>
  <c r="AD195" i="26"/>
  <c r="AD192" i="26"/>
  <c r="AC212" i="5"/>
  <c r="AC216" i="5"/>
  <c r="AC208" i="5"/>
  <c r="AC214" i="5"/>
  <c r="AC206" i="5"/>
  <c r="AC210" i="5"/>
  <c r="AC215" i="5"/>
  <c r="AC213" i="5"/>
  <c r="AC209" i="5"/>
  <c r="AD16" i="5"/>
  <c r="AC207" i="5"/>
  <c r="AC211" i="5"/>
  <c r="AC200" i="5"/>
  <c r="AC193" i="5"/>
  <c r="AC196" i="5"/>
  <c r="AC199" i="5"/>
  <c r="AC191" i="5"/>
  <c r="AC194" i="5"/>
  <c r="AC198" i="5"/>
  <c r="AC197" i="5"/>
  <c r="AC192" i="5"/>
  <c r="AD14" i="5"/>
  <c r="AC195" i="5"/>
  <c r="AC190" i="5"/>
  <c r="AE217" i="26"/>
  <c r="AE210" i="26"/>
  <c r="AE216" i="26"/>
  <c r="AE213" i="26"/>
  <c r="AE208" i="26"/>
  <c r="AE211" i="26"/>
  <c r="AE214" i="26"/>
  <c r="AE209" i="26"/>
  <c r="AE212" i="26"/>
  <c r="AE207" i="26"/>
  <c r="AE215" i="26"/>
  <c r="AF17" i="26"/>
  <c r="AD218" i="26"/>
  <c r="AE412" i="5" l="1"/>
  <c r="AE417" i="5" s="1"/>
  <c r="AF398" i="5"/>
  <c r="H42" i="36"/>
  <c r="K42" i="36" s="1"/>
  <c r="F43" i="36"/>
  <c r="P40" i="36"/>
  <c r="V39" i="36"/>
  <c r="E19" i="46"/>
  <c r="AD202" i="26"/>
  <c r="AD199" i="5"/>
  <c r="AD196" i="5"/>
  <c r="AD191" i="5"/>
  <c r="AD194" i="5"/>
  <c r="AD198" i="5"/>
  <c r="AD197" i="5"/>
  <c r="AD192" i="5"/>
  <c r="AD195" i="5"/>
  <c r="AE14" i="5"/>
  <c r="AD200" i="5"/>
  <c r="AD193" i="5"/>
  <c r="AD190" i="5"/>
  <c r="AD215" i="5"/>
  <c r="AD207" i="5"/>
  <c r="AD211" i="5"/>
  <c r="AD209" i="5"/>
  <c r="AD213" i="5"/>
  <c r="AD206" i="5"/>
  <c r="AD212" i="5"/>
  <c r="AD208" i="5"/>
  <c r="AD214" i="5"/>
  <c r="AE16" i="5"/>
  <c r="AD210" i="5"/>
  <c r="AD216" i="5"/>
  <c r="AC201" i="5"/>
  <c r="AC217" i="5"/>
  <c r="AE200" i="26"/>
  <c r="AE193" i="26"/>
  <c r="AE198" i="26"/>
  <c r="AE196" i="26"/>
  <c r="AF15" i="26"/>
  <c r="AE191" i="26"/>
  <c r="AE201" i="26"/>
  <c r="AE194" i="26"/>
  <c r="AE197" i="26"/>
  <c r="AE192" i="26"/>
  <c r="AE199" i="26"/>
  <c r="AE195" i="26"/>
  <c r="AE218" i="26"/>
  <c r="AF216" i="26"/>
  <c r="AF213" i="26"/>
  <c r="AF208" i="26"/>
  <c r="AF217" i="26"/>
  <c r="AF211" i="26"/>
  <c r="AF214" i="26"/>
  <c r="AF209" i="26"/>
  <c r="AF212" i="26"/>
  <c r="AF215" i="26"/>
  <c r="AF207" i="26"/>
  <c r="AF210" i="26"/>
  <c r="AG17" i="26"/>
  <c r="AG398" i="5" l="1"/>
  <c r="AG412" i="5" s="1"/>
  <c r="AG417" i="5" s="1"/>
  <c r="AF412" i="5"/>
  <c r="AF417" i="5" s="1"/>
  <c r="F44" i="36"/>
  <c r="H44" i="36" s="1"/>
  <c r="H43" i="36"/>
  <c r="K43" i="36" s="1"/>
  <c r="E30" i="46"/>
  <c r="D19" i="46"/>
  <c r="D30" i="46" s="1"/>
  <c r="F19" i="46"/>
  <c r="F30" i="46" s="1"/>
  <c r="F32" i="46" s="1"/>
  <c r="J19" i="46"/>
  <c r="P41" i="36"/>
  <c r="V40" i="36"/>
  <c r="AE210" i="5"/>
  <c r="AE214" i="5"/>
  <c r="AE206" i="5"/>
  <c r="AE212" i="5"/>
  <c r="AE215" i="5"/>
  <c r="AE209" i="5"/>
  <c r="AE208" i="5"/>
  <c r="AE216" i="5"/>
  <c r="AE211" i="5"/>
  <c r="AE213" i="5"/>
  <c r="AE207" i="5"/>
  <c r="AF16" i="5"/>
  <c r="AD201" i="5"/>
  <c r="AF198" i="26"/>
  <c r="AF196" i="26"/>
  <c r="AG15" i="26"/>
  <c r="AF191" i="26"/>
  <c r="AF193" i="26"/>
  <c r="AF201" i="26"/>
  <c r="AF194" i="26"/>
  <c r="AF197" i="26"/>
  <c r="AF200" i="26"/>
  <c r="AF192" i="26"/>
  <c r="AF199" i="26"/>
  <c r="AF195" i="26"/>
  <c r="AD217" i="5"/>
  <c r="AE198" i="5"/>
  <c r="AE200" i="5"/>
  <c r="AE191" i="5"/>
  <c r="AF14" i="5"/>
  <c r="AE199" i="5"/>
  <c r="AE194" i="5"/>
  <c r="AE197" i="5"/>
  <c r="AE192" i="5"/>
  <c r="AE195" i="5"/>
  <c r="AE190" i="5"/>
  <c r="AE193" i="5"/>
  <c r="AE196" i="5"/>
  <c r="AE202" i="26"/>
  <c r="Q48" i="56"/>
  <c r="AG48" i="56"/>
  <c r="AF48" i="56"/>
  <c r="V48" i="56"/>
  <c r="R48" i="56"/>
  <c r="T48" i="56"/>
  <c r="Z48" i="56"/>
  <c r="S48" i="56"/>
  <c r="Y48" i="56"/>
  <c r="AE48" i="56"/>
  <c r="W48" i="56"/>
  <c r="U48" i="56"/>
  <c r="AH48" i="56"/>
  <c r="AC48" i="56"/>
  <c r="P48" i="56"/>
  <c r="L48" i="56"/>
  <c r="AI48" i="56"/>
  <c r="I48" i="56"/>
  <c r="I18" i="56" s="1"/>
  <c r="I52" i="56" s="1"/>
  <c r="K48" i="56"/>
  <c r="H48" i="56"/>
  <c r="H18" i="56" s="1"/>
  <c r="H52" i="56" s="1"/>
  <c r="J48" i="56"/>
  <c r="O48" i="56"/>
  <c r="G48" i="56"/>
  <c r="G18" i="56" s="1"/>
  <c r="G52" i="56" s="1"/>
  <c r="M48" i="56"/>
  <c r="X48" i="56"/>
  <c r="AF218" i="26"/>
  <c r="AG217" i="26"/>
  <c r="AG216" i="26"/>
  <c r="AG208" i="26"/>
  <c r="AG211" i="26"/>
  <c r="AG214" i="26"/>
  <c r="AG209" i="26"/>
  <c r="AG212" i="26"/>
  <c r="AG215" i="26"/>
  <c r="AG207" i="26"/>
  <c r="AG210" i="26"/>
  <c r="AG213" i="26"/>
  <c r="G34" i="28" l="1" a="1"/>
  <c r="V35" i="28" s="1"/>
  <c r="R46" i="14" s="1"/>
  <c r="R62" i="14" s="1"/>
  <c r="K44" i="36"/>
  <c r="P42" i="36"/>
  <c r="V41" i="36"/>
  <c r="AF199" i="5"/>
  <c r="AF194" i="5"/>
  <c r="AF197" i="5"/>
  <c r="AF198" i="5"/>
  <c r="AF192" i="5"/>
  <c r="AF195" i="5"/>
  <c r="AF190" i="5"/>
  <c r="AF200" i="5"/>
  <c r="AF193" i="5"/>
  <c r="AF196" i="5"/>
  <c r="AF191" i="5"/>
  <c r="AG14" i="5"/>
  <c r="AG191" i="26"/>
  <c r="AG201" i="26"/>
  <c r="AG194" i="26"/>
  <c r="AG197" i="26"/>
  <c r="AG198" i="26"/>
  <c r="AG196" i="26"/>
  <c r="AG200" i="26"/>
  <c r="AG192" i="26"/>
  <c r="AG199" i="26"/>
  <c r="AG195" i="26"/>
  <c r="AG193" i="26"/>
  <c r="AE201" i="5"/>
  <c r="AF213" i="5"/>
  <c r="AF209" i="5"/>
  <c r="AF215" i="5"/>
  <c r="AF207" i="5"/>
  <c r="AF206" i="5"/>
  <c r="AF212" i="5"/>
  <c r="AF208" i="5"/>
  <c r="AF216" i="5"/>
  <c r="AF214" i="5"/>
  <c r="AF211" i="5"/>
  <c r="AF210" i="5"/>
  <c r="AG16" i="5"/>
  <c r="AE217" i="5"/>
  <c r="AG218" i="26"/>
  <c r="AF202" i="26"/>
  <c r="X76" i="56"/>
  <c r="H76" i="56"/>
  <c r="U76" i="56"/>
  <c r="T76" i="56"/>
  <c r="Y18" i="56"/>
  <c r="Y52" i="56"/>
  <c r="S76" i="56"/>
  <c r="AF52" i="56"/>
  <c r="AF18" i="56"/>
  <c r="AH52" i="56"/>
  <c r="AH18" i="56"/>
  <c r="AG52" i="56"/>
  <c r="AG18" i="56"/>
  <c r="N124" i="56"/>
  <c r="K18" i="53" s="1"/>
  <c r="N76" i="56"/>
  <c r="X18" i="56"/>
  <c r="X52" i="56"/>
  <c r="G76" i="56"/>
  <c r="AB124" i="56"/>
  <c r="O18" i="56"/>
  <c r="O52" i="56"/>
  <c r="J76" i="56"/>
  <c r="K124" i="56"/>
  <c r="H18" i="53" s="1"/>
  <c r="I124" i="56"/>
  <c r="F18" i="53" s="1"/>
  <c r="AI124" i="56"/>
  <c r="AI76" i="56"/>
  <c r="P18" i="56"/>
  <c r="P52" i="56"/>
  <c r="W18" i="56"/>
  <c r="W52" i="56"/>
  <c r="T124" i="56"/>
  <c r="J18" i="56"/>
  <c r="J52" i="56"/>
  <c r="U124" i="56"/>
  <c r="AE52" i="56"/>
  <c r="AE18" i="56"/>
  <c r="X124" i="56"/>
  <c r="G124" i="56"/>
  <c r="D18" i="53" s="1"/>
  <c r="P76" i="56"/>
  <c r="AC124" i="56"/>
  <c r="W124" i="56"/>
  <c r="AE124" i="56"/>
  <c r="AE76" i="56"/>
  <c r="Z52" i="56"/>
  <c r="Z18" i="56"/>
  <c r="AI18" i="56"/>
  <c r="AI52" i="56"/>
  <c r="AC52" i="56"/>
  <c r="AC18" i="56"/>
  <c r="AA124" i="56"/>
  <c r="M76" i="56"/>
  <c r="O76" i="56"/>
  <c r="P124" i="56"/>
  <c r="M18" i="53" s="1"/>
  <c r="S18" i="56"/>
  <c r="S52" i="56"/>
  <c r="V76" i="56"/>
  <c r="M124" i="56"/>
  <c r="J18" i="53" s="1"/>
  <c r="O124" i="56"/>
  <c r="W76" i="56"/>
  <c r="Z124" i="56"/>
  <c r="R18" i="56"/>
  <c r="R52" i="56"/>
  <c r="K76" i="56"/>
  <c r="AB48" i="56"/>
  <c r="H124" i="56"/>
  <c r="E18" i="53" s="1"/>
  <c r="L18" i="56"/>
  <c r="L52" i="56"/>
  <c r="U52" i="56"/>
  <c r="U18" i="56"/>
  <c r="R76" i="56"/>
  <c r="V18" i="56"/>
  <c r="V52" i="56"/>
  <c r="AG76" i="56"/>
  <c r="AG124" i="56"/>
  <c r="Q18" i="56"/>
  <c r="Q52" i="56"/>
  <c r="Y124" i="56"/>
  <c r="M18" i="56"/>
  <c r="M52" i="56"/>
  <c r="J124" i="56"/>
  <c r="G18" i="53" s="1"/>
  <c r="AC18" i="53" s="1"/>
  <c r="L124" i="56"/>
  <c r="I18" i="53" s="1"/>
  <c r="AH124" i="56"/>
  <c r="AH76" i="56"/>
  <c r="AD48" i="56"/>
  <c r="AD124" i="56"/>
  <c r="S124" i="56"/>
  <c r="P18" i="53" s="1"/>
  <c r="T52" i="56"/>
  <c r="T18" i="56"/>
  <c r="R124" i="56"/>
  <c r="O18" i="53" s="1"/>
  <c r="V124" i="56"/>
  <c r="AF124" i="56"/>
  <c r="AF76" i="56"/>
  <c r="Q76" i="56"/>
  <c r="N48" i="56"/>
  <c r="AA48" i="56"/>
  <c r="K18" i="56"/>
  <c r="K52" i="56"/>
  <c r="I76" i="56"/>
  <c r="L76" i="56"/>
  <c r="Q124" i="56"/>
  <c r="N18" i="53" s="1"/>
  <c r="L18" i="53" l="1"/>
  <c r="AD18" i="53" s="1"/>
  <c r="AD19" i="53" s="1"/>
  <c r="P34" i="28"/>
  <c r="P110" i="28" s="1"/>
  <c r="Q35" i="28"/>
  <c r="M46" i="14" s="1"/>
  <c r="M62" i="14" s="1"/>
  <c r="X35" i="28"/>
  <c r="T46" i="14" s="1"/>
  <c r="T62" i="14" s="1"/>
  <c r="AE36" i="28"/>
  <c r="AE112" i="28" s="1"/>
  <c r="AH34" i="28"/>
  <c r="AD45" i="14" s="1"/>
  <c r="AD61" i="14" s="1"/>
  <c r="J34" i="28"/>
  <c r="F45" i="14" s="1"/>
  <c r="F61" i="14" s="1"/>
  <c r="AC36" i="28"/>
  <c r="Y47" i="14" s="1"/>
  <c r="Y63" i="14" s="1"/>
  <c r="Z79" i="14" s="1"/>
  <c r="AD34" i="28"/>
  <c r="AD36" i="28"/>
  <c r="Z47" i="14" s="1"/>
  <c r="Z63" i="14" s="1"/>
  <c r="M36" i="28"/>
  <c r="U34" i="28"/>
  <c r="Q45" i="14" s="1"/>
  <c r="Q61" i="14" s="1"/>
  <c r="R36" i="28"/>
  <c r="N47" i="14" s="1"/>
  <c r="N63" i="14" s="1"/>
  <c r="AB35" i="28"/>
  <c r="X46" i="14" s="1"/>
  <c r="X62" i="14" s="1"/>
  <c r="K35" i="28"/>
  <c r="K63" i="28" s="1"/>
  <c r="K87" i="28" s="1"/>
  <c r="S34" i="28"/>
  <c r="AA36" i="28"/>
  <c r="V111" i="28"/>
  <c r="Z34" i="28"/>
  <c r="T36" i="28"/>
  <c r="J35" i="28"/>
  <c r="F46" i="14" s="1"/>
  <c r="F62" i="14" s="1"/>
  <c r="P35" i="28"/>
  <c r="V63" i="28"/>
  <c r="V87" i="28" s="1"/>
  <c r="J36" i="28"/>
  <c r="F47" i="14" s="1"/>
  <c r="F63" i="14" s="1"/>
  <c r="AA35" i="28"/>
  <c r="T34" i="28"/>
  <c r="P45" i="14" s="1"/>
  <c r="P61" i="14" s="1"/>
  <c r="U35" i="28"/>
  <c r="U111" i="28" s="1"/>
  <c r="G36" i="28"/>
  <c r="G112" i="28" s="1"/>
  <c r="R34" i="28"/>
  <c r="R62" i="28" s="1"/>
  <c r="R86" i="28" s="1"/>
  <c r="G35" i="28"/>
  <c r="AI35" i="28"/>
  <c r="AG34" i="28"/>
  <c r="Y34" i="28"/>
  <c r="Y62" i="28" s="1"/>
  <c r="Y86" i="28" s="1"/>
  <c r="O34" i="28"/>
  <c r="K45" i="14" s="1"/>
  <c r="K61" i="14" s="1"/>
  <c r="O35" i="28"/>
  <c r="O111" i="28" s="1"/>
  <c r="AB34" i="28"/>
  <c r="X36" i="28"/>
  <c r="X64" i="28" s="1"/>
  <c r="X88" i="28" s="1"/>
  <c r="X34" i="28"/>
  <c r="N36" i="28"/>
  <c r="N64" i="28" s="1"/>
  <c r="N88" i="28" s="1"/>
  <c r="L35" i="28"/>
  <c r="AH35" i="28"/>
  <c r="AD46" i="14" s="1"/>
  <c r="AD62" i="14" s="1"/>
  <c r="T35" i="28"/>
  <c r="T63" i="28" s="1"/>
  <c r="T87" i="28" s="1"/>
  <c r="AA34" i="28"/>
  <c r="W45" i="14" s="1"/>
  <c r="W61" i="14" s="1"/>
  <c r="Z35" i="28"/>
  <c r="O36" i="28"/>
  <c r="Z36" i="28"/>
  <c r="AG35" i="28"/>
  <c r="AI34" i="28"/>
  <c r="W36" i="28"/>
  <c r="S35" i="28"/>
  <c r="AF36" i="28"/>
  <c r="H35" i="28"/>
  <c r="AH36" i="28"/>
  <c r="Y36" i="28"/>
  <c r="Q34" i="28"/>
  <c r="AD35" i="28"/>
  <c r="U36" i="28"/>
  <c r="H34" i="28"/>
  <c r="W35" i="28"/>
  <c r="AE35" i="28"/>
  <c r="AC34" i="28"/>
  <c r="N35" i="28"/>
  <c r="I34" i="28"/>
  <c r="AG36" i="28"/>
  <c r="H36" i="28"/>
  <c r="AE34" i="28"/>
  <c r="M35" i="28"/>
  <c r="Y35" i="28"/>
  <c r="V34" i="28"/>
  <c r="AI36" i="28"/>
  <c r="AI112" i="28" s="1"/>
  <c r="I35" i="28"/>
  <c r="E46" i="14" s="1"/>
  <c r="E62" i="14" s="1"/>
  <c r="W34" i="28"/>
  <c r="W62" i="28" s="1"/>
  <c r="M34" i="28"/>
  <c r="AF35" i="28"/>
  <c r="AF34" i="28"/>
  <c r="AF110" i="28" s="1"/>
  <c r="AB36" i="28"/>
  <c r="X47" i="14" s="1"/>
  <c r="X63" i="14" s="1"/>
  <c r="Q36" i="28"/>
  <c r="L34" i="28"/>
  <c r="K36" i="28"/>
  <c r="V36" i="28"/>
  <c r="L36" i="28"/>
  <c r="P36" i="28"/>
  <c r="K34" i="28"/>
  <c r="R35" i="28"/>
  <c r="N34" i="28"/>
  <c r="S36" i="28"/>
  <c r="G34" i="28"/>
  <c r="AC35" i="28"/>
  <c r="I36" i="28"/>
  <c r="O110" i="28"/>
  <c r="O62" i="28"/>
  <c r="O86" i="28" s="1"/>
  <c r="AD112" i="28"/>
  <c r="P43" i="36"/>
  <c r="V42" i="36"/>
  <c r="AF201" i="5"/>
  <c r="AF217" i="5"/>
  <c r="AG216" i="5"/>
  <c r="AG208" i="5"/>
  <c r="AG212" i="5"/>
  <c r="AG215" i="5"/>
  <c r="AG210" i="5"/>
  <c r="AG209" i="5"/>
  <c r="AG214" i="5"/>
  <c r="AG211" i="5"/>
  <c r="AG207" i="5"/>
  <c r="AG206" i="5"/>
  <c r="AG213" i="5"/>
  <c r="AG202" i="26"/>
  <c r="AG200" i="5"/>
  <c r="AG198" i="5"/>
  <c r="AG197" i="5"/>
  <c r="AG192" i="5"/>
  <c r="AG195" i="5"/>
  <c r="AG190" i="5"/>
  <c r="AG193" i="5"/>
  <c r="AG196" i="5"/>
  <c r="AG199" i="5"/>
  <c r="AG194" i="5"/>
  <c r="AG191" i="5"/>
  <c r="AA18" i="53"/>
  <c r="AG18" i="53" s="1"/>
  <c r="AG19" i="53" s="1"/>
  <c r="V18" i="53"/>
  <c r="AF18" i="53" s="1"/>
  <c r="AF19" i="53" s="1"/>
  <c r="W18" i="53"/>
  <c r="U18" i="53"/>
  <c r="AA52" i="56"/>
  <c r="AA18" i="56"/>
  <c r="N18" i="56"/>
  <c r="N52" i="56"/>
  <c r="T18" i="53"/>
  <c r="R18" i="53"/>
  <c r="X18" i="53"/>
  <c r="Y18" i="53"/>
  <c r="S18" i="53"/>
  <c r="Z18" i="53"/>
  <c r="AD18" i="56"/>
  <c r="AD52" i="56"/>
  <c r="AB52" i="56"/>
  <c r="AB18" i="56"/>
  <c r="Q18" i="53"/>
  <c r="AE18" i="53" l="1"/>
  <c r="AE19" i="53" s="1"/>
  <c r="AI18" i="53"/>
  <c r="AC112" i="28"/>
  <c r="P62" i="28"/>
  <c r="P86" i="28" s="1"/>
  <c r="R64" i="28"/>
  <c r="R88" i="28" s="1"/>
  <c r="U62" i="28"/>
  <c r="U86" i="28" s="1"/>
  <c r="J111" i="28"/>
  <c r="J63" i="28"/>
  <c r="J87" i="28" s="1"/>
  <c r="AH62" i="28"/>
  <c r="AH86" i="28" s="1"/>
  <c r="R110" i="28"/>
  <c r="F78" i="14"/>
  <c r="AH110" i="28"/>
  <c r="Y110" i="28"/>
  <c r="T62" i="28"/>
  <c r="T86" i="28" s="1"/>
  <c r="T110" i="28"/>
  <c r="Q77" i="14"/>
  <c r="N45" i="14"/>
  <c r="N61" i="14" s="1"/>
  <c r="U110" i="28"/>
  <c r="AC64" i="28"/>
  <c r="AC88" i="28" s="1"/>
  <c r="J112" i="28"/>
  <c r="W110" i="28"/>
  <c r="K111" i="28"/>
  <c r="Q111" i="28"/>
  <c r="J110" i="28"/>
  <c r="L45" i="14"/>
  <c r="L61" i="14" s="1"/>
  <c r="L77" i="14" s="1"/>
  <c r="Q63" i="28"/>
  <c r="Q87" i="28" s="1"/>
  <c r="R112" i="28"/>
  <c r="W86" i="28"/>
  <c r="J64" i="28"/>
  <c r="J88" i="28" s="1"/>
  <c r="J62" i="28"/>
  <c r="J86" i="28" s="1"/>
  <c r="G46" i="14"/>
  <c r="G62" i="14" s="1"/>
  <c r="G78" i="14" s="1"/>
  <c r="AB111" i="28"/>
  <c r="AB63" i="28"/>
  <c r="AB87" i="28" s="1"/>
  <c r="X111" i="28"/>
  <c r="Z45" i="14"/>
  <c r="Z61" i="14" s="1"/>
  <c r="AD62" i="28"/>
  <c r="AD86" i="28" s="1"/>
  <c r="AD110" i="28"/>
  <c r="AA110" i="28"/>
  <c r="X63" i="28"/>
  <c r="X87" i="28" s="1"/>
  <c r="AA47" i="14"/>
  <c r="AA63" i="14" s="1"/>
  <c r="AE64" i="28"/>
  <c r="AE88" i="28" s="1"/>
  <c r="AD64" i="28"/>
  <c r="AD88" i="28" s="1"/>
  <c r="AA62" i="28"/>
  <c r="AA86" i="28" s="1"/>
  <c r="AA63" i="28"/>
  <c r="AA87" i="28" s="1"/>
  <c r="AA111" i="28"/>
  <c r="W46" i="14"/>
  <c r="W62" i="14" s="1"/>
  <c r="X78" i="14" s="1"/>
  <c r="AG110" i="28"/>
  <c r="AC45" i="14"/>
  <c r="AC61" i="14" s="1"/>
  <c r="AD77" i="14" s="1"/>
  <c r="AG62" i="28"/>
  <c r="AG86" i="28" s="1"/>
  <c r="AE46" i="14"/>
  <c r="AE62" i="14" s="1"/>
  <c r="AI63" i="28"/>
  <c r="AI87" i="28" s="1"/>
  <c r="AA64" i="28"/>
  <c r="AA88" i="28" s="1"/>
  <c r="W47" i="14"/>
  <c r="W63" i="14" s="1"/>
  <c r="X79" i="14" s="1"/>
  <c r="AA112" i="28"/>
  <c r="I47" i="14"/>
  <c r="I63" i="14" s="1"/>
  <c r="M64" i="28"/>
  <c r="M88" i="28" s="1"/>
  <c r="M112" i="28"/>
  <c r="Z110" i="28"/>
  <c r="V45" i="14"/>
  <c r="V61" i="14" s="1"/>
  <c r="Z62" i="28"/>
  <c r="Z86" i="28" s="1"/>
  <c r="U63" i="28"/>
  <c r="U87" i="28" s="1"/>
  <c r="C46" i="14"/>
  <c r="G63" i="28"/>
  <c r="G87" i="28" s="1"/>
  <c r="G111" i="28"/>
  <c r="L46" i="14"/>
  <c r="L62" i="14" s="1"/>
  <c r="M78" i="14" s="1"/>
  <c r="P63" i="28"/>
  <c r="P87" i="28" s="1"/>
  <c r="P111" i="28"/>
  <c r="S110" i="28"/>
  <c r="O45" i="14"/>
  <c r="O61" i="14" s="1"/>
  <c r="P77" i="14" s="1"/>
  <c r="S62" i="28"/>
  <c r="S86" i="28" s="1"/>
  <c r="Q46" i="14"/>
  <c r="Q62" i="14" s="1"/>
  <c r="R78" i="14" s="1"/>
  <c r="U45" i="14"/>
  <c r="U61" i="14" s="1"/>
  <c r="AI111" i="28"/>
  <c r="G64" i="28"/>
  <c r="G88" i="28" s="1"/>
  <c r="C47" i="14"/>
  <c r="T112" i="28"/>
  <c r="P47" i="14"/>
  <c r="P63" i="14" s="1"/>
  <c r="T64" i="28"/>
  <c r="T88" i="28" s="1"/>
  <c r="H45" i="14"/>
  <c r="H61" i="14" s="1"/>
  <c r="L62" i="28"/>
  <c r="L110" i="28"/>
  <c r="X62" i="28"/>
  <c r="X86" i="28" s="1"/>
  <c r="T45" i="14"/>
  <c r="T61" i="14" s="1"/>
  <c r="N46" i="14"/>
  <c r="N62" i="14" s="1"/>
  <c r="N78" i="14" s="1"/>
  <c r="R63" i="28"/>
  <c r="R87" i="28" s="1"/>
  <c r="R111" i="28"/>
  <c r="Q64" i="28"/>
  <c r="Q88" i="28" s="1"/>
  <c r="M47" i="14"/>
  <c r="M63" i="14" s="1"/>
  <c r="Q112" i="28"/>
  <c r="V62" i="28"/>
  <c r="V86" i="28" s="1"/>
  <c r="R45" i="14"/>
  <c r="R61" i="14" s="1"/>
  <c r="R77" i="14" s="1"/>
  <c r="V110" i="28"/>
  <c r="E45" i="14"/>
  <c r="E61" i="14" s="1"/>
  <c r="I62" i="28"/>
  <c r="I86" i="28" s="1"/>
  <c r="I110" i="28"/>
  <c r="S111" i="28"/>
  <c r="O46" i="14"/>
  <c r="O62" i="14" s="1"/>
  <c r="S63" i="28"/>
  <c r="S87" i="28" s="1"/>
  <c r="K47" i="14"/>
  <c r="K63" i="14" s="1"/>
  <c r="O64" i="28"/>
  <c r="O88" i="28" s="1"/>
  <c r="O112" i="28"/>
  <c r="T47" i="14"/>
  <c r="T63" i="14" s="1"/>
  <c r="X112" i="28"/>
  <c r="K110" i="28"/>
  <c r="G45" i="14"/>
  <c r="G61" i="14" s="1"/>
  <c r="G77" i="14" s="1"/>
  <c r="K62" i="28"/>
  <c r="K86" i="28" s="1"/>
  <c r="AB112" i="28"/>
  <c r="AB64" i="28"/>
  <c r="AB88" i="28" s="1"/>
  <c r="J46" i="14"/>
  <c r="J62" i="14" s="1"/>
  <c r="N63" i="28"/>
  <c r="N87" i="28" s="1"/>
  <c r="N111" i="28"/>
  <c r="Q47" i="14"/>
  <c r="Q63" i="14" s="1"/>
  <c r="U64" i="28"/>
  <c r="U88" i="28" s="1"/>
  <c r="U112" i="28"/>
  <c r="S47" i="14"/>
  <c r="S63" i="14" s="1"/>
  <c r="W64" i="28"/>
  <c r="W88" i="28" s="1"/>
  <c r="W112" i="28"/>
  <c r="V46" i="14"/>
  <c r="V62" i="14" s="1"/>
  <c r="Z111" i="28"/>
  <c r="AB62" i="28"/>
  <c r="AB86" i="28" s="1"/>
  <c r="AB110" i="28"/>
  <c r="X45" i="14"/>
  <c r="X61" i="14" s="1"/>
  <c r="X77" i="14" s="1"/>
  <c r="AC47" i="14"/>
  <c r="AC63" i="14" s="1"/>
  <c r="AG64" i="28"/>
  <c r="AG88" i="28" s="1"/>
  <c r="AG112" i="28"/>
  <c r="L47" i="14"/>
  <c r="L63" i="14" s="1"/>
  <c r="P64" i="28"/>
  <c r="P88" i="28" s="1"/>
  <c r="P112" i="28"/>
  <c r="AB45" i="14"/>
  <c r="AB61" i="14" s="1"/>
  <c r="AF62" i="28"/>
  <c r="AF86" i="28" s="1"/>
  <c r="AC62" i="28"/>
  <c r="AC86" i="28" s="1"/>
  <c r="AC110" i="28"/>
  <c r="Y45" i="14"/>
  <c r="Y61" i="14" s="1"/>
  <c r="Z46" i="14"/>
  <c r="Z62" i="14" s="1"/>
  <c r="AD63" i="28"/>
  <c r="AD87" i="28" s="1"/>
  <c r="AD111" i="28"/>
  <c r="AE45" i="14"/>
  <c r="AE61" i="14" s="1"/>
  <c r="AI62" i="28"/>
  <c r="AI86" i="28" s="1"/>
  <c r="AI110" i="28"/>
  <c r="K46" i="14"/>
  <c r="K62" i="14" s="1"/>
  <c r="O63" i="28"/>
  <c r="O87" i="28" s="1"/>
  <c r="AI64" i="28"/>
  <c r="AI88" i="28" s="1"/>
  <c r="AE47" i="14"/>
  <c r="AE63" i="14" s="1"/>
  <c r="Y79" i="14"/>
  <c r="E47" i="14"/>
  <c r="E63" i="14" s="1"/>
  <c r="I112" i="28"/>
  <c r="I64" i="28"/>
  <c r="I88" i="28" s="1"/>
  <c r="L64" i="28"/>
  <c r="L88" i="28" s="1"/>
  <c r="L112" i="28"/>
  <c r="H47" i="14"/>
  <c r="H63" i="14" s="1"/>
  <c r="AF63" i="28"/>
  <c r="AF87" i="28" s="1"/>
  <c r="AB46" i="14"/>
  <c r="AB62" i="14" s="1"/>
  <c r="AF111" i="28"/>
  <c r="U46" i="14"/>
  <c r="U62" i="14" s="1"/>
  <c r="U78" i="14" s="1"/>
  <c r="Y63" i="28"/>
  <c r="Y87" i="28" s="1"/>
  <c r="Y111" i="28"/>
  <c r="AE111" i="28"/>
  <c r="AA46" i="14"/>
  <c r="AA62" i="14" s="1"/>
  <c r="AA78" i="14" s="1"/>
  <c r="AE63" i="28"/>
  <c r="AE87" i="28" s="1"/>
  <c r="Q110" i="28"/>
  <c r="M45" i="14"/>
  <c r="M61" i="14" s="1"/>
  <c r="M77" i="14" s="1"/>
  <c r="Q62" i="28"/>
  <c r="Q86" i="28" s="1"/>
  <c r="AG111" i="28"/>
  <c r="AG63" i="28"/>
  <c r="AG87" i="28" s="1"/>
  <c r="AC46" i="14"/>
  <c r="AC62" i="14" s="1"/>
  <c r="P46" i="14"/>
  <c r="P62" i="14" s="1"/>
  <c r="T111" i="28"/>
  <c r="L86" i="28"/>
  <c r="X110" i="28"/>
  <c r="AC111" i="28"/>
  <c r="Y46" i="14"/>
  <c r="Y62" i="14" s="1"/>
  <c r="Y78" i="14" s="1"/>
  <c r="AC63" i="28"/>
  <c r="AC87" i="28" s="1"/>
  <c r="R47" i="14"/>
  <c r="R63" i="14" s="1"/>
  <c r="V112" i="28"/>
  <c r="V64" i="28"/>
  <c r="V88" i="28" s="1"/>
  <c r="I45" i="14"/>
  <c r="I61" i="14" s="1"/>
  <c r="M110" i="28"/>
  <c r="M62" i="28"/>
  <c r="M86" i="28" s="1"/>
  <c r="M63" i="28"/>
  <c r="M87" i="28" s="1"/>
  <c r="I46" i="14"/>
  <c r="I62" i="14" s="1"/>
  <c r="M111" i="28"/>
  <c r="S46" i="14"/>
  <c r="S62" i="14" s="1"/>
  <c r="W63" i="28"/>
  <c r="W87" i="28" s="1"/>
  <c r="W111" i="28"/>
  <c r="Y64" i="28"/>
  <c r="Y88" i="28" s="1"/>
  <c r="U47" i="14"/>
  <c r="U63" i="14" s="1"/>
  <c r="Y112" i="28"/>
  <c r="AH63" i="28"/>
  <c r="AH87" i="28" s="1"/>
  <c r="AH111" i="28"/>
  <c r="J45" i="14"/>
  <c r="J61" i="14" s="1"/>
  <c r="N62" i="28"/>
  <c r="N86" i="28" s="1"/>
  <c r="N110" i="28"/>
  <c r="C45" i="14"/>
  <c r="G62" i="28"/>
  <c r="G86" i="28" s="1"/>
  <c r="G110" i="28"/>
  <c r="AA45" i="14"/>
  <c r="AA61" i="14" s="1"/>
  <c r="AE62" i="28"/>
  <c r="AE86" i="28" s="1"/>
  <c r="AE110" i="28"/>
  <c r="D45" i="14"/>
  <c r="D61" i="14" s="1"/>
  <c r="H62" i="28"/>
  <c r="H86" i="28" s="1"/>
  <c r="H110" i="28"/>
  <c r="AH64" i="28"/>
  <c r="AH88" i="28" s="1"/>
  <c r="AH112" i="28"/>
  <c r="AD47" i="14"/>
  <c r="AD63" i="14" s="1"/>
  <c r="L111" i="28"/>
  <c r="H46" i="14"/>
  <c r="H62" i="14" s="1"/>
  <c r="L63" i="28"/>
  <c r="L87" i="28" s="1"/>
  <c r="AF112" i="28"/>
  <c r="AF64" i="28"/>
  <c r="AF88" i="28" s="1"/>
  <c r="AB47" i="14"/>
  <c r="AB63" i="14" s="1"/>
  <c r="S45" i="14"/>
  <c r="S61" i="14" s="1"/>
  <c r="S77" i="14" s="1"/>
  <c r="Z63" i="28"/>
  <c r="Z87" i="28" s="1"/>
  <c r="O47" i="14"/>
  <c r="O63" i="14" s="1"/>
  <c r="S64" i="28"/>
  <c r="S88" i="28" s="1"/>
  <c r="S112" i="28"/>
  <c r="G47" i="14"/>
  <c r="G63" i="14" s="1"/>
  <c r="G79" i="14" s="1"/>
  <c r="K64" i="28"/>
  <c r="K88" i="28" s="1"/>
  <c r="K112" i="28"/>
  <c r="I63" i="28"/>
  <c r="I87" i="28" s="1"/>
  <c r="I111" i="28"/>
  <c r="H112" i="28"/>
  <c r="D47" i="14"/>
  <c r="D63" i="14" s="1"/>
  <c r="H64" i="28"/>
  <c r="H88" i="28" s="1"/>
  <c r="D46" i="14"/>
  <c r="D62" i="14" s="1"/>
  <c r="E78" i="14" s="1"/>
  <c r="H63" i="28"/>
  <c r="H87" i="28" s="1"/>
  <c r="H111" i="28"/>
  <c r="V47" i="14"/>
  <c r="V63" i="14" s="1"/>
  <c r="Z64" i="28"/>
  <c r="Z88" i="28" s="1"/>
  <c r="Z112" i="28"/>
  <c r="J47" i="14"/>
  <c r="J63" i="14" s="1"/>
  <c r="N112" i="28"/>
  <c r="AA79" i="14"/>
  <c r="V43" i="36"/>
  <c r="P44" i="36"/>
  <c r="V44" i="36" s="1"/>
  <c r="G37" i="28" a="1"/>
  <c r="AG201" i="5"/>
  <c r="AG217" i="5"/>
  <c r="AA76" i="56"/>
  <c r="Z76" i="56"/>
  <c r="AC76" i="56"/>
  <c r="Y76" i="56"/>
  <c r="AB76" i="56"/>
  <c r="AD76" i="56"/>
  <c r="U79" i="14" l="1"/>
  <c r="O77" i="14"/>
  <c r="H78" i="14"/>
  <c r="AD79" i="14"/>
  <c r="AA77" i="14"/>
  <c r="R79" i="14"/>
  <c r="AB79" i="14"/>
  <c r="J79" i="14"/>
  <c r="Q78" i="14"/>
  <c r="I77" i="14"/>
  <c r="Q79" i="14"/>
  <c r="T77" i="14"/>
  <c r="O78" i="14"/>
  <c r="AB78" i="14"/>
  <c r="AF62" i="14"/>
  <c r="AF78" i="14" s="1"/>
  <c r="AE78" i="14"/>
  <c r="P78" i="14"/>
  <c r="I78" i="14"/>
  <c r="S79" i="14"/>
  <c r="U77" i="14"/>
  <c r="V77" i="14"/>
  <c r="W77" i="14"/>
  <c r="W79" i="14"/>
  <c r="V79" i="14"/>
  <c r="K78" i="14"/>
  <c r="L78" i="14"/>
  <c r="AC79" i="14"/>
  <c r="K79" i="14"/>
  <c r="E79" i="14"/>
  <c r="F79" i="14"/>
  <c r="J78" i="14"/>
  <c r="N77" i="14"/>
  <c r="AF61" i="14"/>
  <c r="AF77" i="14" s="1"/>
  <c r="AE77" i="14"/>
  <c r="AC77" i="14"/>
  <c r="AB77" i="14"/>
  <c r="N79" i="14"/>
  <c r="M79" i="14"/>
  <c r="Z77" i="14"/>
  <c r="Y77" i="14"/>
  <c r="E77" i="14"/>
  <c r="F77" i="14"/>
  <c r="J77" i="14"/>
  <c r="K77" i="14"/>
  <c r="T78" i="14"/>
  <c r="S78" i="14"/>
  <c r="I79" i="14"/>
  <c r="H79" i="14"/>
  <c r="AF63" i="14"/>
  <c r="AF79" i="14" s="1"/>
  <c r="AE79" i="14"/>
  <c r="P79" i="14"/>
  <c r="O79" i="14"/>
  <c r="AD78" i="14"/>
  <c r="AC78" i="14"/>
  <c r="Z78" i="14"/>
  <c r="L79" i="14"/>
  <c r="V78" i="14"/>
  <c r="W78" i="14"/>
  <c r="T79" i="14"/>
  <c r="H77" i="14"/>
  <c r="AG37" i="28"/>
  <c r="Y37" i="28"/>
  <c r="AB38" i="28"/>
  <c r="J41" i="28"/>
  <c r="AF39" i="28"/>
  <c r="T40" i="28"/>
  <c r="AG38" i="28"/>
  <c r="U39" i="28"/>
  <c r="AG40" i="28"/>
  <c r="AF38" i="28"/>
  <c r="Z39" i="28"/>
  <c r="U38" i="28"/>
  <c r="Z38" i="28"/>
  <c r="AA40" i="28"/>
  <c r="U41" i="28"/>
  <c r="G41" i="28"/>
  <c r="AC40" i="28"/>
  <c r="L41" i="28"/>
  <c r="AI38" i="28"/>
  <c r="V38" i="28"/>
  <c r="AH40" i="28"/>
  <c r="AA38" i="28"/>
  <c r="N38" i="28"/>
  <c r="N41" i="28"/>
  <c r="AB41" i="28"/>
  <c r="P39" i="28"/>
  <c r="H39" i="28"/>
  <c r="I41" i="28"/>
  <c r="AI37" i="28"/>
  <c r="AC39" i="28"/>
  <c r="R38" i="28"/>
  <c r="P38" i="28"/>
  <c r="L37" i="28"/>
  <c r="I38" i="28"/>
  <c r="AH41" i="28"/>
  <c r="T39" i="28"/>
  <c r="T41" i="28"/>
  <c r="Q38" i="28"/>
  <c r="H38" i="28"/>
  <c r="P37" i="28"/>
  <c r="R37" i="28"/>
  <c r="G38" i="28"/>
  <c r="P40" i="28"/>
  <c r="AI40" i="28"/>
  <c r="K39" i="28"/>
  <c r="AG39" i="28"/>
  <c r="Y40" i="28"/>
  <c r="AC37" i="28"/>
  <c r="G39" i="28"/>
  <c r="Z40" i="28"/>
  <c r="X37" i="28"/>
  <c r="I39" i="28"/>
  <c r="S41" i="28"/>
  <c r="K37" i="28"/>
  <c r="X41" i="28"/>
  <c r="J40" i="28"/>
  <c r="AD37" i="28"/>
  <c r="AH39" i="28"/>
  <c r="V40" i="28"/>
  <c r="H41" i="28"/>
  <c r="P41" i="28"/>
  <c r="AE38" i="28"/>
  <c r="M40" i="28"/>
  <c r="W39" i="28"/>
  <c r="Y38" i="28"/>
  <c r="Q40" i="28"/>
  <c r="AD39" i="28"/>
  <c r="O41" i="28"/>
  <c r="S38" i="28"/>
  <c r="X38" i="28"/>
  <c r="R40" i="28"/>
  <c r="K41" i="28"/>
  <c r="G40" i="28"/>
  <c r="M37" i="28"/>
  <c r="U37" i="28"/>
  <c r="V39" i="28"/>
  <c r="AF41" i="28"/>
  <c r="O39" i="28"/>
  <c r="AA41" i="28"/>
  <c r="AD40" i="28"/>
  <c r="AF37" i="28"/>
  <c r="O40" i="28"/>
  <c r="Y39" i="28"/>
  <c r="Q37" i="28"/>
  <c r="AA37" i="28"/>
  <c r="S37" i="28"/>
  <c r="AI39" i="28"/>
  <c r="K38" i="28"/>
  <c r="AE39" i="28"/>
  <c r="AB37" i="28"/>
  <c r="V37" i="28"/>
  <c r="N39" i="28"/>
  <c r="J37" i="28"/>
  <c r="AD38" i="28"/>
  <c r="I37" i="28"/>
  <c r="AH37" i="28"/>
  <c r="AE37" i="28"/>
  <c r="Z41" i="28"/>
  <c r="I40" i="28"/>
  <c r="Q39" i="28"/>
  <c r="K40" i="28"/>
  <c r="AE40" i="28"/>
  <c r="Y41" i="28"/>
  <c r="S40" i="28"/>
  <c r="M41" i="28"/>
  <c r="W41" i="28"/>
  <c r="R39" i="28"/>
  <c r="S39" i="28"/>
  <c r="AC38" i="28"/>
  <c r="AB40" i="28"/>
  <c r="U40" i="28"/>
  <c r="X40" i="28"/>
  <c r="AG41" i="28"/>
  <c r="M39" i="28"/>
  <c r="N40" i="28"/>
  <c r="L40" i="28"/>
  <c r="L39" i="28"/>
  <c r="X39" i="28"/>
  <c r="N37" i="28"/>
  <c r="T38" i="28"/>
  <c r="T37" i="28"/>
  <c r="W37" i="28"/>
  <c r="J38" i="28"/>
  <c r="R41" i="28"/>
  <c r="AE41" i="28"/>
  <c r="AC41" i="28"/>
  <c r="Z37" i="28"/>
  <c r="M38" i="28"/>
  <c r="V41" i="28"/>
  <c r="H37" i="28"/>
  <c r="L38" i="28"/>
  <c r="AD41" i="28"/>
  <c r="W38" i="28"/>
  <c r="AF40" i="28"/>
  <c r="W40" i="28"/>
  <c r="J39" i="28"/>
  <c r="O38" i="28"/>
  <c r="AH38" i="28"/>
  <c r="AB39" i="28"/>
  <c r="H40" i="28"/>
  <c r="Q41" i="28"/>
  <c r="AA39" i="28"/>
  <c r="AI41" i="28"/>
  <c r="O37" i="28"/>
  <c r="G37" i="28"/>
  <c r="E15" i="53"/>
  <c r="E14" i="53"/>
  <c r="L20" i="46"/>
  <c r="L21" i="46"/>
  <c r="K20" i="46"/>
  <c r="K21" i="46"/>
  <c r="O113" i="28" l="1"/>
  <c r="O132" i="28"/>
  <c r="O48" i="28"/>
  <c r="O65" i="28"/>
  <c r="O89" i="28" s="1"/>
  <c r="K48" i="14"/>
  <c r="K64" i="14" s="1"/>
  <c r="J67" i="28"/>
  <c r="J91" i="28" s="1"/>
  <c r="J115" i="28"/>
  <c r="F50" i="14"/>
  <c r="F66" i="14" s="1"/>
  <c r="I49" i="14"/>
  <c r="I65" i="14" s="1"/>
  <c r="M66" i="28"/>
  <c r="M90" i="28" s="1"/>
  <c r="M114" i="28"/>
  <c r="T66" i="28"/>
  <c r="T90" i="28" s="1"/>
  <c r="P49" i="14"/>
  <c r="P65" i="14" s="1"/>
  <c r="T114" i="28"/>
  <c r="T51" i="14"/>
  <c r="T67" i="14" s="1"/>
  <c r="X68" i="28"/>
  <c r="X92" i="28" s="1"/>
  <c r="X116" i="28"/>
  <c r="S116" i="28"/>
  <c r="O51" i="14"/>
  <c r="O67" i="14" s="1"/>
  <c r="S68" i="28"/>
  <c r="S92" i="28" s="1"/>
  <c r="AD48" i="14"/>
  <c r="AD64" i="14" s="1"/>
  <c r="AH65" i="28"/>
  <c r="AH89" i="28" s="1"/>
  <c r="AH47" i="28"/>
  <c r="AH113" i="28"/>
  <c r="G49" i="14"/>
  <c r="G65" i="14" s="1"/>
  <c r="K66" i="28"/>
  <c r="K90" i="28" s="1"/>
  <c r="K114" i="28"/>
  <c r="AD68" i="28"/>
  <c r="AD92" i="28" s="1"/>
  <c r="AD116" i="28"/>
  <c r="Z51" i="14"/>
  <c r="Z67" i="14" s="1"/>
  <c r="K69" i="28"/>
  <c r="K93" i="28" s="1"/>
  <c r="G52" i="14"/>
  <c r="G68" i="14" s="1"/>
  <c r="K117" i="28"/>
  <c r="S50" i="14"/>
  <c r="S66" i="14" s="1"/>
  <c r="W67" i="28"/>
  <c r="W91" i="28" s="1"/>
  <c r="W115" i="28"/>
  <c r="J68" i="28"/>
  <c r="J92" i="28" s="1"/>
  <c r="J116" i="28"/>
  <c r="F51" i="14"/>
  <c r="F67" i="14" s="1"/>
  <c r="Y48" i="14"/>
  <c r="Y64" i="14" s="1"/>
  <c r="AC113" i="28"/>
  <c r="AC65" i="28"/>
  <c r="AC89" i="28" s="1"/>
  <c r="AC47" i="28"/>
  <c r="AC132" i="28" s="1"/>
  <c r="P113" i="28"/>
  <c r="P65" i="28"/>
  <c r="P89" i="28" s="1"/>
  <c r="L48" i="14"/>
  <c r="L64" i="14" s="1"/>
  <c r="L80" i="14" s="1"/>
  <c r="P48" i="28"/>
  <c r="P132" i="28"/>
  <c r="P114" i="28"/>
  <c r="P66" i="28"/>
  <c r="P90" i="28" s="1"/>
  <c r="L49" i="14"/>
  <c r="L65" i="14" s="1"/>
  <c r="J52" i="14"/>
  <c r="J68" i="14" s="1"/>
  <c r="N117" i="28"/>
  <c r="N69" i="28"/>
  <c r="N93" i="28" s="1"/>
  <c r="C52" i="14"/>
  <c r="G117" i="28"/>
  <c r="G69" i="28"/>
  <c r="G93" i="28" s="1"/>
  <c r="U115" i="28"/>
  <c r="Q50" i="14"/>
  <c r="Q66" i="14" s="1"/>
  <c r="U67" i="28"/>
  <c r="U91" i="28" s="1"/>
  <c r="AI69" i="28"/>
  <c r="AI93" i="28" s="1"/>
  <c r="AE52" i="14"/>
  <c r="AE68" i="14" s="1"/>
  <c r="AI117" i="28"/>
  <c r="S51" i="14"/>
  <c r="S67" i="14" s="1"/>
  <c r="W68" i="28"/>
  <c r="W92" i="28" s="1"/>
  <c r="W116" i="28"/>
  <c r="Z65" i="28"/>
  <c r="Z89" i="28" s="1"/>
  <c r="Z113" i="28"/>
  <c r="V48" i="14"/>
  <c r="V64" i="14" s="1"/>
  <c r="Z47" i="28"/>
  <c r="Z132" i="28" s="1"/>
  <c r="N113" i="28"/>
  <c r="J48" i="14"/>
  <c r="J64" i="14" s="1"/>
  <c r="N65" i="28"/>
  <c r="N89" i="28" s="1"/>
  <c r="U116" i="28"/>
  <c r="U68" i="28"/>
  <c r="U92" i="28" s="1"/>
  <c r="Q51" i="14"/>
  <c r="Q67" i="14" s="1"/>
  <c r="U52" i="14"/>
  <c r="U68" i="14" s="1"/>
  <c r="Y69" i="28"/>
  <c r="Y93" i="28" s="1"/>
  <c r="Y117" i="28"/>
  <c r="I113" i="28"/>
  <c r="I132" i="28"/>
  <c r="I48" i="28"/>
  <c r="E48" i="14"/>
  <c r="E64" i="14" s="1"/>
  <c r="I65" i="28"/>
  <c r="I89" i="28" s="1"/>
  <c r="AI67" i="28"/>
  <c r="AI91" i="28" s="1"/>
  <c r="AE50" i="14"/>
  <c r="AE66" i="14" s="1"/>
  <c r="AI115" i="28"/>
  <c r="AA117" i="28"/>
  <c r="W52" i="14"/>
  <c r="W68" i="14" s="1"/>
  <c r="AA69" i="28"/>
  <c r="AA93" i="28" s="1"/>
  <c r="N51" i="14"/>
  <c r="N67" i="14" s="1"/>
  <c r="R68" i="28"/>
  <c r="R92" i="28" s="1"/>
  <c r="R116" i="28"/>
  <c r="I51" i="14"/>
  <c r="I67" i="14" s="1"/>
  <c r="M68" i="28"/>
  <c r="M92" i="28" s="1"/>
  <c r="M116" i="28"/>
  <c r="T52" i="14"/>
  <c r="T68" i="14" s="1"/>
  <c r="X117" i="28"/>
  <c r="X69" i="28"/>
  <c r="X93" i="28" s="1"/>
  <c r="U51" i="14"/>
  <c r="U67" i="14" s="1"/>
  <c r="U83" i="14" s="1"/>
  <c r="Y116" i="28"/>
  <c r="Y68" i="28"/>
  <c r="Y92" i="28" s="1"/>
  <c r="D49" i="14"/>
  <c r="D65" i="14" s="1"/>
  <c r="H66" i="28"/>
  <c r="H90" i="28" s="1"/>
  <c r="H114" i="28"/>
  <c r="R114" i="28"/>
  <c r="R66" i="28"/>
  <c r="R90" i="28" s="1"/>
  <c r="N49" i="14"/>
  <c r="N65" i="14" s="1"/>
  <c r="N114" i="28"/>
  <c r="N66" i="28"/>
  <c r="N90" i="28" s="1"/>
  <c r="J49" i="14"/>
  <c r="J65" i="14" s="1"/>
  <c r="J81" i="14" s="1"/>
  <c r="U69" i="28"/>
  <c r="U93" i="28" s="1"/>
  <c r="Q52" i="14"/>
  <c r="Q68" i="14" s="1"/>
  <c r="U117" i="28"/>
  <c r="AG114" i="28"/>
  <c r="AG66" i="28"/>
  <c r="AG90" i="28" s="1"/>
  <c r="AC49" i="14"/>
  <c r="AC65" i="14" s="1"/>
  <c r="W50" i="14"/>
  <c r="W66" i="14" s="1"/>
  <c r="AA115" i="28"/>
  <c r="AA67" i="28"/>
  <c r="AA91" i="28" s="1"/>
  <c r="AF68" i="28"/>
  <c r="AF92" i="28" s="1"/>
  <c r="AF116" i="28"/>
  <c r="AB51" i="14"/>
  <c r="AB67" i="14" s="1"/>
  <c r="AC69" i="28"/>
  <c r="AC93" i="28" s="1"/>
  <c r="AC117" i="28"/>
  <c r="Y52" i="14"/>
  <c r="Y68" i="14" s="1"/>
  <c r="X67" i="28"/>
  <c r="X91" i="28" s="1"/>
  <c r="T50" i="14"/>
  <c r="T66" i="14" s="1"/>
  <c r="X115" i="28"/>
  <c r="X51" i="14"/>
  <c r="X67" i="14" s="1"/>
  <c r="AB116" i="28"/>
  <c r="AB68" i="28"/>
  <c r="AB92" i="28" s="1"/>
  <c r="AA51" i="14"/>
  <c r="AA67" i="14" s="1"/>
  <c r="AE68" i="28"/>
  <c r="AE92" i="28" s="1"/>
  <c r="AE116" i="28"/>
  <c r="AD66" i="28"/>
  <c r="AD90" i="28" s="1"/>
  <c r="AD114" i="28"/>
  <c r="Z49" i="14"/>
  <c r="Z65" i="14" s="1"/>
  <c r="S113" i="28"/>
  <c r="S65" i="28"/>
  <c r="S89" i="28" s="1"/>
  <c r="O48" i="14"/>
  <c r="O64" i="14" s="1"/>
  <c r="S132" i="28"/>
  <c r="S48" i="28"/>
  <c r="K50" i="14"/>
  <c r="K66" i="14" s="1"/>
  <c r="O115" i="28"/>
  <c r="O67" i="28"/>
  <c r="O91" i="28" s="1"/>
  <c r="T49" i="14"/>
  <c r="T65" i="14" s="1"/>
  <c r="X114" i="28"/>
  <c r="X66" i="28"/>
  <c r="X90" i="28" s="1"/>
  <c r="AE114" i="28"/>
  <c r="AA49" i="14"/>
  <c r="AA65" i="14" s="1"/>
  <c r="AE66" i="28"/>
  <c r="AE90" i="28" s="1"/>
  <c r="K48" i="28"/>
  <c r="G48" i="14"/>
  <c r="G64" i="14" s="1"/>
  <c r="K132" i="28"/>
  <c r="K113" i="28"/>
  <c r="K65" i="28"/>
  <c r="K89" i="28" s="1"/>
  <c r="AC50" i="14"/>
  <c r="AC66" i="14" s="1"/>
  <c r="AG67" i="28"/>
  <c r="AG91" i="28" s="1"/>
  <c r="AG115" i="28"/>
  <c r="M49" i="14"/>
  <c r="M65" i="14" s="1"/>
  <c r="M81" i="14" s="1"/>
  <c r="Q114" i="28"/>
  <c r="Q66" i="28"/>
  <c r="Q90" i="28" s="1"/>
  <c r="Y50" i="14"/>
  <c r="Y66" i="14" s="1"/>
  <c r="AC115" i="28"/>
  <c r="AC67" i="28"/>
  <c r="AC91" i="28" s="1"/>
  <c r="AA114" i="28"/>
  <c r="W49" i="14"/>
  <c r="W65" i="14" s="1"/>
  <c r="AA66" i="28"/>
  <c r="AA90" i="28" s="1"/>
  <c r="W51" i="14"/>
  <c r="W67" i="14" s="1"/>
  <c r="AA68" i="28"/>
  <c r="AA92" i="28" s="1"/>
  <c r="AA116" i="28"/>
  <c r="T116" i="28"/>
  <c r="T68" i="28"/>
  <c r="T92" i="28" s="1"/>
  <c r="P51" i="14"/>
  <c r="P67" i="14" s="1"/>
  <c r="P83" i="14" s="1"/>
  <c r="M52" i="14"/>
  <c r="M68" i="14" s="1"/>
  <c r="Q117" i="28"/>
  <c r="Q69" i="28"/>
  <c r="Q93" i="28" s="1"/>
  <c r="W114" i="28"/>
  <c r="S49" i="14"/>
  <c r="S65" i="14" s="1"/>
  <c r="W66" i="28"/>
  <c r="W90" i="28" s="1"/>
  <c r="AE117" i="28"/>
  <c r="AA52" i="14"/>
  <c r="AA68" i="14" s="1"/>
  <c r="AE69" i="28"/>
  <c r="AE93" i="28" s="1"/>
  <c r="H50" i="14"/>
  <c r="H66" i="14" s="1"/>
  <c r="L67" i="28"/>
  <c r="L91" i="28" s="1"/>
  <c r="L115" i="28"/>
  <c r="AC114" i="28"/>
  <c r="Y49" i="14"/>
  <c r="Y65" i="14" s="1"/>
  <c r="AC66" i="28"/>
  <c r="AC90" i="28" s="1"/>
  <c r="K68" i="28"/>
  <c r="K92" i="28" s="1"/>
  <c r="K116" i="28"/>
  <c r="G51" i="14"/>
  <c r="G67" i="14" s="1"/>
  <c r="G83" i="14" s="1"/>
  <c r="J48" i="28"/>
  <c r="F48" i="14"/>
  <c r="F64" i="14" s="1"/>
  <c r="F80" i="14" s="1"/>
  <c r="J65" i="28"/>
  <c r="J89" i="28" s="1"/>
  <c r="J113" i="28"/>
  <c r="J132" i="28"/>
  <c r="AA47" i="28"/>
  <c r="AA132" i="28" s="1"/>
  <c r="W48" i="14"/>
  <c r="W64" i="14" s="1"/>
  <c r="W80" i="14" s="1"/>
  <c r="AA65" i="28"/>
  <c r="AA89" i="28" s="1"/>
  <c r="AA113" i="28"/>
  <c r="AB52" i="14"/>
  <c r="AB68" i="14" s="1"/>
  <c r="AF117" i="28"/>
  <c r="AF69" i="28"/>
  <c r="AF93" i="28" s="1"/>
  <c r="O49" i="14"/>
  <c r="O65" i="14" s="1"/>
  <c r="O81" i="14" s="1"/>
  <c r="S66" i="28"/>
  <c r="S90" i="28" s="1"/>
  <c r="S114" i="28"/>
  <c r="L52" i="14"/>
  <c r="L68" i="14" s="1"/>
  <c r="P69" i="28"/>
  <c r="P93" i="28" s="1"/>
  <c r="P117" i="28"/>
  <c r="O52" i="14"/>
  <c r="O68" i="14" s="1"/>
  <c r="S69" i="28"/>
  <c r="S93" i="28" s="1"/>
  <c r="S117" i="28"/>
  <c r="K115" i="28"/>
  <c r="K67" i="28"/>
  <c r="K91" i="28" s="1"/>
  <c r="G50" i="14"/>
  <c r="G66" i="14" s="1"/>
  <c r="P52" i="14"/>
  <c r="P68" i="14" s="1"/>
  <c r="T117" i="28"/>
  <c r="T69" i="28"/>
  <c r="T93" i="28" s="1"/>
  <c r="AI113" i="28"/>
  <c r="AE48" i="14"/>
  <c r="AE64" i="14" s="1"/>
  <c r="AI65" i="28"/>
  <c r="AI89" i="28" s="1"/>
  <c r="AI47" i="28"/>
  <c r="AI48" i="28" s="1"/>
  <c r="AH68" i="28"/>
  <c r="AH92" i="28" s="1"/>
  <c r="AH116" i="28"/>
  <c r="AD51" i="14"/>
  <c r="AD67" i="14" s="1"/>
  <c r="Z66" i="28"/>
  <c r="Z90" i="28" s="1"/>
  <c r="V49" i="14"/>
  <c r="V65" i="14" s="1"/>
  <c r="Z114" i="28"/>
  <c r="AF67" i="28"/>
  <c r="AF91" i="28" s="1"/>
  <c r="AF115" i="28"/>
  <c r="AB50" i="14"/>
  <c r="AB66" i="14" s="1"/>
  <c r="D51" i="14"/>
  <c r="D67" i="14" s="1"/>
  <c r="H68" i="28"/>
  <c r="H92" i="28" s="1"/>
  <c r="H116" i="28"/>
  <c r="Z52" i="14"/>
  <c r="Z68" i="14" s="1"/>
  <c r="Z84" i="14" s="1"/>
  <c r="AD69" i="28"/>
  <c r="AD93" i="28" s="1"/>
  <c r="AD117" i="28"/>
  <c r="N52" i="14"/>
  <c r="N68" i="14" s="1"/>
  <c r="N84" i="14" s="1"/>
  <c r="R69" i="28"/>
  <c r="R93" i="28" s="1"/>
  <c r="R117" i="28"/>
  <c r="L116" i="28"/>
  <c r="L68" i="28"/>
  <c r="L92" i="28" s="1"/>
  <c r="H51" i="14"/>
  <c r="H67" i="14" s="1"/>
  <c r="S67" i="28"/>
  <c r="S91" i="28" s="1"/>
  <c r="S115" i="28"/>
  <c r="O50" i="14"/>
  <c r="O66" i="14" s="1"/>
  <c r="Q115" i="28"/>
  <c r="M50" i="14"/>
  <c r="M66" i="14" s="1"/>
  <c r="Q67" i="28"/>
  <c r="Q91" i="28" s="1"/>
  <c r="N115" i="28"/>
  <c r="N67" i="28"/>
  <c r="N91" i="28" s="1"/>
  <c r="J50" i="14"/>
  <c r="J66" i="14" s="1"/>
  <c r="Q65" i="28"/>
  <c r="Q89" i="28" s="1"/>
  <c r="Q113" i="28"/>
  <c r="Q132" i="28"/>
  <c r="Q48" i="28"/>
  <c r="M48" i="14"/>
  <c r="M64" i="14" s="1"/>
  <c r="V115" i="28"/>
  <c r="V67" i="28"/>
  <c r="V91" i="28" s="1"/>
  <c r="R50" i="14"/>
  <c r="R66" i="14" s="1"/>
  <c r="R82" i="14" s="1"/>
  <c r="O69" i="28"/>
  <c r="O93" i="28" s="1"/>
  <c r="O117" i="28"/>
  <c r="K52" i="14"/>
  <c r="K68" i="14" s="1"/>
  <c r="D52" i="14"/>
  <c r="D68" i="14" s="1"/>
  <c r="H117" i="28"/>
  <c r="H69" i="28"/>
  <c r="H93" i="28" s="1"/>
  <c r="E50" i="14"/>
  <c r="E66" i="14" s="1"/>
  <c r="I115" i="28"/>
  <c r="I67" i="28"/>
  <c r="I91" i="28" s="1"/>
  <c r="AI116" i="28"/>
  <c r="AE51" i="14"/>
  <c r="AE67" i="14" s="1"/>
  <c r="AI68" i="28"/>
  <c r="AI92" i="28" s="1"/>
  <c r="P50" i="14"/>
  <c r="P66" i="14" s="1"/>
  <c r="P82" i="14" s="1"/>
  <c r="T67" i="28"/>
  <c r="T91" i="28" s="1"/>
  <c r="T115" i="28"/>
  <c r="E52" i="14"/>
  <c r="E68" i="14" s="1"/>
  <c r="I117" i="28"/>
  <c r="I69" i="28"/>
  <c r="I93" i="28" s="1"/>
  <c r="R49" i="14"/>
  <c r="R65" i="14" s="1"/>
  <c r="R81" i="14" s="1"/>
  <c r="V66" i="28"/>
  <c r="V90" i="28" s="1"/>
  <c r="V114" i="28"/>
  <c r="Q49" i="14"/>
  <c r="Q65" i="14" s="1"/>
  <c r="Q81" i="14" s="1"/>
  <c r="U66" i="28"/>
  <c r="U90" i="28" s="1"/>
  <c r="U114" i="28"/>
  <c r="J117" i="28"/>
  <c r="F52" i="14"/>
  <c r="F68" i="14" s="1"/>
  <c r="J69" i="28"/>
  <c r="J93" i="28" s="1"/>
  <c r="AB67" i="28"/>
  <c r="AB91" i="28" s="1"/>
  <c r="X50" i="14"/>
  <c r="X66" i="14" s="1"/>
  <c r="X82" i="14" s="1"/>
  <c r="AB115" i="28"/>
  <c r="H49" i="14"/>
  <c r="H65" i="14" s="1"/>
  <c r="H81" i="14" s="1"/>
  <c r="L66" i="28"/>
  <c r="L90" i="28" s="1"/>
  <c r="L114" i="28"/>
  <c r="F49" i="14"/>
  <c r="F65" i="14" s="1"/>
  <c r="J66" i="28"/>
  <c r="J90" i="28" s="1"/>
  <c r="J114" i="28"/>
  <c r="J51" i="14"/>
  <c r="J67" i="14" s="1"/>
  <c r="J83" i="14" s="1"/>
  <c r="N68" i="28"/>
  <c r="N92" i="28" s="1"/>
  <c r="N116" i="28"/>
  <c r="R67" i="28"/>
  <c r="R91" i="28" s="1"/>
  <c r="N50" i="14"/>
  <c r="N66" i="14" s="1"/>
  <c r="N82" i="14" s="1"/>
  <c r="R115" i="28"/>
  <c r="I68" i="28"/>
  <c r="I92" i="28" s="1"/>
  <c r="E51" i="14"/>
  <c r="E67" i="14" s="1"/>
  <c r="E83" i="14" s="1"/>
  <c r="I116" i="28"/>
  <c r="V132" i="28"/>
  <c r="V48" i="28"/>
  <c r="V65" i="28"/>
  <c r="V89" i="28" s="1"/>
  <c r="V113" i="28"/>
  <c r="R48" i="14"/>
  <c r="R64" i="14" s="1"/>
  <c r="U50" i="14"/>
  <c r="U66" i="14" s="1"/>
  <c r="U82" i="14" s="1"/>
  <c r="Y67" i="28"/>
  <c r="Y91" i="28" s="1"/>
  <c r="Y115" i="28"/>
  <c r="U65" i="28"/>
  <c r="U89" i="28" s="1"/>
  <c r="U48" i="28"/>
  <c r="U113" i="28"/>
  <c r="U124" i="28" s="1"/>
  <c r="U132" i="28"/>
  <c r="Q48" i="14"/>
  <c r="Q64" i="14" s="1"/>
  <c r="AD115" i="28"/>
  <c r="AD67" i="28"/>
  <c r="AD91" i="28" s="1"/>
  <c r="Z50" i="14"/>
  <c r="Z66" i="14" s="1"/>
  <c r="Z82" i="14" s="1"/>
  <c r="V116" i="28"/>
  <c r="R51" i="14"/>
  <c r="R67" i="14" s="1"/>
  <c r="R83" i="14" s="1"/>
  <c r="V68" i="28"/>
  <c r="V92" i="28" s="1"/>
  <c r="X48" i="28"/>
  <c r="X132" i="28"/>
  <c r="X113" i="28"/>
  <c r="X65" i="28"/>
  <c r="X89" i="28" s="1"/>
  <c r="T48" i="14"/>
  <c r="T64" i="14" s="1"/>
  <c r="P116" i="28"/>
  <c r="L51" i="14"/>
  <c r="L67" i="14" s="1"/>
  <c r="P68" i="28"/>
  <c r="P92" i="28" s="1"/>
  <c r="AH69" i="28"/>
  <c r="AH93" i="28" s="1"/>
  <c r="AH117" i="28"/>
  <c r="AD52" i="14"/>
  <c r="AD68" i="14" s="1"/>
  <c r="H67" i="28"/>
  <c r="H91" i="28" s="1"/>
  <c r="H115" i="28"/>
  <c r="D50" i="14"/>
  <c r="D66" i="14" s="1"/>
  <c r="AI114" i="28"/>
  <c r="AI66" i="28"/>
  <c r="AI90" i="28" s="1"/>
  <c r="AE49" i="14"/>
  <c r="AE65" i="14" s="1"/>
  <c r="Z115" i="28"/>
  <c r="Z67" i="28"/>
  <c r="Z91" i="28" s="1"/>
  <c r="V50" i="14"/>
  <c r="V66" i="14" s="1"/>
  <c r="AB114" i="28"/>
  <c r="X49" i="14"/>
  <c r="X65" i="14" s="1"/>
  <c r="X81" i="14" s="1"/>
  <c r="AB66" i="28"/>
  <c r="AB90" i="28" s="1"/>
  <c r="AD49" i="14"/>
  <c r="AD65" i="14" s="1"/>
  <c r="AH66" i="28"/>
  <c r="AH90" i="28" s="1"/>
  <c r="AH114" i="28"/>
  <c r="D48" i="14"/>
  <c r="D64" i="14" s="1"/>
  <c r="H113" i="28"/>
  <c r="H65" i="28"/>
  <c r="H89" i="28" s="1"/>
  <c r="H100" i="28" s="1"/>
  <c r="H76" i="28" s="1"/>
  <c r="H132" i="28"/>
  <c r="H48" i="28"/>
  <c r="H18" i="28" s="1"/>
  <c r="W65" i="28"/>
  <c r="W89" i="28" s="1"/>
  <c r="W132" i="28"/>
  <c r="W48" i="28"/>
  <c r="W113" i="28"/>
  <c r="S48" i="14"/>
  <c r="S64" i="14" s="1"/>
  <c r="M67" i="28"/>
  <c r="M91" i="28" s="1"/>
  <c r="M115" i="28"/>
  <c r="I50" i="14"/>
  <c r="I66" i="14" s="1"/>
  <c r="W117" i="28"/>
  <c r="S52" i="14"/>
  <c r="S68" i="14" s="1"/>
  <c r="W69" i="28"/>
  <c r="W93" i="28" s="1"/>
  <c r="V52" i="14"/>
  <c r="V68" i="14" s="1"/>
  <c r="Z69" i="28"/>
  <c r="Z93" i="28" s="1"/>
  <c r="Z117" i="28"/>
  <c r="AB47" i="28"/>
  <c r="AB132" i="28" s="1"/>
  <c r="X48" i="14"/>
  <c r="X64" i="14" s="1"/>
  <c r="X80" i="14" s="1"/>
  <c r="AB65" i="28"/>
  <c r="AB89" i="28" s="1"/>
  <c r="AB113" i="28"/>
  <c r="K51" i="14"/>
  <c r="K67" i="14" s="1"/>
  <c r="O68" i="28"/>
  <c r="O92" i="28" s="1"/>
  <c r="O116" i="28"/>
  <c r="M113" i="28"/>
  <c r="M132" i="28"/>
  <c r="I48" i="14"/>
  <c r="I64" i="14" s="1"/>
  <c r="M65" i="28"/>
  <c r="M89" i="28" s="1"/>
  <c r="M48" i="28"/>
  <c r="Q116" i="28"/>
  <c r="M51" i="14"/>
  <c r="M67" i="14" s="1"/>
  <c r="Q68" i="28"/>
  <c r="Q92" i="28" s="1"/>
  <c r="AD50" i="14"/>
  <c r="AD66" i="14" s="1"/>
  <c r="AD82" i="14" s="1"/>
  <c r="AH67" i="28"/>
  <c r="AH91" i="28" s="1"/>
  <c r="AH115" i="28"/>
  <c r="Z116" i="28"/>
  <c r="V51" i="14"/>
  <c r="V67" i="14" s="1"/>
  <c r="V83" i="14" s="1"/>
  <c r="Z68" i="28"/>
  <c r="Z92" i="28" s="1"/>
  <c r="C49" i="14"/>
  <c r="G66" i="28"/>
  <c r="G90" i="28" s="1"/>
  <c r="G114" i="28"/>
  <c r="I114" i="28"/>
  <c r="E49" i="14"/>
  <c r="E65" i="14" s="1"/>
  <c r="I66" i="28"/>
  <c r="I90" i="28" s="1"/>
  <c r="P67" i="28"/>
  <c r="P91" i="28" s="1"/>
  <c r="P115" i="28"/>
  <c r="L50" i="14"/>
  <c r="L66" i="14" s="1"/>
  <c r="L82" i="14" s="1"/>
  <c r="L69" i="28"/>
  <c r="L93" i="28" s="1"/>
  <c r="L117" i="28"/>
  <c r="H52" i="14"/>
  <c r="H68" i="14" s="1"/>
  <c r="AB49" i="14"/>
  <c r="AB65" i="14" s="1"/>
  <c r="AF114" i="28"/>
  <c r="AF66" i="28"/>
  <c r="AF90" i="28" s="1"/>
  <c r="Y48" i="28"/>
  <c r="Y113" i="28"/>
  <c r="Y65" i="28"/>
  <c r="Y89" i="28" s="1"/>
  <c r="U48" i="14"/>
  <c r="U64" i="14" s="1"/>
  <c r="C48" i="14"/>
  <c r="G132" i="28"/>
  <c r="G48" i="28"/>
  <c r="G18" i="28" s="1"/>
  <c r="G52" i="28" s="1"/>
  <c r="G113" i="28"/>
  <c r="G65" i="28"/>
  <c r="G89" i="28" s="1"/>
  <c r="O114" i="28"/>
  <c r="O66" i="28"/>
  <c r="O90" i="28" s="1"/>
  <c r="K49" i="14"/>
  <c r="K65" i="14" s="1"/>
  <c r="V117" i="28"/>
  <c r="R52" i="14"/>
  <c r="R68" i="14" s="1"/>
  <c r="R84" i="14" s="1"/>
  <c r="V69" i="28"/>
  <c r="V93" i="28" s="1"/>
  <c r="T65" i="28"/>
  <c r="T89" i="28" s="1"/>
  <c r="T100" i="28" s="1"/>
  <c r="T76" i="28" s="1"/>
  <c r="T132" i="28"/>
  <c r="P48" i="14"/>
  <c r="P64" i="14" s="1"/>
  <c r="T48" i="28"/>
  <c r="T113" i="28"/>
  <c r="AC52" i="14"/>
  <c r="AC68" i="14" s="1"/>
  <c r="AC84" i="14" s="1"/>
  <c r="AG117" i="28"/>
  <c r="AG69" i="28"/>
  <c r="AG93" i="28" s="1"/>
  <c r="M117" i="28"/>
  <c r="M69" i="28"/>
  <c r="M93" i="28" s="1"/>
  <c r="I52" i="14"/>
  <c r="I68" i="14" s="1"/>
  <c r="AE65" i="28"/>
  <c r="AE89" i="28" s="1"/>
  <c r="AA48" i="14"/>
  <c r="AA64" i="14" s="1"/>
  <c r="AE113" i="28"/>
  <c r="AE47" i="28"/>
  <c r="AE132" i="28" s="1"/>
  <c r="AA50" i="14"/>
  <c r="AA66" i="14" s="1"/>
  <c r="AE115" i="28"/>
  <c r="AE67" i="28"/>
  <c r="AE91" i="28" s="1"/>
  <c r="AB48" i="14"/>
  <c r="AB64" i="14" s="1"/>
  <c r="AF113" i="28"/>
  <c r="AF65" i="28"/>
  <c r="AF89" i="28" s="1"/>
  <c r="AF47" i="28"/>
  <c r="AF48" i="28" s="1"/>
  <c r="C51" i="14"/>
  <c r="G116" i="28"/>
  <c r="G68" i="28"/>
  <c r="G92" i="28" s="1"/>
  <c r="U49" i="14"/>
  <c r="U65" i="14" s="1"/>
  <c r="U81" i="14" s="1"/>
  <c r="Y66" i="28"/>
  <c r="Y90" i="28" s="1"/>
  <c r="Y114" i="28"/>
  <c r="AD47" i="28"/>
  <c r="AD132" i="28" s="1"/>
  <c r="Z48" i="14"/>
  <c r="Z64" i="14" s="1"/>
  <c r="AD113" i="28"/>
  <c r="AD65" i="28"/>
  <c r="AD89" i="28" s="1"/>
  <c r="G67" i="28"/>
  <c r="G91" i="28" s="1"/>
  <c r="C50" i="14"/>
  <c r="G115" i="28"/>
  <c r="R132" i="28"/>
  <c r="R65" i="28"/>
  <c r="R89" i="28" s="1"/>
  <c r="R100" i="28" s="1"/>
  <c r="R76" i="28" s="1"/>
  <c r="R113" i="28"/>
  <c r="R48" i="28"/>
  <c r="N48" i="14"/>
  <c r="N64" i="14" s="1"/>
  <c r="L65" i="28"/>
  <c r="L89" i="28" s="1"/>
  <c r="L100" i="28" s="1"/>
  <c r="L76" i="28" s="1"/>
  <c r="H48" i="14"/>
  <c r="H64" i="14" s="1"/>
  <c r="H80" i="14" s="1"/>
  <c r="L113" i="28"/>
  <c r="L132" i="28"/>
  <c r="L48" i="28"/>
  <c r="X52" i="14"/>
  <c r="X68" i="14" s="1"/>
  <c r="X84" i="14" s="1"/>
  <c r="AB117" i="28"/>
  <c r="AB69" i="28"/>
  <c r="AB93" i="28" s="1"/>
  <c r="Y51" i="14"/>
  <c r="Y67" i="14" s="1"/>
  <c r="Y83" i="14" s="1"/>
  <c r="AC116" i="28"/>
  <c r="AC68" i="28"/>
  <c r="AC92" i="28" s="1"/>
  <c r="AC51" i="14"/>
  <c r="AC67" i="14" s="1"/>
  <c r="AC83" i="14" s="1"/>
  <c r="AG68" i="28"/>
  <c r="AG92" i="28" s="1"/>
  <c r="AG116" i="28"/>
  <c r="AC48" i="14"/>
  <c r="AC64" i="14" s="1"/>
  <c r="AG113" i="28"/>
  <c r="AG47" i="28"/>
  <c r="AG48" i="28" s="1"/>
  <c r="AG65" i="28"/>
  <c r="AG89" i="28" s="1"/>
  <c r="D16" i="53"/>
  <c r="E16" i="53"/>
  <c r="D15" i="53"/>
  <c r="AC80" i="14" l="1"/>
  <c r="I82" i="14"/>
  <c r="H83" i="14"/>
  <c r="Z80" i="14"/>
  <c r="H84" i="14"/>
  <c r="S80" i="14"/>
  <c r="T82" i="14"/>
  <c r="X124" i="28"/>
  <c r="H52" i="28"/>
  <c r="AD81" i="14"/>
  <c r="R124" i="28"/>
  <c r="T124" i="28"/>
  <c r="T80" i="14"/>
  <c r="M80" i="14"/>
  <c r="L124" i="28"/>
  <c r="P80" i="14"/>
  <c r="P91" i="14" s="1"/>
  <c r="M83" i="14"/>
  <c r="V84" i="14"/>
  <c r="AB48" i="28"/>
  <c r="X97" i="14" s="1"/>
  <c r="X98" i="14" s="1"/>
  <c r="AE6" i="5" s="1"/>
  <c r="AC48" i="28"/>
  <c r="Y97" i="14" s="1"/>
  <c r="Y98" i="14" s="1"/>
  <c r="AF6" i="5" s="1"/>
  <c r="AD83" i="14"/>
  <c r="F82" i="14"/>
  <c r="J84" i="14"/>
  <c r="P124" i="28"/>
  <c r="Z83" i="14"/>
  <c r="AE48" i="28"/>
  <c r="AE18" i="28" s="1"/>
  <c r="AA84" i="14"/>
  <c r="AA81" i="14"/>
  <c r="W100" i="28"/>
  <c r="W76" i="28" s="1"/>
  <c r="Z444" i="5" s="1"/>
  <c r="E84" i="14"/>
  <c r="U84" i="14"/>
  <c r="Z48" i="28"/>
  <c r="Z52" i="28" s="1"/>
  <c r="AB80" i="14"/>
  <c r="Y18" i="28"/>
  <c r="Y52" i="28"/>
  <c r="U97" i="14"/>
  <c r="U98" i="14" s="1"/>
  <c r="AB6" i="5" s="1"/>
  <c r="AI18" i="28"/>
  <c r="AI52" i="28"/>
  <c r="AE97" i="14"/>
  <c r="AE98" i="14" s="1"/>
  <c r="G124" i="28"/>
  <c r="S18" i="28"/>
  <c r="S52" i="28"/>
  <c r="O97" i="14"/>
  <c r="O98" i="14" s="1"/>
  <c r="V6" i="5" s="1"/>
  <c r="AB58" i="14"/>
  <c r="AB74" i="14" s="1"/>
  <c r="AF123" i="28"/>
  <c r="AF124" i="28" s="1"/>
  <c r="AF75" i="28"/>
  <c r="AF99" i="28" s="1"/>
  <c r="AF100" i="28" s="1"/>
  <c r="AF76" i="28" s="1"/>
  <c r="Y132" i="28"/>
  <c r="K83" i="14"/>
  <c r="H124" i="28"/>
  <c r="V82" i="14"/>
  <c r="X100" i="28"/>
  <c r="X76" i="28" s="1"/>
  <c r="M97" i="14"/>
  <c r="M98" i="14" s="1"/>
  <c r="T6" i="5" s="1"/>
  <c r="Q52" i="28"/>
  <c r="Q18" i="28"/>
  <c r="M82" i="14"/>
  <c r="O84" i="14"/>
  <c r="AC82" i="14"/>
  <c r="Y84" i="14"/>
  <c r="W82" i="14"/>
  <c r="I83" i="14"/>
  <c r="AE82" i="14"/>
  <c r="AF66" i="14"/>
  <c r="AF82" i="14" s="1"/>
  <c r="J58" i="14"/>
  <c r="J74" i="14" s="1"/>
  <c r="N123" i="28"/>
  <c r="N124" i="28" s="1"/>
  <c r="N99" i="28"/>
  <c r="N100" i="28" s="1"/>
  <c r="N76" i="28" s="1"/>
  <c r="Q82" i="14"/>
  <c r="L81" i="14"/>
  <c r="AH123" i="28"/>
  <c r="AH124" i="28" s="1"/>
  <c r="AH75" i="28"/>
  <c r="AH99" i="28" s="1"/>
  <c r="AH100" i="28" s="1"/>
  <c r="AH76" i="28" s="1"/>
  <c r="AD58" i="14"/>
  <c r="AD74" i="14" s="1"/>
  <c r="T83" i="14"/>
  <c r="AC58" i="14"/>
  <c r="AC74" i="14" s="1"/>
  <c r="AG123" i="28"/>
  <c r="AG124" i="28" s="1"/>
  <c r="AG75" i="28"/>
  <c r="AG99" i="28" s="1"/>
  <c r="AG100" i="28" s="1"/>
  <c r="AG76" i="28" s="1"/>
  <c r="O441" i="5"/>
  <c r="O436" i="5"/>
  <c r="O444" i="5"/>
  <c r="O437" i="5"/>
  <c r="O443" i="5"/>
  <c r="O440" i="5"/>
  <c r="O434" i="5"/>
  <c r="O439" i="5"/>
  <c r="O438" i="5"/>
  <c r="O435" i="5"/>
  <c r="O442" i="5"/>
  <c r="AA58" i="14"/>
  <c r="AA74" i="14" s="1"/>
  <c r="AE123" i="28"/>
  <c r="AE124" i="28" s="1"/>
  <c r="AE75" i="28"/>
  <c r="AE99" i="28" s="1"/>
  <c r="AE100" i="28" s="1"/>
  <c r="AE76" i="28" s="1"/>
  <c r="I97" i="14"/>
  <c r="I98" i="14" s="1"/>
  <c r="P6" i="5" s="1"/>
  <c r="M18" i="28"/>
  <c r="M52" i="28"/>
  <c r="W124" i="28"/>
  <c r="AD84" i="14"/>
  <c r="AE83" i="14"/>
  <c r="AF67" i="14"/>
  <c r="AF83" i="14" s="1"/>
  <c r="K84" i="14"/>
  <c r="AB82" i="14"/>
  <c r="AB84" i="14"/>
  <c r="J124" i="28"/>
  <c r="Y81" i="14"/>
  <c r="K100" i="28"/>
  <c r="K76" i="28" s="1"/>
  <c r="O80" i="14"/>
  <c r="AA83" i="14"/>
  <c r="AC81" i="14"/>
  <c r="J80" i="14"/>
  <c r="N80" i="14"/>
  <c r="AD48" i="28"/>
  <c r="M100" i="28"/>
  <c r="M76" i="28" s="1"/>
  <c r="AB18" i="28"/>
  <c r="S97" i="14"/>
  <c r="S98" i="14" s="1"/>
  <c r="Z6" i="5" s="1"/>
  <c r="W18" i="28"/>
  <c r="W52" i="28"/>
  <c r="Q80" i="14"/>
  <c r="R80" i="14"/>
  <c r="R91" i="14" s="1"/>
  <c r="F81" i="14"/>
  <c r="F84" i="14"/>
  <c r="Q124" i="28"/>
  <c r="O82" i="14"/>
  <c r="AI132" i="28"/>
  <c r="P84" i="14"/>
  <c r="J100" i="28"/>
  <c r="J76" i="28" s="1"/>
  <c r="S81" i="14"/>
  <c r="Y82" i="14"/>
  <c r="K124" i="28"/>
  <c r="S100" i="28"/>
  <c r="S76" i="28" s="1"/>
  <c r="N81" i="14"/>
  <c r="I100" i="28"/>
  <c r="I76" i="28" s="1"/>
  <c r="Q83" i="14"/>
  <c r="AC123" i="28"/>
  <c r="AC124" i="28" s="1"/>
  <c r="AC75" i="28"/>
  <c r="AC99" i="28" s="1"/>
  <c r="AC100" i="28" s="1"/>
  <c r="Y58" i="14"/>
  <c r="Y74" i="14" s="1"/>
  <c r="AD80" i="14"/>
  <c r="P81" i="14"/>
  <c r="K80" i="14"/>
  <c r="W441" i="5"/>
  <c r="W443" i="5"/>
  <c r="W444" i="5"/>
  <c r="W436" i="5"/>
  <c r="W437" i="5"/>
  <c r="W439" i="5"/>
  <c r="W434" i="5"/>
  <c r="W442" i="5"/>
  <c r="W440" i="5"/>
  <c r="W435" i="5"/>
  <c r="W438" i="5"/>
  <c r="AA75" i="28"/>
  <c r="AA99" i="28" s="1"/>
  <c r="AA100" i="28" s="1"/>
  <c r="W58" i="14"/>
  <c r="W74" i="14" s="1"/>
  <c r="AA123" i="28"/>
  <c r="AA124" i="28" s="1"/>
  <c r="N97" i="14"/>
  <c r="N98" i="14" s="1"/>
  <c r="U6" i="5" s="1"/>
  <c r="R52" i="28"/>
  <c r="R18" i="28"/>
  <c r="AA80" i="14"/>
  <c r="K81" i="14"/>
  <c r="AB81" i="14"/>
  <c r="E81" i="14"/>
  <c r="I80" i="14"/>
  <c r="S84" i="14"/>
  <c r="AF65" i="14"/>
  <c r="AF81" i="14" s="1"/>
  <c r="AE81" i="14"/>
  <c r="X52" i="28"/>
  <c r="T97" i="14"/>
  <c r="T98" i="14" s="1"/>
  <c r="AA6" i="5" s="1"/>
  <c r="X18" i="28"/>
  <c r="V124" i="28"/>
  <c r="Q100" i="28"/>
  <c r="Q76" i="28" s="1"/>
  <c r="G82" i="14"/>
  <c r="L84" i="14"/>
  <c r="AA48" i="28"/>
  <c r="T81" i="14"/>
  <c r="S124" i="28"/>
  <c r="AB83" i="14"/>
  <c r="N83" i="14"/>
  <c r="E80" i="14"/>
  <c r="S83" i="14"/>
  <c r="S82" i="14"/>
  <c r="O100" i="28"/>
  <c r="O76" i="28" s="1"/>
  <c r="K443" i="5"/>
  <c r="K440" i="5"/>
  <c r="K439" i="5"/>
  <c r="K444" i="5"/>
  <c r="K435" i="5"/>
  <c r="K436" i="5"/>
  <c r="K442" i="5"/>
  <c r="K441" i="5"/>
  <c r="K434" i="5"/>
  <c r="K437" i="5"/>
  <c r="K438" i="5"/>
  <c r="P97" i="14"/>
  <c r="P98" i="14" s="1"/>
  <c r="W6" i="5" s="1"/>
  <c r="T18" i="28"/>
  <c r="T52" i="28"/>
  <c r="U80" i="14"/>
  <c r="U126" i="28"/>
  <c r="R27" i="53"/>
  <c r="V100" i="28"/>
  <c r="V76" i="28" s="1"/>
  <c r="J82" i="14"/>
  <c r="AE58" i="14"/>
  <c r="AE74" i="14" s="1"/>
  <c r="AI123" i="28"/>
  <c r="AI124" i="28" s="1"/>
  <c r="AI75" i="28"/>
  <c r="AI99" i="28" s="1"/>
  <c r="AI100" i="28" s="1"/>
  <c r="AI76" i="28" s="1"/>
  <c r="J52" i="28"/>
  <c r="F97" i="14"/>
  <c r="F98" i="14" s="1"/>
  <c r="M6" i="5" s="1"/>
  <c r="J18" i="28"/>
  <c r="W83" i="14"/>
  <c r="G80" i="14"/>
  <c r="Z81" i="14"/>
  <c r="X83" i="14"/>
  <c r="I18" i="28"/>
  <c r="E97" i="14"/>
  <c r="E98" i="14" s="1"/>
  <c r="L6" i="5" s="1"/>
  <c r="L97" i="14"/>
  <c r="L98" i="14" s="1"/>
  <c r="S6" i="5" s="1"/>
  <c r="P18" i="28"/>
  <c r="P52" i="28"/>
  <c r="G81" i="14"/>
  <c r="O83" i="14"/>
  <c r="K97" i="14"/>
  <c r="K98" i="14" s="1"/>
  <c r="R6" i="5" s="1"/>
  <c r="O52" i="28"/>
  <c r="O18" i="28"/>
  <c r="AF18" i="28"/>
  <c r="AB97" i="14"/>
  <c r="AB98" i="14" s="1"/>
  <c r="AF52" i="28"/>
  <c r="U58" i="14"/>
  <c r="U74" i="14" s="1"/>
  <c r="U90" i="14" s="1"/>
  <c r="Y123" i="28"/>
  <c r="Y124" i="28" s="1"/>
  <c r="Y99" i="28"/>
  <c r="Y100" i="28" s="1"/>
  <c r="H97" i="14"/>
  <c r="H98" i="14" s="1"/>
  <c r="O6" i="5" s="1"/>
  <c r="L18" i="28"/>
  <c r="L52" i="28"/>
  <c r="U435" i="5"/>
  <c r="U439" i="5"/>
  <c r="U440" i="5"/>
  <c r="U442" i="5"/>
  <c r="U437" i="5"/>
  <c r="U434" i="5"/>
  <c r="U436" i="5"/>
  <c r="U438" i="5"/>
  <c r="U444" i="5"/>
  <c r="U443" i="5"/>
  <c r="U441" i="5"/>
  <c r="I84" i="14"/>
  <c r="M124" i="28"/>
  <c r="L83" i="14"/>
  <c r="Q97" i="14"/>
  <c r="Q98" i="14" s="1"/>
  <c r="X6" i="5" s="1"/>
  <c r="U18" i="28"/>
  <c r="U52" i="28"/>
  <c r="R97" i="14"/>
  <c r="R98" i="14" s="1"/>
  <c r="Y6" i="5" s="1"/>
  <c r="V52" i="28"/>
  <c r="V18" i="28"/>
  <c r="E82" i="14"/>
  <c r="V81" i="14"/>
  <c r="H82" i="14"/>
  <c r="H91" i="14" s="1"/>
  <c r="K52" i="28"/>
  <c r="K18" i="28"/>
  <c r="G97" i="14"/>
  <c r="G98" i="14" s="1"/>
  <c r="N6" i="5" s="1"/>
  <c r="Q84" i="14"/>
  <c r="T84" i="14"/>
  <c r="W84" i="14"/>
  <c r="N48" i="28"/>
  <c r="V58" i="14"/>
  <c r="V74" i="14" s="1"/>
  <c r="Z123" i="28"/>
  <c r="Z124" i="28" s="1"/>
  <c r="Z75" i="28"/>
  <c r="Z99" i="28" s="1"/>
  <c r="Z100" i="28" s="1"/>
  <c r="AE84" i="14"/>
  <c r="AF68" i="14"/>
  <c r="AF84" i="14" s="1"/>
  <c r="Y80" i="14"/>
  <c r="G84" i="14"/>
  <c r="AH132" i="28"/>
  <c r="AC97" i="14"/>
  <c r="AC98" i="14" s="1"/>
  <c r="AG18" i="28"/>
  <c r="AG52" i="28"/>
  <c r="AD75" i="28"/>
  <c r="AD99" i="28" s="1"/>
  <c r="AD100" i="28" s="1"/>
  <c r="E29" i="46"/>
  <c r="Z58" i="14"/>
  <c r="Z74" i="14" s="1"/>
  <c r="AD123" i="28"/>
  <c r="AD124" i="28" s="1"/>
  <c r="AG132" i="28"/>
  <c r="AF132" i="28"/>
  <c r="AA82" i="14"/>
  <c r="G100" i="28"/>
  <c r="G76" i="28" s="1"/>
  <c r="AB75" i="28"/>
  <c r="AB99" i="28" s="1"/>
  <c r="AB100" i="28" s="1"/>
  <c r="X58" i="14"/>
  <c r="X74" i="14" s="1"/>
  <c r="AB123" i="28"/>
  <c r="AB124" i="28" s="1"/>
  <c r="U100" i="28"/>
  <c r="U76" i="28" s="1"/>
  <c r="AE80" i="14"/>
  <c r="AF64" i="14"/>
  <c r="AF80" i="14" s="1"/>
  <c r="M84" i="14"/>
  <c r="W81" i="14"/>
  <c r="K82" i="14"/>
  <c r="I124" i="28"/>
  <c r="N132" i="28"/>
  <c r="V80" i="14"/>
  <c r="P100" i="28"/>
  <c r="P76" i="28" s="1"/>
  <c r="F83" i="14"/>
  <c r="AH48" i="28"/>
  <c r="I81" i="14"/>
  <c r="O124" i="28"/>
  <c r="G15" i="53"/>
  <c r="D27" i="53" l="1"/>
  <c r="I27" i="53"/>
  <c r="K27" i="53"/>
  <c r="X126" i="28"/>
  <c r="N27" i="53"/>
  <c r="H27" i="53"/>
  <c r="G27" i="53"/>
  <c r="AC27" i="53" s="1"/>
  <c r="AC28" i="53" s="1"/>
  <c r="O27" i="53"/>
  <c r="F27" i="53"/>
  <c r="M27" i="53"/>
  <c r="J27" i="53"/>
  <c r="L27" i="53"/>
  <c r="AD27" i="53" s="1"/>
  <c r="AD28" i="53" s="1"/>
  <c r="P27" i="53"/>
  <c r="E27" i="53"/>
  <c r="Z443" i="5"/>
  <c r="Z436" i="5"/>
  <c r="Q27" i="53"/>
  <c r="T126" i="28"/>
  <c r="U27" i="53"/>
  <c r="Z442" i="5"/>
  <c r="Z437" i="5"/>
  <c r="Z438" i="5"/>
  <c r="I52" i="28"/>
  <c r="M91" i="14"/>
  <c r="M94" i="14" s="1"/>
  <c r="J36" i="14" s="1"/>
  <c r="F91" i="14"/>
  <c r="Z18" i="28"/>
  <c r="X90" i="14"/>
  <c r="X91" i="14" s="1"/>
  <c r="X95" i="14" s="1"/>
  <c r="U37" i="14" s="1"/>
  <c r="AC90" i="14"/>
  <c r="AC91" i="14" s="1"/>
  <c r="AC95" i="14" s="1"/>
  <c r="V97" i="14"/>
  <c r="V98" i="14" s="1"/>
  <c r="AC6" i="5" s="1"/>
  <c r="AC102" i="5" s="1"/>
  <c r="Z439" i="5"/>
  <c r="AB52" i="28"/>
  <c r="Z435" i="5"/>
  <c r="Z440" i="5"/>
  <c r="Z434" i="5"/>
  <c r="Z441" i="5"/>
  <c r="Z90" i="14"/>
  <c r="Z91" i="14" s="1"/>
  <c r="Z95" i="14" s="1"/>
  <c r="W37" i="14" s="1"/>
  <c r="AA97" i="14"/>
  <c r="AA98" i="14" s="1"/>
  <c r="AE52" i="28"/>
  <c r="AC52" i="28"/>
  <c r="AC18" i="28"/>
  <c r="U91" i="14"/>
  <c r="U94" i="14" s="1"/>
  <c r="R36" i="14" s="1"/>
  <c r="T91" i="14"/>
  <c r="T94" i="14" s="1"/>
  <c r="Q36" i="14" s="1"/>
  <c r="S91" i="14"/>
  <c r="S95" i="14" s="1"/>
  <c r="P37" i="14" s="1"/>
  <c r="L91" i="14"/>
  <c r="L95" i="14" s="1"/>
  <c r="I37" i="14" s="1"/>
  <c r="M95" i="14"/>
  <c r="J37" i="14" s="1"/>
  <c r="H95" i="14"/>
  <c r="E37" i="14" s="1"/>
  <c r="H94" i="14"/>
  <c r="E36" i="14" s="1"/>
  <c r="F95" i="14"/>
  <c r="C37" i="14" s="1"/>
  <c r="M41" i="5" s="1"/>
  <c r="F94" i="14"/>
  <c r="C36" i="14" s="1"/>
  <c r="M40" i="5" s="1"/>
  <c r="Q437" i="5"/>
  <c r="Q435" i="5"/>
  <c r="Q444" i="5"/>
  <c r="Q441" i="5"/>
  <c r="Q443" i="5"/>
  <c r="Q439" i="5"/>
  <c r="Q440" i="5"/>
  <c r="Q438" i="5"/>
  <c r="Q434" i="5"/>
  <c r="Q436" i="5"/>
  <c r="Q442" i="5"/>
  <c r="AB126" i="28"/>
  <c r="AB127" i="28"/>
  <c r="AB129" i="28" s="1"/>
  <c r="AB76" i="28" s="1"/>
  <c r="Y27" i="53"/>
  <c r="O100" i="5"/>
  <c r="O99" i="5"/>
  <c r="O103" i="5"/>
  <c r="O106" i="5"/>
  <c r="O107" i="5"/>
  <c r="O98" i="5"/>
  <c r="O101" i="5"/>
  <c r="O102" i="5"/>
  <c r="O104" i="5"/>
  <c r="O105" i="5"/>
  <c r="O97" i="5"/>
  <c r="L104" i="5"/>
  <c r="L259" i="5" s="1"/>
  <c r="L103" i="5"/>
  <c r="L258" i="5" s="1"/>
  <c r="L23" i="5"/>
  <c r="I142" i="28" s="1"/>
  <c r="L107" i="5"/>
  <c r="L262" i="5" s="1"/>
  <c r="L99" i="5"/>
  <c r="L254" i="5" s="1"/>
  <c r="L102" i="5"/>
  <c r="L257" i="5" s="1"/>
  <c r="L101" i="5"/>
  <c r="L256" i="5" s="1"/>
  <c r="L106" i="5"/>
  <c r="L261" i="5" s="1"/>
  <c r="L105" i="5"/>
  <c r="L260" i="5" s="1"/>
  <c r="L100" i="5"/>
  <c r="L255" i="5" s="1"/>
  <c r="L98" i="5"/>
  <c r="L253" i="5" s="1"/>
  <c r="L97" i="5"/>
  <c r="W102" i="5"/>
  <c r="W104" i="5"/>
  <c r="W103" i="5"/>
  <c r="W105" i="5"/>
  <c r="W101" i="5"/>
  <c r="W97" i="5"/>
  <c r="W100" i="5"/>
  <c r="W106" i="5"/>
  <c r="W99" i="5"/>
  <c r="W107" i="5"/>
  <c r="W98" i="5"/>
  <c r="AA126" i="28"/>
  <c r="AA127" i="28"/>
  <c r="AA129" i="28" s="1"/>
  <c r="AA76" i="28" s="1"/>
  <c r="X27" i="53"/>
  <c r="Z100" i="5"/>
  <c r="Z97" i="5"/>
  <c r="Z103" i="5"/>
  <c r="Z102" i="5"/>
  <c r="Z99" i="5"/>
  <c r="Z106" i="5"/>
  <c r="Z105" i="5"/>
  <c r="Z98" i="5"/>
  <c r="Z101" i="5"/>
  <c r="Z104" i="5"/>
  <c r="Z107" i="5"/>
  <c r="AF100" i="5"/>
  <c r="AF101" i="5"/>
  <c r="AF103" i="5"/>
  <c r="AF106" i="5"/>
  <c r="AF98" i="5"/>
  <c r="AF107" i="5"/>
  <c r="AF102" i="5"/>
  <c r="AF104" i="5"/>
  <c r="AF97" i="5"/>
  <c r="AF105" i="5"/>
  <c r="AF99" i="5"/>
  <c r="L438" i="5"/>
  <c r="L444" i="5"/>
  <c r="L443" i="5"/>
  <c r="L434" i="5"/>
  <c r="L441" i="5"/>
  <c r="L440" i="5"/>
  <c r="L442" i="5"/>
  <c r="L436" i="5"/>
  <c r="L439" i="5"/>
  <c r="L435" i="5"/>
  <c r="L437" i="5"/>
  <c r="F29" i="46"/>
  <c r="D29" i="46"/>
  <c r="K17" i="46" s="1"/>
  <c r="J29" i="46"/>
  <c r="L17" i="46" s="1"/>
  <c r="P95" i="14"/>
  <c r="M37" i="14" s="1"/>
  <c r="P94" i="14"/>
  <c r="M36" i="14" s="1"/>
  <c r="AA52" i="28"/>
  <c r="AA18" i="28"/>
  <c r="W97" i="14"/>
  <c r="W98" i="14" s="1"/>
  <c r="AD6" i="5" s="1"/>
  <c r="W90" i="14"/>
  <c r="W91" i="14" s="1"/>
  <c r="V441" i="5"/>
  <c r="V437" i="5"/>
  <c r="V438" i="5"/>
  <c r="V443" i="5"/>
  <c r="V442" i="5"/>
  <c r="V439" i="5"/>
  <c r="V434" i="5"/>
  <c r="V436" i="5"/>
  <c r="V444" i="5"/>
  <c r="V440" i="5"/>
  <c r="V435" i="5"/>
  <c r="AA90" i="14"/>
  <c r="AA91" i="14" s="1"/>
  <c r="T107" i="5"/>
  <c r="T99" i="5"/>
  <c r="T102" i="5"/>
  <c r="T97" i="5"/>
  <c r="T104" i="5"/>
  <c r="T105" i="5"/>
  <c r="T106" i="5"/>
  <c r="T98" i="5"/>
  <c r="T103" i="5"/>
  <c r="T101" i="5"/>
  <c r="T100" i="5"/>
  <c r="AD126" i="28"/>
  <c r="AD127" i="28"/>
  <c r="AD129" i="28" s="1"/>
  <c r="AD76" i="28" s="1"/>
  <c r="AA27" i="53"/>
  <c r="AG27" i="53" s="1"/>
  <c r="AG28" i="53" s="1"/>
  <c r="S104" i="5"/>
  <c r="S105" i="5"/>
  <c r="S107" i="5"/>
  <c r="S101" i="5"/>
  <c r="S99" i="5"/>
  <c r="S102" i="5"/>
  <c r="S103" i="5"/>
  <c r="S106" i="5"/>
  <c r="S97" i="5"/>
  <c r="S98" i="5"/>
  <c r="S100" i="5"/>
  <c r="R107" i="5"/>
  <c r="R102" i="5"/>
  <c r="R99" i="5"/>
  <c r="R104" i="5"/>
  <c r="R100" i="5"/>
  <c r="R105" i="5"/>
  <c r="R103" i="5"/>
  <c r="R97" i="5"/>
  <c r="R106" i="5"/>
  <c r="R98" i="5"/>
  <c r="R101" i="5"/>
  <c r="W126" i="28"/>
  <c r="T27" i="53"/>
  <c r="AA438" i="5"/>
  <c r="AA434" i="5"/>
  <c r="AA439" i="5"/>
  <c r="AA441" i="5"/>
  <c r="AA442" i="5"/>
  <c r="AA444" i="5"/>
  <c r="AA435" i="5"/>
  <c r="AA436" i="5"/>
  <c r="AA443" i="5"/>
  <c r="AA437" i="5"/>
  <c r="AA440" i="5"/>
  <c r="X439" i="5"/>
  <c r="X434" i="5"/>
  <c r="X444" i="5"/>
  <c r="X442" i="5"/>
  <c r="X443" i="5"/>
  <c r="X440" i="5"/>
  <c r="X435" i="5"/>
  <c r="X438" i="5"/>
  <c r="X441" i="5"/>
  <c r="X437" i="5"/>
  <c r="X436" i="5"/>
  <c r="AA99" i="5"/>
  <c r="AA105" i="5"/>
  <c r="AA102" i="5"/>
  <c r="AA103" i="5"/>
  <c r="AA97" i="5"/>
  <c r="AA106" i="5"/>
  <c r="AA100" i="5"/>
  <c r="AA98" i="5"/>
  <c r="AA101" i="5"/>
  <c r="AA104" i="5"/>
  <c r="AA107" i="5"/>
  <c r="J437" i="5"/>
  <c r="J439" i="5"/>
  <c r="J442" i="5"/>
  <c r="J435" i="5"/>
  <c r="J444" i="5"/>
  <c r="J443" i="5"/>
  <c r="J438" i="5"/>
  <c r="J436" i="5"/>
  <c r="J434" i="5"/>
  <c r="J441" i="5"/>
  <c r="J440" i="5"/>
  <c r="N102" i="5"/>
  <c r="N105" i="5"/>
  <c r="N103" i="5"/>
  <c r="N97" i="5"/>
  <c r="N99" i="5"/>
  <c r="N100" i="5"/>
  <c r="N104" i="5"/>
  <c r="N98" i="5"/>
  <c r="N106" i="5"/>
  <c r="N107" i="5"/>
  <c r="N101" i="5"/>
  <c r="Y101" i="5"/>
  <c r="Y104" i="5"/>
  <c r="Y105" i="5"/>
  <c r="Y99" i="5"/>
  <c r="Y107" i="5"/>
  <c r="Y97" i="5"/>
  <c r="Y102" i="5"/>
  <c r="Y100" i="5"/>
  <c r="Y103" i="5"/>
  <c r="Y106" i="5"/>
  <c r="Y98" i="5"/>
  <c r="Y126" i="28"/>
  <c r="V27" i="53"/>
  <c r="AF27" i="53" s="1"/>
  <c r="AF28" i="53" s="1"/>
  <c r="Y127" i="28"/>
  <c r="Y129" i="28" s="1"/>
  <c r="Y76" i="28" s="1"/>
  <c r="E91" i="14"/>
  <c r="Y90" i="14"/>
  <c r="Y91" i="14" s="1"/>
  <c r="AE97" i="5"/>
  <c r="AE100" i="5"/>
  <c r="AE106" i="5"/>
  <c r="AE107" i="5"/>
  <c r="AE98" i="5"/>
  <c r="AE99" i="5"/>
  <c r="AE104" i="5"/>
  <c r="AE102" i="5"/>
  <c r="AE101" i="5"/>
  <c r="AE105" i="5"/>
  <c r="AE103" i="5"/>
  <c r="AD90" i="14"/>
  <c r="AD91" i="14" s="1"/>
  <c r="AB90" i="14"/>
  <c r="AB91" i="14" s="1"/>
  <c r="AD97" i="14"/>
  <c r="AD98" i="14" s="1"/>
  <c r="AH52" i="28"/>
  <c r="AH18" i="28"/>
  <c r="G91" i="14"/>
  <c r="AF74" i="14"/>
  <c r="AF90" i="14" s="1"/>
  <c r="AF91" i="14" s="1"/>
  <c r="AE90" i="14"/>
  <c r="AE91" i="14" s="1"/>
  <c r="T441" i="5"/>
  <c r="T435" i="5"/>
  <c r="T438" i="5"/>
  <c r="T436" i="5"/>
  <c r="T439" i="5"/>
  <c r="T444" i="5"/>
  <c r="T434" i="5"/>
  <c r="T442" i="5"/>
  <c r="T440" i="5"/>
  <c r="T437" i="5"/>
  <c r="T443" i="5"/>
  <c r="I91" i="14"/>
  <c r="R95" i="14"/>
  <c r="O37" i="14" s="1"/>
  <c r="R94" i="14"/>
  <c r="O36" i="14" s="1"/>
  <c r="P442" i="5"/>
  <c r="P435" i="5"/>
  <c r="P443" i="5"/>
  <c r="P434" i="5"/>
  <c r="P436" i="5"/>
  <c r="P438" i="5"/>
  <c r="P440" i="5"/>
  <c r="P439" i="5"/>
  <c r="P437" i="5"/>
  <c r="P444" i="5"/>
  <c r="P441" i="5"/>
  <c r="AB106" i="5"/>
  <c r="AB97" i="5"/>
  <c r="AB101" i="5"/>
  <c r="AB103" i="5"/>
  <c r="AB104" i="5"/>
  <c r="AB105" i="5"/>
  <c r="AB100" i="5"/>
  <c r="AB107" i="5"/>
  <c r="AB102" i="5"/>
  <c r="AB98" i="5"/>
  <c r="AB99" i="5"/>
  <c r="M104" i="5"/>
  <c r="M259" i="5" s="1"/>
  <c r="M103" i="5"/>
  <c r="M258" i="5" s="1"/>
  <c r="M23" i="5"/>
  <c r="J142" i="28" s="1"/>
  <c r="M98" i="5"/>
  <c r="M253" i="5" s="1"/>
  <c r="M107" i="5"/>
  <c r="M262" i="5" s="1"/>
  <c r="M106" i="5"/>
  <c r="M261" i="5" s="1"/>
  <c r="M99" i="5"/>
  <c r="M254" i="5" s="1"/>
  <c r="M100" i="5"/>
  <c r="M255" i="5" s="1"/>
  <c r="M102" i="5"/>
  <c r="M257" i="5" s="1"/>
  <c r="M101" i="5"/>
  <c r="M256" i="5" s="1"/>
  <c r="M105" i="5"/>
  <c r="M260" i="5" s="1"/>
  <c r="M97" i="5"/>
  <c r="R441" i="5"/>
  <c r="R434" i="5"/>
  <c r="R440" i="5"/>
  <c r="R436" i="5"/>
  <c r="R442" i="5"/>
  <c r="R443" i="5"/>
  <c r="R444" i="5"/>
  <c r="R437" i="5"/>
  <c r="R438" i="5"/>
  <c r="R435" i="5"/>
  <c r="R439" i="5"/>
  <c r="V126" i="28"/>
  <c r="S27" i="53"/>
  <c r="AC126" i="28"/>
  <c r="AC127" i="28"/>
  <c r="AC129" i="28" s="1"/>
  <c r="AC76" i="28" s="1"/>
  <c r="Z27" i="53"/>
  <c r="M435" i="5"/>
  <c r="F435" i="5" s="1"/>
  <c r="G435" i="5" s="1"/>
  <c r="H435" i="5" s="1"/>
  <c r="I435" i="5" s="1"/>
  <c r="M441" i="5"/>
  <c r="F441" i="5" s="1"/>
  <c r="G441" i="5" s="1"/>
  <c r="H441" i="5" s="1"/>
  <c r="I441" i="5" s="1"/>
  <c r="M438" i="5"/>
  <c r="F438" i="5" s="1"/>
  <c r="G438" i="5" s="1"/>
  <c r="H438" i="5" s="1"/>
  <c r="I438" i="5" s="1"/>
  <c r="M443" i="5"/>
  <c r="F443" i="5" s="1"/>
  <c r="G443" i="5" s="1"/>
  <c r="H443" i="5" s="1"/>
  <c r="I443" i="5" s="1"/>
  <c r="M434" i="5"/>
  <c r="F434" i="5" s="1"/>
  <c r="G434" i="5" s="1"/>
  <c r="H434" i="5" s="1"/>
  <c r="I434" i="5" s="1"/>
  <c r="M437" i="5"/>
  <c r="F437" i="5" s="1"/>
  <c r="G437" i="5" s="1"/>
  <c r="H437" i="5" s="1"/>
  <c r="I437" i="5" s="1"/>
  <c r="M444" i="5"/>
  <c r="F444" i="5" s="1"/>
  <c r="G444" i="5" s="1"/>
  <c r="H444" i="5" s="1"/>
  <c r="I444" i="5" s="1"/>
  <c r="M442" i="5"/>
  <c r="F442" i="5" s="1"/>
  <c r="G442" i="5" s="1"/>
  <c r="H442" i="5" s="1"/>
  <c r="I442" i="5" s="1"/>
  <c r="M436" i="5"/>
  <c r="F436" i="5" s="1"/>
  <c r="G436" i="5" s="1"/>
  <c r="H436" i="5" s="1"/>
  <c r="I436" i="5" s="1"/>
  <c r="M439" i="5"/>
  <c r="F439" i="5" s="1"/>
  <c r="G439" i="5" s="1"/>
  <c r="H439" i="5" s="1"/>
  <c r="I439" i="5" s="1"/>
  <c r="M440" i="5"/>
  <c r="F440" i="5" s="1"/>
  <c r="G440" i="5" s="1"/>
  <c r="H440" i="5" s="1"/>
  <c r="I440" i="5" s="1"/>
  <c r="Q91" i="14"/>
  <c r="Z97" i="14"/>
  <c r="Z98" i="14" s="1"/>
  <c r="AG6" i="5" s="1"/>
  <c r="AD52" i="28"/>
  <c r="AD18" i="28"/>
  <c r="O91" i="14"/>
  <c r="P101" i="5"/>
  <c r="P102" i="5"/>
  <c r="P107" i="5"/>
  <c r="P100" i="5"/>
  <c r="P105" i="5"/>
  <c r="P104" i="5"/>
  <c r="P97" i="5"/>
  <c r="P99" i="5"/>
  <c r="P98" i="5"/>
  <c r="P103" i="5"/>
  <c r="P106" i="5"/>
  <c r="V104" i="5"/>
  <c r="V101" i="5"/>
  <c r="V105" i="5"/>
  <c r="V107" i="5"/>
  <c r="V106" i="5"/>
  <c r="V99" i="5"/>
  <c r="V98" i="5"/>
  <c r="V102" i="5"/>
  <c r="V97" i="5"/>
  <c r="V100" i="5"/>
  <c r="V103" i="5"/>
  <c r="N52" i="28"/>
  <c r="J97" i="14"/>
  <c r="J98" i="14" s="1"/>
  <c r="Q6" i="5" s="1"/>
  <c r="N18" i="28"/>
  <c r="Z126" i="28"/>
  <c r="Z127" i="28"/>
  <c r="Z129" i="28" s="1"/>
  <c r="Z76" i="28" s="1"/>
  <c r="W27" i="53"/>
  <c r="S444" i="5"/>
  <c r="S434" i="5"/>
  <c r="S441" i="5"/>
  <c r="S439" i="5"/>
  <c r="S436" i="5"/>
  <c r="S438" i="5"/>
  <c r="S435" i="5"/>
  <c r="S437" i="5"/>
  <c r="S442" i="5"/>
  <c r="S440" i="5"/>
  <c r="S443" i="5"/>
  <c r="V90" i="14"/>
  <c r="V91" i="14" s="1"/>
  <c r="X102" i="5"/>
  <c r="X104" i="5"/>
  <c r="X105" i="5"/>
  <c r="X99" i="5"/>
  <c r="X97" i="5"/>
  <c r="X107" i="5"/>
  <c r="X100" i="5"/>
  <c r="X103" i="5"/>
  <c r="X101" i="5"/>
  <c r="X106" i="5"/>
  <c r="X98" i="5"/>
  <c r="Y438" i="5"/>
  <c r="Y440" i="5"/>
  <c r="Y442" i="5"/>
  <c r="Y434" i="5"/>
  <c r="Y435" i="5"/>
  <c r="Y444" i="5"/>
  <c r="Y437" i="5"/>
  <c r="Y436" i="5"/>
  <c r="Y439" i="5"/>
  <c r="Y441" i="5"/>
  <c r="Y443" i="5"/>
  <c r="U102" i="5"/>
  <c r="U105" i="5"/>
  <c r="U97" i="5"/>
  <c r="U101" i="5"/>
  <c r="U100" i="5"/>
  <c r="U99" i="5"/>
  <c r="U103" i="5"/>
  <c r="U104" i="5"/>
  <c r="U98" i="5"/>
  <c r="U107" i="5"/>
  <c r="U106" i="5"/>
  <c r="N91" i="14"/>
  <c r="N440" i="5"/>
  <c r="N442" i="5"/>
  <c r="N443" i="5"/>
  <c r="N435" i="5"/>
  <c r="N437" i="5"/>
  <c r="N436" i="5"/>
  <c r="N438" i="5"/>
  <c r="N444" i="5"/>
  <c r="N439" i="5"/>
  <c r="N434" i="5"/>
  <c r="N441" i="5"/>
  <c r="J90" i="14"/>
  <c r="J91" i="14" s="1"/>
  <c r="K90" i="14"/>
  <c r="K91" i="14" s="1"/>
  <c r="G16" i="53"/>
  <c r="F14" i="53"/>
  <c r="D14" i="53"/>
  <c r="F16" i="53"/>
  <c r="AE27" i="53" l="1"/>
  <c r="AE28" i="53" s="1"/>
  <c r="AI27" i="53"/>
  <c r="AI28" i="53" s="1"/>
  <c r="AC94" i="14"/>
  <c r="AC103" i="5"/>
  <c r="AC97" i="5"/>
  <c r="AC105" i="5"/>
  <c r="AC101" i="5"/>
  <c r="AC98" i="5"/>
  <c r="AC104" i="5"/>
  <c r="AC107" i="5"/>
  <c r="AC99" i="5"/>
  <c r="AC106" i="5"/>
  <c r="AC100" i="5"/>
  <c r="X94" i="14"/>
  <c r="U36" i="14" s="1"/>
  <c r="Z94" i="14"/>
  <c r="W36" i="14" s="1"/>
  <c r="U95" i="14"/>
  <c r="R37" i="14" s="1"/>
  <c r="L94" i="14"/>
  <c r="I36" i="14" s="1"/>
  <c r="T95" i="14"/>
  <c r="Q37" i="14" s="1"/>
  <c r="AA108" i="5"/>
  <c r="S94" i="14"/>
  <c r="P36" i="14" s="1"/>
  <c r="X108" i="5"/>
  <c r="AG104" i="5"/>
  <c r="AG103" i="5"/>
  <c r="AG101" i="5"/>
  <c r="AG105" i="5"/>
  <c r="AG99" i="5"/>
  <c r="AG97" i="5"/>
  <c r="AG102" i="5"/>
  <c r="AG100" i="5"/>
  <c r="AG107" i="5"/>
  <c r="AG106" i="5"/>
  <c r="AG98" i="5"/>
  <c r="M252" i="5"/>
  <c r="M108" i="5"/>
  <c r="AE94" i="14"/>
  <c r="AE95" i="14"/>
  <c r="R108" i="5"/>
  <c r="O108" i="5"/>
  <c r="V108" i="5"/>
  <c r="Q95" i="14"/>
  <c r="N37" i="14" s="1"/>
  <c r="Q94" i="14"/>
  <c r="N36" i="14" s="1"/>
  <c r="AA94" i="14"/>
  <c r="AA95" i="14"/>
  <c r="Z108" i="5"/>
  <c r="AC439" i="5"/>
  <c r="AC436" i="5"/>
  <c r="AC434" i="5"/>
  <c r="AC442" i="5"/>
  <c r="AC441" i="5"/>
  <c r="AC440" i="5"/>
  <c r="AC438" i="5"/>
  <c r="AC443" i="5"/>
  <c r="AC437" i="5"/>
  <c r="AC435" i="5"/>
  <c r="AC444" i="5"/>
  <c r="M355" i="5"/>
  <c r="M352" i="5"/>
  <c r="M358" i="5"/>
  <c r="M350" i="5"/>
  <c r="M353" i="5"/>
  <c r="M356" i="5"/>
  <c r="M359" i="5"/>
  <c r="M357" i="5"/>
  <c r="M351" i="5"/>
  <c r="M360" i="5"/>
  <c r="M354" i="5"/>
  <c r="G94" i="14"/>
  <c r="D36" i="14" s="1"/>
  <c r="N40" i="5" s="1"/>
  <c r="G95" i="14"/>
  <c r="D37" i="14" s="1"/>
  <c r="N41" i="5" s="1"/>
  <c r="O41" i="5" s="1"/>
  <c r="AE108" i="5"/>
  <c r="N108" i="5"/>
  <c r="S108" i="5"/>
  <c r="L318" i="5"/>
  <c r="L310" i="5"/>
  <c r="L314" i="5"/>
  <c r="L308" i="5"/>
  <c r="L317" i="5"/>
  <c r="L311" i="5"/>
  <c r="L313" i="5"/>
  <c r="L309" i="5"/>
  <c r="L316" i="5"/>
  <c r="L312" i="5"/>
  <c r="L315" i="5"/>
  <c r="AD95" i="14"/>
  <c r="AD94" i="14"/>
  <c r="N95" i="14"/>
  <c r="K37" i="14" s="1"/>
  <c r="N94" i="14"/>
  <c r="K36" i="14" s="1"/>
  <c r="M316" i="5"/>
  <c r="M317" i="5"/>
  <c r="M308" i="5"/>
  <c r="M312" i="5"/>
  <c r="M311" i="5"/>
  <c r="M315" i="5"/>
  <c r="M309" i="5"/>
  <c r="M318" i="5"/>
  <c r="M313" i="5"/>
  <c r="M314" i="5"/>
  <c r="M310" i="5"/>
  <c r="Y95" i="14"/>
  <c r="V37" i="14" s="1"/>
  <c r="Y94" i="14"/>
  <c r="V36" i="14" s="1"/>
  <c r="AF40" i="5" s="1"/>
  <c r="L12" i="46"/>
  <c r="L15" i="46"/>
  <c r="L14" i="46"/>
  <c r="L19" i="46"/>
  <c r="L11" i="46"/>
  <c r="L18" i="46"/>
  <c r="L29" i="46"/>
  <c r="L16" i="46"/>
  <c r="M43" i="5"/>
  <c r="N31" i="5"/>
  <c r="I95" i="14"/>
  <c r="F37" i="14" s="1"/>
  <c r="I94" i="14"/>
  <c r="F36" i="14" s="1"/>
  <c r="E95" i="14"/>
  <c r="E94" i="14"/>
  <c r="AG443" i="5"/>
  <c r="AG436" i="5"/>
  <c r="AG437" i="5"/>
  <c r="AG441" i="5"/>
  <c r="AG434" i="5"/>
  <c r="AG444" i="5"/>
  <c r="AG435" i="5"/>
  <c r="AG439" i="5"/>
  <c r="AG442" i="5"/>
  <c r="AG440" i="5"/>
  <c r="AG438" i="5"/>
  <c r="K12" i="46"/>
  <c r="K19" i="46"/>
  <c r="K18" i="46"/>
  <c r="K11" i="46"/>
  <c r="K16" i="46"/>
  <c r="K29" i="46"/>
  <c r="K15" i="46"/>
  <c r="K14" i="46"/>
  <c r="AD436" i="5"/>
  <c r="AD435" i="5"/>
  <c r="AD438" i="5"/>
  <c r="AD439" i="5"/>
  <c r="AD437" i="5"/>
  <c r="AD440" i="5"/>
  <c r="AD443" i="5"/>
  <c r="AD434" i="5"/>
  <c r="AD444" i="5"/>
  <c r="AD441" i="5"/>
  <c r="AD442" i="5"/>
  <c r="L252" i="5"/>
  <c r="L108" i="5"/>
  <c r="N32" i="5"/>
  <c r="J95" i="14"/>
  <c r="G37" i="14" s="1"/>
  <c r="J94" i="14"/>
  <c r="G36" i="14" s="1"/>
  <c r="Q40" i="5" s="1"/>
  <c r="U108" i="5"/>
  <c r="V94" i="14"/>
  <c r="S36" i="14" s="1"/>
  <c r="AC40" i="5" s="1"/>
  <c r="V95" i="14"/>
  <c r="S37" i="14" s="1"/>
  <c r="Q106" i="5"/>
  <c r="Q98" i="5"/>
  <c r="Q101" i="5"/>
  <c r="Q104" i="5"/>
  <c r="Q105" i="5"/>
  <c r="Q107" i="5"/>
  <c r="Q97" i="5"/>
  <c r="Q99" i="5"/>
  <c r="Q100" i="5"/>
  <c r="Q102" i="5"/>
  <c r="Q103" i="5"/>
  <c r="O95" i="14"/>
  <c r="L37" i="14" s="1"/>
  <c r="O94" i="14"/>
  <c r="L36" i="14" s="1"/>
  <c r="V40" i="5" s="1"/>
  <c r="AB108" i="5"/>
  <c r="AB442" i="5"/>
  <c r="AB439" i="5"/>
  <c r="AB436" i="5"/>
  <c r="AB444" i="5"/>
  <c r="AB437" i="5"/>
  <c r="AB441" i="5"/>
  <c r="AB440" i="5"/>
  <c r="AB434" i="5"/>
  <c r="AB435" i="5"/>
  <c r="AB438" i="5"/>
  <c r="AB443" i="5"/>
  <c r="Y108" i="5"/>
  <c r="T108" i="5"/>
  <c r="W95" i="14"/>
  <c r="T37" i="14" s="1"/>
  <c r="W94" i="14"/>
  <c r="T36" i="14" s="1"/>
  <c r="AD40" i="5" s="1"/>
  <c r="AF108" i="5"/>
  <c r="K95" i="14"/>
  <c r="H37" i="14" s="1"/>
  <c r="R41" i="5" s="1"/>
  <c r="H27" i="14" s="1"/>
  <c r="K94" i="14"/>
  <c r="H36" i="14" s="1"/>
  <c r="P108" i="5"/>
  <c r="AF442" i="5"/>
  <c r="AF434" i="5"/>
  <c r="AF435" i="5"/>
  <c r="AF439" i="5"/>
  <c r="AF436" i="5"/>
  <c r="AF440" i="5"/>
  <c r="AF444" i="5"/>
  <c r="AF443" i="5"/>
  <c r="AF438" i="5"/>
  <c r="AF437" i="5"/>
  <c r="AF441" i="5"/>
  <c r="AB40" i="5"/>
  <c r="AB94" i="14"/>
  <c r="AB95" i="14"/>
  <c r="AD104" i="5"/>
  <c r="AD98" i="5"/>
  <c r="AD99" i="5"/>
  <c r="AD106" i="5"/>
  <c r="AD107" i="5"/>
  <c r="AD100" i="5"/>
  <c r="AD103" i="5"/>
  <c r="AD105" i="5"/>
  <c r="AD97" i="5"/>
  <c r="AD102" i="5"/>
  <c r="AD101" i="5"/>
  <c r="W108" i="5"/>
  <c r="L356" i="5"/>
  <c r="L354" i="5"/>
  <c r="L352" i="5"/>
  <c r="L357" i="5"/>
  <c r="L350" i="5"/>
  <c r="L360" i="5"/>
  <c r="L359" i="5"/>
  <c r="L355" i="5"/>
  <c r="L351" i="5"/>
  <c r="L358" i="5"/>
  <c r="L353" i="5"/>
  <c r="AE440" i="5"/>
  <c r="AE442" i="5"/>
  <c r="AE435" i="5"/>
  <c r="AE436" i="5"/>
  <c r="AE444" i="5"/>
  <c r="AE439" i="5"/>
  <c r="AE437" i="5"/>
  <c r="AE441" i="5"/>
  <c r="AE434" i="5"/>
  <c r="AE438" i="5"/>
  <c r="AE443" i="5"/>
  <c r="G14" i="53"/>
  <c r="S40" i="5" l="1"/>
  <c r="T40" i="5"/>
  <c r="X40" i="5"/>
  <c r="AA40" i="5"/>
  <c r="O40" i="5"/>
  <c r="O43" i="5" s="1"/>
  <c r="AG40" i="5"/>
  <c r="K26" i="14" s="1"/>
  <c r="R40" i="5"/>
  <c r="R43" i="5" s="1"/>
  <c r="H29" i="14" s="1"/>
  <c r="P40" i="5"/>
  <c r="AC108" i="5"/>
  <c r="U40" i="5"/>
  <c r="AE40" i="5"/>
  <c r="AD41" i="5"/>
  <c r="AD43" i="5" s="1"/>
  <c r="V41" i="5"/>
  <c r="V43" i="5" s="1"/>
  <c r="Q41" i="5"/>
  <c r="Q43" i="5" s="1"/>
  <c r="T41" i="5"/>
  <c r="S41" i="5"/>
  <c r="S43" i="5" s="1"/>
  <c r="AE41" i="5"/>
  <c r="AC41" i="5"/>
  <c r="AC43" i="5" s="1"/>
  <c r="AF41" i="5"/>
  <c r="AF43" i="5" s="1"/>
  <c r="AG41" i="5"/>
  <c r="K27" i="14" s="1"/>
  <c r="P41" i="5"/>
  <c r="U41" i="5"/>
  <c r="W41" i="5"/>
  <c r="I27" i="14" s="1"/>
  <c r="AA41" i="5"/>
  <c r="AA43" i="5" s="1"/>
  <c r="Z41" i="5"/>
  <c r="Y41" i="5"/>
  <c r="AB41" i="5"/>
  <c r="J27" i="14" s="1"/>
  <c r="X41" i="5"/>
  <c r="X43" i="5" s="1"/>
  <c r="N43" i="5"/>
  <c r="W40" i="5"/>
  <c r="I26" i="14" s="1"/>
  <c r="AD108" i="5"/>
  <c r="N49" i="5"/>
  <c r="O31" i="5"/>
  <c r="N34" i="5"/>
  <c r="N56" i="5" s="1"/>
  <c r="AG108" i="5"/>
  <c r="Q108" i="5"/>
  <c r="C81" i="46"/>
  <c r="L73" i="46"/>
  <c r="C73" i="46"/>
  <c r="C66" i="46"/>
  <c r="C67" i="46"/>
  <c r="L79" i="46"/>
  <c r="L67" i="46"/>
  <c r="D72" i="46"/>
  <c r="D79" i="46"/>
  <c r="L63" i="46"/>
  <c r="C63" i="46"/>
  <c r="D68" i="46"/>
  <c r="D78" i="46"/>
  <c r="C77" i="46"/>
  <c r="L76" i="46"/>
  <c r="L69" i="46"/>
  <c r="C70" i="46"/>
  <c r="D70" i="46"/>
  <c r="C75" i="46"/>
  <c r="L71" i="46"/>
  <c r="D81" i="46"/>
  <c r="L65" i="46"/>
  <c r="D74" i="46"/>
  <c r="L68" i="46"/>
  <c r="C79" i="46"/>
  <c r="L72" i="46"/>
  <c r="C80" i="46"/>
  <c r="D66" i="46"/>
  <c r="D67" i="46"/>
  <c r="D65" i="46"/>
  <c r="C65" i="46"/>
  <c r="L66" i="46"/>
  <c r="L75" i="46"/>
  <c r="L81" i="46"/>
  <c r="D77" i="46"/>
  <c r="L70" i="46"/>
  <c r="L77" i="46"/>
  <c r="L64" i="46"/>
  <c r="C64" i="46"/>
  <c r="D63" i="46"/>
  <c r="C69" i="46"/>
  <c r="D80" i="46"/>
  <c r="L78" i="46"/>
  <c r="C68" i="46"/>
  <c r="L74" i="46"/>
  <c r="L80" i="46"/>
  <c r="D64" i="46"/>
  <c r="C76" i="46"/>
  <c r="C74" i="46"/>
  <c r="D73" i="46"/>
  <c r="C78" i="46"/>
  <c r="C72" i="46"/>
  <c r="D76" i="46"/>
  <c r="D71" i="46"/>
  <c r="C71" i="46"/>
  <c r="D75" i="46"/>
  <c r="D69" i="46"/>
  <c r="N50" i="5"/>
  <c r="O32" i="5"/>
  <c r="M296" i="5"/>
  <c r="M366" i="5" s="1"/>
  <c r="M263" i="5"/>
  <c r="M299" i="5"/>
  <c r="M369" i="5" s="1"/>
  <c r="M302" i="5"/>
  <c r="M372" i="5" s="1"/>
  <c r="M294" i="5"/>
  <c r="M364" i="5" s="1"/>
  <c r="M297" i="5"/>
  <c r="M367" i="5" s="1"/>
  <c r="M298" i="5"/>
  <c r="M368" i="5" s="1"/>
  <c r="M300" i="5"/>
  <c r="M370" i="5" s="1"/>
  <c r="M304" i="5"/>
  <c r="M374" i="5" s="1"/>
  <c r="M301" i="5"/>
  <c r="M371" i="5" s="1"/>
  <c r="M295" i="5"/>
  <c r="M365" i="5" s="1"/>
  <c r="M303" i="5"/>
  <c r="M373" i="5" s="1"/>
  <c r="J26" i="14"/>
  <c r="L295" i="5"/>
  <c r="L365" i="5" s="1"/>
  <c r="L300" i="5"/>
  <c r="L370" i="5" s="1"/>
  <c r="L298" i="5"/>
  <c r="L368" i="5" s="1"/>
  <c r="L263" i="5"/>
  <c r="L294" i="5"/>
  <c r="L364" i="5" s="1"/>
  <c r="L301" i="5"/>
  <c r="L371" i="5" s="1"/>
  <c r="L297" i="5"/>
  <c r="L367" i="5" s="1"/>
  <c r="L304" i="5"/>
  <c r="L374" i="5" s="1"/>
  <c r="L296" i="5"/>
  <c r="L366" i="5" s="1"/>
  <c r="L303" i="5"/>
  <c r="L373" i="5" s="1"/>
  <c r="L299" i="5"/>
  <c r="L369" i="5" s="1"/>
  <c r="L302" i="5"/>
  <c r="L372" i="5" s="1"/>
  <c r="L50" i="46"/>
  <c r="C51" i="46"/>
  <c r="L42" i="46"/>
  <c r="L39" i="46"/>
  <c r="D47" i="46"/>
  <c r="D42" i="46"/>
  <c r="D54" i="46"/>
  <c r="L49" i="46"/>
  <c r="C52" i="46"/>
  <c r="D43" i="46"/>
  <c r="D39" i="46"/>
  <c r="C41" i="46"/>
  <c r="C54" i="46"/>
  <c r="C47" i="46"/>
  <c r="L53" i="46"/>
  <c r="D52" i="46"/>
  <c r="C43" i="46"/>
  <c r="D49" i="46"/>
  <c r="C45" i="46"/>
  <c r="D45" i="46"/>
  <c r="L55" i="46"/>
  <c r="D41" i="46"/>
  <c r="D46" i="46"/>
  <c r="L41" i="46"/>
  <c r="C38" i="46"/>
  <c r="C50" i="46"/>
  <c r="D53" i="46"/>
  <c r="L45" i="46"/>
  <c r="D38" i="46"/>
  <c r="L52" i="46"/>
  <c r="L47" i="46"/>
  <c r="C49" i="46"/>
  <c r="L44" i="46"/>
  <c r="L56" i="46"/>
  <c r="D40" i="46"/>
  <c r="D56" i="46"/>
  <c r="C56" i="46"/>
  <c r="D44" i="46"/>
  <c r="D48" i="46"/>
  <c r="C40" i="46"/>
  <c r="C39" i="46"/>
  <c r="L40" i="46"/>
  <c r="L51" i="46"/>
  <c r="C55" i="46"/>
  <c r="D51" i="46"/>
  <c r="C53" i="46"/>
  <c r="C44" i="46"/>
  <c r="L54" i="46"/>
  <c r="C42" i="46"/>
  <c r="D55" i="46"/>
  <c r="D50" i="46"/>
  <c r="L46" i="46"/>
  <c r="C46" i="46"/>
  <c r="L48" i="46"/>
  <c r="L43" i="46"/>
  <c r="L38" i="46"/>
  <c r="C48" i="46"/>
  <c r="Z40" i="5"/>
  <c r="Y40" i="5"/>
  <c r="Y43" i="5" s="1"/>
  <c r="T43" i="5" l="1"/>
  <c r="H26" i="14"/>
  <c r="P43" i="5"/>
  <c r="U43" i="5"/>
  <c r="AE43" i="5"/>
  <c r="AB43" i="5"/>
  <c r="J29" i="14" s="1"/>
  <c r="W43" i="5"/>
  <c r="I29" i="14" s="1"/>
  <c r="Z43" i="5"/>
  <c r="AG43" i="5"/>
  <c r="K29" i="14" s="1"/>
  <c r="M375" i="5"/>
  <c r="I75" i="46"/>
  <c r="G75" i="46"/>
  <c r="H75" i="46"/>
  <c r="I53" i="46"/>
  <c r="H53" i="46"/>
  <c r="G53" i="46"/>
  <c r="I47" i="46"/>
  <c r="H47" i="46"/>
  <c r="G47" i="46"/>
  <c r="F67" i="46"/>
  <c r="F71" i="46"/>
  <c r="F65" i="46"/>
  <c r="F77" i="46"/>
  <c r="F72" i="46"/>
  <c r="F76" i="46"/>
  <c r="F63" i="46"/>
  <c r="L82" i="46"/>
  <c r="F73" i="46"/>
  <c r="F66" i="46"/>
  <c r="F78" i="46"/>
  <c r="F75" i="46"/>
  <c r="F69" i="46"/>
  <c r="F64" i="46"/>
  <c r="F80" i="46"/>
  <c r="F70" i="46"/>
  <c r="F79" i="46"/>
  <c r="F68" i="46"/>
  <c r="F74" i="46"/>
  <c r="F81" i="46"/>
  <c r="P32" i="5"/>
  <c r="O50" i="5"/>
  <c r="H56" i="46"/>
  <c r="I56" i="46"/>
  <c r="G56" i="46"/>
  <c r="G54" i="46"/>
  <c r="H54" i="46"/>
  <c r="I54" i="46"/>
  <c r="I74" i="46"/>
  <c r="G74" i="46"/>
  <c r="H74" i="46"/>
  <c r="H69" i="46"/>
  <c r="I69" i="46"/>
  <c r="G69" i="46"/>
  <c r="I79" i="46"/>
  <c r="G79" i="46"/>
  <c r="H79" i="46"/>
  <c r="I70" i="46"/>
  <c r="G70" i="46"/>
  <c r="H70" i="46"/>
  <c r="G81" i="46"/>
  <c r="H81" i="46"/>
  <c r="I81" i="46"/>
  <c r="P31" i="5"/>
  <c r="O49" i="5"/>
  <c r="O34" i="5"/>
  <c r="O56" i="5" s="1"/>
  <c r="I44" i="46"/>
  <c r="H44" i="46"/>
  <c r="G44" i="46"/>
  <c r="H63" i="46"/>
  <c r="G63" i="46"/>
  <c r="I63" i="46"/>
  <c r="I55" i="46"/>
  <c r="H55" i="46"/>
  <c r="G55" i="46"/>
  <c r="I41" i="46"/>
  <c r="H41" i="46"/>
  <c r="G41" i="46"/>
  <c r="G76" i="46"/>
  <c r="I76" i="46"/>
  <c r="H76" i="46"/>
  <c r="N52" i="5"/>
  <c r="G46" i="46"/>
  <c r="I46" i="46"/>
  <c r="H46" i="46"/>
  <c r="G45" i="46"/>
  <c r="I45" i="46"/>
  <c r="H45" i="46"/>
  <c r="G71" i="46"/>
  <c r="H71" i="46"/>
  <c r="I71" i="46"/>
  <c r="I64" i="46"/>
  <c r="H64" i="46"/>
  <c r="G64" i="46"/>
  <c r="I65" i="46"/>
  <c r="G65" i="46"/>
  <c r="H65" i="46"/>
  <c r="G80" i="46"/>
  <c r="H80" i="46"/>
  <c r="I80" i="46"/>
  <c r="H50" i="46"/>
  <c r="G50" i="46"/>
  <c r="I50" i="46"/>
  <c r="I51" i="46"/>
  <c r="H51" i="46"/>
  <c r="G51" i="46"/>
  <c r="H77" i="46"/>
  <c r="I77" i="46"/>
  <c r="G77" i="46"/>
  <c r="G78" i="46"/>
  <c r="H78" i="46"/>
  <c r="I78" i="46"/>
  <c r="I48" i="46"/>
  <c r="H48" i="46"/>
  <c r="G48" i="46"/>
  <c r="G39" i="46"/>
  <c r="H39" i="46"/>
  <c r="I39" i="46"/>
  <c r="I38" i="46"/>
  <c r="H38" i="46"/>
  <c r="G38" i="46"/>
  <c r="H43" i="46"/>
  <c r="G43" i="46"/>
  <c r="I43" i="46"/>
  <c r="I52" i="46"/>
  <c r="H52" i="46"/>
  <c r="G52" i="46"/>
  <c r="L375" i="5"/>
  <c r="H67" i="46"/>
  <c r="G67" i="46"/>
  <c r="I67" i="46"/>
  <c r="I73" i="46"/>
  <c r="H73" i="46"/>
  <c r="G73" i="46"/>
  <c r="G42" i="46"/>
  <c r="I42" i="46"/>
  <c r="H42" i="46"/>
  <c r="F46" i="46"/>
  <c r="F56" i="46"/>
  <c r="F40" i="46"/>
  <c r="F52" i="46"/>
  <c r="F39" i="46"/>
  <c r="F53" i="46"/>
  <c r="F50" i="46"/>
  <c r="F41" i="46"/>
  <c r="F47" i="46"/>
  <c r="F49" i="46"/>
  <c r="F55" i="46"/>
  <c r="L57" i="46"/>
  <c r="F45" i="46"/>
  <c r="F48" i="46"/>
  <c r="F43" i="46"/>
  <c r="F42" i="46"/>
  <c r="F44" i="46"/>
  <c r="F54" i="46"/>
  <c r="F51" i="46"/>
  <c r="F38" i="46"/>
  <c r="I40" i="46"/>
  <c r="H40" i="46"/>
  <c r="G40" i="46"/>
  <c r="I49" i="46"/>
  <c r="H49" i="46"/>
  <c r="G49" i="46"/>
  <c r="I72" i="46"/>
  <c r="H72" i="46"/>
  <c r="G72" i="46"/>
  <c r="I68" i="46"/>
  <c r="H68" i="46"/>
  <c r="G68" i="46"/>
  <c r="I66" i="46"/>
  <c r="H66" i="46"/>
  <c r="G66" i="46"/>
  <c r="O52" i="5" l="1"/>
  <c r="O12" i="5" s="1"/>
  <c r="O177" i="5" s="1"/>
  <c r="E48" i="46"/>
  <c r="K48" i="46"/>
  <c r="J48" i="46"/>
  <c r="E53" i="46"/>
  <c r="K53" i="46"/>
  <c r="J53" i="46"/>
  <c r="Q31" i="5"/>
  <c r="P49" i="5"/>
  <c r="P34" i="5"/>
  <c r="P56" i="5" s="1"/>
  <c r="P50" i="5"/>
  <c r="Q32" i="5"/>
  <c r="K64" i="46"/>
  <c r="J64" i="46"/>
  <c r="E64" i="46"/>
  <c r="K76" i="46"/>
  <c r="J76" i="46"/>
  <c r="E76" i="46"/>
  <c r="J45" i="46"/>
  <c r="E45" i="46"/>
  <c r="K45" i="46"/>
  <c r="K39" i="46"/>
  <c r="E39" i="46"/>
  <c r="J39" i="46"/>
  <c r="E69" i="46"/>
  <c r="K69" i="46"/>
  <c r="J69" i="46"/>
  <c r="E72" i="46"/>
  <c r="K72" i="46"/>
  <c r="J72" i="46"/>
  <c r="E38" i="46"/>
  <c r="F57" i="46"/>
  <c r="K38" i="46"/>
  <c r="J38" i="46"/>
  <c r="E52" i="46"/>
  <c r="K52" i="46"/>
  <c r="J52" i="46"/>
  <c r="E81" i="46"/>
  <c r="J81" i="46"/>
  <c r="K81" i="46"/>
  <c r="K75" i="46"/>
  <c r="J75" i="46"/>
  <c r="E75" i="46"/>
  <c r="E77" i="46"/>
  <c r="K77" i="46"/>
  <c r="J77" i="46"/>
  <c r="K80" i="46"/>
  <c r="E80" i="46"/>
  <c r="J80" i="46"/>
  <c r="J51" i="46"/>
  <c r="K51" i="46"/>
  <c r="E51" i="46"/>
  <c r="J55" i="46"/>
  <c r="K55" i="46"/>
  <c r="E55" i="46"/>
  <c r="E40" i="46"/>
  <c r="K40" i="46"/>
  <c r="J40" i="46"/>
  <c r="D57" i="46"/>
  <c r="K74" i="46"/>
  <c r="J74" i="46"/>
  <c r="E74" i="46"/>
  <c r="K78" i="46"/>
  <c r="E78" i="46"/>
  <c r="J78" i="46"/>
  <c r="E65" i="46"/>
  <c r="K65" i="46"/>
  <c r="J65" i="46"/>
  <c r="J43" i="46"/>
  <c r="E43" i="46"/>
  <c r="K43" i="46"/>
  <c r="F82" i="46"/>
  <c r="K63" i="46"/>
  <c r="E63" i="46"/>
  <c r="J63" i="46"/>
  <c r="E54" i="46"/>
  <c r="K54" i="46"/>
  <c r="J54" i="46"/>
  <c r="K49" i="46"/>
  <c r="E49" i="46"/>
  <c r="J49" i="46"/>
  <c r="K56" i="46"/>
  <c r="J56" i="46"/>
  <c r="E56" i="46"/>
  <c r="K68" i="46"/>
  <c r="J68" i="46"/>
  <c r="E68" i="46"/>
  <c r="E66" i="46"/>
  <c r="J66" i="46"/>
  <c r="K66" i="46"/>
  <c r="J71" i="46"/>
  <c r="E71" i="46"/>
  <c r="K71" i="46"/>
  <c r="J50" i="46"/>
  <c r="K50" i="46"/>
  <c r="E50" i="46"/>
  <c r="J44" i="46"/>
  <c r="E44" i="46"/>
  <c r="K44" i="46"/>
  <c r="J47" i="46"/>
  <c r="E47" i="46"/>
  <c r="K47" i="46"/>
  <c r="K46" i="46"/>
  <c r="J46" i="46"/>
  <c r="E46" i="46"/>
  <c r="N12" i="5"/>
  <c r="N57" i="5"/>
  <c r="K79" i="46"/>
  <c r="J79" i="46"/>
  <c r="E79" i="46"/>
  <c r="E73" i="46"/>
  <c r="K73" i="46"/>
  <c r="J73" i="46"/>
  <c r="J67" i="46"/>
  <c r="E67" i="46"/>
  <c r="K67" i="46"/>
  <c r="E42" i="46"/>
  <c r="K42" i="46"/>
  <c r="J42" i="46"/>
  <c r="K41" i="46"/>
  <c r="J41" i="46"/>
  <c r="E41" i="46"/>
  <c r="D82" i="46"/>
  <c r="E70" i="46"/>
  <c r="J70" i="46"/>
  <c r="K70" i="46"/>
  <c r="P52" i="5" l="1"/>
  <c r="P12" i="5" s="1"/>
  <c r="P175" i="5" s="1"/>
  <c r="O183" i="5"/>
  <c r="O182" i="5"/>
  <c r="O184" i="5"/>
  <c r="O176" i="5"/>
  <c r="O180" i="5"/>
  <c r="O181" i="5"/>
  <c r="O175" i="5"/>
  <c r="O174" i="5"/>
  <c r="O179" i="5"/>
  <c r="O178" i="5"/>
  <c r="K82" i="46"/>
  <c r="Q49" i="5"/>
  <c r="Q34" i="5"/>
  <c r="Q56" i="5" s="1"/>
  <c r="R31" i="5"/>
  <c r="E57" i="46"/>
  <c r="K57" i="46"/>
  <c r="Q50" i="5"/>
  <c r="R32" i="5"/>
  <c r="O57" i="5"/>
  <c r="N60" i="5"/>
  <c r="N62" i="5" s="1"/>
  <c r="N184" i="5"/>
  <c r="N178" i="5"/>
  <c r="N180" i="5"/>
  <c r="N176" i="5"/>
  <c r="N174" i="5"/>
  <c r="N177" i="5"/>
  <c r="N175" i="5"/>
  <c r="N181" i="5"/>
  <c r="N179" i="5"/>
  <c r="N182" i="5"/>
  <c r="N183" i="5"/>
  <c r="E82" i="46"/>
  <c r="P174" i="5" l="1"/>
  <c r="P179" i="5"/>
  <c r="P184" i="5"/>
  <c r="P182" i="5"/>
  <c r="P178" i="5"/>
  <c r="P181" i="5"/>
  <c r="P183" i="5"/>
  <c r="P177" i="5"/>
  <c r="P176" i="5"/>
  <c r="P180" i="5"/>
  <c r="O185" i="5"/>
  <c r="N21" i="5"/>
  <c r="N19" i="5"/>
  <c r="P57" i="5"/>
  <c r="O60" i="5"/>
  <c r="O62" i="5" s="1"/>
  <c r="R50" i="5"/>
  <c r="S32" i="5"/>
  <c r="R34" i="5"/>
  <c r="R56" i="5" s="1"/>
  <c r="S31" i="5"/>
  <c r="R49" i="5"/>
  <c r="N185" i="5"/>
  <c r="Q52" i="5"/>
  <c r="Q12" i="5" s="1"/>
  <c r="P185" i="5" l="1"/>
  <c r="R52" i="5"/>
  <c r="R12" i="5" s="1"/>
  <c r="R176" i="5" s="1"/>
  <c r="N238" i="5"/>
  <c r="N245" i="5"/>
  <c r="N241" i="5"/>
  <c r="N242" i="5"/>
  <c r="N243" i="5"/>
  <c r="N240" i="5"/>
  <c r="N239" i="5"/>
  <c r="N247" i="5"/>
  <c r="N244" i="5"/>
  <c r="N246" i="5"/>
  <c r="N237" i="5"/>
  <c r="Q174" i="5"/>
  <c r="Q178" i="5"/>
  <c r="Q179" i="5"/>
  <c r="Q182" i="5"/>
  <c r="Q180" i="5"/>
  <c r="Q184" i="5"/>
  <c r="Q183" i="5"/>
  <c r="Q177" i="5"/>
  <c r="Q175" i="5"/>
  <c r="Q176" i="5"/>
  <c r="Q181" i="5"/>
  <c r="S50" i="5"/>
  <c r="T32" i="5"/>
  <c r="S34" i="5"/>
  <c r="S56" i="5" s="1"/>
  <c r="T31" i="5"/>
  <c r="S49" i="5"/>
  <c r="N227" i="5"/>
  <c r="N257" i="5" s="1"/>
  <c r="N223" i="5"/>
  <c r="N253" i="5" s="1"/>
  <c r="N232" i="5"/>
  <c r="N229" i="5"/>
  <c r="N259" i="5" s="1"/>
  <c r="N228" i="5"/>
  <c r="N224" i="5"/>
  <c r="N231" i="5"/>
  <c r="N261" i="5" s="1"/>
  <c r="N230" i="5"/>
  <c r="N260" i="5" s="1"/>
  <c r="N222" i="5"/>
  <c r="N226" i="5"/>
  <c r="N256" i="5" s="1"/>
  <c r="N225" i="5"/>
  <c r="N255" i="5" s="1"/>
  <c r="N23" i="5"/>
  <c r="K142" i="28" s="1"/>
  <c r="O21" i="5"/>
  <c r="O19" i="5"/>
  <c r="Q57" i="5"/>
  <c r="P60" i="5"/>
  <c r="P62" i="5" s="1"/>
  <c r="H15" i="53"/>
  <c r="N258" i="5" l="1"/>
  <c r="R181" i="5"/>
  <c r="N262" i="5"/>
  <c r="R175" i="5"/>
  <c r="R174" i="5"/>
  <c r="R182" i="5"/>
  <c r="R180" i="5"/>
  <c r="R177" i="5"/>
  <c r="R178" i="5"/>
  <c r="R184" i="5"/>
  <c r="R179" i="5"/>
  <c r="R183" i="5"/>
  <c r="N233" i="5"/>
  <c r="N252" i="5"/>
  <c r="N311" i="5"/>
  <c r="N313" i="5"/>
  <c r="N314" i="5"/>
  <c r="N312" i="5"/>
  <c r="N317" i="5"/>
  <c r="N310" i="5"/>
  <c r="N308" i="5"/>
  <c r="N309" i="5"/>
  <c r="N315" i="5"/>
  <c r="N316" i="5"/>
  <c r="N318" i="5"/>
  <c r="Q185" i="5"/>
  <c r="P19" i="5"/>
  <c r="P21" i="5"/>
  <c r="S52" i="5"/>
  <c r="S12" i="5" s="1"/>
  <c r="N248" i="5"/>
  <c r="R57" i="5"/>
  <c r="Q60" i="5"/>
  <c r="Q62" i="5" s="1"/>
  <c r="T34" i="5"/>
  <c r="T56" i="5" s="1"/>
  <c r="U31" i="5"/>
  <c r="T49" i="5"/>
  <c r="O229" i="5"/>
  <c r="O227" i="5"/>
  <c r="O232" i="5"/>
  <c r="O224" i="5"/>
  <c r="O222" i="5"/>
  <c r="O226" i="5"/>
  <c r="O231" i="5"/>
  <c r="O225" i="5"/>
  <c r="O228" i="5"/>
  <c r="O230" i="5"/>
  <c r="O23" i="5"/>
  <c r="L142" i="28" s="1"/>
  <c r="O223" i="5"/>
  <c r="N254" i="5"/>
  <c r="O238" i="5"/>
  <c r="O237" i="5"/>
  <c r="O241" i="5"/>
  <c r="O242" i="5"/>
  <c r="O243" i="5"/>
  <c r="O245" i="5"/>
  <c r="O244" i="5"/>
  <c r="O247" i="5"/>
  <c r="O240" i="5"/>
  <c r="O246" i="5"/>
  <c r="O239" i="5"/>
  <c r="T50" i="5"/>
  <c r="U32" i="5"/>
  <c r="H16" i="53"/>
  <c r="I15" i="53"/>
  <c r="O262" i="5" l="1"/>
  <c r="N354" i="5"/>
  <c r="N351" i="5"/>
  <c r="N350" i="5"/>
  <c r="R185" i="5"/>
  <c r="N352" i="5"/>
  <c r="N359" i="5"/>
  <c r="N357" i="5"/>
  <c r="N353" i="5"/>
  <c r="N355" i="5"/>
  <c r="O253" i="5"/>
  <c r="O260" i="5"/>
  <c r="N358" i="5"/>
  <c r="N360" i="5"/>
  <c r="N356" i="5"/>
  <c r="O255" i="5"/>
  <c r="T52" i="5"/>
  <c r="T12" i="5" s="1"/>
  <c r="T184" i="5" s="1"/>
  <c r="O261" i="5"/>
  <c r="V31" i="5"/>
  <c r="U49" i="5"/>
  <c r="U34" i="5"/>
  <c r="U56" i="5" s="1"/>
  <c r="P222" i="5"/>
  <c r="P223" i="5"/>
  <c r="P229" i="5"/>
  <c r="P23" i="5"/>
  <c r="M142" i="28" s="1"/>
  <c r="P226" i="5"/>
  <c r="P232" i="5"/>
  <c r="P231" i="5"/>
  <c r="P224" i="5"/>
  <c r="P230" i="5"/>
  <c r="P228" i="5"/>
  <c r="P225" i="5"/>
  <c r="P227" i="5"/>
  <c r="V32" i="5"/>
  <c r="U50" i="5"/>
  <c r="O256" i="5"/>
  <c r="O248" i="5"/>
  <c r="O252" i="5"/>
  <c r="O233" i="5"/>
  <c r="Q21" i="5"/>
  <c r="Q19" i="5"/>
  <c r="O254" i="5"/>
  <c r="S57" i="5"/>
  <c r="R60" i="5"/>
  <c r="R62" i="5" s="1"/>
  <c r="N301" i="5"/>
  <c r="N299" i="5"/>
  <c r="N303" i="5"/>
  <c r="N373" i="5" s="1"/>
  <c r="N263" i="5"/>
  <c r="N302" i="5"/>
  <c r="N297" i="5"/>
  <c r="N294" i="5"/>
  <c r="N304" i="5"/>
  <c r="N295" i="5"/>
  <c r="N296" i="5"/>
  <c r="N366" i="5" s="1"/>
  <c r="N298" i="5"/>
  <c r="N300" i="5"/>
  <c r="O257" i="5"/>
  <c r="S184" i="5"/>
  <c r="S177" i="5"/>
  <c r="S175" i="5"/>
  <c r="S180" i="5"/>
  <c r="S181" i="5"/>
  <c r="S179" i="5"/>
  <c r="S178" i="5"/>
  <c r="S176" i="5"/>
  <c r="S182" i="5"/>
  <c r="S174" i="5"/>
  <c r="S183" i="5"/>
  <c r="O258" i="5"/>
  <c r="O259" i="5"/>
  <c r="P247" i="5"/>
  <c r="P238" i="5"/>
  <c r="P240" i="5"/>
  <c r="P237" i="5"/>
  <c r="P244" i="5"/>
  <c r="P239" i="5"/>
  <c r="P243" i="5"/>
  <c r="P242" i="5"/>
  <c r="P241" i="5"/>
  <c r="P246" i="5"/>
  <c r="P245" i="5"/>
  <c r="I16" i="53"/>
  <c r="H14" i="53"/>
  <c r="K15" i="53"/>
  <c r="J15" i="53"/>
  <c r="N368" i="5" l="1"/>
  <c r="N374" i="5"/>
  <c r="N367" i="5"/>
  <c r="N365" i="5"/>
  <c r="N371" i="5"/>
  <c r="N372" i="5"/>
  <c r="N370" i="5"/>
  <c r="N364" i="5"/>
  <c r="N369" i="5"/>
  <c r="T174" i="5"/>
  <c r="T183" i="5"/>
  <c r="T181" i="5"/>
  <c r="T176" i="5"/>
  <c r="T180" i="5"/>
  <c r="T175" i="5"/>
  <c r="T177" i="5"/>
  <c r="P254" i="5"/>
  <c r="T178" i="5"/>
  <c r="T182" i="5"/>
  <c r="T179" i="5"/>
  <c r="P255" i="5"/>
  <c r="P248" i="5"/>
  <c r="S185" i="5"/>
  <c r="Q240" i="5"/>
  <c r="Q247" i="5"/>
  <c r="Q239" i="5"/>
  <c r="Q237" i="5"/>
  <c r="Q246" i="5"/>
  <c r="Q241" i="5"/>
  <c r="Q245" i="5"/>
  <c r="Q243" i="5"/>
  <c r="Q242" i="5"/>
  <c r="Q244" i="5"/>
  <c r="Q238" i="5"/>
  <c r="P261" i="5"/>
  <c r="Q228" i="5"/>
  <c r="Q258" i="5" s="1"/>
  <c r="Q230" i="5"/>
  <c r="Q222" i="5"/>
  <c r="Q229" i="5"/>
  <c r="Q225" i="5"/>
  <c r="Q255" i="5" s="1"/>
  <c r="Q231" i="5"/>
  <c r="Q232" i="5"/>
  <c r="Q227" i="5"/>
  <c r="Q224" i="5"/>
  <c r="Q226" i="5"/>
  <c r="Q256" i="5" s="1"/>
  <c r="Q223" i="5"/>
  <c r="Q23" i="5"/>
  <c r="N142" i="28" s="1"/>
  <c r="O309" i="5"/>
  <c r="O318" i="5"/>
  <c r="O316" i="5"/>
  <c r="O311" i="5"/>
  <c r="O312" i="5"/>
  <c r="O317" i="5"/>
  <c r="O313" i="5"/>
  <c r="O310" i="5"/>
  <c r="O308" i="5"/>
  <c r="O315" i="5"/>
  <c r="O314" i="5"/>
  <c r="P262" i="5"/>
  <c r="R19" i="5"/>
  <c r="R21" i="5"/>
  <c r="O294" i="5"/>
  <c r="O295" i="5"/>
  <c r="O299" i="5"/>
  <c r="O302" i="5"/>
  <c r="O297" i="5"/>
  <c r="O298" i="5"/>
  <c r="O300" i="5"/>
  <c r="O301" i="5"/>
  <c r="O263" i="5"/>
  <c r="O303" i="5"/>
  <c r="O296" i="5"/>
  <c r="O304" i="5"/>
  <c r="W32" i="5"/>
  <c r="V50" i="5"/>
  <c r="P256" i="5"/>
  <c r="T57" i="5"/>
  <c r="S60" i="5"/>
  <c r="S62" i="5" s="1"/>
  <c r="P257" i="5"/>
  <c r="U52" i="5"/>
  <c r="U12" i="5" s="1"/>
  <c r="O352" i="5"/>
  <c r="O356" i="5"/>
  <c r="O355" i="5"/>
  <c r="O351" i="5"/>
  <c r="O360" i="5"/>
  <c r="O357" i="5"/>
  <c r="O353" i="5"/>
  <c r="O350" i="5"/>
  <c r="O358" i="5"/>
  <c r="O359" i="5"/>
  <c r="O354" i="5"/>
  <c r="P259" i="5"/>
  <c r="V34" i="5"/>
  <c r="V56" i="5" s="1"/>
  <c r="W31" i="5"/>
  <c r="V49" i="5"/>
  <c r="P258" i="5"/>
  <c r="P253" i="5"/>
  <c r="P260" i="5"/>
  <c r="P233" i="5"/>
  <c r="P252" i="5"/>
  <c r="J16" i="53"/>
  <c r="K16" i="53"/>
  <c r="I14" i="53"/>
  <c r="Q257" i="5" l="1"/>
  <c r="Q315" i="5" s="1"/>
  <c r="O365" i="5"/>
  <c r="Q254" i="5"/>
  <c r="N375" i="5"/>
  <c r="Q262" i="5"/>
  <c r="Q260" i="5"/>
  <c r="T185" i="5"/>
  <c r="O366" i="5"/>
  <c r="Q259" i="5"/>
  <c r="Q253" i="5"/>
  <c r="O374" i="5"/>
  <c r="O369" i="5"/>
  <c r="Q261" i="5"/>
  <c r="O372" i="5"/>
  <c r="O368" i="5"/>
  <c r="O370" i="5"/>
  <c r="V52" i="5"/>
  <c r="V12" i="5" s="1"/>
  <c r="V175" i="5" s="1"/>
  <c r="O367" i="5"/>
  <c r="R230" i="5"/>
  <c r="R23" i="5"/>
  <c r="O142" i="28" s="1"/>
  <c r="R226" i="5"/>
  <c r="R224" i="5"/>
  <c r="R229" i="5"/>
  <c r="R227" i="5"/>
  <c r="R223" i="5"/>
  <c r="R228" i="5"/>
  <c r="R232" i="5"/>
  <c r="R231" i="5"/>
  <c r="R222" i="5"/>
  <c r="R225" i="5"/>
  <c r="O373" i="5"/>
  <c r="P353" i="5"/>
  <c r="P360" i="5"/>
  <c r="P354" i="5"/>
  <c r="P352" i="5"/>
  <c r="P356" i="5"/>
  <c r="P357" i="5"/>
  <c r="P355" i="5"/>
  <c r="P359" i="5"/>
  <c r="P358" i="5"/>
  <c r="P351" i="5"/>
  <c r="P350" i="5"/>
  <c r="X32" i="5"/>
  <c r="W50" i="5"/>
  <c r="Q248" i="5"/>
  <c r="R242" i="5"/>
  <c r="R247" i="5"/>
  <c r="R241" i="5"/>
  <c r="R238" i="5"/>
  <c r="R243" i="5"/>
  <c r="R237" i="5"/>
  <c r="R245" i="5"/>
  <c r="R239" i="5"/>
  <c r="R244" i="5"/>
  <c r="R246" i="5"/>
  <c r="R240" i="5"/>
  <c r="O364" i="5"/>
  <c r="U174" i="5"/>
  <c r="U176" i="5"/>
  <c r="U178" i="5"/>
  <c r="U184" i="5"/>
  <c r="U177" i="5"/>
  <c r="U179" i="5"/>
  <c r="U175" i="5"/>
  <c r="U180" i="5"/>
  <c r="U183" i="5"/>
  <c r="U181" i="5"/>
  <c r="U182" i="5"/>
  <c r="P316" i="5"/>
  <c r="P317" i="5"/>
  <c r="P309" i="5"/>
  <c r="P315" i="5"/>
  <c r="P313" i="5"/>
  <c r="P311" i="5"/>
  <c r="P318" i="5"/>
  <c r="P314" i="5"/>
  <c r="P312" i="5"/>
  <c r="P308" i="5"/>
  <c r="P310" i="5"/>
  <c r="W49" i="5"/>
  <c r="W34" i="5"/>
  <c r="W56" i="5" s="1"/>
  <c r="X31" i="5"/>
  <c r="O371" i="5"/>
  <c r="S19" i="5"/>
  <c r="S21" i="5"/>
  <c r="P300" i="5"/>
  <c r="P302" i="5"/>
  <c r="P296" i="5"/>
  <c r="P297" i="5"/>
  <c r="P304" i="5"/>
  <c r="P263" i="5"/>
  <c r="P294" i="5"/>
  <c r="P301" i="5"/>
  <c r="P303" i="5"/>
  <c r="P295" i="5"/>
  <c r="P298" i="5"/>
  <c r="P299" i="5"/>
  <c r="U57" i="5"/>
  <c r="T60" i="5"/>
  <c r="T62" i="5" s="1"/>
  <c r="Q233" i="5"/>
  <c r="Q252" i="5"/>
  <c r="L15" i="53"/>
  <c r="L16" i="53"/>
  <c r="R258" i="5" l="1"/>
  <c r="Q313" i="5"/>
  <c r="Q309" i="5"/>
  <c r="Q308" i="5"/>
  <c r="Q318" i="5"/>
  <c r="Q316" i="5"/>
  <c r="Q317" i="5"/>
  <c r="Q311" i="5"/>
  <c r="Q310" i="5"/>
  <c r="Q312" i="5"/>
  <c r="Q314" i="5"/>
  <c r="R262" i="5"/>
  <c r="Q351" i="5"/>
  <c r="V178" i="5"/>
  <c r="V177" i="5"/>
  <c r="V183" i="5"/>
  <c r="Q357" i="5"/>
  <c r="Q358" i="5"/>
  <c r="Q350" i="5"/>
  <c r="Q359" i="5"/>
  <c r="V181" i="5"/>
  <c r="V182" i="5"/>
  <c r="V174" i="5"/>
  <c r="V184" i="5"/>
  <c r="V176" i="5"/>
  <c r="V179" i="5"/>
  <c r="V180" i="5"/>
  <c r="Q356" i="5"/>
  <c r="Q353" i="5"/>
  <c r="Q360" i="5"/>
  <c r="Q352" i="5"/>
  <c r="Q354" i="5"/>
  <c r="Q355" i="5"/>
  <c r="P370" i="5"/>
  <c r="W52" i="5"/>
  <c r="W12" i="5" s="1"/>
  <c r="R248" i="5"/>
  <c r="X50" i="5"/>
  <c r="Y32" i="5"/>
  <c r="P366" i="5"/>
  <c r="R253" i="5"/>
  <c r="U185" i="5"/>
  <c r="P364" i="5"/>
  <c r="P368" i="5"/>
  <c r="R257" i="5"/>
  <c r="Q295" i="5"/>
  <c r="Q300" i="5"/>
  <c r="Q302" i="5"/>
  <c r="Q303" i="5"/>
  <c r="Q301" i="5"/>
  <c r="Q299" i="5"/>
  <c r="Q298" i="5"/>
  <c r="Q263" i="5"/>
  <c r="Q304" i="5"/>
  <c r="Q294" i="5"/>
  <c r="Q296" i="5"/>
  <c r="Q297" i="5"/>
  <c r="O375" i="5"/>
  <c r="P365" i="5"/>
  <c r="P374" i="5"/>
  <c r="R259" i="5"/>
  <c r="S243" i="5"/>
  <c r="S247" i="5"/>
  <c r="S245" i="5"/>
  <c r="S244" i="5"/>
  <c r="S239" i="5"/>
  <c r="S241" i="5"/>
  <c r="S242" i="5"/>
  <c r="S237" i="5"/>
  <c r="S238" i="5"/>
  <c r="S246" i="5"/>
  <c r="S240" i="5"/>
  <c r="P372" i="5"/>
  <c r="P367" i="5"/>
  <c r="R255" i="5"/>
  <c r="R254" i="5"/>
  <c r="Q371" i="5"/>
  <c r="T21" i="5"/>
  <c r="T19" i="5"/>
  <c r="S230" i="5"/>
  <c r="S222" i="5"/>
  <c r="S232" i="5"/>
  <c r="S224" i="5"/>
  <c r="S254" i="5" s="1"/>
  <c r="S231" i="5"/>
  <c r="S226" i="5"/>
  <c r="S256" i="5" s="1"/>
  <c r="S223" i="5"/>
  <c r="S253" i="5" s="1"/>
  <c r="S225" i="5"/>
  <c r="S229" i="5"/>
  <c r="S23" i="5"/>
  <c r="P142" i="28" s="1"/>
  <c r="S227" i="5"/>
  <c r="S228" i="5"/>
  <c r="S258" i="5" s="1"/>
  <c r="P373" i="5"/>
  <c r="R233" i="5"/>
  <c r="R252" i="5"/>
  <c r="R256" i="5"/>
  <c r="V57" i="5"/>
  <c r="U60" i="5"/>
  <c r="U62" i="5" s="1"/>
  <c r="P369" i="5"/>
  <c r="R261" i="5"/>
  <c r="Y31" i="5"/>
  <c r="X34" i="5"/>
  <c r="X56" i="5" s="1"/>
  <c r="X49" i="5"/>
  <c r="P371" i="5"/>
  <c r="R260" i="5"/>
  <c r="J14" i="53"/>
  <c r="M15" i="53"/>
  <c r="Q365" i="5" l="1"/>
  <c r="S261" i="5"/>
  <c r="S262" i="5"/>
  <c r="Q366" i="5"/>
  <c r="Q364" i="5"/>
  <c r="Q374" i="5"/>
  <c r="Q369" i="5"/>
  <c r="S257" i="5"/>
  <c r="S316" i="5" s="1"/>
  <c r="Q373" i="5"/>
  <c r="V185" i="5"/>
  <c r="Q367" i="5"/>
  <c r="X52" i="5"/>
  <c r="X12" i="5" s="1"/>
  <c r="X181" i="5" s="1"/>
  <c r="Q372" i="5"/>
  <c r="S255" i="5"/>
  <c r="S259" i="5"/>
  <c r="Q368" i="5"/>
  <c r="R359" i="5"/>
  <c r="Q370" i="5"/>
  <c r="R356" i="5"/>
  <c r="R299" i="5"/>
  <c r="R298" i="5"/>
  <c r="R296" i="5"/>
  <c r="R302" i="5"/>
  <c r="R294" i="5"/>
  <c r="R295" i="5"/>
  <c r="R297" i="5"/>
  <c r="R300" i="5"/>
  <c r="R304" i="5"/>
  <c r="R301" i="5"/>
  <c r="R263" i="5"/>
  <c r="R303" i="5"/>
  <c r="Z32" i="5"/>
  <c r="Y50" i="5"/>
  <c r="Z31" i="5"/>
  <c r="Y34" i="5"/>
  <c r="Y56" i="5" s="1"/>
  <c r="Y49" i="5"/>
  <c r="T227" i="5"/>
  <c r="T225" i="5"/>
  <c r="T224" i="5"/>
  <c r="T23" i="5"/>
  <c r="Q142" i="28" s="1"/>
  <c r="T229" i="5"/>
  <c r="T231" i="5"/>
  <c r="T230" i="5"/>
  <c r="T223" i="5"/>
  <c r="T232" i="5"/>
  <c r="T226" i="5"/>
  <c r="T222" i="5"/>
  <c r="T228" i="5"/>
  <c r="S260" i="5"/>
  <c r="R354" i="5"/>
  <c r="T238" i="5"/>
  <c r="T237" i="5"/>
  <c r="T243" i="5"/>
  <c r="T244" i="5"/>
  <c r="T245" i="5"/>
  <c r="T242" i="5"/>
  <c r="T247" i="5"/>
  <c r="T241" i="5"/>
  <c r="T240" i="5"/>
  <c r="T246" i="5"/>
  <c r="T239" i="5"/>
  <c r="P375" i="5"/>
  <c r="R353" i="5"/>
  <c r="W183" i="5"/>
  <c r="W176" i="5"/>
  <c r="W179" i="5"/>
  <c r="W178" i="5"/>
  <c r="W184" i="5"/>
  <c r="W181" i="5"/>
  <c r="W175" i="5"/>
  <c r="W177" i="5"/>
  <c r="W182" i="5"/>
  <c r="W174" i="5"/>
  <c r="W180" i="5"/>
  <c r="R350" i="5"/>
  <c r="S248" i="5"/>
  <c r="R357" i="5"/>
  <c r="R351" i="5"/>
  <c r="U19" i="5"/>
  <c r="U21" i="5"/>
  <c r="R360" i="5"/>
  <c r="R355" i="5"/>
  <c r="W57" i="5"/>
  <c r="V60" i="5"/>
  <c r="V62" i="5" s="1"/>
  <c r="R352" i="5"/>
  <c r="R358" i="5"/>
  <c r="S233" i="5"/>
  <c r="S252" i="5"/>
  <c r="R310" i="5"/>
  <c r="R309" i="5"/>
  <c r="R315" i="5"/>
  <c r="R311" i="5"/>
  <c r="R312" i="5"/>
  <c r="R316" i="5"/>
  <c r="R317" i="5"/>
  <c r="R308" i="5"/>
  <c r="R314" i="5"/>
  <c r="R313" i="5"/>
  <c r="R318" i="5"/>
  <c r="N15" i="53"/>
  <c r="K14" i="53"/>
  <c r="L14" i="53"/>
  <c r="AD14" i="53" s="1"/>
  <c r="M16" i="53"/>
  <c r="T255" i="5" l="1"/>
  <c r="X180" i="5"/>
  <c r="X177" i="5"/>
  <c r="X182" i="5"/>
  <c r="X184" i="5"/>
  <c r="R370" i="5"/>
  <c r="X178" i="5"/>
  <c r="X175" i="5"/>
  <c r="X183" i="5"/>
  <c r="X176" i="5"/>
  <c r="X179" i="5"/>
  <c r="X174" i="5"/>
  <c r="T259" i="5"/>
  <c r="S308" i="5"/>
  <c r="S309" i="5"/>
  <c r="S312" i="5"/>
  <c r="S313" i="5"/>
  <c r="S311" i="5"/>
  <c r="S310" i="5"/>
  <c r="S315" i="5"/>
  <c r="S318" i="5"/>
  <c r="S314" i="5"/>
  <c r="S317" i="5"/>
  <c r="S360" i="5"/>
  <c r="R366" i="5"/>
  <c r="Q375" i="5"/>
  <c r="T256" i="5"/>
  <c r="R373" i="5"/>
  <c r="R364" i="5"/>
  <c r="X57" i="5"/>
  <c r="W60" i="5"/>
  <c r="W62" i="5" s="1"/>
  <c r="S351" i="5"/>
  <c r="R365" i="5"/>
  <c r="T258" i="5"/>
  <c r="AA32" i="5"/>
  <c r="Z50" i="5"/>
  <c r="R369" i="5"/>
  <c r="S358" i="5"/>
  <c r="R371" i="5"/>
  <c r="R367" i="5"/>
  <c r="T252" i="5"/>
  <c r="T233" i="5"/>
  <c r="T254" i="5"/>
  <c r="R372" i="5"/>
  <c r="R374" i="5"/>
  <c r="S357" i="5"/>
  <c r="S350" i="5"/>
  <c r="S359" i="5"/>
  <c r="T262" i="5"/>
  <c r="T257" i="5"/>
  <c r="S352" i="5"/>
  <c r="S356" i="5"/>
  <c r="T248" i="5"/>
  <c r="T253" i="5"/>
  <c r="Y52" i="5"/>
  <c r="Y12" i="5" s="1"/>
  <c r="S354" i="5"/>
  <c r="S302" i="5"/>
  <c r="S296" i="5"/>
  <c r="S299" i="5"/>
  <c r="S295" i="5"/>
  <c r="S298" i="5"/>
  <c r="S304" i="5"/>
  <c r="S294" i="5"/>
  <c r="S297" i="5"/>
  <c r="S301" i="5"/>
  <c r="S300" i="5"/>
  <c r="S303" i="5"/>
  <c r="S263" i="5"/>
  <c r="S355" i="5"/>
  <c r="S353" i="5"/>
  <c r="W185" i="5"/>
  <c r="T260" i="5"/>
  <c r="V19" i="5"/>
  <c r="V21" i="5"/>
  <c r="U229" i="5"/>
  <c r="U224" i="5"/>
  <c r="U223" i="5"/>
  <c r="U228" i="5"/>
  <c r="U227" i="5"/>
  <c r="U230" i="5"/>
  <c r="U231" i="5"/>
  <c r="U222" i="5"/>
  <c r="U225" i="5"/>
  <c r="U226" i="5"/>
  <c r="U23" i="5"/>
  <c r="R142" i="28" s="1"/>
  <c r="U232" i="5"/>
  <c r="U240" i="5"/>
  <c r="U247" i="5"/>
  <c r="U245" i="5"/>
  <c r="U242" i="5"/>
  <c r="U238" i="5"/>
  <c r="U243" i="5"/>
  <c r="U239" i="5"/>
  <c r="U246" i="5"/>
  <c r="U237" i="5"/>
  <c r="U244" i="5"/>
  <c r="U241" i="5"/>
  <c r="R368" i="5"/>
  <c r="T261" i="5"/>
  <c r="Z49" i="5"/>
  <c r="Z34" i="5"/>
  <c r="Z56" i="5" s="1"/>
  <c r="AA31" i="5"/>
  <c r="N16" i="53"/>
  <c r="O15" i="53"/>
  <c r="O16" i="53"/>
  <c r="M14" i="53"/>
  <c r="X185" i="5" l="1"/>
  <c r="R375" i="5"/>
  <c r="S374" i="5"/>
  <c r="U258" i="5"/>
  <c r="U260" i="5"/>
  <c r="U262" i="5"/>
  <c r="U257" i="5"/>
  <c r="U309" i="5" s="1"/>
  <c r="S368" i="5"/>
  <c r="S369" i="5"/>
  <c r="Z52" i="5"/>
  <c r="Z12" i="5" s="1"/>
  <c r="Z180" i="5" s="1"/>
  <c r="U256" i="5"/>
  <c r="U254" i="5"/>
  <c r="U253" i="5"/>
  <c r="S367" i="5"/>
  <c r="Y178" i="5"/>
  <c r="Y183" i="5"/>
  <c r="Y182" i="5"/>
  <c r="Y174" i="5"/>
  <c r="Y180" i="5"/>
  <c r="Y175" i="5"/>
  <c r="Y176" i="5"/>
  <c r="Y184" i="5"/>
  <c r="Y181" i="5"/>
  <c r="Y179" i="5"/>
  <c r="Y177" i="5"/>
  <c r="S373" i="5"/>
  <c r="S365" i="5"/>
  <c r="T294" i="5"/>
  <c r="T301" i="5"/>
  <c r="T299" i="5"/>
  <c r="T263" i="5"/>
  <c r="T300" i="5"/>
  <c r="T297" i="5"/>
  <c r="T304" i="5"/>
  <c r="T295" i="5"/>
  <c r="T296" i="5"/>
  <c r="T303" i="5"/>
  <c r="T302" i="5"/>
  <c r="T298" i="5"/>
  <c r="S364" i="5"/>
  <c r="W19" i="5"/>
  <c r="W21" i="5"/>
  <c r="AB31" i="5"/>
  <c r="AA49" i="5"/>
  <c r="AA34" i="5"/>
  <c r="AA56" i="5" s="1"/>
  <c r="U255" i="5"/>
  <c r="U259" i="5"/>
  <c r="S371" i="5"/>
  <c r="S372" i="5"/>
  <c r="Y57" i="5"/>
  <c r="X60" i="5"/>
  <c r="X62" i="5" s="1"/>
  <c r="U233" i="5"/>
  <c r="U252" i="5"/>
  <c r="V241" i="5"/>
  <c r="V242" i="5"/>
  <c r="V240" i="5"/>
  <c r="V238" i="5"/>
  <c r="V245" i="5"/>
  <c r="V246" i="5"/>
  <c r="V237" i="5"/>
  <c r="V247" i="5"/>
  <c r="V239" i="5"/>
  <c r="V243" i="5"/>
  <c r="V244" i="5"/>
  <c r="S370" i="5"/>
  <c r="U261" i="5"/>
  <c r="V226" i="5"/>
  <c r="V225" i="5"/>
  <c r="V224" i="5"/>
  <c r="V222" i="5"/>
  <c r="V230" i="5"/>
  <c r="V223" i="5"/>
  <c r="V229" i="5"/>
  <c r="V227" i="5"/>
  <c r="V228" i="5"/>
  <c r="V231" i="5"/>
  <c r="V261" i="5" s="1"/>
  <c r="V232" i="5"/>
  <c r="V262" i="5" s="1"/>
  <c r="V23" i="5"/>
  <c r="S142" i="28" s="1"/>
  <c r="S366" i="5"/>
  <c r="T310" i="5"/>
  <c r="T308" i="5"/>
  <c r="T315" i="5"/>
  <c r="T313" i="5"/>
  <c r="T318" i="5"/>
  <c r="T314" i="5"/>
  <c r="T312" i="5"/>
  <c r="T317" i="5"/>
  <c r="T309" i="5"/>
  <c r="T316" i="5"/>
  <c r="T311" i="5"/>
  <c r="AA50" i="5"/>
  <c r="AB32" i="5"/>
  <c r="U248" i="5"/>
  <c r="T357" i="5"/>
  <c r="T354" i="5"/>
  <c r="T358" i="5"/>
  <c r="T353" i="5"/>
  <c r="T351" i="5"/>
  <c r="T350" i="5"/>
  <c r="T355" i="5"/>
  <c r="T360" i="5"/>
  <c r="T352" i="5"/>
  <c r="T359" i="5"/>
  <c r="T356" i="5"/>
  <c r="P15" i="53"/>
  <c r="P16" i="53"/>
  <c r="N14" i="53"/>
  <c r="V259" i="5" l="1"/>
  <c r="V254" i="5"/>
  <c r="V253" i="5"/>
  <c r="V256" i="5"/>
  <c r="V258" i="5"/>
  <c r="Z178" i="5"/>
  <c r="Z183" i="5"/>
  <c r="Z182" i="5"/>
  <c r="Z184" i="5"/>
  <c r="Z181" i="5"/>
  <c r="Z175" i="5"/>
  <c r="V255" i="5"/>
  <c r="V257" i="5"/>
  <c r="V316" i="5" s="1"/>
  <c r="Z177" i="5"/>
  <c r="Z176" i="5"/>
  <c r="T365" i="5"/>
  <c r="Z179" i="5"/>
  <c r="Z174" i="5"/>
  <c r="T373" i="5"/>
  <c r="T367" i="5"/>
  <c r="T372" i="5"/>
  <c r="T366" i="5"/>
  <c r="U318" i="5"/>
  <c r="T368" i="5"/>
  <c r="U315" i="5"/>
  <c r="U316" i="5"/>
  <c r="U314" i="5"/>
  <c r="U308" i="5"/>
  <c r="U312" i="5"/>
  <c r="U310" i="5"/>
  <c r="U317" i="5"/>
  <c r="U313" i="5"/>
  <c r="U311" i="5"/>
  <c r="V260" i="5"/>
  <c r="U357" i="5"/>
  <c r="U350" i="5"/>
  <c r="U302" i="5"/>
  <c r="U301" i="5"/>
  <c r="U299" i="5"/>
  <c r="U294" i="5"/>
  <c r="U304" i="5"/>
  <c r="U263" i="5"/>
  <c r="U300" i="5"/>
  <c r="U297" i="5"/>
  <c r="U295" i="5"/>
  <c r="U303" i="5"/>
  <c r="U296" i="5"/>
  <c r="U298" i="5"/>
  <c r="V248" i="5"/>
  <c r="U358" i="5"/>
  <c r="U353" i="5"/>
  <c r="U354" i="5"/>
  <c r="S375" i="5"/>
  <c r="T371" i="5"/>
  <c r="AA52" i="5"/>
  <c r="AA12" i="5" s="1"/>
  <c r="U359" i="5"/>
  <c r="T374" i="5"/>
  <c r="X21" i="5"/>
  <c r="X19" i="5"/>
  <c r="AB34" i="5"/>
  <c r="AB56" i="5" s="1"/>
  <c r="AB49" i="5"/>
  <c r="AC31" i="5"/>
  <c r="U352" i="5"/>
  <c r="U355" i="5"/>
  <c r="T369" i="5"/>
  <c r="Z57" i="5"/>
  <c r="Y60" i="5"/>
  <c r="Y62" i="5" s="1"/>
  <c r="W243" i="5"/>
  <c r="W242" i="5"/>
  <c r="W246" i="5"/>
  <c r="W240" i="5"/>
  <c r="W241" i="5"/>
  <c r="W238" i="5"/>
  <c r="W244" i="5"/>
  <c r="W237" i="5"/>
  <c r="W245" i="5"/>
  <c r="W247" i="5"/>
  <c r="W239" i="5"/>
  <c r="Y185" i="5"/>
  <c r="U356" i="5"/>
  <c r="U351" i="5"/>
  <c r="AB50" i="5"/>
  <c r="AC32" i="5"/>
  <c r="T370" i="5"/>
  <c r="T364" i="5"/>
  <c r="V252" i="5"/>
  <c r="V233" i="5"/>
  <c r="W230" i="5"/>
  <c r="W232" i="5"/>
  <c r="W231" i="5"/>
  <c r="W224" i="5"/>
  <c r="W226" i="5"/>
  <c r="W256" i="5" s="1"/>
  <c r="W222" i="5"/>
  <c r="W228" i="5"/>
  <c r="W227" i="5"/>
  <c r="W223" i="5"/>
  <c r="W225" i="5"/>
  <c r="W23" i="5"/>
  <c r="T142" i="28" s="1"/>
  <c r="W229" i="5"/>
  <c r="U360" i="5"/>
  <c r="O14" i="53"/>
  <c r="Q15" i="53"/>
  <c r="W259" i="5" l="1"/>
  <c r="V356" i="5"/>
  <c r="W255" i="5"/>
  <c r="V310" i="5"/>
  <c r="W260" i="5"/>
  <c r="U370" i="5"/>
  <c r="Z185" i="5"/>
  <c r="U372" i="5"/>
  <c r="W253" i="5"/>
  <c r="U365" i="5"/>
  <c r="W258" i="5"/>
  <c r="W254" i="5"/>
  <c r="V308" i="5"/>
  <c r="V311" i="5"/>
  <c r="V315" i="5"/>
  <c r="V309" i="5"/>
  <c r="V312" i="5"/>
  <c r="V318" i="5"/>
  <c r="V317" i="5"/>
  <c r="V314" i="5"/>
  <c r="V313" i="5"/>
  <c r="U364" i="5"/>
  <c r="W262" i="5"/>
  <c r="W257" i="5"/>
  <c r="W308" i="5" s="1"/>
  <c r="W261" i="5"/>
  <c r="U371" i="5"/>
  <c r="U368" i="5"/>
  <c r="U369" i="5"/>
  <c r="U367" i="5"/>
  <c r="U373" i="5"/>
  <c r="U366" i="5"/>
  <c r="V353" i="5"/>
  <c r="V355" i="5"/>
  <c r="V359" i="5"/>
  <c r="V352" i="5"/>
  <c r="V358" i="5"/>
  <c r="V360" i="5"/>
  <c r="V357" i="5"/>
  <c r="V350" i="5"/>
  <c r="V351" i="5"/>
  <c r="V354" i="5"/>
  <c r="W252" i="5"/>
  <c r="W233" i="5"/>
  <c r="V303" i="5"/>
  <c r="V301" i="5"/>
  <c r="V294" i="5"/>
  <c r="V299" i="5"/>
  <c r="V302" i="5"/>
  <c r="V304" i="5"/>
  <c r="V298" i="5"/>
  <c r="V296" i="5"/>
  <c r="V366" i="5" s="1"/>
  <c r="V295" i="5"/>
  <c r="V263" i="5"/>
  <c r="V297" i="5"/>
  <c r="V300" i="5"/>
  <c r="AA176" i="5"/>
  <c r="AA184" i="5"/>
  <c r="AA179" i="5"/>
  <c r="AA178" i="5"/>
  <c r="AA177" i="5"/>
  <c r="AA182" i="5"/>
  <c r="AA183" i="5"/>
  <c r="AA175" i="5"/>
  <c r="AA181" i="5"/>
  <c r="AA174" i="5"/>
  <c r="AA180" i="5"/>
  <c r="U374" i="5"/>
  <c r="T375" i="5"/>
  <c r="AC49" i="5"/>
  <c r="AC34" i="5"/>
  <c r="AC56" i="5" s="1"/>
  <c r="AD31" i="5"/>
  <c r="AB52" i="5"/>
  <c r="AB12" i="5" s="1"/>
  <c r="X239" i="5"/>
  <c r="X238" i="5"/>
  <c r="X237" i="5"/>
  <c r="X241" i="5"/>
  <c r="X240" i="5"/>
  <c r="X247" i="5"/>
  <c r="X242" i="5"/>
  <c r="X244" i="5"/>
  <c r="X243" i="5"/>
  <c r="X246" i="5"/>
  <c r="X245" i="5"/>
  <c r="AD32" i="5"/>
  <c r="AC50" i="5"/>
  <c r="W248" i="5"/>
  <c r="Y21" i="5"/>
  <c r="Y19" i="5"/>
  <c r="AA57" i="5"/>
  <c r="Z60" i="5"/>
  <c r="Z62" i="5" s="1"/>
  <c r="X230" i="5"/>
  <c r="X260" i="5" s="1"/>
  <c r="X224" i="5"/>
  <c r="X223" i="5"/>
  <c r="X23" i="5"/>
  <c r="U142" i="28" s="1"/>
  <c r="X229" i="5"/>
  <c r="X225" i="5"/>
  <c r="X226" i="5"/>
  <c r="X227" i="5"/>
  <c r="X232" i="5"/>
  <c r="X262" i="5" s="1"/>
  <c r="X228" i="5"/>
  <c r="X231" i="5"/>
  <c r="X222" i="5"/>
  <c r="R15" i="53"/>
  <c r="Q16" i="53"/>
  <c r="P14" i="53"/>
  <c r="X258" i="5" l="1"/>
  <c r="X257" i="5"/>
  <c r="X314" i="5" s="1"/>
  <c r="W358" i="5"/>
  <c r="X255" i="5"/>
  <c r="X259" i="5"/>
  <c r="V370" i="5"/>
  <c r="V373" i="5"/>
  <c r="U375" i="5"/>
  <c r="W313" i="5"/>
  <c r="W312" i="5"/>
  <c r="W317" i="5"/>
  <c r="W311" i="5"/>
  <c r="W314" i="5"/>
  <c r="W318" i="5"/>
  <c r="W315" i="5"/>
  <c r="W316" i="5"/>
  <c r="W310" i="5"/>
  <c r="W309" i="5"/>
  <c r="W353" i="5"/>
  <c r="V365" i="5"/>
  <c r="W360" i="5"/>
  <c r="W354" i="5"/>
  <c r="W359" i="5"/>
  <c r="W356" i="5"/>
  <c r="W357" i="5"/>
  <c r="V369" i="5"/>
  <c r="W350" i="5"/>
  <c r="W351" i="5"/>
  <c r="V374" i="5"/>
  <c r="V367" i="5"/>
  <c r="V364" i="5"/>
  <c r="W355" i="5"/>
  <c r="X254" i="5"/>
  <c r="W352" i="5"/>
  <c r="V372" i="5"/>
  <c r="V368" i="5"/>
  <c r="V371" i="5"/>
  <c r="X248" i="5"/>
  <c r="AD49" i="5"/>
  <c r="AE31" i="5"/>
  <c r="AD34" i="5"/>
  <c r="AD56" i="5" s="1"/>
  <c r="X261" i="5"/>
  <c r="X253" i="5"/>
  <c r="Y228" i="5"/>
  <c r="Y229" i="5"/>
  <c r="Y226" i="5"/>
  <c r="Y225" i="5"/>
  <c r="Y223" i="5"/>
  <c r="Y222" i="5"/>
  <c r="Y232" i="5"/>
  <c r="Y231" i="5"/>
  <c r="Y230" i="5"/>
  <c r="Y227" i="5"/>
  <c r="Y23" i="5"/>
  <c r="V142" i="28" s="1"/>
  <c r="Y224" i="5"/>
  <c r="AC52" i="5"/>
  <c r="AC12" i="5" s="1"/>
  <c r="Y246" i="5"/>
  <c r="Y244" i="5"/>
  <c r="Y238" i="5"/>
  <c r="Y239" i="5"/>
  <c r="Y245" i="5"/>
  <c r="Y241" i="5"/>
  <c r="Y247" i="5"/>
  <c r="Y242" i="5"/>
  <c r="Y237" i="5"/>
  <c r="Y240" i="5"/>
  <c r="Y243" i="5"/>
  <c r="X233" i="5"/>
  <c r="X252" i="5"/>
  <c r="Z19" i="5"/>
  <c r="Z21" i="5"/>
  <c r="AB184" i="5"/>
  <c r="AB183" i="5"/>
  <c r="AB177" i="5"/>
  <c r="AB175" i="5"/>
  <c r="AB180" i="5"/>
  <c r="AB174" i="5"/>
  <c r="AB176" i="5"/>
  <c r="AB178" i="5"/>
  <c r="AB179" i="5"/>
  <c r="AB181" i="5"/>
  <c r="AB182" i="5"/>
  <c r="W300" i="5"/>
  <c r="W294" i="5"/>
  <c r="W263" i="5"/>
  <c r="W302" i="5"/>
  <c r="W303" i="5"/>
  <c r="W304" i="5"/>
  <c r="W301" i="5"/>
  <c r="W296" i="5"/>
  <c r="W298" i="5"/>
  <c r="W295" i="5"/>
  <c r="W297" i="5"/>
  <c r="W299" i="5"/>
  <c r="X256" i="5"/>
  <c r="AB57" i="5"/>
  <c r="AA60" i="5"/>
  <c r="AA62" i="5" s="1"/>
  <c r="AD50" i="5"/>
  <c r="AE32" i="5"/>
  <c r="AA185" i="5"/>
  <c r="S16" i="53"/>
  <c r="S15" i="53"/>
  <c r="R16" i="53"/>
  <c r="Y260" i="5" l="1"/>
  <c r="X308" i="5"/>
  <c r="X316" i="5"/>
  <c r="X309" i="5"/>
  <c r="X312" i="5"/>
  <c r="W366" i="5"/>
  <c r="X310" i="5"/>
  <c r="X311" i="5"/>
  <c r="X317" i="5"/>
  <c r="X313" i="5"/>
  <c r="X315" i="5"/>
  <c r="X318" i="5"/>
  <c r="W371" i="5"/>
  <c r="W369" i="5"/>
  <c r="W372" i="5"/>
  <c r="X353" i="5"/>
  <c r="W368" i="5"/>
  <c r="W374" i="5"/>
  <c r="W370" i="5"/>
  <c r="W373" i="5"/>
  <c r="W367" i="5"/>
  <c r="V375" i="5"/>
  <c r="W365" i="5"/>
  <c r="W364" i="5"/>
  <c r="Y254" i="5"/>
  <c r="X358" i="5"/>
  <c r="X354" i="5"/>
  <c r="X352" i="5"/>
  <c r="X360" i="5"/>
  <c r="X359" i="5"/>
  <c r="X355" i="5"/>
  <c r="Y248" i="5"/>
  <c r="X351" i="5"/>
  <c r="X356" i="5"/>
  <c r="Y256" i="5"/>
  <c r="X357" i="5"/>
  <c r="Y258" i="5"/>
  <c r="AA21" i="5"/>
  <c r="AA19" i="5"/>
  <c r="Y257" i="5"/>
  <c r="Y259" i="5"/>
  <c r="AC57" i="5"/>
  <c r="AB60" i="5"/>
  <c r="AB62" i="5" s="1"/>
  <c r="X295" i="5"/>
  <c r="X303" i="5"/>
  <c r="X302" i="5"/>
  <c r="X296" i="5"/>
  <c r="X294" i="5"/>
  <c r="X300" i="5"/>
  <c r="X304" i="5"/>
  <c r="X297" i="5"/>
  <c r="X301" i="5"/>
  <c r="X298" i="5"/>
  <c r="X299" i="5"/>
  <c r="X263" i="5"/>
  <c r="Y261" i="5"/>
  <c r="AF31" i="5"/>
  <c r="AE49" i="5"/>
  <c r="AE34" i="5"/>
  <c r="AE56" i="5" s="1"/>
  <c r="Z245" i="5"/>
  <c r="Z247" i="5"/>
  <c r="Z246" i="5"/>
  <c r="Z242" i="5"/>
  <c r="Z237" i="5"/>
  <c r="Z241" i="5"/>
  <c r="Z240" i="5"/>
  <c r="Z239" i="5"/>
  <c r="Z244" i="5"/>
  <c r="Z238" i="5"/>
  <c r="Z243" i="5"/>
  <c r="Y262" i="5"/>
  <c r="AD52" i="5"/>
  <c r="AD12" i="5" s="1"/>
  <c r="Z230" i="5"/>
  <c r="Z226" i="5"/>
  <c r="Z223" i="5"/>
  <c r="Z228" i="5"/>
  <c r="Z224" i="5"/>
  <c r="Z232" i="5"/>
  <c r="Z227" i="5"/>
  <c r="Z257" i="5" s="1"/>
  <c r="Z231" i="5"/>
  <c r="Z225" i="5"/>
  <c r="Z23" i="5"/>
  <c r="W142" i="28" s="1"/>
  <c r="Z229" i="5"/>
  <c r="Z222" i="5"/>
  <c r="X350" i="5"/>
  <c r="Y233" i="5"/>
  <c r="Y252" i="5"/>
  <c r="AB185" i="5"/>
  <c r="AC183" i="5"/>
  <c r="AC184" i="5"/>
  <c r="AC181" i="5"/>
  <c r="AC180" i="5"/>
  <c r="AC174" i="5"/>
  <c r="AC179" i="5"/>
  <c r="AC175" i="5"/>
  <c r="AC177" i="5"/>
  <c r="AC182" i="5"/>
  <c r="AC178" i="5"/>
  <c r="AC176" i="5"/>
  <c r="Y253" i="5"/>
  <c r="AF32" i="5"/>
  <c r="AE50" i="5"/>
  <c r="Y255" i="5"/>
  <c r="Q14" i="53"/>
  <c r="AE14" i="53" s="1"/>
  <c r="T15" i="53"/>
  <c r="X371" i="5" l="1"/>
  <c r="X367" i="5"/>
  <c r="Z258" i="5"/>
  <c r="X370" i="5"/>
  <c r="X369" i="5"/>
  <c r="X366" i="5"/>
  <c r="W375" i="5"/>
  <c r="X374" i="5"/>
  <c r="Z255" i="5"/>
  <c r="X365" i="5"/>
  <c r="X372" i="5"/>
  <c r="X368" i="5"/>
  <c r="X373" i="5"/>
  <c r="Z259" i="5"/>
  <c r="Z260" i="5"/>
  <c r="Z262" i="5"/>
  <c r="Z253" i="5"/>
  <c r="Y355" i="5"/>
  <c r="Y359" i="5"/>
  <c r="Y356" i="5"/>
  <c r="Z233" i="5"/>
  <c r="Z252" i="5"/>
  <c r="Y352" i="5"/>
  <c r="AA228" i="5"/>
  <c r="AA229" i="5"/>
  <c r="AA230" i="5"/>
  <c r="AA222" i="5"/>
  <c r="AA223" i="5"/>
  <c r="AA232" i="5"/>
  <c r="AA226" i="5"/>
  <c r="AA227" i="5"/>
  <c r="AA231" i="5"/>
  <c r="AA225" i="5"/>
  <c r="AA23" i="5"/>
  <c r="X142" i="28" s="1"/>
  <c r="AA224" i="5"/>
  <c r="Z256" i="5"/>
  <c r="Y360" i="5"/>
  <c r="Y354" i="5"/>
  <c r="AA239" i="5"/>
  <c r="AA243" i="5"/>
  <c r="AA247" i="5"/>
  <c r="AA242" i="5"/>
  <c r="AA240" i="5"/>
  <c r="AA241" i="5"/>
  <c r="AA246" i="5"/>
  <c r="AA244" i="5"/>
  <c r="AA237" i="5"/>
  <c r="AA238" i="5"/>
  <c r="AA245" i="5"/>
  <c r="Y358" i="5"/>
  <c r="Y357" i="5"/>
  <c r="AB19" i="5"/>
  <c r="AB21" i="5"/>
  <c r="Z261" i="5"/>
  <c r="AE52" i="5"/>
  <c r="AE12" i="5" s="1"/>
  <c r="Y350" i="5"/>
  <c r="Y353" i="5"/>
  <c r="AD57" i="5"/>
  <c r="AC60" i="5"/>
  <c r="AC62" i="5" s="1"/>
  <c r="Y298" i="5"/>
  <c r="Y296" i="5"/>
  <c r="Y302" i="5"/>
  <c r="Y301" i="5"/>
  <c r="Y263" i="5"/>
  <c r="Y297" i="5"/>
  <c r="Y295" i="5"/>
  <c r="Y299" i="5"/>
  <c r="Y303" i="5"/>
  <c r="Y304" i="5"/>
  <c r="Y300" i="5"/>
  <c r="Y294" i="5"/>
  <c r="Z315" i="5"/>
  <c r="Z316" i="5"/>
  <c r="Z314" i="5"/>
  <c r="Z308" i="5"/>
  <c r="Z310" i="5"/>
  <c r="Z312" i="5"/>
  <c r="Z311" i="5"/>
  <c r="Z318" i="5"/>
  <c r="Z313" i="5"/>
  <c r="Z317" i="5"/>
  <c r="Z309" i="5"/>
  <c r="AD183" i="5"/>
  <c r="AD174" i="5"/>
  <c r="AD178" i="5"/>
  <c r="AD180" i="5"/>
  <c r="AD179" i="5"/>
  <c r="AD184" i="5"/>
  <c r="AD182" i="5"/>
  <c r="AD176" i="5"/>
  <c r="AD181" i="5"/>
  <c r="AD177" i="5"/>
  <c r="AD175" i="5"/>
  <c r="AF34" i="5"/>
  <c r="AF56" i="5" s="1"/>
  <c r="AF49" i="5"/>
  <c r="AG31" i="5"/>
  <c r="Y351" i="5"/>
  <c r="Z248" i="5"/>
  <c r="Y312" i="5"/>
  <c r="Y317" i="5"/>
  <c r="Y310" i="5"/>
  <c r="Y315" i="5"/>
  <c r="Y316" i="5"/>
  <c r="Y311" i="5"/>
  <c r="Y309" i="5"/>
  <c r="Y314" i="5"/>
  <c r="Y318" i="5"/>
  <c r="Y313" i="5"/>
  <c r="Y308" i="5"/>
  <c r="AF50" i="5"/>
  <c r="AG32" i="5"/>
  <c r="AG50" i="5" s="1"/>
  <c r="AC185" i="5"/>
  <c r="X364" i="5"/>
  <c r="Z254" i="5"/>
  <c r="U15" i="53"/>
  <c r="S14" i="53"/>
  <c r="R14" i="53"/>
  <c r="T16" i="53"/>
  <c r="X375" i="5" l="1"/>
  <c r="Y369" i="5"/>
  <c r="Y373" i="5"/>
  <c r="Z354" i="5"/>
  <c r="AA262" i="5"/>
  <c r="AA253" i="5"/>
  <c r="Y371" i="5"/>
  <c r="Y370" i="5"/>
  <c r="Z356" i="5"/>
  <c r="Z350" i="5"/>
  <c r="Y365" i="5"/>
  <c r="Y367" i="5"/>
  <c r="AC21" i="5"/>
  <c r="AC19" i="5"/>
  <c r="Z352" i="5"/>
  <c r="AA257" i="5"/>
  <c r="Y366" i="5"/>
  <c r="AE57" i="5"/>
  <c r="AD60" i="5"/>
  <c r="AD62" i="5" s="1"/>
  <c r="Y372" i="5"/>
  <c r="Z358" i="5"/>
  <c r="Z360" i="5"/>
  <c r="AA256" i="5"/>
  <c r="Z301" i="5"/>
  <c r="Z302" i="5"/>
  <c r="Z297" i="5"/>
  <c r="Z295" i="5"/>
  <c r="Z263" i="5"/>
  <c r="Z304" i="5"/>
  <c r="Z296" i="5"/>
  <c r="Z298" i="5"/>
  <c r="Z300" i="5"/>
  <c r="Z294" i="5"/>
  <c r="Z299" i="5"/>
  <c r="Z303" i="5"/>
  <c r="AG34" i="5"/>
  <c r="AG56" i="5" s="1"/>
  <c r="AG49" i="5"/>
  <c r="AG52" i="5" s="1"/>
  <c r="AG12" i="5" s="1"/>
  <c r="Y364" i="5"/>
  <c r="Z355" i="5"/>
  <c r="Z351" i="5"/>
  <c r="AF52" i="5"/>
  <c r="AF12" i="5" s="1"/>
  <c r="AE184" i="5"/>
  <c r="AE181" i="5"/>
  <c r="AE175" i="5"/>
  <c r="AE182" i="5"/>
  <c r="AE180" i="5"/>
  <c r="AE179" i="5"/>
  <c r="AE174" i="5"/>
  <c r="AE178" i="5"/>
  <c r="AE177" i="5"/>
  <c r="AE183" i="5"/>
  <c r="AE176" i="5"/>
  <c r="Z359" i="5"/>
  <c r="AA254" i="5"/>
  <c r="AA252" i="5"/>
  <c r="AA233" i="5"/>
  <c r="AA248" i="5"/>
  <c r="Z353" i="5"/>
  <c r="AA260" i="5"/>
  <c r="AB240" i="5"/>
  <c r="AB246" i="5"/>
  <c r="AB237" i="5"/>
  <c r="AB247" i="5"/>
  <c r="AB241" i="5"/>
  <c r="AB243" i="5"/>
  <c r="AB242" i="5"/>
  <c r="AB238" i="5"/>
  <c r="AB239" i="5"/>
  <c r="AB244" i="5"/>
  <c r="AB245" i="5"/>
  <c r="Y368" i="5"/>
  <c r="Z357" i="5"/>
  <c r="AA255" i="5"/>
  <c r="AA259" i="5"/>
  <c r="AD185" i="5"/>
  <c r="AB228" i="5"/>
  <c r="AB23" i="5"/>
  <c r="Y142" i="28" s="1"/>
  <c r="AB222" i="5"/>
  <c r="AB232" i="5"/>
  <c r="AB262" i="5" s="1"/>
  <c r="AB226" i="5"/>
  <c r="AB256" i="5" s="1"/>
  <c r="AB227" i="5"/>
  <c r="AB257" i="5" s="1"/>
  <c r="AB225" i="5"/>
  <c r="AB231" i="5"/>
  <c r="AB230" i="5"/>
  <c r="AB229" i="5"/>
  <c r="AB259" i="5" s="1"/>
  <c r="AB223" i="5"/>
  <c r="AB224" i="5"/>
  <c r="AB254" i="5" s="1"/>
  <c r="Y374" i="5"/>
  <c r="AA261" i="5"/>
  <c r="AA258" i="5"/>
  <c r="U16" i="53"/>
  <c r="V15" i="53"/>
  <c r="Z364" i="5" l="1"/>
  <c r="Z370" i="5"/>
  <c r="Z369" i="5"/>
  <c r="AB255" i="5"/>
  <c r="Z368" i="5"/>
  <c r="Z365" i="5"/>
  <c r="AB253" i="5"/>
  <c r="AB258" i="5"/>
  <c r="AE185" i="5"/>
  <c r="Z366" i="5"/>
  <c r="AA304" i="5"/>
  <c r="AA300" i="5"/>
  <c r="AA299" i="5"/>
  <c r="AA263" i="5"/>
  <c r="AA294" i="5"/>
  <c r="AA303" i="5"/>
  <c r="AA297" i="5"/>
  <c r="AA301" i="5"/>
  <c r="AA296" i="5"/>
  <c r="AA302" i="5"/>
  <c r="AA298" i="5"/>
  <c r="AA295" i="5"/>
  <c r="AA315" i="5"/>
  <c r="AA313" i="5"/>
  <c r="AA310" i="5"/>
  <c r="AA314" i="5"/>
  <c r="AA316" i="5"/>
  <c r="AA311" i="5"/>
  <c r="AA317" i="5"/>
  <c r="AA309" i="5"/>
  <c r="AA312" i="5"/>
  <c r="AA308" i="5"/>
  <c r="AA318" i="5"/>
  <c r="AB260" i="5"/>
  <c r="Y375" i="5"/>
  <c r="AB233" i="5"/>
  <c r="AB252" i="5"/>
  <c r="AB248" i="5"/>
  <c r="AB261" i="5"/>
  <c r="Z373" i="5"/>
  <c r="AG181" i="5"/>
  <c r="AG182" i="5"/>
  <c r="AG183" i="5"/>
  <c r="AG177" i="5"/>
  <c r="AG184" i="5"/>
  <c r="AG176" i="5"/>
  <c r="AG178" i="5"/>
  <c r="AG179" i="5"/>
  <c r="AG175" i="5"/>
  <c r="AG174" i="5"/>
  <c r="AG180" i="5"/>
  <c r="Z374" i="5"/>
  <c r="AC228" i="5"/>
  <c r="AC225" i="5"/>
  <c r="AC224" i="5"/>
  <c r="AC222" i="5"/>
  <c r="AC232" i="5"/>
  <c r="AC23" i="5"/>
  <c r="Z142" i="28" s="1"/>
  <c r="AC227" i="5"/>
  <c r="AC229" i="5"/>
  <c r="AC226" i="5"/>
  <c r="AC223" i="5"/>
  <c r="AC230" i="5"/>
  <c r="AC231" i="5"/>
  <c r="AA355" i="5"/>
  <c r="AA352" i="5"/>
  <c r="AA351" i="5"/>
  <c r="AA358" i="5"/>
  <c r="AA360" i="5"/>
  <c r="AA353" i="5"/>
  <c r="AA350" i="5"/>
  <c r="AA359" i="5"/>
  <c r="AA354" i="5"/>
  <c r="AA356" i="5"/>
  <c r="AA357" i="5"/>
  <c r="Z372" i="5"/>
  <c r="AC239" i="5"/>
  <c r="AC237" i="5"/>
  <c r="AC242" i="5"/>
  <c r="AC238" i="5"/>
  <c r="AC241" i="5"/>
  <c r="AC240" i="5"/>
  <c r="AC244" i="5"/>
  <c r="AC243" i="5"/>
  <c r="AC247" i="5"/>
  <c r="AC245" i="5"/>
  <c r="AC246" i="5"/>
  <c r="AB308" i="5"/>
  <c r="AB309" i="5"/>
  <c r="AB313" i="5"/>
  <c r="AB310" i="5"/>
  <c r="AB316" i="5"/>
  <c r="AB314" i="5"/>
  <c r="AB315" i="5"/>
  <c r="AB312" i="5"/>
  <c r="AB317" i="5"/>
  <c r="AB318" i="5"/>
  <c r="AB311" i="5"/>
  <c r="Z367" i="5"/>
  <c r="Z371" i="5"/>
  <c r="AD21" i="5"/>
  <c r="AD19" i="5"/>
  <c r="AF181" i="5"/>
  <c r="AF176" i="5"/>
  <c r="AF182" i="5"/>
  <c r="AF178" i="5"/>
  <c r="AF174" i="5"/>
  <c r="AF180" i="5"/>
  <c r="AF179" i="5"/>
  <c r="AF175" i="5"/>
  <c r="AF184" i="5"/>
  <c r="AF183" i="5"/>
  <c r="AF177" i="5"/>
  <c r="AF57" i="5"/>
  <c r="AE60" i="5"/>
  <c r="AE62" i="5" s="1"/>
  <c r="T14" i="53"/>
  <c r="U14" i="53"/>
  <c r="V16" i="53"/>
  <c r="W15" i="53"/>
  <c r="W16" i="53"/>
  <c r="AC256" i="5" l="1"/>
  <c r="AC258" i="5"/>
  <c r="AA367" i="5"/>
  <c r="AC253" i="5"/>
  <c r="AC255" i="5"/>
  <c r="AA372" i="5"/>
  <c r="AA370" i="5"/>
  <c r="AA371" i="5"/>
  <c r="AA365" i="5"/>
  <c r="AA364" i="5"/>
  <c r="Z375" i="5"/>
  <c r="AB358" i="5"/>
  <c r="AA368" i="5"/>
  <c r="AB355" i="5"/>
  <c r="AB354" i="5"/>
  <c r="AB360" i="5"/>
  <c r="AB357" i="5"/>
  <c r="AB356" i="5"/>
  <c r="AD247" i="5"/>
  <c r="AD240" i="5"/>
  <c r="AD237" i="5"/>
  <c r="AD242" i="5"/>
  <c r="AD245" i="5"/>
  <c r="AD239" i="5"/>
  <c r="AD241" i="5"/>
  <c r="AD246" i="5"/>
  <c r="AD243" i="5"/>
  <c r="AD238" i="5"/>
  <c r="AD244" i="5"/>
  <c r="AC248" i="5"/>
  <c r="AE19" i="5"/>
  <c r="AE21" i="5"/>
  <c r="AF185" i="5"/>
  <c r="AC259" i="5"/>
  <c r="AB359" i="5"/>
  <c r="AB351" i="5"/>
  <c r="AA374" i="5"/>
  <c r="AG57" i="5"/>
  <c r="AG60" i="5" s="1"/>
  <c r="AG62" i="5" s="1"/>
  <c r="AF60" i="5"/>
  <c r="AF62" i="5" s="1"/>
  <c r="AC257" i="5"/>
  <c r="AB350" i="5"/>
  <c r="AA366" i="5"/>
  <c r="AG185" i="5"/>
  <c r="AB353" i="5"/>
  <c r="AB295" i="5"/>
  <c r="AB302" i="5"/>
  <c r="AB298" i="5"/>
  <c r="AB368" i="5" s="1"/>
  <c r="AB299" i="5"/>
  <c r="AB297" i="5"/>
  <c r="AB263" i="5"/>
  <c r="AB296" i="5"/>
  <c r="AB304" i="5"/>
  <c r="AB301" i="5"/>
  <c r="AB300" i="5"/>
  <c r="AB303" i="5"/>
  <c r="AB294" i="5"/>
  <c r="AA369" i="5"/>
  <c r="AC262" i="5"/>
  <c r="AB352" i="5"/>
  <c r="AB366" i="5" s="1"/>
  <c r="AA373" i="5"/>
  <c r="AC261" i="5"/>
  <c r="AC252" i="5"/>
  <c r="AC233" i="5"/>
  <c r="AD224" i="5"/>
  <c r="AD254" i="5" s="1"/>
  <c r="AD232" i="5"/>
  <c r="AD230" i="5"/>
  <c r="AD226" i="5"/>
  <c r="AD225" i="5"/>
  <c r="AD255" i="5" s="1"/>
  <c r="AD227" i="5"/>
  <c r="AD223" i="5"/>
  <c r="AD231" i="5"/>
  <c r="AD228" i="5"/>
  <c r="AD222" i="5"/>
  <c r="AD229" i="5"/>
  <c r="AD259" i="5" s="1"/>
  <c r="AD23" i="5"/>
  <c r="AA142" i="28" s="1"/>
  <c r="AC260" i="5"/>
  <c r="AC254" i="5"/>
  <c r="X16" i="53"/>
  <c r="X15" i="53"/>
  <c r="V14" i="53"/>
  <c r="AF14" i="53" s="1"/>
  <c r="AD257" i="5" l="1"/>
  <c r="AD311" i="5" s="1"/>
  <c r="AD258" i="5"/>
  <c r="AD261" i="5"/>
  <c r="AB367" i="5"/>
  <c r="AD256" i="5"/>
  <c r="AB374" i="5"/>
  <c r="AB370" i="5"/>
  <c r="AC354" i="5"/>
  <c r="AB372" i="5"/>
  <c r="AB369" i="5"/>
  <c r="AA375" i="5"/>
  <c r="AD260" i="5"/>
  <c r="AB373" i="5"/>
  <c r="AC355" i="5"/>
  <c r="AB371" i="5"/>
  <c r="AC352" i="5"/>
  <c r="AC357" i="5"/>
  <c r="AB364" i="5"/>
  <c r="AC351" i="5"/>
  <c r="AC312" i="5"/>
  <c r="AC317" i="5"/>
  <c r="AC309" i="5"/>
  <c r="AC315" i="5"/>
  <c r="AC308" i="5"/>
  <c r="AC313" i="5"/>
  <c r="AC316" i="5"/>
  <c r="AC310" i="5"/>
  <c r="AC314" i="5"/>
  <c r="AC311" i="5"/>
  <c r="AC318" i="5"/>
  <c r="AE240" i="5"/>
  <c r="AE247" i="5"/>
  <c r="AE241" i="5"/>
  <c r="AE245" i="5"/>
  <c r="AE239" i="5"/>
  <c r="AE237" i="5"/>
  <c r="AE244" i="5"/>
  <c r="AE243" i="5"/>
  <c r="AE242" i="5"/>
  <c r="AE246" i="5"/>
  <c r="AE238" i="5"/>
  <c r="AD252" i="5"/>
  <c r="AD233" i="5"/>
  <c r="AD262" i="5"/>
  <c r="AC358" i="5"/>
  <c r="AF21" i="5"/>
  <c r="AF19" i="5"/>
  <c r="AE227" i="5"/>
  <c r="AE223" i="5"/>
  <c r="AE253" i="5" s="1"/>
  <c r="AE225" i="5"/>
  <c r="AE255" i="5" s="1"/>
  <c r="AE229" i="5"/>
  <c r="AE23" i="5"/>
  <c r="AB142" i="28" s="1"/>
  <c r="AE230" i="5"/>
  <c r="AE226" i="5"/>
  <c r="AE222" i="5"/>
  <c r="AE231" i="5"/>
  <c r="AE261" i="5" s="1"/>
  <c r="AE228" i="5"/>
  <c r="AE224" i="5"/>
  <c r="AE254" i="5" s="1"/>
  <c r="AE232" i="5"/>
  <c r="AE262" i="5" s="1"/>
  <c r="AC356" i="5"/>
  <c r="AG21" i="5"/>
  <c r="AG19" i="5"/>
  <c r="AC353" i="5"/>
  <c r="AC359" i="5"/>
  <c r="AC360" i="5"/>
  <c r="AD253" i="5"/>
  <c r="AC300" i="5"/>
  <c r="AC301" i="5"/>
  <c r="AC296" i="5"/>
  <c r="AC297" i="5"/>
  <c r="AC295" i="5"/>
  <c r="AC298" i="5"/>
  <c r="AC263" i="5"/>
  <c r="AC294" i="5"/>
  <c r="AC299" i="5"/>
  <c r="AC303" i="5"/>
  <c r="AC302" i="5"/>
  <c r="AC304" i="5"/>
  <c r="AC350" i="5"/>
  <c r="AB365" i="5"/>
  <c r="AD248" i="5"/>
  <c r="Y15" i="53"/>
  <c r="Y16" i="53"/>
  <c r="AD317" i="5" l="1"/>
  <c r="AD313" i="5"/>
  <c r="AD318" i="5"/>
  <c r="AD310" i="5"/>
  <c r="AD316" i="5"/>
  <c r="AD309" i="5"/>
  <c r="AD308" i="5"/>
  <c r="AD312" i="5"/>
  <c r="AD314" i="5"/>
  <c r="AD315" i="5"/>
  <c r="AE257" i="5"/>
  <c r="AE315" i="5" s="1"/>
  <c r="AD354" i="5"/>
  <c r="AE258" i="5"/>
  <c r="AC367" i="5"/>
  <c r="AE260" i="5"/>
  <c r="AE256" i="5"/>
  <c r="AC372" i="5"/>
  <c r="AC368" i="5"/>
  <c r="AC369" i="5"/>
  <c r="AC364" i="5"/>
  <c r="AD357" i="5"/>
  <c r="AD353" i="5"/>
  <c r="AE259" i="5"/>
  <c r="AC365" i="5"/>
  <c r="AD351" i="5"/>
  <c r="AD299" i="5"/>
  <c r="AD300" i="5"/>
  <c r="AD301" i="5"/>
  <c r="AD298" i="5"/>
  <c r="AD263" i="5"/>
  <c r="AD302" i="5"/>
  <c r="AD304" i="5"/>
  <c r="AD297" i="5"/>
  <c r="AD303" i="5"/>
  <c r="AD294" i="5"/>
  <c r="AD296" i="5"/>
  <c r="AD295" i="5"/>
  <c r="AB375" i="5"/>
  <c r="AC371" i="5"/>
  <c r="AG226" i="5"/>
  <c r="AG256" i="5" s="1"/>
  <c r="AG23" i="5"/>
  <c r="AD142" i="28" s="1"/>
  <c r="AG232" i="5"/>
  <c r="AG229" i="5"/>
  <c r="AG223" i="5"/>
  <c r="AG228" i="5"/>
  <c r="AG225" i="5"/>
  <c r="AG231" i="5"/>
  <c r="AG227" i="5"/>
  <c r="AG257" i="5" s="1"/>
  <c r="AG222" i="5"/>
  <c r="AG224" i="5"/>
  <c r="AG230" i="5"/>
  <c r="AD360" i="5"/>
  <c r="AC366" i="5"/>
  <c r="AD350" i="5"/>
  <c r="AE248" i="5"/>
  <c r="AG246" i="5"/>
  <c r="AG238" i="5"/>
  <c r="AG241" i="5"/>
  <c r="AG240" i="5"/>
  <c r="AG237" i="5"/>
  <c r="AG242" i="5"/>
  <c r="AG244" i="5"/>
  <c r="AG245" i="5"/>
  <c r="AG239" i="5"/>
  <c r="AG247" i="5"/>
  <c r="AG243" i="5"/>
  <c r="AC374" i="5"/>
  <c r="AC370" i="5"/>
  <c r="AD359" i="5"/>
  <c r="AE233" i="5"/>
  <c r="AE252" i="5"/>
  <c r="AF232" i="5"/>
  <c r="AF23" i="5"/>
  <c r="AC142" i="28" s="1"/>
  <c r="AF228" i="5"/>
  <c r="AF229" i="5"/>
  <c r="AF223" i="5"/>
  <c r="AF226" i="5"/>
  <c r="AF225" i="5"/>
  <c r="AF231" i="5"/>
  <c r="AF224" i="5"/>
  <c r="AF230" i="5"/>
  <c r="AF227" i="5"/>
  <c r="AF222" i="5"/>
  <c r="AD355" i="5"/>
  <c r="AD356" i="5"/>
  <c r="AD352" i="5"/>
  <c r="AC373" i="5"/>
  <c r="AD358" i="5"/>
  <c r="AF242" i="5"/>
  <c r="AF241" i="5"/>
  <c r="AF244" i="5"/>
  <c r="AF245" i="5"/>
  <c r="AF247" i="5"/>
  <c r="AF243" i="5"/>
  <c r="AF239" i="5"/>
  <c r="AF246" i="5"/>
  <c r="AF240" i="5"/>
  <c r="AF238" i="5"/>
  <c r="AF237" i="5"/>
  <c r="Z15" i="53"/>
  <c r="W14" i="53"/>
  <c r="AA15" i="53"/>
  <c r="AA16" i="53"/>
  <c r="AD368" i="5" l="1"/>
  <c r="AE316" i="5"/>
  <c r="AE318" i="5"/>
  <c r="AE314" i="5"/>
  <c r="AE308" i="5"/>
  <c r="AE312" i="5"/>
  <c r="AE317" i="5"/>
  <c r="AE309" i="5"/>
  <c r="AE313" i="5"/>
  <c r="AE310" i="5"/>
  <c r="AE311" i="5"/>
  <c r="AF257" i="5"/>
  <c r="AF309" i="5" s="1"/>
  <c r="AD371" i="5"/>
  <c r="AF254" i="5"/>
  <c r="AG260" i="5"/>
  <c r="AD369" i="5"/>
  <c r="AD366" i="5"/>
  <c r="AE358" i="5"/>
  <c r="AF262" i="5"/>
  <c r="AF258" i="5"/>
  <c r="AE354" i="5"/>
  <c r="AD372" i="5"/>
  <c r="AD374" i="5"/>
  <c r="AG253" i="5"/>
  <c r="AF261" i="5"/>
  <c r="AE355" i="5"/>
  <c r="AF255" i="5"/>
  <c r="AC375" i="5"/>
  <c r="AF253" i="5"/>
  <c r="AG248" i="5"/>
  <c r="AE350" i="5"/>
  <c r="AD365" i="5"/>
  <c r="AF248" i="5"/>
  <c r="AF233" i="5"/>
  <c r="AF252" i="5"/>
  <c r="AF259" i="5"/>
  <c r="AG261" i="5"/>
  <c r="AE357" i="5"/>
  <c r="AG255" i="5"/>
  <c r="AE351" i="5"/>
  <c r="AE356" i="5"/>
  <c r="AG311" i="5"/>
  <c r="AG310" i="5"/>
  <c r="AG308" i="5"/>
  <c r="AG315" i="5"/>
  <c r="AG313" i="5"/>
  <c r="AG318" i="5"/>
  <c r="AG314" i="5"/>
  <c r="AG309" i="5"/>
  <c r="AG316" i="5"/>
  <c r="AG312" i="5"/>
  <c r="AG317" i="5"/>
  <c r="AF260" i="5"/>
  <c r="AG258" i="5"/>
  <c r="AE360" i="5"/>
  <c r="AE359" i="5"/>
  <c r="AG259" i="5"/>
  <c r="AE352" i="5"/>
  <c r="AD367" i="5"/>
  <c r="AE263" i="5"/>
  <c r="AE298" i="5"/>
  <c r="AE304" i="5"/>
  <c r="AE301" i="5"/>
  <c r="AE296" i="5"/>
  <c r="AE295" i="5"/>
  <c r="AE303" i="5"/>
  <c r="AE294" i="5"/>
  <c r="AE297" i="5"/>
  <c r="AE299" i="5"/>
  <c r="AE300" i="5"/>
  <c r="AE302" i="5"/>
  <c r="AG254" i="5"/>
  <c r="AG262" i="5"/>
  <c r="AE353" i="5"/>
  <c r="AD364" i="5"/>
  <c r="AD370" i="5"/>
  <c r="AF256" i="5"/>
  <c r="AD373" i="5"/>
  <c r="AG233" i="5"/>
  <c r="AG252" i="5"/>
  <c r="Z16" i="53"/>
  <c r="X14" i="53"/>
  <c r="AF316" i="5" l="1"/>
  <c r="AF317" i="5"/>
  <c r="AF313" i="5"/>
  <c r="AF311" i="5"/>
  <c r="AF310" i="5"/>
  <c r="AF314" i="5"/>
  <c r="AF315" i="5"/>
  <c r="AF318" i="5"/>
  <c r="AF312" i="5"/>
  <c r="AF308" i="5"/>
  <c r="AE372" i="5"/>
  <c r="AE368" i="5"/>
  <c r="AE364" i="5"/>
  <c r="AE369" i="5"/>
  <c r="AE373" i="5"/>
  <c r="AF359" i="5"/>
  <c r="AE366" i="5"/>
  <c r="AE371" i="5"/>
  <c r="AF355" i="5"/>
  <c r="AE374" i="5"/>
  <c r="AE365" i="5"/>
  <c r="AF357" i="5"/>
  <c r="AF356" i="5"/>
  <c r="AG359" i="5"/>
  <c r="AG350" i="5"/>
  <c r="AG357" i="5"/>
  <c r="AG354" i="5"/>
  <c r="AG352" i="5"/>
  <c r="AG353" i="5"/>
  <c r="AG358" i="5"/>
  <c r="AG360" i="5"/>
  <c r="AG351" i="5"/>
  <c r="AG355" i="5"/>
  <c r="AG356" i="5"/>
  <c r="AD375" i="5"/>
  <c r="AF358" i="5"/>
  <c r="AE367" i="5"/>
  <c r="AF354" i="5"/>
  <c r="AF360" i="5"/>
  <c r="AF300" i="5"/>
  <c r="AF303" i="5"/>
  <c r="AF296" i="5"/>
  <c r="AF263" i="5"/>
  <c r="AF302" i="5"/>
  <c r="AF301" i="5"/>
  <c r="AF299" i="5"/>
  <c r="AF294" i="5"/>
  <c r="AF298" i="5"/>
  <c r="AF295" i="5"/>
  <c r="AF297" i="5"/>
  <c r="AF304" i="5"/>
  <c r="AE370" i="5"/>
  <c r="AF351" i="5"/>
  <c r="AF352" i="5"/>
  <c r="AF353" i="5"/>
  <c r="AF350" i="5"/>
  <c r="AG300" i="5"/>
  <c r="AG301" i="5"/>
  <c r="AG295" i="5"/>
  <c r="AG298" i="5"/>
  <c r="AG302" i="5"/>
  <c r="AG296" i="5"/>
  <c r="AG299" i="5"/>
  <c r="AG294" i="5"/>
  <c r="AG263" i="5"/>
  <c r="AG297" i="5"/>
  <c r="AG304" i="5"/>
  <c r="AG303" i="5"/>
  <c r="Y14" i="53"/>
  <c r="AA14" i="53"/>
  <c r="AG14" i="53" s="1"/>
  <c r="AF373" i="5" l="1"/>
  <c r="AF364" i="5"/>
  <c r="AF365" i="5"/>
  <c r="AF366" i="5"/>
  <c r="AF369" i="5"/>
  <c r="AG365" i="5"/>
  <c r="AG373" i="5"/>
  <c r="AF367" i="5"/>
  <c r="AF374" i="5"/>
  <c r="AG374" i="5"/>
  <c r="AE375" i="5"/>
  <c r="AF370" i="5"/>
  <c r="AF368" i="5"/>
  <c r="AG372" i="5"/>
  <c r="AF371" i="5"/>
  <c r="AG367" i="5"/>
  <c r="AF372" i="5"/>
  <c r="AG366" i="5"/>
  <c r="AG368" i="5"/>
  <c r="AG370" i="5"/>
  <c r="AG371" i="5"/>
  <c r="AG369" i="5"/>
  <c r="AG364" i="5"/>
  <c r="Z14" i="53"/>
  <c r="AF375" i="5" l="1"/>
  <c r="AG375" i="5"/>
  <c r="F15" i="53" l="1"/>
  <c r="V53" i="26"/>
  <c r="U53" i="26"/>
  <c r="T53" i="26"/>
  <c r="S53" i="26"/>
  <c r="R53" i="26"/>
  <c r="Q53" i="26"/>
  <c r="P53" i="26"/>
  <c r="N181" i="26"/>
  <c r="N185" i="26"/>
  <c r="N53" i="26"/>
  <c r="N183" i="26"/>
  <c r="J182" i="26"/>
  <c r="J53" i="26"/>
  <c r="J183" i="26"/>
  <c r="H53" i="26"/>
  <c r="L53" i="26"/>
  <c r="G53" i="26"/>
  <c r="O177" i="26"/>
  <c r="O181" i="26"/>
  <c r="O185" i="26"/>
  <c r="O53" i="26"/>
  <c r="O183" i="26"/>
  <c r="M53" i="26"/>
  <c r="K183" i="26"/>
  <c r="K176" i="26"/>
  <c r="K180" i="26"/>
  <c r="K53" i="26"/>
  <c r="K185" i="26"/>
  <c r="I53" i="26"/>
  <c r="F53" i="26"/>
  <c r="G175" i="26" l="1"/>
  <c r="G184" i="26"/>
  <c r="G177" i="26"/>
  <c r="G183" i="26"/>
  <c r="G181" i="26"/>
  <c r="G185" i="26"/>
  <c r="G178" i="26"/>
  <c r="G182" i="26"/>
  <c r="G176" i="26"/>
  <c r="G179" i="26"/>
  <c r="G180" i="26"/>
  <c r="L176" i="26"/>
  <c r="L175" i="26"/>
  <c r="L182" i="26"/>
  <c r="L185" i="26"/>
  <c r="L181" i="26"/>
  <c r="L179" i="26"/>
  <c r="L183" i="26"/>
  <c r="L180" i="26"/>
  <c r="L184" i="26"/>
  <c r="L177" i="26"/>
  <c r="L178" i="26"/>
  <c r="M175" i="26"/>
  <c r="M185" i="26"/>
  <c r="M178" i="26"/>
  <c r="M184" i="26"/>
  <c r="M182" i="26"/>
  <c r="M179" i="26"/>
  <c r="M183" i="26"/>
  <c r="M176" i="26"/>
  <c r="M177" i="26"/>
  <c r="M180" i="26"/>
  <c r="M181" i="26"/>
  <c r="I180" i="26"/>
  <c r="H184" i="26"/>
  <c r="H177" i="26"/>
  <c r="H181" i="26"/>
  <c r="H185" i="26"/>
  <c r="H176" i="26"/>
  <c r="H182" i="26"/>
  <c r="H180" i="26"/>
  <c r="I176" i="26"/>
  <c r="H183" i="26"/>
  <c r="I182" i="26"/>
  <c r="I183" i="26"/>
  <c r="J176" i="26"/>
  <c r="J185" i="26"/>
  <c r="J175" i="26"/>
  <c r="J180" i="26"/>
  <c r="J179" i="26"/>
  <c r="F179" i="26"/>
  <c r="K175" i="26"/>
  <c r="K179" i="26"/>
  <c r="O175" i="26"/>
  <c r="O184" i="26"/>
  <c r="I178" i="26"/>
  <c r="I179" i="26"/>
  <c r="F182" i="26"/>
  <c r="K182" i="26"/>
  <c r="O180" i="26"/>
  <c r="I185" i="26"/>
  <c r="J181" i="26"/>
  <c r="N182" i="26"/>
  <c r="N184" i="26"/>
  <c r="N176" i="26"/>
  <c r="N179" i="26"/>
  <c r="N177" i="26"/>
  <c r="N175" i="26"/>
  <c r="F178" i="26"/>
  <c r="K181" i="26"/>
  <c r="K178" i="26"/>
  <c r="O179" i="26"/>
  <c r="O176" i="26"/>
  <c r="I181" i="26"/>
  <c r="J177" i="26"/>
  <c r="F180" i="26"/>
  <c r="F58" i="26"/>
  <c r="K177" i="26"/>
  <c r="O182" i="26"/>
  <c r="I177" i="26"/>
  <c r="J178" i="26"/>
  <c r="N178" i="26"/>
  <c r="H178" i="26"/>
  <c r="F177" i="26"/>
  <c r="F181" i="26"/>
  <c r="F183" i="26"/>
  <c r="F185" i="26"/>
  <c r="F176" i="26"/>
  <c r="F175" i="26"/>
  <c r="F184" i="26"/>
  <c r="I175" i="26"/>
  <c r="K184" i="26"/>
  <c r="O178" i="26"/>
  <c r="I184" i="26"/>
  <c r="H175" i="26"/>
  <c r="J184" i="26"/>
  <c r="N180" i="26"/>
  <c r="H179" i="26"/>
  <c r="I186" i="26" l="1"/>
  <c r="K186" i="26"/>
  <c r="L186" i="26"/>
  <c r="J186" i="26"/>
  <c r="F186" i="26"/>
  <c r="O186" i="26"/>
  <c r="H186" i="26"/>
  <c r="N186" i="26"/>
  <c r="M186" i="26"/>
  <c r="G186" i="26"/>
  <c r="G58" i="26"/>
  <c r="F63" i="26"/>
  <c r="F20" i="26" l="1"/>
  <c r="F22" i="26"/>
  <c r="H58" i="26"/>
  <c r="G63" i="26"/>
  <c r="G22" i="26" l="1"/>
  <c r="G20" i="26"/>
  <c r="I58" i="26"/>
  <c r="H63" i="26"/>
  <c r="F238" i="26"/>
  <c r="F241" i="26"/>
  <c r="F242" i="26"/>
  <c r="F244" i="26"/>
  <c r="F246" i="26"/>
  <c r="F240" i="26"/>
  <c r="F245" i="26"/>
  <c r="F239" i="26"/>
  <c r="F248" i="26"/>
  <c r="F243" i="26"/>
  <c r="F247" i="26"/>
  <c r="F223" i="26"/>
  <c r="F229" i="26"/>
  <c r="F224" i="26"/>
  <c r="F228" i="26"/>
  <c r="F232" i="26"/>
  <c r="F227" i="26"/>
  <c r="F231" i="26"/>
  <c r="F230" i="26"/>
  <c r="F225" i="26"/>
  <c r="F226" i="26"/>
  <c r="F233" i="26"/>
  <c r="F24" i="26"/>
  <c r="F234" i="26" l="1"/>
  <c r="F249" i="26"/>
  <c r="F286" i="26"/>
  <c r="F383" i="5" s="1"/>
  <c r="F425" i="5" s="1"/>
  <c r="F281" i="26"/>
  <c r="F287" i="26"/>
  <c r="F384" i="5" s="1"/>
  <c r="F291" i="26"/>
  <c r="F388" i="5" s="1"/>
  <c r="F430" i="5" s="1"/>
  <c r="F282" i="26"/>
  <c r="F379" i="5" s="1"/>
  <c r="F421" i="5" s="1"/>
  <c r="F285" i="26"/>
  <c r="F382" i="5" s="1"/>
  <c r="F424" i="5" s="1"/>
  <c r="F283" i="26"/>
  <c r="F380" i="5" s="1"/>
  <c r="F422" i="5" s="1"/>
  <c r="F284" i="26"/>
  <c r="F381" i="5" s="1"/>
  <c r="F423" i="5" s="1"/>
  <c r="F290" i="26"/>
  <c r="F387" i="5" s="1"/>
  <c r="F429" i="5" s="1"/>
  <c r="F288" i="26"/>
  <c r="F385" i="5" s="1"/>
  <c r="F427" i="5" s="1"/>
  <c r="F289" i="26"/>
  <c r="F386" i="5" s="1"/>
  <c r="F428" i="5" s="1"/>
  <c r="G223" i="26"/>
  <c r="G228" i="26"/>
  <c r="G231" i="26"/>
  <c r="G225" i="26"/>
  <c r="G226" i="26"/>
  <c r="G229" i="26"/>
  <c r="G233" i="26"/>
  <c r="G224" i="26"/>
  <c r="G232" i="26"/>
  <c r="G227" i="26"/>
  <c r="G230" i="26"/>
  <c r="G24" i="26"/>
  <c r="H22" i="26"/>
  <c r="H20" i="26"/>
  <c r="J58" i="26"/>
  <c r="I63" i="26"/>
  <c r="G238" i="26"/>
  <c r="G239" i="26"/>
  <c r="G240" i="26"/>
  <c r="G241" i="26"/>
  <c r="G248" i="26"/>
  <c r="G244" i="26"/>
  <c r="G243" i="26"/>
  <c r="G246" i="26"/>
  <c r="G242" i="26"/>
  <c r="G247" i="26"/>
  <c r="G245" i="26"/>
  <c r="G234" i="26" l="1"/>
  <c r="G281" i="26"/>
  <c r="G283" i="26"/>
  <c r="G380" i="5" s="1"/>
  <c r="G422" i="5" s="1"/>
  <c r="G291" i="26"/>
  <c r="G388" i="5" s="1"/>
  <c r="G430" i="5" s="1"/>
  <c r="G290" i="26"/>
  <c r="G387" i="5" s="1"/>
  <c r="G429" i="5" s="1"/>
  <c r="G285" i="26"/>
  <c r="G382" i="5" s="1"/>
  <c r="G424" i="5" s="1"/>
  <c r="G289" i="26"/>
  <c r="G386" i="5" s="1"/>
  <c r="G428" i="5" s="1"/>
  <c r="G282" i="26"/>
  <c r="G379" i="5" s="1"/>
  <c r="G421" i="5" s="1"/>
  <c r="G286" i="26"/>
  <c r="G383" i="5" s="1"/>
  <c r="G425" i="5" s="1"/>
  <c r="G284" i="26"/>
  <c r="G381" i="5" s="1"/>
  <c r="G423" i="5" s="1"/>
  <c r="G288" i="26"/>
  <c r="G385" i="5" s="1"/>
  <c r="G427" i="5" s="1"/>
  <c r="G287" i="26"/>
  <c r="G384" i="5" s="1"/>
  <c r="G249" i="26"/>
  <c r="K58" i="26"/>
  <c r="J63" i="26"/>
  <c r="F292" i="26"/>
  <c r="F378" i="5"/>
  <c r="I22" i="26"/>
  <c r="I20" i="26"/>
  <c r="H223" i="26"/>
  <c r="H225" i="26"/>
  <c r="H227" i="26"/>
  <c r="H233" i="26"/>
  <c r="H228" i="26"/>
  <c r="H230" i="26"/>
  <c r="H231" i="26"/>
  <c r="H226" i="26"/>
  <c r="H229" i="26"/>
  <c r="H224" i="26"/>
  <c r="H232" i="26"/>
  <c r="H24" i="26"/>
  <c r="H248" i="26"/>
  <c r="H243" i="26"/>
  <c r="H244" i="26"/>
  <c r="H246" i="26"/>
  <c r="H239" i="26"/>
  <c r="H241" i="26"/>
  <c r="H247" i="26"/>
  <c r="H238" i="26"/>
  <c r="H242" i="26"/>
  <c r="H245" i="26"/>
  <c r="H240" i="26"/>
  <c r="H249" i="26" l="1"/>
  <c r="H290" i="26"/>
  <c r="H387" i="5" s="1"/>
  <c r="H429" i="5" s="1"/>
  <c r="H282" i="26"/>
  <c r="H379" i="5" s="1"/>
  <c r="H421" i="5" s="1"/>
  <c r="H289" i="26"/>
  <c r="H386" i="5" s="1"/>
  <c r="H428" i="5" s="1"/>
  <c r="H285" i="26"/>
  <c r="H382" i="5" s="1"/>
  <c r="H424" i="5" s="1"/>
  <c r="H286" i="26"/>
  <c r="H383" i="5" s="1"/>
  <c r="H425" i="5" s="1"/>
  <c r="H287" i="26"/>
  <c r="H384" i="5" s="1"/>
  <c r="H283" i="26"/>
  <c r="H380" i="5" s="1"/>
  <c r="H422" i="5" s="1"/>
  <c r="H284" i="26"/>
  <c r="H381" i="5" s="1"/>
  <c r="H423" i="5" s="1"/>
  <c r="H288" i="26"/>
  <c r="H385" i="5" s="1"/>
  <c r="H427" i="5" s="1"/>
  <c r="H291" i="26"/>
  <c r="H388" i="5" s="1"/>
  <c r="H430" i="5" s="1"/>
  <c r="H281" i="26"/>
  <c r="L58" i="26"/>
  <c r="K63" i="26"/>
  <c r="J22" i="26"/>
  <c r="J20" i="26"/>
  <c r="H234" i="26"/>
  <c r="I223" i="26"/>
  <c r="I230" i="26"/>
  <c r="I226" i="26"/>
  <c r="I229" i="26"/>
  <c r="I224" i="26"/>
  <c r="I225" i="26"/>
  <c r="I232" i="26"/>
  <c r="I233" i="26"/>
  <c r="I228" i="26"/>
  <c r="I227" i="26"/>
  <c r="I231" i="26"/>
  <c r="I24" i="26"/>
  <c r="I238" i="26"/>
  <c r="I247" i="26"/>
  <c r="I242" i="26"/>
  <c r="I245" i="26"/>
  <c r="I246" i="26"/>
  <c r="I240" i="26"/>
  <c r="I248" i="26"/>
  <c r="I241" i="26"/>
  <c r="I244" i="26"/>
  <c r="I243" i="26"/>
  <c r="I239" i="26"/>
  <c r="G378" i="5"/>
  <c r="G292" i="26"/>
  <c r="F389" i="5"/>
  <c r="F420" i="5"/>
  <c r="K22" i="26" l="1"/>
  <c r="K20" i="26"/>
  <c r="I249" i="26"/>
  <c r="M58" i="26"/>
  <c r="L63" i="26"/>
  <c r="J223" i="26"/>
  <c r="J233" i="26"/>
  <c r="J232" i="26"/>
  <c r="J228" i="26"/>
  <c r="J231" i="26"/>
  <c r="J226" i="26"/>
  <c r="J227" i="26"/>
  <c r="J229" i="26"/>
  <c r="J230" i="26"/>
  <c r="J224" i="26"/>
  <c r="J225" i="26"/>
  <c r="J24" i="26"/>
  <c r="H378" i="5"/>
  <c r="H292" i="26"/>
  <c r="I281" i="26"/>
  <c r="I287" i="26"/>
  <c r="I384" i="5" s="1"/>
  <c r="I288" i="26"/>
  <c r="I385" i="5" s="1"/>
  <c r="I427" i="5" s="1"/>
  <c r="I286" i="26"/>
  <c r="I383" i="5" s="1"/>
  <c r="I425" i="5" s="1"/>
  <c r="I284" i="26"/>
  <c r="I381" i="5" s="1"/>
  <c r="I423" i="5" s="1"/>
  <c r="I291" i="26"/>
  <c r="I388" i="5" s="1"/>
  <c r="I430" i="5" s="1"/>
  <c r="I282" i="26"/>
  <c r="I379" i="5" s="1"/>
  <c r="I421" i="5" s="1"/>
  <c r="I283" i="26"/>
  <c r="I380" i="5" s="1"/>
  <c r="I422" i="5" s="1"/>
  <c r="I290" i="26"/>
  <c r="I387" i="5" s="1"/>
  <c r="I429" i="5" s="1"/>
  <c r="I289" i="26"/>
  <c r="I386" i="5" s="1"/>
  <c r="I428" i="5" s="1"/>
  <c r="I285" i="26"/>
  <c r="I382" i="5" s="1"/>
  <c r="I424" i="5" s="1"/>
  <c r="I234" i="26"/>
  <c r="J238" i="26"/>
  <c r="J240" i="26"/>
  <c r="J241" i="26"/>
  <c r="J248" i="26"/>
  <c r="J244" i="26"/>
  <c r="J239" i="26"/>
  <c r="J243" i="26"/>
  <c r="J247" i="26"/>
  <c r="J242" i="26"/>
  <c r="J245" i="26"/>
  <c r="J246" i="26"/>
  <c r="G389" i="5"/>
  <c r="G420" i="5"/>
  <c r="J249" i="26" l="1"/>
  <c r="J234" i="26"/>
  <c r="L22" i="26"/>
  <c r="L20" i="26"/>
  <c r="I378" i="5"/>
  <c r="I292" i="26"/>
  <c r="N58" i="26"/>
  <c r="M63" i="26"/>
  <c r="H420" i="5"/>
  <c r="H389" i="5"/>
  <c r="K225" i="26"/>
  <c r="K233" i="26"/>
  <c r="K224" i="26"/>
  <c r="K223" i="26"/>
  <c r="K228" i="26"/>
  <c r="K231" i="26"/>
  <c r="K227" i="26"/>
  <c r="K226" i="26"/>
  <c r="K232" i="26"/>
  <c r="K230" i="26"/>
  <c r="K229" i="26"/>
  <c r="K24" i="26"/>
  <c r="J291" i="26"/>
  <c r="J388" i="5" s="1"/>
  <c r="J430" i="5" s="1"/>
  <c r="E459" i="5" s="1"/>
  <c r="J288" i="26"/>
  <c r="J385" i="5" s="1"/>
  <c r="J427" i="5" s="1"/>
  <c r="E456" i="5" s="1"/>
  <c r="J289" i="26"/>
  <c r="J386" i="5" s="1"/>
  <c r="J428" i="5" s="1"/>
  <c r="E457" i="5" s="1"/>
  <c r="J283" i="26"/>
  <c r="J380" i="5" s="1"/>
  <c r="J422" i="5" s="1"/>
  <c r="E451" i="5" s="1"/>
  <c r="G138" i="28" s="1"/>
  <c r="D24" i="53" s="1"/>
  <c r="J282" i="26"/>
  <c r="J379" i="5" s="1"/>
  <c r="J290" i="26"/>
  <c r="J387" i="5" s="1"/>
  <c r="J429" i="5" s="1"/>
  <c r="E458" i="5" s="1"/>
  <c r="J285" i="26"/>
  <c r="J382" i="5" s="1"/>
  <c r="J424" i="5" s="1"/>
  <c r="E453" i="5" s="1"/>
  <c r="J284" i="26"/>
  <c r="J381" i="5" s="1"/>
  <c r="J423" i="5" s="1"/>
  <c r="J286" i="26"/>
  <c r="J383" i="5" s="1"/>
  <c r="J425" i="5" s="1"/>
  <c r="E454" i="5" s="1"/>
  <c r="J281" i="26"/>
  <c r="J287" i="26"/>
  <c r="J384" i="5" s="1"/>
  <c r="G143" i="28"/>
  <c r="K238" i="26"/>
  <c r="K241" i="26"/>
  <c r="K239" i="26"/>
  <c r="K247" i="26"/>
  <c r="K244" i="26"/>
  <c r="K243" i="26"/>
  <c r="K242" i="26"/>
  <c r="K248" i="26"/>
  <c r="K246" i="26"/>
  <c r="K240" i="26"/>
  <c r="K245" i="26"/>
  <c r="M20" i="26" l="1"/>
  <c r="M22" i="26"/>
  <c r="J378" i="5"/>
  <c r="J292" i="26"/>
  <c r="O58" i="26"/>
  <c r="N63" i="26"/>
  <c r="K282" i="26"/>
  <c r="K379" i="5" s="1"/>
  <c r="K288" i="26"/>
  <c r="K385" i="5" s="1"/>
  <c r="K427" i="5" s="1"/>
  <c r="F456" i="5" s="1"/>
  <c r="K283" i="26"/>
  <c r="K380" i="5" s="1"/>
  <c r="K422" i="5" s="1"/>
  <c r="F451" i="5" s="1"/>
  <c r="H138" i="28" s="1"/>
  <c r="E24" i="53" s="1"/>
  <c r="K286" i="26"/>
  <c r="K383" i="5" s="1"/>
  <c r="K425" i="5" s="1"/>
  <c r="F454" i="5" s="1"/>
  <c r="K289" i="26"/>
  <c r="K386" i="5" s="1"/>
  <c r="K428" i="5" s="1"/>
  <c r="F457" i="5" s="1"/>
  <c r="K284" i="26"/>
  <c r="K381" i="5" s="1"/>
  <c r="K423" i="5" s="1"/>
  <c r="K285" i="26"/>
  <c r="K382" i="5" s="1"/>
  <c r="K424" i="5" s="1"/>
  <c r="F453" i="5" s="1"/>
  <c r="K291" i="26"/>
  <c r="K388" i="5" s="1"/>
  <c r="K430" i="5" s="1"/>
  <c r="F459" i="5" s="1"/>
  <c r="K290" i="26"/>
  <c r="K387" i="5" s="1"/>
  <c r="K429" i="5" s="1"/>
  <c r="F458" i="5" s="1"/>
  <c r="K281" i="26"/>
  <c r="K287" i="26"/>
  <c r="K384" i="5" s="1"/>
  <c r="H143" i="28"/>
  <c r="I389" i="5"/>
  <c r="I420" i="5"/>
  <c r="L233" i="26"/>
  <c r="L223" i="26"/>
  <c r="L228" i="26"/>
  <c r="L229" i="26"/>
  <c r="L231" i="26"/>
  <c r="L224" i="26"/>
  <c r="L226" i="26"/>
  <c r="L232" i="26"/>
  <c r="L227" i="26"/>
  <c r="L230" i="26"/>
  <c r="L225" i="26"/>
  <c r="L24" i="26"/>
  <c r="E452" i="5"/>
  <c r="G139" i="28" s="1"/>
  <c r="D25" i="53" s="1"/>
  <c r="D22" i="55"/>
  <c r="K234" i="26"/>
  <c r="K249" i="26"/>
  <c r="G149" i="28"/>
  <c r="G151" i="28"/>
  <c r="G148" i="28"/>
  <c r="J421" i="5"/>
  <c r="G150" i="28"/>
  <c r="L238" i="26"/>
  <c r="L247" i="26"/>
  <c r="L244" i="26"/>
  <c r="L243" i="26"/>
  <c r="L242" i="26"/>
  <c r="L246" i="26"/>
  <c r="L245" i="26"/>
  <c r="L241" i="26"/>
  <c r="L248" i="26"/>
  <c r="L240" i="26"/>
  <c r="L239" i="26"/>
  <c r="H148" i="28" l="1"/>
  <c r="K421" i="5"/>
  <c r="H150" i="28"/>
  <c r="H149" i="28"/>
  <c r="H151" i="28"/>
  <c r="L291" i="26"/>
  <c r="L388" i="5" s="1"/>
  <c r="L430" i="5" s="1"/>
  <c r="G459" i="5" s="1"/>
  <c r="L282" i="26"/>
  <c r="L379" i="5" s="1"/>
  <c r="L289" i="26"/>
  <c r="L386" i="5" s="1"/>
  <c r="L428" i="5" s="1"/>
  <c r="G457" i="5" s="1"/>
  <c r="L284" i="26"/>
  <c r="L381" i="5" s="1"/>
  <c r="L423" i="5" s="1"/>
  <c r="L286" i="26"/>
  <c r="L383" i="5" s="1"/>
  <c r="L425" i="5" s="1"/>
  <c r="G454" i="5" s="1"/>
  <c r="L288" i="26"/>
  <c r="L385" i="5" s="1"/>
  <c r="L427" i="5" s="1"/>
  <c r="G456" i="5" s="1"/>
  <c r="L285" i="26"/>
  <c r="L382" i="5" s="1"/>
  <c r="L424" i="5" s="1"/>
  <c r="G453" i="5" s="1"/>
  <c r="L283" i="26"/>
  <c r="L380" i="5" s="1"/>
  <c r="L422" i="5" s="1"/>
  <c r="G451" i="5" s="1"/>
  <c r="I138" i="28" s="1"/>
  <c r="F24" i="53" s="1"/>
  <c r="L290" i="26"/>
  <c r="L387" i="5" s="1"/>
  <c r="L429" i="5" s="1"/>
  <c r="G458" i="5" s="1"/>
  <c r="I143" i="28"/>
  <c r="L281" i="26"/>
  <c r="L287" i="26"/>
  <c r="L384" i="5" s="1"/>
  <c r="N22" i="26"/>
  <c r="N20" i="26"/>
  <c r="P58" i="26"/>
  <c r="P61" i="26" s="1"/>
  <c r="P13" i="26" s="1"/>
  <c r="O63" i="26"/>
  <c r="K292" i="26"/>
  <c r="K378" i="5"/>
  <c r="F452" i="5"/>
  <c r="H139" i="28" s="1"/>
  <c r="E25" i="53" s="1"/>
  <c r="E22" i="55"/>
  <c r="E450" i="5"/>
  <c r="G137" i="28" s="1"/>
  <c r="D21" i="55"/>
  <c r="J420" i="5"/>
  <c r="E449" i="5" s="1"/>
  <c r="J389" i="5"/>
  <c r="L234" i="26"/>
  <c r="L249" i="26"/>
  <c r="D85" i="55"/>
  <c r="D89" i="55" s="1"/>
  <c r="D86" i="55"/>
  <c r="D90" i="55" s="1"/>
  <c r="M238" i="26"/>
  <c r="M241" i="26"/>
  <c r="M242" i="26"/>
  <c r="M245" i="26"/>
  <c r="M244" i="26"/>
  <c r="M239" i="26"/>
  <c r="M240" i="26"/>
  <c r="M247" i="26"/>
  <c r="M248" i="26"/>
  <c r="M243" i="26"/>
  <c r="M246" i="26"/>
  <c r="M226" i="26"/>
  <c r="M225" i="26"/>
  <c r="M233" i="26"/>
  <c r="M223" i="26"/>
  <c r="M229" i="26"/>
  <c r="M228" i="26"/>
  <c r="M224" i="26"/>
  <c r="M232" i="26"/>
  <c r="M231" i="26"/>
  <c r="M227" i="26"/>
  <c r="M230" i="26"/>
  <c r="M24" i="26"/>
  <c r="P176" i="26" l="1"/>
  <c r="P185" i="26"/>
  <c r="P183" i="26"/>
  <c r="P180" i="26"/>
  <c r="P181" i="26"/>
  <c r="P182" i="26"/>
  <c r="P175" i="26"/>
  <c r="P184" i="26"/>
  <c r="P178" i="26"/>
  <c r="P177" i="26"/>
  <c r="P179" i="26"/>
  <c r="L378" i="5"/>
  <c r="L292" i="26"/>
  <c r="L421" i="5"/>
  <c r="I148" i="28"/>
  <c r="I151" i="28"/>
  <c r="I150" i="28"/>
  <c r="I149" i="28"/>
  <c r="Q58" i="26"/>
  <c r="Q61" i="26" s="1"/>
  <c r="Q13" i="26" s="1"/>
  <c r="P63" i="26"/>
  <c r="M249" i="26"/>
  <c r="M234" i="26"/>
  <c r="D23" i="53"/>
  <c r="G147" i="28"/>
  <c r="N223" i="26"/>
  <c r="N231" i="26"/>
  <c r="N225" i="26"/>
  <c r="N226" i="26"/>
  <c r="N233" i="26"/>
  <c r="N229" i="26"/>
  <c r="N224" i="26"/>
  <c r="N228" i="26"/>
  <c r="N232" i="26"/>
  <c r="N227" i="26"/>
  <c r="N230" i="26"/>
  <c r="N24" i="26"/>
  <c r="O20" i="26"/>
  <c r="O22" i="26"/>
  <c r="D30" i="55"/>
  <c r="D31" i="55"/>
  <c r="D36" i="55" s="1"/>
  <c r="D32" i="55"/>
  <c r="E86" i="55"/>
  <c r="E90" i="55" s="1"/>
  <c r="E85" i="55"/>
  <c r="E89" i="55" s="1"/>
  <c r="N242" i="26"/>
  <c r="N239" i="26"/>
  <c r="N240" i="26"/>
  <c r="N241" i="26"/>
  <c r="N248" i="26"/>
  <c r="N243" i="26"/>
  <c r="N247" i="26"/>
  <c r="N246" i="26"/>
  <c r="N244" i="26"/>
  <c r="N238" i="26"/>
  <c r="N245" i="26"/>
  <c r="E21" i="55"/>
  <c r="F450" i="5"/>
  <c r="H137" i="28" s="1"/>
  <c r="K420" i="5"/>
  <c r="F449" i="5" s="1"/>
  <c r="K389" i="5"/>
  <c r="M289" i="26"/>
  <c r="M386" i="5" s="1"/>
  <c r="M428" i="5" s="1"/>
  <c r="H457" i="5" s="1"/>
  <c r="M282" i="26"/>
  <c r="M379" i="5" s="1"/>
  <c r="M285" i="26"/>
  <c r="M382" i="5" s="1"/>
  <c r="M424" i="5" s="1"/>
  <c r="H453" i="5" s="1"/>
  <c r="M283" i="26"/>
  <c r="M380" i="5" s="1"/>
  <c r="M422" i="5" s="1"/>
  <c r="H451" i="5" s="1"/>
  <c r="J138" i="28" s="1"/>
  <c r="G24" i="53" s="1"/>
  <c r="M286" i="26"/>
  <c r="M383" i="5" s="1"/>
  <c r="M425" i="5" s="1"/>
  <c r="H454" i="5" s="1"/>
  <c r="M291" i="26"/>
  <c r="M388" i="5" s="1"/>
  <c r="M430" i="5" s="1"/>
  <c r="H459" i="5" s="1"/>
  <c r="M284" i="26"/>
  <c r="M381" i="5" s="1"/>
  <c r="M423" i="5" s="1"/>
  <c r="M290" i="26"/>
  <c r="M387" i="5" s="1"/>
  <c r="M429" i="5" s="1"/>
  <c r="H458" i="5" s="1"/>
  <c r="M288" i="26"/>
  <c r="M385" i="5" s="1"/>
  <c r="M427" i="5" s="1"/>
  <c r="H456" i="5" s="1"/>
  <c r="M281" i="26"/>
  <c r="M287" i="26"/>
  <c r="M384" i="5" s="1"/>
  <c r="J143" i="28"/>
  <c r="F22" i="55"/>
  <c r="G452" i="5"/>
  <c r="I139" i="28" s="1"/>
  <c r="F25" i="53" s="1"/>
  <c r="P186" i="26" l="1"/>
  <c r="Q179" i="26"/>
  <c r="Q178" i="26"/>
  <c r="Q182" i="26"/>
  <c r="Q175" i="26"/>
  <c r="Q181" i="26"/>
  <c r="Q184" i="26"/>
  <c r="Q185" i="26"/>
  <c r="Q180" i="26"/>
  <c r="Q183" i="26"/>
  <c r="Q177" i="26"/>
  <c r="Q176" i="26"/>
  <c r="D59" i="55"/>
  <c r="N234" i="26"/>
  <c r="R58" i="26"/>
  <c r="R61" i="26" s="1"/>
  <c r="R13" i="26" s="1"/>
  <c r="Q63" i="26"/>
  <c r="E23" i="53"/>
  <c r="H147" i="28"/>
  <c r="G156" i="28"/>
  <c r="G153" i="28"/>
  <c r="G154" i="28"/>
  <c r="G155" i="28"/>
  <c r="O248" i="26"/>
  <c r="O244" i="26"/>
  <c r="O243" i="26"/>
  <c r="O246" i="26"/>
  <c r="O242" i="26"/>
  <c r="O239" i="26"/>
  <c r="O241" i="26"/>
  <c r="O245" i="26"/>
  <c r="O238" i="26"/>
  <c r="O247" i="26"/>
  <c r="O240" i="26"/>
  <c r="F86" i="55"/>
  <c r="F90" i="55" s="1"/>
  <c r="F85" i="55"/>
  <c r="F89" i="55" s="1"/>
  <c r="D35" i="55"/>
  <c r="N249" i="26"/>
  <c r="O223" i="26"/>
  <c r="O224" i="26"/>
  <c r="O232" i="26"/>
  <c r="O227" i="26"/>
  <c r="O230" i="26"/>
  <c r="O231" i="26"/>
  <c r="O225" i="26"/>
  <c r="O226" i="26"/>
  <c r="O228" i="26"/>
  <c r="O233" i="26"/>
  <c r="O229" i="26"/>
  <c r="O24" i="26"/>
  <c r="M378" i="5"/>
  <c r="M292" i="26"/>
  <c r="N289" i="26"/>
  <c r="N386" i="5" s="1"/>
  <c r="N428" i="5" s="1"/>
  <c r="I457" i="5" s="1"/>
  <c r="N286" i="26"/>
  <c r="N383" i="5" s="1"/>
  <c r="N425" i="5" s="1"/>
  <c r="I454" i="5" s="1"/>
  <c r="N282" i="26"/>
  <c r="N379" i="5" s="1"/>
  <c r="N283" i="26"/>
  <c r="N380" i="5" s="1"/>
  <c r="N422" i="5" s="1"/>
  <c r="I451" i="5" s="1"/>
  <c r="K138" i="28" s="1"/>
  <c r="H24" i="53" s="1"/>
  <c r="N290" i="26"/>
  <c r="N387" i="5" s="1"/>
  <c r="N429" i="5" s="1"/>
  <c r="I458" i="5" s="1"/>
  <c r="N288" i="26"/>
  <c r="N385" i="5" s="1"/>
  <c r="N427" i="5" s="1"/>
  <c r="I456" i="5" s="1"/>
  <c r="N284" i="26"/>
  <c r="N381" i="5" s="1"/>
  <c r="N423" i="5" s="1"/>
  <c r="N291" i="26"/>
  <c r="N388" i="5" s="1"/>
  <c r="N430" i="5" s="1"/>
  <c r="I459" i="5" s="1"/>
  <c r="N285" i="26"/>
  <c r="N382" i="5" s="1"/>
  <c r="N424" i="5" s="1"/>
  <c r="I453" i="5" s="1"/>
  <c r="N287" i="26"/>
  <c r="N384" i="5" s="1"/>
  <c r="N281" i="26"/>
  <c r="K143" i="28"/>
  <c r="G450" i="5"/>
  <c r="I137" i="28" s="1"/>
  <c r="F21" i="55"/>
  <c r="E30" i="55"/>
  <c r="E31" i="55"/>
  <c r="E36" i="55" s="1"/>
  <c r="E32" i="55"/>
  <c r="J150" i="28"/>
  <c r="J149" i="28"/>
  <c r="J151" i="28"/>
  <c r="J148" i="28"/>
  <c r="M421" i="5"/>
  <c r="H452" i="5"/>
  <c r="J139" i="28" s="1"/>
  <c r="G25" i="53" s="1"/>
  <c r="G22" i="55"/>
  <c r="D37" i="55"/>
  <c r="P22" i="26"/>
  <c r="P20" i="26"/>
  <c r="L389" i="5"/>
  <c r="L420" i="5"/>
  <c r="G449" i="5" s="1"/>
  <c r="R180" i="26" l="1"/>
  <c r="R179" i="26"/>
  <c r="R183" i="26"/>
  <c r="R176" i="26"/>
  <c r="R184" i="26"/>
  <c r="R181" i="26"/>
  <c r="R185" i="26"/>
  <c r="R178" i="26"/>
  <c r="R175" i="26"/>
  <c r="R182" i="26"/>
  <c r="R177" i="26"/>
  <c r="Q186" i="26"/>
  <c r="P248" i="26"/>
  <c r="P247" i="26"/>
  <c r="P245" i="26"/>
  <c r="P238" i="26"/>
  <c r="P244" i="26"/>
  <c r="P240" i="26"/>
  <c r="P241" i="26"/>
  <c r="P243" i="26"/>
  <c r="P242" i="26"/>
  <c r="P239" i="26"/>
  <c r="P246" i="26"/>
  <c r="K148" i="28"/>
  <c r="K149" i="28"/>
  <c r="K150" i="28"/>
  <c r="N421" i="5"/>
  <c r="K151" i="28"/>
  <c r="H153" i="28"/>
  <c r="H156" i="28"/>
  <c r="H154" i="28"/>
  <c r="H155" i="28"/>
  <c r="O234" i="26"/>
  <c r="O249" i="26"/>
  <c r="Q22" i="26"/>
  <c r="Q20" i="26"/>
  <c r="G86" i="55"/>
  <c r="G90" i="55" s="1"/>
  <c r="G85" i="55"/>
  <c r="G89" i="55" s="1"/>
  <c r="E35" i="55"/>
  <c r="H22" i="55"/>
  <c r="I452" i="5"/>
  <c r="K139" i="28" s="1"/>
  <c r="H25" i="53" s="1"/>
  <c r="D58" i="55"/>
  <c r="S58" i="26"/>
  <c r="S61" i="26" s="1"/>
  <c r="S13" i="26" s="1"/>
  <c r="R63" i="26"/>
  <c r="D60" i="55"/>
  <c r="G21" i="55"/>
  <c r="H450" i="5"/>
  <c r="J137" i="28" s="1"/>
  <c r="F30" i="55"/>
  <c r="F31" i="55"/>
  <c r="F36" i="55" s="1"/>
  <c r="F32" i="55"/>
  <c r="M389" i="5"/>
  <c r="M420" i="5"/>
  <c r="H449" i="5" s="1"/>
  <c r="N378" i="5"/>
  <c r="N292" i="26"/>
  <c r="F23" i="53"/>
  <c r="I147" i="28"/>
  <c r="E37" i="55"/>
  <c r="P223" i="26"/>
  <c r="P227" i="26"/>
  <c r="P233" i="26"/>
  <c r="P231" i="26"/>
  <c r="P229" i="26"/>
  <c r="P226" i="26"/>
  <c r="P224" i="26"/>
  <c r="P232" i="26"/>
  <c r="P225" i="26"/>
  <c r="P228" i="26"/>
  <c r="P230" i="26"/>
  <c r="P24" i="26"/>
  <c r="O289" i="26"/>
  <c r="O386" i="5" s="1"/>
  <c r="O428" i="5" s="1"/>
  <c r="J457" i="5" s="1"/>
  <c r="O286" i="26"/>
  <c r="O383" i="5" s="1"/>
  <c r="O425" i="5" s="1"/>
  <c r="J454" i="5" s="1"/>
  <c r="O282" i="26"/>
  <c r="O379" i="5" s="1"/>
  <c r="O283" i="26"/>
  <c r="O380" i="5" s="1"/>
  <c r="O422" i="5" s="1"/>
  <c r="J451" i="5" s="1"/>
  <c r="L138" i="28" s="1"/>
  <c r="I24" i="53" s="1"/>
  <c r="O290" i="26"/>
  <c r="O387" i="5" s="1"/>
  <c r="O429" i="5" s="1"/>
  <c r="J458" i="5" s="1"/>
  <c r="O284" i="26"/>
  <c r="O381" i="5" s="1"/>
  <c r="O423" i="5" s="1"/>
  <c r="O291" i="26"/>
  <c r="O388" i="5" s="1"/>
  <c r="O430" i="5" s="1"/>
  <c r="J459" i="5" s="1"/>
  <c r="O288" i="26"/>
  <c r="O385" i="5" s="1"/>
  <c r="O427" i="5" s="1"/>
  <c r="J456" i="5" s="1"/>
  <c r="O285" i="26"/>
  <c r="O382" i="5" s="1"/>
  <c r="O424" i="5" s="1"/>
  <c r="J453" i="5" s="1"/>
  <c r="O281" i="26"/>
  <c r="L143" i="28"/>
  <c r="O287" i="26"/>
  <c r="O384" i="5" s="1"/>
  <c r="E59" i="55"/>
  <c r="F59" i="55" s="1"/>
  <c r="S181" i="26" l="1"/>
  <c r="S185" i="26"/>
  <c r="S180" i="26"/>
  <c r="S178" i="26"/>
  <c r="S177" i="26"/>
  <c r="S183" i="26"/>
  <c r="S176" i="26"/>
  <c r="S184" i="26"/>
  <c r="S179" i="26"/>
  <c r="S182" i="26"/>
  <c r="S175" i="26"/>
  <c r="R186" i="26"/>
  <c r="P234" i="26"/>
  <c r="F35" i="55"/>
  <c r="E58" i="55"/>
  <c r="Q228" i="26"/>
  <c r="Q230" i="26"/>
  <c r="Q223" i="26"/>
  <c r="Q224" i="26"/>
  <c r="Q231" i="26"/>
  <c r="Q225" i="26"/>
  <c r="Q226" i="26"/>
  <c r="Q227" i="26"/>
  <c r="Q233" i="26"/>
  <c r="Q232" i="26"/>
  <c r="Q229" i="26"/>
  <c r="Q24" i="26"/>
  <c r="L148" i="28"/>
  <c r="L149" i="28"/>
  <c r="O421" i="5"/>
  <c r="L150" i="28"/>
  <c r="L151" i="28"/>
  <c r="G23" i="53"/>
  <c r="AC23" i="53" s="1"/>
  <c r="J147" i="28"/>
  <c r="Q246" i="26"/>
  <c r="Q245" i="26"/>
  <c r="Q244" i="26"/>
  <c r="Q243" i="26"/>
  <c r="Q242" i="26"/>
  <c r="Q240" i="26"/>
  <c r="Q239" i="26"/>
  <c r="Q238" i="26"/>
  <c r="Q248" i="26"/>
  <c r="Q241" i="26"/>
  <c r="Q247" i="26"/>
  <c r="H21" i="55"/>
  <c r="I450" i="5"/>
  <c r="K137" i="28" s="1"/>
  <c r="O378" i="5"/>
  <c r="O292" i="26"/>
  <c r="N420" i="5"/>
  <c r="I449" i="5" s="1"/>
  <c r="N389" i="5"/>
  <c r="G31" i="55"/>
  <c r="G36" i="55" s="1"/>
  <c r="G59" i="55" s="1"/>
  <c r="G32" i="55"/>
  <c r="G30" i="55"/>
  <c r="E60" i="55"/>
  <c r="H86" i="55"/>
  <c r="H90" i="55" s="1"/>
  <c r="H85" i="55"/>
  <c r="H89" i="55" s="1"/>
  <c r="P249" i="26"/>
  <c r="P283" i="26"/>
  <c r="P380" i="5" s="1"/>
  <c r="P422" i="5" s="1"/>
  <c r="K451" i="5" s="1"/>
  <c r="M138" i="28" s="1"/>
  <c r="J24" i="53" s="1"/>
  <c r="P290" i="26"/>
  <c r="P387" i="5" s="1"/>
  <c r="P429" i="5" s="1"/>
  <c r="K458" i="5" s="1"/>
  <c r="P284" i="26"/>
  <c r="P381" i="5" s="1"/>
  <c r="P423" i="5" s="1"/>
  <c r="P288" i="26"/>
  <c r="P385" i="5" s="1"/>
  <c r="P427" i="5" s="1"/>
  <c r="K456" i="5" s="1"/>
  <c r="P291" i="26"/>
  <c r="P388" i="5" s="1"/>
  <c r="P430" i="5" s="1"/>
  <c r="K459" i="5" s="1"/>
  <c r="P286" i="26"/>
  <c r="P383" i="5" s="1"/>
  <c r="P425" i="5" s="1"/>
  <c r="K454" i="5" s="1"/>
  <c r="P289" i="26"/>
  <c r="P386" i="5" s="1"/>
  <c r="P428" i="5" s="1"/>
  <c r="K457" i="5" s="1"/>
  <c r="P282" i="26"/>
  <c r="P379" i="5" s="1"/>
  <c r="P285" i="26"/>
  <c r="P382" i="5" s="1"/>
  <c r="P424" i="5" s="1"/>
  <c r="K453" i="5" s="1"/>
  <c r="P287" i="26"/>
  <c r="P384" i="5" s="1"/>
  <c r="P281" i="26"/>
  <c r="M143" i="28"/>
  <c r="I156" i="28"/>
  <c r="I154" i="28"/>
  <c r="I153" i="28"/>
  <c r="I155" i="28"/>
  <c r="I22" i="55"/>
  <c r="J452" i="5"/>
  <c r="L139" i="28" s="1"/>
  <c r="I25" i="53" s="1"/>
  <c r="F37" i="55"/>
  <c r="R20" i="26"/>
  <c r="R22" i="26"/>
  <c r="S63" i="26"/>
  <c r="T58" i="26"/>
  <c r="T61" i="26" s="1"/>
  <c r="T13" i="26" s="1"/>
  <c r="S186" i="26" l="1"/>
  <c r="T181" i="26"/>
  <c r="T185" i="26"/>
  <c r="T176" i="26"/>
  <c r="T178" i="26"/>
  <c r="T182" i="26"/>
  <c r="T180" i="26"/>
  <c r="T175" i="26"/>
  <c r="T184" i="26"/>
  <c r="T183" i="26"/>
  <c r="T179" i="26"/>
  <c r="T177" i="26"/>
  <c r="F58" i="55"/>
  <c r="Q234" i="26"/>
  <c r="O420" i="5"/>
  <c r="J449" i="5" s="1"/>
  <c r="O389" i="5"/>
  <c r="G35" i="55"/>
  <c r="H23" i="53"/>
  <c r="K147" i="28"/>
  <c r="H30" i="55"/>
  <c r="H32" i="55"/>
  <c r="H31" i="55"/>
  <c r="H36" i="55" s="1"/>
  <c r="H59" i="55" s="1"/>
  <c r="I21" i="55"/>
  <c r="J450" i="5"/>
  <c r="L137" i="28" s="1"/>
  <c r="K452" i="5"/>
  <c r="M139" i="28" s="1"/>
  <c r="J25" i="53" s="1"/>
  <c r="J22" i="55"/>
  <c r="G64" i="55"/>
  <c r="S22" i="26"/>
  <c r="S20" i="26"/>
  <c r="I86" i="55"/>
  <c r="I90" i="55" s="1"/>
  <c r="I85" i="55"/>
  <c r="I89" i="55" s="1"/>
  <c r="R228" i="26"/>
  <c r="R229" i="26"/>
  <c r="R226" i="26"/>
  <c r="R227" i="26"/>
  <c r="R231" i="26"/>
  <c r="R225" i="26"/>
  <c r="R224" i="26"/>
  <c r="R233" i="26"/>
  <c r="R223" i="26"/>
  <c r="R232" i="26"/>
  <c r="R230" i="26"/>
  <c r="R24" i="26"/>
  <c r="U58" i="26"/>
  <c r="U61" i="26" s="1"/>
  <c r="U13" i="26" s="1"/>
  <c r="T63" i="26"/>
  <c r="G37" i="55"/>
  <c r="P378" i="5"/>
  <c r="P292" i="26"/>
  <c r="R246" i="26"/>
  <c r="R238" i="26"/>
  <c r="R239" i="26"/>
  <c r="R245" i="26"/>
  <c r="R247" i="26"/>
  <c r="R244" i="26"/>
  <c r="R241" i="26"/>
  <c r="R243" i="26"/>
  <c r="R240" i="26"/>
  <c r="R242" i="26"/>
  <c r="R248" i="26"/>
  <c r="M150" i="28"/>
  <c r="P421" i="5"/>
  <c r="M151" i="28"/>
  <c r="M148" i="28"/>
  <c r="M149" i="28"/>
  <c r="F60" i="55"/>
  <c r="Q249" i="26"/>
  <c r="J153" i="28"/>
  <c r="J154" i="28"/>
  <c r="J156" i="28"/>
  <c r="J155" i="28"/>
  <c r="Q283" i="26"/>
  <c r="Q380" i="5" s="1"/>
  <c r="Q422" i="5" s="1"/>
  <c r="L451" i="5" s="1"/>
  <c r="N138" i="28" s="1"/>
  <c r="K24" i="53" s="1"/>
  <c r="Q290" i="26"/>
  <c r="Q387" i="5" s="1"/>
  <c r="Q429" i="5" s="1"/>
  <c r="L458" i="5" s="1"/>
  <c r="Q285" i="26"/>
  <c r="Q382" i="5" s="1"/>
  <c r="Q424" i="5" s="1"/>
  <c r="L453" i="5" s="1"/>
  <c r="Q284" i="26"/>
  <c r="Q381" i="5" s="1"/>
  <c r="Q423" i="5" s="1"/>
  <c r="Q288" i="26"/>
  <c r="Q385" i="5" s="1"/>
  <c r="Q427" i="5" s="1"/>
  <c r="L456" i="5" s="1"/>
  <c r="Q282" i="26"/>
  <c r="Q379" i="5" s="1"/>
  <c r="Q291" i="26"/>
  <c r="Q388" i="5" s="1"/>
  <c r="Q430" i="5" s="1"/>
  <c r="L459" i="5" s="1"/>
  <c r="Q286" i="26"/>
  <c r="Q383" i="5" s="1"/>
  <c r="Q425" i="5" s="1"/>
  <c r="L454" i="5" s="1"/>
  <c r="Q289" i="26"/>
  <c r="Q386" i="5" s="1"/>
  <c r="Q428" i="5" s="1"/>
  <c r="L457" i="5" s="1"/>
  <c r="N143" i="28"/>
  <c r="Q281" i="26"/>
  <c r="Q287" i="26"/>
  <c r="Q384" i="5" s="1"/>
  <c r="T186" i="26" l="1"/>
  <c r="U178" i="26"/>
  <c r="U185" i="26"/>
  <c r="U176" i="26"/>
  <c r="U175" i="26"/>
  <c r="U181" i="26"/>
  <c r="U183" i="26"/>
  <c r="U179" i="26"/>
  <c r="U177" i="26"/>
  <c r="U184" i="26"/>
  <c r="U182" i="26"/>
  <c r="U180" i="26"/>
  <c r="G58" i="55"/>
  <c r="L452" i="5"/>
  <c r="N139" i="28" s="1"/>
  <c r="K25" i="53" s="1"/>
  <c r="K22" i="55"/>
  <c r="G65" i="55"/>
  <c r="R249" i="26"/>
  <c r="L147" i="28"/>
  <c r="I23" i="53"/>
  <c r="G63" i="55"/>
  <c r="G60" i="55"/>
  <c r="T22" i="26"/>
  <c r="T20" i="26"/>
  <c r="I32" i="55"/>
  <c r="I31" i="55"/>
  <c r="I36" i="55" s="1"/>
  <c r="I30" i="55"/>
  <c r="V58" i="26"/>
  <c r="V61" i="26" s="1"/>
  <c r="V13" i="26" s="1"/>
  <c r="U63" i="26"/>
  <c r="R282" i="26"/>
  <c r="R379" i="5" s="1"/>
  <c r="R291" i="26"/>
  <c r="R388" i="5" s="1"/>
  <c r="R430" i="5" s="1"/>
  <c r="M459" i="5" s="1"/>
  <c r="R286" i="26"/>
  <c r="R383" i="5" s="1"/>
  <c r="R425" i="5" s="1"/>
  <c r="M454" i="5" s="1"/>
  <c r="R289" i="26"/>
  <c r="R386" i="5" s="1"/>
  <c r="R428" i="5" s="1"/>
  <c r="M457" i="5" s="1"/>
  <c r="R285" i="26"/>
  <c r="R382" i="5" s="1"/>
  <c r="R424" i="5" s="1"/>
  <c r="M453" i="5" s="1"/>
  <c r="R284" i="26"/>
  <c r="R381" i="5" s="1"/>
  <c r="R423" i="5" s="1"/>
  <c r="R283" i="26"/>
  <c r="R380" i="5" s="1"/>
  <c r="R422" i="5" s="1"/>
  <c r="M451" i="5" s="1"/>
  <c r="O138" i="28" s="1"/>
  <c r="L24" i="53" s="1"/>
  <c r="R288" i="26"/>
  <c r="R385" i="5" s="1"/>
  <c r="R427" i="5" s="1"/>
  <c r="M456" i="5" s="1"/>
  <c r="R290" i="26"/>
  <c r="R387" i="5" s="1"/>
  <c r="R429" i="5" s="1"/>
  <c r="M458" i="5" s="1"/>
  <c r="O143" i="28"/>
  <c r="R281" i="26"/>
  <c r="R287" i="26"/>
  <c r="R384" i="5" s="1"/>
  <c r="H37" i="55"/>
  <c r="Q378" i="5"/>
  <c r="Q292" i="26"/>
  <c r="H64" i="55"/>
  <c r="H35" i="55"/>
  <c r="N149" i="28"/>
  <c r="N148" i="28"/>
  <c r="N151" i="28"/>
  <c r="N150" i="28"/>
  <c r="Q421" i="5"/>
  <c r="J21" i="55"/>
  <c r="K450" i="5"/>
  <c r="M137" i="28" s="1"/>
  <c r="P389" i="5"/>
  <c r="P420" i="5"/>
  <c r="K449" i="5" s="1"/>
  <c r="S228" i="26"/>
  <c r="S227" i="26"/>
  <c r="S225" i="26"/>
  <c r="S224" i="26"/>
  <c r="S232" i="26"/>
  <c r="S223" i="26"/>
  <c r="S229" i="26"/>
  <c r="S226" i="26"/>
  <c r="S233" i="26"/>
  <c r="S231" i="26"/>
  <c r="S230" i="26"/>
  <c r="S24" i="26"/>
  <c r="J85" i="55"/>
  <c r="J89" i="55" s="1"/>
  <c r="J86" i="55"/>
  <c r="J90" i="55" s="1"/>
  <c r="R234" i="26"/>
  <c r="S243" i="26"/>
  <c r="S241" i="26"/>
  <c r="S242" i="26"/>
  <c r="S248" i="26"/>
  <c r="S246" i="26"/>
  <c r="S239" i="26"/>
  <c r="S247" i="26"/>
  <c r="S244" i="26"/>
  <c r="S245" i="26"/>
  <c r="S238" i="26"/>
  <c r="S240" i="26"/>
  <c r="K156" i="28"/>
  <c r="K154" i="28"/>
  <c r="K155" i="28"/>
  <c r="K153" i="28"/>
  <c r="I64" i="55" l="1"/>
  <c r="V181" i="26"/>
  <c r="V178" i="26"/>
  <c r="V175" i="26"/>
  <c r="V182" i="26"/>
  <c r="V177" i="26"/>
  <c r="V180" i="26"/>
  <c r="V185" i="26"/>
  <c r="V179" i="26"/>
  <c r="V183" i="26"/>
  <c r="V184" i="26"/>
  <c r="V176" i="26"/>
  <c r="U186" i="26"/>
  <c r="S249" i="26"/>
  <c r="L22" i="55"/>
  <c r="M452" i="5"/>
  <c r="O139" i="28" s="1"/>
  <c r="L25" i="53" s="1"/>
  <c r="T241" i="26"/>
  <c r="T239" i="26"/>
  <c r="T240" i="26"/>
  <c r="T247" i="26"/>
  <c r="T243" i="26"/>
  <c r="T246" i="26"/>
  <c r="T238" i="26"/>
  <c r="T248" i="26"/>
  <c r="T245" i="26"/>
  <c r="T244" i="26"/>
  <c r="T242" i="26"/>
  <c r="U20" i="26"/>
  <c r="U22" i="26"/>
  <c r="H60" i="55"/>
  <c r="R378" i="5"/>
  <c r="R292" i="26"/>
  <c r="V63" i="26"/>
  <c r="H58" i="55"/>
  <c r="M147" i="28"/>
  <c r="J23" i="53"/>
  <c r="Q389" i="5"/>
  <c r="Q420" i="5"/>
  <c r="L449" i="5" s="1"/>
  <c r="I35" i="55"/>
  <c r="H65" i="55"/>
  <c r="J31" i="55"/>
  <c r="J36" i="55" s="1"/>
  <c r="J30" i="55"/>
  <c r="J32" i="55"/>
  <c r="O150" i="28"/>
  <c r="O149" i="28"/>
  <c r="R421" i="5"/>
  <c r="O148" i="28"/>
  <c r="O151" i="28"/>
  <c r="H63" i="55"/>
  <c r="S234" i="26"/>
  <c r="S282" i="26"/>
  <c r="S379" i="5" s="1"/>
  <c r="S285" i="26"/>
  <c r="S382" i="5" s="1"/>
  <c r="S424" i="5" s="1"/>
  <c r="N453" i="5" s="1"/>
  <c r="S291" i="26"/>
  <c r="S388" i="5" s="1"/>
  <c r="S430" i="5" s="1"/>
  <c r="N459" i="5" s="1"/>
  <c r="S289" i="26"/>
  <c r="S386" i="5" s="1"/>
  <c r="S428" i="5" s="1"/>
  <c r="N457" i="5" s="1"/>
  <c r="S288" i="26"/>
  <c r="S385" i="5" s="1"/>
  <c r="S427" i="5" s="1"/>
  <c r="N456" i="5" s="1"/>
  <c r="S286" i="26"/>
  <c r="S383" i="5" s="1"/>
  <c r="S425" i="5" s="1"/>
  <c r="N454" i="5" s="1"/>
  <c r="S283" i="26"/>
  <c r="S380" i="5" s="1"/>
  <c r="S422" i="5" s="1"/>
  <c r="N451" i="5" s="1"/>
  <c r="P138" i="28" s="1"/>
  <c r="M24" i="53" s="1"/>
  <c r="S284" i="26"/>
  <c r="S381" i="5" s="1"/>
  <c r="S423" i="5" s="1"/>
  <c r="S290" i="26"/>
  <c r="S387" i="5" s="1"/>
  <c r="S429" i="5" s="1"/>
  <c r="N458" i="5" s="1"/>
  <c r="S281" i="26"/>
  <c r="S287" i="26"/>
  <c r="S384" i="5" s="1"/>
  <c r="P143" i="28"/>
  <c r="K21" i="55"/>
  <c r="L450" i="5"/>
  <c r="N137" i="28" s="1"/>
  <c r="I59" i="55"/>
  <c r="I37" i="55"/>
  <c r="K86" i="55"/>
  <c r="K90" i="55" s="1"/>
  <c r="K85" i="55"/>
  <c r="K89" i="55" s="1"/>
  <c r="T228" i="26"/>
  <c r="T227" i="26"/>
  <c r="T225" i="26"/>
  <c r="T232" i="26"/>
  <c r="T224" i="26"/>
  <c r="T229" i="26"/>
  <c r="T223" i="26"/>
  <c r="T231" i="26"/>
  <c r="T230" i="26"/>
  <c r="T233" i="26"/>
  <c r="T226" i="26"/>
  <c r="T24" i="26"/>
  <c r="L155" i="28"/>
  <c r="L156" i="28"/>
  <c r="L153" i="28"/>
  <c r="L154" i="28"/>
  <c r="V186" i="26" l="1"/>
  <c r="I63" i="55"/>
  <c r="T234" i="26"/>
  <c r="L21" i="55"/>
  <c r="M450" i="5"/>
  <c r="O137" i="28" s="1"/>
  <c r="V20" i="26"/>
  <c r="V22" i="26"/>
  <c r="R420" i="5"/>
  <c r="M449" i="5" s="1"/>
  <c r="R389" i="5"/>
  <c r="I60" i="55"/>
  <c r="T249" i="26"/>
  <c r="L86" i="55"/>
  <c r="L90" i="55" s="1"/>
  <c r="L85" i="55"/>
  <c r="L89" i="55" s="1"/>
  <c r="I65" i="55"/>
  <c r="M153" i="28"/>
  <c r="M154" i="28"/>
  <c r="M155" i="28"/>
  <c r="M156" i="28"/>
  <c r="U238" i="26"/>
  <c r="U246" i="26"/>
  <c r="U247" i="26"/>
  <c r="U248" i="26"/>
  <c r="U242" i="26"/>
  <c r="U244" i="26"/>
  <c r="U241" i="26"/>
  <c r="U243" i="26"/>
  <c r="U239" i="26"/>
  <c r="U240" i="26"/>
  <c r="U245" i="26"/>
  <c r="K31" i="55"/>
  <c r="K36" i="55" s="1"/>
  <c r="K30" i="55"/>
  <c r="K32" i="55"/>
  <c r="P148" i="28"/>
  <c r="P151" i="28"/>
  <c r="S421" i="5"/>
  <c r="P150" i="28"/>
  <c r="P149" i="28"/>
  <c r="I58" i="55"/>
  <c r="U231" i="26"/>
  <c r="U228" i="26"/>
  <c r="U223" i="26"/>
  <c r="U233" i="26"/>
  <c r="U225" i="26"/>
  <c r="U232" i="26"/>
  <c r="U230" i="26"/>
  <c r="U226" i="26"/>
  <c r="U227" i="26"/>
  <c r="U224" i="26"/>
  <c r="U229" i="26"/>
  <c r="U24" i="26"/>
  <c r="N147" i="28"/>
  <c r="K23" i="53"/>
  <c r="T288" i="26"/>
  <c r="T385" i="5" s="1"/>
  <c r="T427" i="5" s="1"/>
  <c r="O456" i="5" s="1"/>
  <c r="T285" i="26"/>
  <c r="T382" i="5" s="1"/>
  <c r="T424" i="5" s="1"/>
  <c r="O453" i="5" s="1"/>
  <c r="T282" i="26"/>
  <c r="T379" i="5" s="1"/>
  <c r="T284" i="26"/>
  <c r="T381" i="5" s="1"/>
  <c r="T423" i="5" s="1"/>
  <c r="T290" i="26"/>
  <c r="T387" i="5" s="1"/>
  <c r="T429" i="5" s="1"/>
  <c r="O458" i="5" s="1"/>
  <c r="T289" i="26"/>
  <c r="T386" i="5" s="1"/>
  <c r="T428" i="5" s="1"/>
  <c r="O457" i="5" s="1"/>
  <c r="T283" i="26"/>
  <c r="T380" i="5" s="1"/>
  <c r="T422" i="5" s="1"/>
  <c r="O451" i="5" s="1"/>
  <c r="Q138" i="28" s="1"/>
  <c r="N24" i="53" s="1"/>
  <c r="T286" i="26"/>
  <c r="T383" i="5" s="1"/>
  <c r="T425" i="5" s="1"/>
  <c r="O454" i="5" s="1"/>
  <c r="T291" i="26"/>
  <c r="T388" i="5" s="1"/>
  <c r="T430" i="5" s="1"/>
  <c r="O459" i="5" s="1"/>
  <c r="T281" i="26"/>
  <c r="T287" i="26"/>
  <c r="T384" i="5" s="1"/>
  <c r="Q143" i="28"/>
  <c r="S378" i="5"/>
  <c r="S292" i="26"/>
  <c r="M22" i="55"/>
  <c r="N452" i="5"/>
  <c r="P139" i="28" s="1"/>
  <c r="M25" i="53" s="1"/>
  <c r="J37" i="55"/>
  <c r="J64" i="55"/>
  <c r="J59" i="55"/>
  <c r="J35" i="55"/>
  <c r="K59" i="55" l="1"/>
  <c r="U282" i="26"/>
  <c r="U379" i="5" s="1"/>
  <c r="U288" i="26"/>
  <c r="U385" i="5" s="1"/>
  <c r="U427" i="5" s="1"/>
  <c r="P456" i="5" s="1"/>
  <c r="U291" i="26"/>
  <c r="U388" i="5" s="1"/>
  <c r="U430" i="5" s="1"/>
  <c r="P459" i="5" s="1"/>
  <c r="U289" i="26"/>
  <c r="U386" i="5" s="1"/>
  <c r="U428" i="5" s="1"/>
  <c r="P457" i="5" s="1"/>
  <c r="U284" i="26"/>
  <c r="U381" i="5" s="1"/>
  <c r="U423" i="5" s="1"/>
  <c r="U285" i="26"/>
  <c r="U382" i="5" s="1"/>
  <c r="U424" i="5" s="1"/>
  <c r="P453" i="5" s="1"/>
  <c r="U290" i="26"/>
  <c r="U387" i="5" s="1"/>
  <c r="U429" i="5" s="1"/>
  <c r="P458" i="5" s="1"/>
  <c r="U286" i="26"/>
  <c r="U383" i="5" s="1"/>
  <c r="U425" i="5" s="1"/>
  <c r="P454" i="5" s="1"/>
  <c r="U283" i="26"/>
  <c r="U380" i="5" s="1"/>
  <c r="U422" i="5" s="1"/>
  <c r="P451" i="5" s="1"/>
  <c r="R138" i="28" s="1"/>
  <c r="O24" i="53" s="1"/>
  <c r="U281" i="26"/>
  <c r="U287" i="26"/>
  <c r="U384" i="5" s="1"/>
  <c r="R143" i="28"/>
  <c r="J65" i="55"/>
  <c r="N22" i="55"/>
  <c r="O452" i="5"/>
  <c r="Q139" i="28" s="1"/>
  <c r="N25" i="53" s="1"/>
  <c r="U234" i="26"/>
  <c r="Q148" i="28"/>
  <c r="Q150" i="28"/>
  <c r="Q151" i="28"/>
  <c r="Q149" i="28"/>
  <c r="T421" i="5"/>
  <c r="N450" i="5"/>
  <c r="P137" i="28" s="1"/>
  <c r="M21" i="55"/>
  <c r="S420" i="5"/>
  <c r="N449" i="5" s="1"/>
  <c r="S389" i="5"/>
  <c r="T378" i="5"/>
  <c r="T292" i="26"/>
  <c r="U249" i="26"/>
  <c r="J63" i="55"/>
  <c r="J58" i="55"/>
  <c r="O147" i="28"/>
  <c r="L23" i="53"/>
  <c r="AD23" i="53" s="1"/>
  <c r="M85" i="55"/>
  <c r="M89" i="55" s="1"/>
  <c r="M86" i="55"/>
  <c r="M90" i="55" s="1"/>
  <c r="N153" i="28"/>
  <c r="N155" i="28"/>
  <c r="N156" i="28"/>
  <c r="N154" i="28"/>
  <c r="K37" i="55"/>
  <c r="V238" i="26"/>
  <c r="V247" i="26"/>
  <c r="V246" i="26"/>
  <c r="V245" i="26"/>
  <c r="V243" i="26"/>
  <c r="V244" i="26"/>
  <c r="V242" i="26"/>
  <c r="V241" i="26"/>
  <c r="V240" i="26"/>
  <c r="V239" i="26"/>
  <c r="V248" i="26"/>
  <c r="L31" i="55"/>
  <c r="L36" i="55" s="1"/>
  <c r="L32" i="55"/>
  <c r="L30" i="55"/>
  <c r="K64" i="55"/>
  <c r="K35" i="55"/>
  <c r="J60" i="55"/>
  <c r="V232" i="26"/>
  <c r="V225" i="26"/>
  <c r="V223" i="26"/>
  <c r="V229" i="26"/>
  <c r="V233" i="26"/>
  <c r="V224" i="26"/>
  <c r="V231" i="26"/>
  <c r="V230" i="26"/>
  <c r="V226" i="26"/>
  <c r="V228" i="26"/>
  <c r="V227" i="26"/>
  <c r="V24" i="26"/>
  <c r="K65" i="55" l="1"/>
  <c r="T389" i="5"/>
  <c r="T420" i="5"/>
  <c r="O449" i="5" s="1"/>
  <c r="M32" i="55"/>
  <c r="D54" i="55" s="1"/>
  <c r="M31" i="55"/>
  <c r="M36" i="55" s="1"/>
  <c r="M30" i="55"/>
  <c r="P452" i="5"/>
  <c r="R139" i="28" s="1"/>
  <c r="O25" i="53" s="1"/>
  <c r="O22" i="55"/>
  <c r="L35" i="55"/>
  <c r="L69" i="55"/>
  <c r="V234" i="26"/>
  <c r="P147" i="28"/>
  <c r="M23" i="53"/>
  <c r="K63" i="55"/>
  <c r="L59" i="55"/>
  <c r="N21" i="55"/>
  <c r="O450" i="5"/>
  <c r="Q137" i="28" s="1"/>
  <c r="V249" i="26"/>
  <c r="O156" i="28"/>
  <c r="O154" i="28"/>
  <c r="O153" i="28"/>
  <c r="O155" i="28"/>
  <c r="N86" i="55"/>
  <c r="N90" i="55" s="1"/>
  <c r="N85" i="55"/>
  <c r="N89" i="55" s="1"/>
  <c r="U378" i="5"/>
  <c r="U292" i="26"/>
  <c r="L37" i="55"/>
  <c r="K60" i="55"/>
  <c r="L60" i="55" s="1"/>
  <c r="L64" i="55"/>
  <c r="R149" i="28"/>
  <c r="R151" i="28"/>
  <c r="R150" i="28"/>
  <c r="R148" i="28"/>
  <c r="U421" i="5"/>
  <c r="V282" i="26"/>
  <c r="V379" i="5" s="1"/>
  <c r="V283" i="26"/>
  <c r="V380" i="5" s="1"/>
  <c r="V422" i="5" s="1"/>
  <c r="Q451" i="5" s="1"/>
  <c r="S138" i="28" s="1"/>
  <c r="P24" i="53" s="1"/>
  <c r="V286" i="26"/>
  <c r="V383" i="5" s="1"/>
  <c r="V425" i="5" s="1"/>
  <c r="Q454" i="5" s="1"/>
  <c r="V291" i="26"/>
  <c r="V388" i="5" s="1"/>
  <c r="V430" i="5" s="1"/>
  <c r="Q459" i="5" s="1"/>
  <c r="V290" i="26"/>
  <c r="V387" i="5" s="1"/>
  <c r="V429" i="5" s="1"/>
  <c r="Q458" i="5" s="1"/>
  <c r="V285" i="26"/>
  <c r="V382" i="5" s="1"/>
  <c r="V424" i="5" s="1"/>
  <c r="Q453" i="5" s="1"/>
  <c r="V284" i="26"/>
  <c r="V381" i="5" s="1"/>
  <c r="V423" i="5" s="1"/>
  <c r="V289" i="26"/>
  <c r="V386" i="5" s="1"/>
  <c r="V428" i="5" s="1"/>
  <c r="Q457" i="5" s="1"/>
  <c r="V288" i="26"/>
  <c r="V385" i="5" s="1"/>
  <c r="V427" i="5" s="1"/>
  <c r="Q456" i="5" s="1"/>
  <c r="S143" i="28"/>
  <c r="V287" i="26"/>
  <c r="V384" i="5" s="1"/>
  <c r="V281" i="26"/>
  <c r="K58" i="55"/>
  <c r="L58" i="55" l="1"/>
  <c r="L63" i="55"/>
  <c r="L70" i="55"/>
  <c r="N32" i="55"/>
  <c r="N30" i="55"/>
  <c r="N31" i="55"/>
  <c r="N36" i="55" s="1"/>
  <c r="M59" i="55"/>
  <c r="M35" i="55"/>
  <c r="D53" i="55"/>
  <c r="D55" i="55" s="1"/>
  <c r="O21" i="55"/>
  <c r="P450" i="5"/>
  <c r="R137" i="28" s="1"/>
  <c r="U420" i="5"/>
  <c r="P449" i="5" s="1"/>
  <c r="U389" i="5"/>
  <c r="D42" i="55"/>
  <c r="D46" i="55" s="1"/>
  <c r="M37" i="55"/>
  <c r="M60" i="55" s="1"/>
  <c r="L65" i="55"/>
  <c r="S150" i="28"/>
  <c r="S148" i="28"/>
  <c r="S149" i="28"/>
  <c r="S151" i="28"/>
  <c r="V421" i="5"/>
  <c r="P22" i="55"/>
  <c r="Q452" i="5"/>
  <c r="S139" i="28" s="1"/>
  <c r="P25" i="53" s="1"/>
  <c r="L68" i="55"/>
  <c r="V378" i="5"/>
  <c r="V292" i="26"/>
  <c r="P156" i="28"/>
  <c r="P154" i="28"/>
  <c r="P155" i="28"/>
  <c r="P153" i="28"/>
  <c r="M69" i="55"/>
  <c r="N69" i="55" s="1"/>
  <c r="M64" i="55"/>
  <c r="N64" i="55" s="1"/>
  <c r="Q147" i="28"/>
  <c r="N23" i="53"/>
  <c r="O85" i="55"/>
  <c r="O89" i="55" s="1"/>
  <c r="O86" i="55"/>
  <c r="O90" i="55" s="1"/>
  <c r="M63" i="55" l="1"/>
  <c r="N59" i="55"/>
  <c r="M58" i="55"/>
  <c r="R147" i="28"/>
  <c r="O23" i="53"/>
  <c r="O32" i="55"/>
  <c r="F54" i="55" s="1"/>
  <c r="O31" i="55"/>
  <c r="O36" i="55" s="1"/>
  <c r="O64" i="55" s="1"/>
  <c r="O30" i="55"/>
  <c r="V420" i="5"/>
  <c r="Q449" i="5" s="1"/>
  <c r="V389" i="5"/>
  <c r="M65" i="55"/>
  <c r="E42" i="55"/>
  <c r="E46" i="55" s="1"/>
  <c r="Q154" i="28"/>
  <c r="Q155" i="28"/>
  <c r="Q156" i="28"/>
  <c r="Q153" i="28"/>
  <c r="N35" i="55"/>
  <c r="E53" i="55"/>
  <c r="E55" i="55" s="1"/>
  <c r="M68" i="55"/>
  <c r="P86" i="55"/>
  <c r="P90" i="55" s="1"/>
  <c r="P85" i="55"/>
  <c r="P89" i="55" s="1"/>
  <c r="P21" i="55"/>
  <c r="Q450" i="5"/>
  <c r="S137" i="28" s="1"/>
  <c r="D43" i="55"/>
  <c r="D47" i="55" s="1"/>
  <c r="D41" i="55"/>
  <c r="D45" i="55" s="1"/>
  <c r="N37" i="55"/>
  <c r="N60" i="55" s="1"/>
  <c r="E54" i="55"/>
  <c r="M70" i="55"/>
  <c r="O69" i="55" l="1"/>
  <c r="N58" i="55"/>
  <c r="N68" i="55"/>
  <c r="E41" i="55"/>
  <c r="E45" i="55" s="1"/>
  <c r="F42" i="55"/>
  <c r="F46" i="55" s="1"/>
  <c r="O37" i="55"/>
  <c r="E43" i="55"/>
  <c r="E47" i="55" s="1"/>
  <c r="N63" i="55"/>
  <c r="P31" i="55"/>
  <c r="P36" i="55" s="1"/>
  <c r="P64" i="55" s="1"/>
  <c r="P32" i="55"/>
  <c r="P30" i="55"/>
  <c r="N65" i="55"/>
  <c r="O59" i="55"/>
  <c r="R153" i="28"/>
  <c r="R154" i="28"/>
  <c r="R155" i="28"/>
  <c r="R156" i="28"/>
  <c r="P23" i="53"/>
  <c r="S147" i="28"/>
  <c r="N70" i="55"/>
  <c r="O35" i="55"/>
  <c r="F53" i="55"/>
  <c r="F55" i="55" s="1"/>
  <c r="P35" i="55" l="1"/>
  <c r="P37" i="55"/>
  <c r="G54" i="55"/>
  <c r="G42" i="55"/>
  <c r="G46" i="55" s="1"/>
  <c r="O68" i="55"/>
  <c r="O63" i="55"/>
  <c r="F43" i="55"/>
  <c r="F47" i="55" s="1"/>
  <c r="P59" i="55"/>
  <c r="O58" i="55"/>
  <c r="P58" i="55" s="1"/>
  <c r="G53" i="55"/>
  <c r="G55" i="55" s="1"/>
  <c r="S153" i="28"/>
  <c r="S156" i="28"/>
  <c r="S154" i="28"/>
  <c r="S155" i="28"/>
  <c r="O65" i="55"/>
  <c r="P65" i="55" s="1"/>
  <c r="P69" i="55"/>
  <c r="F41" i="55"/>
  <c r="F45" i="55" s="1"/>
  <c r="O70" i="55"/>
  <c r="P70" i="55" s="1"/>
  <c r="O60" i="55"/>
  <c r="P60" i="55" s="1"/>
  <c r="P63" i="55" l="1"/>
  <c r="G43" i="55"/>
  <c r="G47" i="55" s="1"/>
  <c r="P68" i="55"/>
  <c r="G41" i="55"/>
  <c r="G45" i="55" s="1"/>
  <c r="W52" i="26"/>
  <c r="W53" i="26"/>
  <c r="W58" i="26" s="1"/>
  <c r="X52" i="26"/>
  <c r="X53" i="26"/>
  <c r="W35" i="26"/>
  <c r="W57" i="26" s="1"/>
  <c r="X34" i="26"/>
  <c r="Y34" i="26" s="1"/>
  <c r="X58" i="26" l="1"/>
  <c r="W61" i="26"/>
  <c r="W13" i="26" s="1"/>
  <c r="Y35" i="26"/>
  <c r="Y57" i="26" s="1"/>
  <c r="Y52" i="26"/>
  <c r="Y53" i="26" s="1"/>
  <c r="Z34" i="26"/>
  <c r="X35" i="26"/>
  <c r="X57" i="26" s="1"/>
  <c r="X61" i="26" l="1"/>
  <c r="X13" i="26" s="1"/>
  <c r="X176" i="26" s="1"/>
  <c r="Y58" i="26"/>
  <c r="Y61" i="26"/>
  <c r="Y13" i="26" s="1"/>
  <c r="Y177" i="26" s="1"/>
  <c r="W63" i="26"/>
  <c r="W180" i="26"/>
  <c r="W184" i="26"/>
  <c r="W181" i="26"/>
  <c r="W182" i="26"/>
  <c r="W179" i="26"/>
  <c r="W177" i="26"/>
  <c r="W185" i="26"/>
  <c r="W175" i="26"/>
  <c r="W176" i="26"/>
  <c r="W178" i="26"/>
  <c r="W183" i="26"/>
  <c r="Z35" i="26"/>
  <c r="Z57" i="26" s="1"/>
  <c r="Z52" i="26"/>
  <c r="Z53" i="26" s="1"/>
  <c r="AA34" i="26"/>
  <c r="X63" i="26"/>
  <c r="X182" i="26" l="1"/>
  <c r="X184" i="26"/>
  <c r="X180" i="26"/>
  <c r="X181" i="26"/>
  <c r="X183" i="26"/>
  <c r="X185" i="26"/>
  <c r="X178" i="26"/>
  <c r="Z58" i="26"/>
  <c r="Z61" i="26" s="1"/>
  <c r="Z13" i="26" s="1"/>
  <c r="Z182" i="26" s="1"/>
  <c r="X175" i="26"/>
  <c r="X177" i="26"/>
  <c r="X179" i="26"/>
  <c r="Y181" i="26"/>
  <c r="Y183" i="26"/>
  <c r="Y178" i="26"/>
  <c r="Y176" i="26"/>
  <c r="Y180" i="26"/>
  <c r="Y185" i="26"/>
  <c r="Y182" i="26"/>
  <c r="Y179" i="26"/>
  <c r="Y175" i="26"/>
  <c r="Y63" i="26"/>
  <c r="Y20" i="26" s="1"/>
  <c r="Y184" i="26"/>
  <c r="W22" i="26"/>
  <c r="W20" i="26"/>
  <c r="X20" i="26"/>
  <c r="X22" i="26"/>
  <c r="AB34" i="26"/>
  <c r="AA52" i="26"/>
  <c r="AA53" i="26" s="1"/>
  <c r="AA35" i="26"/>
  <c r="AA57" i="26" s="1"/>
  <c r="W186" i="26"/>
  <c r="X186" i="26" l="1"/>
  <c r="Y186" i="26"/>
  <c r="Y22" i="26"/>
  <c r="Y242" i="26" s="1"/>
  <c r="Z175" i="26"/>
  <c r="Z177" i="26"/>
  <c r="W233" i="26"/>
  <c r="W223" i="26"/>
  <c r="W226" i="26"/>
  <c r="W225" i="26"/>
  <c r="W230" i="26"/>
  <c r="W24" i="26"/>
  <c r="W228" i="26"/>
  <c r="W229" i="26"/>
  <c r="W227" i="26"/>
  <c r="W232" i="26"/>
  <c r="W231" i="26"/>
  <c r="W224" i="26"/>
  <c r="Z63" i="26"/>
  <c r="Z180" i="26"/>
  <c r="Z181" i="26"/>
  <c r="Z179" i="26"/>
  <c r="W247" i="26"/>
  <c r="W243" i="26"/>
  <c r="W245" i="26"/>
  <c r="W246" i="26"/>
  <c r="W239" i="26"/>
  <c r="W244" i="26"/>
  <c r="W238" i="26"/>
  <c r="W241" i="26"/>
  <c r="W240" i="26"/>
  <c r="W242" i="26"/>
  <c r="W248" i="26"/>
  <c r="Z185" i="26"/>
  <c r="Z176" i="26"/>
  <c r="Z183" i="26"/>
  <c r="Z184" i="26"/>
  <c r="Z178" i="26"/>
  <c r="Y233" i="26"/>
  <c r="Y225" i="26"/>
  <c r="Y224" i="26"/>
  <c r="Y227" i="26"/>
  <c r="Y226" i="26"/>
  <c r="Y230" i="26"/>
  <c r="Y231" i="26"/>
  <c r="Y228" i="26"/>
  <c r="Y229" i="26"/>
  <c r="Y223" i="26"/>
  <c r="Y232" i="26"/>
  <c r="AB35" i="26"/>
  <c r="AB57" i="26" s="1"/>
  <c r="AB52" i="26"/>
  <c r="AB53" i="26" s="1"/>
  <c r="AC34" i="26"/>
  <c r="Y245" i="26"/>
  <c r="Y243" i="26"/>
  <c r="X239" i="26"/>
  <c r="X242" i="26"/>
  <c r="X245" i="26"/>
  <c r="X247" i="26"/>
  <c r="X248" i="26"/>
  <c r="X246" i="26"/>
  <c r="X244" i="26"/>
  <c r="X238" i="26"/>
  <c r="X243" i="26"/>
  <c r="X240" i="26"/>
  <c r="X241" i="26"/>
  <c r="X223" i="26"/>
  <c r="X228" i="26"/>
  <c r="X227" i="26"/>
  <c r="X224" i="26"/>
  <c r="X231" i="26"/>
  <c r="X230" i="26"/>
  <c r="X233" i="26"/>
  <c r="X232" i="26"/>
  <c r="X225" i="26"/>
  <c r="X226" i="26"/>
  <c r="X229" i="26"/>
  <c r="X24" i="26"/>
  <c r="AA58" i="26"/>
  <c r="Y244" i="26" l="1"/>
  <c r="Y241" i="26"/>
  <c r="Y24" i="26"/>
  <c r="Y238" i="26"/>
  <c r="Y246" i="26"/>
  <c r="Y248" i="26"/>
  <c r="Y239" i="26"/>
  <c r="Y240" i="26"/>
  <c r="Y247" i="26"/>
  <c r="Z186" i="26"/>
  <c r="AB58" i="26"/>
  <c r="Z20" i="26"/>
  <c r="Z22" i="26"/>
  <c r="W284" i="26"/>
  <c r="W381" i="5" s="1"/>
  <c r="W423" i="5" s="1"/>
  <c r="W287" i="26"/>
  <c r="W384" i="5" s="1"/>
  <c r="W290" i="26"/>
  <c r="W387" i="5" s="1"/>
  <c r="W429" i="5" s="1"/>
  <c r="R458" i="5" s="1"/>
  <c r="W291" i="26"/>
  <c r="W388" i="5" s="1"/>
  <c r="W430" i="5" s="1"/>
  <c r="R459" i="5" s="1"/>
  <c r="W285" i="26"/>
  <c r="W382" i="5" s="1"/>
  <c r="W424" i="5" s="1"/>
  <c r="R453" i="5" s="1"/>
  <c r="W289" i="26"/>
  <c r="W386" i="5" s="1"/>
  <c r="W428" i="5" s="1"/>
  <c r="R457" i="5" s="1"/>
  <c r="W288" i="26"/>
  <c r="W385" i="5" s="1"/>
  <c r="W427" i="5" s="1"/>
  <c r="R456" i="5" s="1"/>
  <c r="T143" i="28"/>
  <c r="W282" i="26"/>
  <c r="W379" i="5" s="1"/>
  <c r="W281" i="26"/>
  <c r="W286" i="26"/>
  <c r="W383" i="5" s="1"/>
  <c r="W425" i="5" s="1"/>
  <c r="R454" i="5" s="1"/>
  <c r="W283" i="26"/>
  <c r="W380" i="5" s="1"/>
  <c r="W422" i="5" s="1"/>
  <c r="R451" i="5" s="1"/>
  <c r="T138" i="28" s="1"/>
  <c r="Q24" i="53" s="1"/>
  <c r="AA61" i="26"/>
  <c r="AA13" i="26" s="1"/>
  <c r="W234" i="26"/>
  <c r="AB61" i="26"/>
  <c r="AB13" i="26" s="1"/>
  <c r="AB178" i="26" s="1"/>
  <c r="W249" i="26"/>
  <c r="Y281" i="26"/>
  <c r="Y291" i="26"/>
  <c r="Y388" i="5" s="1"/>
  <c r="Y430" i="5" s="1"/>
  <c r="T459" i="5" s="1"/>
  <c r="V143" i="28"/>
  <c r="Y282" i="26"/>
  <c r="Y379" i="5" s="1"/>
  <c r="Y290" i="26"/>
  <c r="Y387" i="5" s="1"/>
  <c r="Y429" i="5" s="1"/>
  <c r="T458" i="5" s="1"/>
  <c r="Y284" i="26"/>
  <c r="Y381" i="5" s="1"/>
  <c r="Y423" i="5" s="1"/>
  <c r="Y288" i="26"/>
  <c r="Y385" i="5" s="1"/>
  <c r="Y427" i="5" s="1"/>
  <c r="T456" i="5" s="1"/>
  <c r="Y289" i="26"/>
  <c r="Y386" i="5" s="1"/>
  <c r="Y428" i="5" s="1"/>
  <c r="T457" i="5" s="1"/>
  <c r="Y287" i="26"/>
  <c r="Y384" i="5" s="1"/>
  <c r="Y283" i="26"/>
  <c r="Y380" i="5" s="1"/>
  <c r="Y422" i="5" s="1"/>
  <c r="T451" i="5" s="1"/>
  <c r="V138" i="28" s="1"/>
  <c r="S24" i="53" s="1"/>
  <c r="Y286" i="26"/>
  <c r="Y383" i="5" s="1"/>
  <c r="Y425" i="5" s="1"/>
  <c r="T454" i="5" s="1"/>
  <c r="Y285" i="26"/>
  <c r="Y382" i="5" s="1"/>
  <c r="Y424" i="5" s="1"/>
  <c r="T453" i="5" s="1"/>
  <c r="X282" i="26"/>
  <c r="X379" i="5" s="1"/>
  <c r="X281" i="26"/>
  <c r="X285" i="26"/>
  <c r="X382" i="5" s="1"/>
  <c r="X424" i="5" s="1"/>
  <c r="S453" i="5" s="1"/>
  <c r="X291" i="26"/>
  <c r="X388" i="5" s="1"/>
  <c r="X430" i="5" s="1"/>
  <c r="S459" i="5" s="1"/>
  <c r="U143" i="28"/>
  <c r="X289" i="26"/>
  <c r="X386" i="5" s="1"/>
  <c r="X428" i="5" s="1"/>
  <c r="S457" i="5" s="1"/>
  <c r="X283" i="26"/>
  <c r="X380" i="5" s="1"/>
  <c r="X422" i="5" s="1"/>
  <c r="S451" i="5" s="1"/>
  <c r="U138" i="28" s="1"/>
  <c r="R24" i="53" s="1"/>
  <c r="X284" i="26"/>
  <c r="X381" i="5" s="1"/>
  <c r="X423" i="5" s="1"/>
  <c r="X290" i="26"/>
  <c r="X387" i="5" s="1"/>
  <c r="X429" i="5" s="1"/>
  <c r="S458" i="5" s="1"/>
  <c r="X287" i="26"/>
  <c r="X384" i="5" s="1"/>
  <c r="X288" i="26"/>
  <c r="X385" i="5" s="1"/>
  <c r="X427" i="5" s="1"/>
  <c r="S456" i="5" s="1"/>
  <c r="X286" i="26"/>
  <c r="X383" i="5" s="1"/>
  <c r="X425" i="5" s="1"/>
  <c r="S454" i="5" s="1"/>
  <c r="AC35" i="26"/>
  <c r="AC57" i="26" s="1"/>
  <c r="AC52" i="26"/>
  <c r="AC53" i="26" s="1"/>
  <c r="AD34" i="26"/>
  <c r="Y234" i="26"/>
  <c r="X234" i="26"/>
  <c r="AB180" i="26"/>
  <c r="AB176" i="26"/>
  <c r="AB185" i="26"/>
  <c r="AB184" i="26"/>
  <c r="AB183" i="26"/>
  <c r="AB182" i="26"/>
  <c r="AB175" i="26"/>
  <c r="AB181" i="26"/>
  <c r="AB177" i="26"/>
  <c r="AB179" i="26"/>
  <c r="X249" i="26"/>
  <c r="AB63" i="26"/>
  <c r="Y249" i="26" l="1"/>
  <c r="AA183" i="26"/>
  <c r="AA182" i="26"/>
  <c r="AA175" i="26"/>
  <c r="AA185" i="26"/>
  <c r="AA178" i="26"/>
  <c r="AA176" i="26"/>
  <c r="AA181" i="26"/>
  <c r="AA177" i="26"/>
  <c r="AA180" i="26"/>
  <c r="AA184" i="26"/>
  <c r="AA179" i="26"/>
  <c r="W292" i="26"/>
  <c r="W378" i="5"/>
  <c r="AA63" i="26"/>
  <c r="AA20" i="26" s="1"/>
  <c r="T150" i="28"/>
  <c r="T151" i="28"/>
  <c r="T148" i="28"/>
  <c r="T149" i="28"/>
  <c r="W421" i="5"/>
  <c r="R452" i="5"/>
  <c r="T139" i="28" s="1"/>
  <c r="Q25" i="53" s="1"/>
  <c r="Q22" i="55"/>
  <c r="Z243" i="26"/>
  <c r="Z240" i="26"/>
  <c r="Z241" i="26"/>
  <c r="Z239" i="26"/>
  <c r="Z242" i="26"/>
  <c r="Z246" i="26"/>
  <c r="Z248" i="26"/>
  <c r="Z247" i="26"/>
  <c r="Z245" i="26"/>
  <c r="Z244" i="26"/>
  <c r="Z238" i="26"/>
  <c r="Z24" i="26"/>
  <c r="Z227" i="26"/>
  <c r="Z233" i="26"/>
  <c r="Z225" i="26"/>
  <c r="Z232" i="26"/>
  <c r="Z230" i="26"/>
  <c r="Z229" i="26"/>
  <c r="Z226" i="26"/>
  <c r="Z224" i="26"/>
  <c r="Z223" i="26"/>
  <c r="Z231" i="26"/>
  <c r="Z228" i="26"/>
  <c r="V150" i="28"/>
  <c r="V148" i="28"/>
  <c r="V149" i="28"/>
  <c r="Y421" i="5"/>
  <c r="V151" i="28"/>
  <c r="X378" i="5"/>
  <c r="X292" i="26"/>
  <c r="U148" i="28"/>
  <c r="U151" i="28"/>
  <c r="X421" i="5"/>
  <c r="U149" i="28"/>
  <c r="U150" i="28"/>
  <c r="Y292" i="26"/>
  <c r="Y378" i="5"/>
  <c r="AB186" i="26"/>
  <c r="R22" i="55"/>
  <c r="S452" i="5"/>
  <c r="U139" i="28" s="1"/>
  <c r="R25" i="53" s="1"/>
  <c r="S22" i="55"/>
  <c r="T452" i="5"/>
  <c r="V139" i="28" s="1"/>
  <c r="S25" i="53" s="1"/>
  <c r="AD35" i="26"/>
  <c r="AD57" i="26" s="1"/>
  <c r="AD52" i="26"/>
  <c r="AD53" i="26" s="1"/>
  <c r="AE34" i="26"/>
  <c r="AB22" i="26"/>
  <c r="AB20" i="26"/>
  <c r="AC58" i="26"/>
  <c r="AC61" i="26" s="1"/>
  <c r="AC13" i="26" l="1"/>
  <c r="AC63" i="26"/>
  <c r="AC20" i="26" s="1"/>
  <c r="Q85" i="55"/>
  <c r="Q89" i="55" s="1"/>
  <c r="Q86" i="55"/>
  <c r="Q90" i="55" s="1"/>
  <c r="W420" i="5"/>
  <c r="R449" i="5" s="1"/>
  <c r="W389" i="5"/>
  <c r="AA22" i="26"/>
  <c r="AA243" i="26" s="1"/>
  <c r="Q21" i="55"/>
  <c r="R450" i="5"/>
  <c r="T137" i="28" s="1"/>
  <c r="Z234" i="26"/>
  <c r="AA186" i="26"/>
  <c r="Z290" i="26"/>
  <c r="Z387" i="5" s="1"/>
  <c r="Z429" i="5" s="1"/>
  <c r="U458" i="5" s="1"/>
  <c r="Z286" i="26"/>
  <c r="Z383" i="5" s="1"/>
  <c r="Z425" i="5" s="1"/>
  <c r="U454" i="5" s="1"/>
  <c r="Z281" i="26"/>
  <c r="W143" i="28"/>
  <c r="Z288" i="26"/>
  <c r="Z385" i="5" s="1"/>
  <c r="Z427" i="5" s="1"/>
  <c r="U456" i="5" s="1"/>
  <c r="Z282" i="26"/>
  <c r="Z379" i="5" s="1"/>
  <c r="Z285" i="26"/>
  <c r="Z382" i="5" s="1"/>
  <c r="Z424" i="5" s="1"/>
  <c r="U453" i="5" s="1"/>
  <c r="Z283" i="26"/>
  <c r="Z380" i="5" s="1"/>
  <c r="Z422" i="5" s="1"/>
  <c r="U451" i="5" s="1"/>
  <c r="W138" i="28" s="1"/>
  <c r="T24" i="53" s="1"/>
  <c r="Z284" i="26"/>
  <c r="Z381" i="5" s="1"/>
  <c r="Z423" i="5" s="1"/>
  <c r="Z287" i="26"/>
  <c r="Z384" i="5" s="1"/>
  <c r="Z291" i="26"/>
  <c r="Z388" i="5" s="1"/>
  <c r="Z430" i="5" s="1"/>
  <c r="U459" i="5" s="1"/>
  <c r="Z289" i="26"/>
  <c r="Z386" i="5" s="1"/>
  <c r="Z428" i="5" s="1"/>
  <c r="U457" i="5" s="1"/>
  <c r="Z249" i="26"/>
  <c r="AE35" i="26"/>
  <c r="AE57" i="26" s="1"/>
  <c r="AE52" i="26"/>
  <c r="AE53" i="26" s="1"/>
  <c r="AF34" i="26"/>
  <c r="S86" i="55"/>
  <c r="S90" i="55" s="1"/>
  <c r="S85" i="55"/>
  <c r="S89" i="55" s="1"/>
  <c r="R21" i="55"/>
  <c r="S450" i="5"/>
  <c r="U137" i="28" s="1"/>
  <c r="AB233" i="26"/>
  <c r="AB227" i="26"/>
  <c r="AB231" i="26"/>
  <c r="AB228" i="26"/>
  <c r="AB229" i="26"/>
  <c r="AB223" i="26"/>
  <c r="AB226" i="26"/>
  <c r="AB225" i="26"/>
  <c r="AB224" i="26"/>
  <c r="AB230" i="26"/>
  <c r="AB232" i="26"/>
  <c r="AB24" i="26"/>
  <c r="AB243" i="26"/>
  <c r="AB244" i="26"/>
  <c r="AB242" i="26"/>
  <c r="AB240" i="26"/>
  <c r="AB246" i="26"/>
  <c r="AB247" i="26"/>
  <c r="AB238" i="26"/>
  <c r="AB248" i="26"/>
  <c r="AB245" i="26"/>
  <c r="AB241" i="26"/>
  <c r="AB239" i="26"/>
  <c r="T450" i="5"/>
  <c r="V137" i="28" s="1"/>
  <c r="S21" i="55"/>
  <c r="R86" i="55"/>
  <c r="R90" i="55" s="1"/>
  <c r="R85" i="55"/>
  <c r="R89" i="55" s="1"/>
  <c r="AA233" i="26"/>
  <c r="AA223" i="26"/>
  <c r="AA224" i="26"/>
  <c r="AA227" i="26"/>
  <c r="AA231" i="26"/>
  <c r="AA232" i="26"/>
  <c r="AA229" i="26"/>
  <c r="AA228" i="26"/>
  <c r="AA226" i="26"/>
  <c r="AA230" i="26"/>
  <c r="AA225" i="26"/>
  <c r="AD58" i="26"/>
  <c r="AD61" i="26" s="1"/>
  <c r="Y420" i="5"/>
  <c r="T449" i="5" s="1"/>
  <c r="Y389" i="5"/>
  <c r="X420" i="5"/>
  <c r="S449" i="5" s="1"/>
  <c r="X389" i="5"/>
  <c r="AA238" i="26" l="1"/>
  <c r="AA247" i="26"/>
  <c r="AC22" i="26"/>
  <c r="AC246" i="26" s="1"/>
  <c r="AD13" i="26"/>
  <c r="AD63" i="26"/>
  <c r="AD22" i="26" s="1"/>
  <c r="Z378" i="5"/>
  <c r="Z292" i="26"/>
  <c r="AA239" i="26"/>
  <c r="Q30" i="55"/>
  <c r="Q32" i="55"/>
  <c r="Q31" i="55"/>
  <c r="Q36" i="55" s="1"/>
  <c r="T22" i="55"/>
  <c r="U452" i="5"/>
  <c r="W139" i="28" s="1"/>
  <c r="T25" i="53" s="1"/>
  <c r="AA24" i="26"/>
  <c r="AA284" i="26" s="1"/>
  <c r="AA381" i="5" s="1"/>
  <c r="AA423" i="5" s="1"/>
  <c r="AA242" i="26"/>
  <c r="AA246" i="26"/>
  <c r="AA245" i="26"/>
  <c r="AA240" i="26"/>
  <c r="AE58" i="26"/>
  <c r="AE61" i="26" s="1"/>
  <c r="AA248" i="26"/>
  <c r="AA244" i="26"/>
  <c r="W148" i="28"/>
  <c r="W149" i="28"/>
  <c r="W150" i="28"/>
  <c r="Z421" i="5"/>
  <c r="W151" i="28"/>
  <c r="AA241" i="26"/>
  <c r="T147" i="28"/>
  <c r="Q23" i="53"/>
  <c r="AE23" i="53" s="1"/>
  <c r="AC182" i="26"/>
  <c r="AC183" i="26"/>
  <c r="AC185" i="26"/>
  <c r="AC179" i="26"/>
  <c r="AC178" i="26"/>
  <c r="AC184" i="26"/>
  <c r="AC175" i="26"/>
  <c r="AC176" i="26"/>
  <c r="AC180" i="26"/>
  <c r="AC181" i="26"/>
  <c r="AC177" i="26"/>
  <c r="AD20" i="26"/>
  <c r="AC233" i="26"/>
  <c r="AC227" i="26"/>
  <c r="AC225" i="26"/>
  <c r="AC226" i="26"/>
  <c r="AC232" i="26"/>
  <c r="AC224" i="26"/>
  <c r="AC228" i="26"/>
  <c r="AC230" i="26"/>
  <c r="AC223" i="26"/>
  <c r="AC231" i="26"/>
  <c r="AC229" i="26"/>
  <c r="R23" i="53"/>
  <c r="U147" i="28"/>
  <c r="AB234" i="26"/>
  <c r="R32" i="55"/>
  <c r="R30" i="55"/>
  <c r="R31" i="55"/>
  <c r="R36" i="55" s="1"/>
  <c r="AF35" i="26"/>
  <c r="AF57" i="26" s="1"/>
  <c r="AG34" i="26"/>
  <c r="AF52" i="26"/>
  <c r="AF53" i="26" s="1"/>
  <c r="AA234" i="26"/>
  <c r="AB282" i="26"/>
  <c r="AB379" i="5" s="1"/>
  <c r="AB287" i="26"/>
  <c r="AB384" i="5" s="1"/>
  <c r="AB289" i="26"/>
  <c r="AB386" i="5" s="1"/>
  <c r="AB428" i="5" s="1"/>
  <c r="W457" i="5" s="1"/>
  <c r="AB285" i="26"/>
  <c r="AB382" i="5" s="1"/>
  <c r="AB424" i="5" s="1"/>
  <c r="W453" i="5" s="1"/>
  <c r="AB290" i="26"/>
  <c r="AB387" i="5" s="1"/>
  <c r="AB429" i="5" s="1"/>
  <c r="W458" i="5" s="1"/>
  <c r="AB288" i="26"/>
  <c r="AB385" i="5" s="1"/>
  <c r="AB427" i="5" s="1"/>
  <c r="W456" i="5" s="1"/>
  <c r="AB283" i="26"/>
  <c r="AB380" i="5" s="1"/>
  <c r="AB422" i="5" s="1"/>
  <c r="W451" i="5" s="1"/>
  <c r="Y138" i="28" s="1"/>
  <c r="V24" i="53" s="1"/>
  <c r="AB281" i="26"/>
  <c r="AB284" i="26"/>
  <c r="AB381" i="5" s="1"/>
  <c r="AB423" i="5" s="1"/>
  <c r="AB291" i="26"/>
  <c r="AB388" i="5" s="1"/>
  <c r="AB430" i="5" s="1"/>
  <c r="W459" i="5" s="1"/>
  <c r="AB286" i="26"/>
  <c r="AB383" i="5" s="1"/>
  <c r="AB425" i="5" s="1"/>
  <c r="W454" i="5" s="1"/>
  <c r="Y143" i="28"/>
  <c r="S32" i="55"/>
  <c r="S37" i="55" s="1"/>
  <c r="S30" i="55"/>
  <c r="S35" i="55" s="1"/>
  <c r="S31" i="55"/>
  <c r="S36" i="55" s="1"/>
  <c r="AB249" i="26"/>
  <c r="AA288" i="26"/>
  <c r="AA385" i="5" s="1"/>
  <c r="AA427" i="5" s="1"/>
  <c r="V456" i="5" s="1"/>
  <c r="AA282" i="26"/>
  <c r="AA379" i="5" s="1"/>
  <c r="AA281" i="26"/>
  <c r="AA283" i="26"/>
  <c r="AA380" i="5" s="1"/>
  <c r="AA422" i="5" s="1"/>
  <c r="V451" i="5" s="1"/>
  <c r="X138" i="28" s="1"/>
  <c r="U24" i="53" s="1"/>
  <c r="AA290" i="26"/>
  <c r="AA387" i="5" s="1"/>
  <c r="AA429" i="5" s="1"/>
  <c r="V458" i="5" s="1"/>
  <c r="AA289" i="26"/>
  <c r="AA386" i="5" s="1"/>
  <c r="AA428" i="5" s="1"/>
  <c r="V457" i="5" s="1"/>
  <c r="AA286" i="26"/>
  <c r="AA383" i="5" s="1"/>
  <c r="AA425" i="5" s="1"/>
  <c r="V454" i="5" s="1"/>
  <c r="X143" i="28"/>
  <c r="S23" i="53"/>
  <c r="V147" i="28"/>
  <c r="AC245" i="26"/>
  <c r="AA291" i="26" l="1"/>
  <c r="AA388" i="5" s="1"/>
  <c r="AA430" i="5" s="1"/>
  <c r="V459" i="5" s="1"/>
  <c r="AA249" i="26"/>
  <c r="AC239" i="26"/>
  <c r="AC242" i="26"/>
  <c r="AC244" i="26"/>
  <c r="AC248" i="26"/>
  <c r="AC240" i="26"/>
  <c r="AC241" i="26"/>
  <c r="AC24" i="26"/>
  <c r="AC291" i="26" s="1"/>
  <c r="AC388" i="5" s="1"/>
  <c r="AC430" i="5" s="1"/>
  <c r="X459" i="5" s="1"/>
  <c r="AC243" i="26"/>
  <c r="AA285" i="26"/>
  <c r="AA382" i="5" s="1"/>
  <c r="AA424" i="5" s="1"/>
  <c r="V453" i="5" s="1"/>
  <c r="AC247" i="26"/>
  <c r="AC238" i="26"/>
  <c r="AF58" i="26"/>
  <c r="AF61" i="26" s="1"/>
  <c r="AA287" i="26"/>
  <c r="AA384" i="5" s="1"/>
  <c r="AE13" i="26"/>
  <c r="AE63" i="26"/>
  <c r="AE22" i="26" s="1"/>
  <c r="T21" i="55"/>
  <c r="U450" i="5"/>
  <c r="W137" i="28" s="1"/>
  <c r="Q37" i="55"/>
  <c r="H54" i="55"/>
  <c r="H53" i="55"/>
  <c r="H55" i="55" s="1"/>
  <c r="Q35" i="55"/>
  <c r="H42" i="55"/>
  <c r="H46" i="55" s="1"/>
  <c r="Q64" i="55"/>
  <c r="R64" i="55" s="1"/>
  <c r="S64" i="55" s="1"/>
  <c r="Q59" i="55"/>
  <c r="R59" i="55" s="1"/>
  <c r="S59" i="55" s="1"/>
  <c r="Q69" i="55"/>
  <c r="R69" i="55" s="1"/>
  <c r="S69" i="55" s="1"/>
  <c r="Q74" i="55"/>
  <c r="R74" i="55" s="1"/>
  <c r="S74" i="55" s="1"/>
  <c r="Z389" i="5"/>
  <c r="Z420" i="5"/>
  <c r="U449" i="5" s="1"/>
  <c r="AC186" i="26"/>
  <c r="T156" i="28"/>
  <c r="T155" i="28"/>
  <c r="T154" i="28"/>
  <c r="T153" i="28"/>
  <c r="T85" i="55"/>
  <c r="T89" i="55" s="1"/>
  <c r="T86" i="55"/>
  <c r="T90" i="55" s="1"/>
  <c r="AD183" i="26"/>
  <c r="AD176" i="26"/>
  <c r="AD178" i="26"/>
  <c r="AD175" i="26"/>
  <c r="AD182" i="26"/>
  <c r="AD185" i="26"/>
  <c r="AD181" i="26"/>
  <c r="AD180" i="26"/>
  <c r="AD179" i="26"/>
  <c r="AD184" i="26"/>
  <c r="AD177" i="26"/>
  <c r="U156" i="28"/>
  <c r="U153" i="28"/>
  <c r="U155" i="28"/>
  <c r="U154" i="28"/>
  <c r="U22" i="55"/>
  <c r="V452" i="5"/>
  <c r="X139" i="28" s="1"/>
  <c r="U25" i="53" s="1"/>
  <c r="AG35" i="26"/>
  <c r="AG57" i="26" s="1"/>
  <c r="AG52" i="26"/>
  <c r="AG53" i="26" s="1"/>
  <c r="AG58" i="26" s="1"/>
  <c r="W452" i="5"/>
  <c r="Y139" i="28" s="1"/>
  <c r="V25" i="53" s="1"/>
  <c r="V22" i="55"/>
  <c r="Y150" i="28"/>
  <c r="Y148" i="28"/>
  <c r="Y151" i="28"/>
  <c r="Y149" i="28"/>
  <c r="AB421" i="5"/>
  <c r="AB292" i="26"/>
  <c r="AB378" i="5"/>
  <c r="J42" i="55"/>
  <c r="J46" i="55" s="1"/>
  <c r="I42" i="55"/>
  <c r="I46" i="55" s="1"/>
  <c r="R35" i="55"/>
  <c r="I53" i="55"/>
  <c r="I55" i="55" s="1"/>
  <c r="J53" i="55"/>
  <c r="R37" i="55"/>
  <c r="J54" i="55"/>
  <c r="I54" i="55"/>
  <c r="AC234" i="26"/>
  <c r="V156" i="28"/>
  <c r="V155" i="28"/>
  <c r="V154" i="28"/>
  <c r="V153" i="28"/>
  <c r="AA378" i="5"/>
  <c r="AE20" i="26"/>
  <c r="AD243" i="26"/>
  <c r="AD245" i="26"/>
  <c r="AD239" i="26"/>
  <c r="AD238" i="26"/>
  <c r="AD240" i="26"/>
  <c r="AD247" i="26"/>
  <c r="AD246" i="26"/>
  <c r="AD244" i="26"/>
  <c r="AD242" i="26"/>
  <c r="AD248" i="26"/>
  <c r="AD241" i="26"/>
  <c r="X149" i="28"/>
  <c r="X148" i="28"/>
  <c r="X151" i="28"/>
  <c r="X150" i="28"/>
  <c r="AA421" i="5"/>
  <c r="AD223" i="26"/>
  <c r="AD227" i="26"/>
  <c r="AD230" i="26"/>
  <c r="AD229" i="26"/>
  <c r="AD231" i="26"/>
  <c r="AD226" i="26"/>
  <c r="AD232" i="26"/>
  <c r="AD224" i="26"/>
  <c r="AD228" i="26"/>
  <c r="AD225" i="26"/>
  <c r="AD233" i="26"/>
  <c r="AD24" i="26"/>
  <c r="AA292" i="26" l="1"/>
  <c r="AC283" i="26"/>
  <c r="AC380" i="5" s="1"/>
  <c r="AC422" i="5" s="1"/>
  <c r="X451" i="5" s="1"/>
  <c r="Z138" i="28" s="1"/>
  <c r="W24" i="53" s="1"/>
  <c r="AC249" i="26"/>
  <c r="AC284" i="26"/>
  <c r="AC381" i="5" s="1"/>
  <c r="AC423" i="5" s="1"/>
  <c r="W22" i="55" s="1"/>
  <c r="AC288" i="26"/>
  <c r="AC385" i="5" s="1"/>
  <c r="AC427" i="5" s="1"/>
  <c r="X456" i="5" s="1"/>
  <c r="Z143" i="28"/>
  <c r="AF13" i="26"/>
  <c r="AF63" i="26"/>
  <c r="AF20" i="26" s="1"/>
  <c r="AC285" i="26"/>
  <c r="AC382" i="5" s="1"/>
  <c r="AC424" i="5" s="1"/>
  <c r="X453" i="5" s="1"/>
  <c r="AC282" i="26"/>
  <c r="AC379" i="5" s="1"/>
  <c r="Z148" i="28" s="1"/>
  <c r="AC287" i="26"/>
  <c r="AC384" i="5" s="1"/>
  <c r="AC281" i="26"/>
  <c r="AC378" i="5" s="1"/>
  <c r="AC290" i="26"/>
  <c r="AC387" i="5" s="1"/>
  <c r="AC429" i="5" s="1"/>
  <c r="X458" i="5" s="1"/>
  <c r="AC289" i="26"/>
  <c r="AC386" i="5" s="1"/>
  <c r="AC428" i="5" s="1"/>
  <c r="X457" i="5" s="1"/>
  <c r="AC286" i="26"/>
  <c r="AC383" i="5" s="1"/>
  <c r="AC425" i="5" s="1"/>
  <c r="X454" i="5" s="1"/>
  <c r="AF181" i="26"/>
  <c r="AF180" i="26"/>
  <c r="AF179" i="26"/>
  <c r="AE178" i="26"/>
  <c r="AE183" i="26"/>
  <c r="AE182" i="26"/>
  <c r="AE175" i="26"/>
  <c r="AE185" i="26"/>
  <c r="AE180" i="26"/>
  <c r="AE181" i="26"/>
  <c r="AE176" i="26"/>
  <c r="AE179" i="26"/>
  <c r="AE184" i="26"/>
  <c r="AE177" i="26"/>
  <c r="AG61" i="26"/>
  <c r="AG13" i="26" s="1"/>
  <c r="AG175" i="26" s="1"/>
  <c r="H43" i="55"/>
  <c r="H47" i="55" s="1"/>
  <c r="Q65" i="55"/>
  <c r="R65" i="55" s="1"/>
  <c r="Q60" i="55"/>
  <c r="R60" i="55" s="1"/>
  <c r="S60" i="55" s="1"/>
  <c r="Q75" i="55"/>
  <c r="R75" i="55" s="1"/>
  <c r="Q70" i="55"/>
  <c r="R70" i="55" s="1"/>
  <c r="S70" i="55" s="1"/>
  <c r="Q63" i="55"/>
  <c r="R63" i="55" s="1"/>
  <c r="Q58" i="55"/>
  <c r="R58" i="55" s="1"/>
  <c r="S58" i="55" s="1"/>
  <c r="H41" i="55"/>
  <c r="H45" i="55" s="1"/>
  <c r="Q73" i="55"/>
  <c r="R73" i="55" s="1"/>
  <c r="S73" i="55" s="1"/>
  <c r="Q68" i="55"/>
  <c r="R68" i="55" s="1"/>
  <c r="AD186" i="26"/>
  <c r="W147" i="28"/>
  <c r="T23" i="53"/>
  <c r="AF183" i="26"/>
  <c r="T30" i="55"/>
  <c r="T32" i="55"/>
  <c r="T31" i="55"/>
  <c r="T36" i="55" s="1"/>
  <c r="K42" i="55" s="1"/>
  <c r="K46" i="55" s="1"/>
  <c r="AF182" i="26"/>
  <c r="AD234" i="26"/>
  <c r="AD249" i="26"/>
  <c r="AE238" i="26"/>
  <c r="AE244" i="26"/>
  <c r="AE243" i="26"/>
  <c r="AE248" i="26"/>
  <c r="AE245" i="26"/>
  <c r="AE246" i="26"/>
  <c r="AE247" i="26"/>
  <c r="AE241" i="26"/>
  <c r="AE239" i="26"/>
  <c r="AE240" i="26"/>
  <c r="AE242" i="26"/>
  <c r="V85" i="55"/>
  <c r="V89" i="55" s="1"/>
  <c r="V86" i="55"/>
  <c r="V90" i="55" s="1"/>
  <c r="U21" i="55"/>
  <c r="V450" i="5"/>
  <c r="X137" i="28" s="1"/>
  <c r="AE223" i="26"/>
  <c r="AE232" i="26"/>
  <c r="AE233" i="26"/>
  <c r="AE229" i="26"/>
  <c r="AE225" i="26"/>
  <c r="AE224" i="26"/>
  <c r="AE227" i="26"/>
  <c r="AE231" i="26"/>
  <c r="AE226" i="26"/>
  <c r="AE228" i="26"/>
  <c r="AE230" i="26"/>
  <c r="AE24" i="26"/>
  <c r="AB420" i="5"/>
  <c r="W449" i="5" s="1"/>
  <c r="AB389" i="5"/>
  <c r="AA420" i="5"/>
  <c r="V449" i="5" s="1"/>
  <c r="AA389" i="5"/>
  <c r="I41" i="55"/>
  <c r="I45" i="55" s="1"/>
  <c r="J41" i="55"/>
  <c r="J45" i="55" s="1"/>
  <c r="AG182" i="26"/>
  <c r="W450" i="5"/>
  <c r="Y137" i="28" s="1"/>
  <c r="V21" i="55"/>
  <c r="AD281" i="26"/>
  <c r="AD282" i="26"/>
  <c r="AD379" i="5" s="1"/>
  <c r="AD285" i="26"/>
  <c r="AD382" i="5" s="1"/>
  <c r="AD424" i="5" s="1"/>
  <c r="Y453" i="5" s="1"/>
  <c r="AD289" i="26"/>
  <c r="AD386" i="5" s="1"/>
  <c r="AD428" i="5" s="1"/>
  <c r="Y457" i="5" s="1"/>
  <c r="AD286" i="26"/>
  <c r="AD383" i="5" s="1"/>
  <c r="AD425" i="5" s="1"/>
  <c r="Y454" i="5" s="1"/>
  <c r="AD284" i="26"/>
  <c r="AD381" i="5" s="1"/>
  <c r="AD423" i="5" s="1"/>
  <c r="AD288" i="26"/>
  <c r="AD385" i="5" s="1"/>
  <c r="AD427" i="5" s="1"/>
  <c r="Y456" i="5" s="1"/>
  <c r="AA143" i="28"/>
  <c r="AD287" i="26"/>
  <c r="AD384" i="5" s="1"/>
  <c r="AD283" i="26"/>
  <c r="AD380" i="5" s="1"/>
  <c r="AD422" i="5" s="1"/>
  <c r="Y451" i="5" s="1"/>
  <c r="AA138" i="28" s="1"/>
  <c r="X24" i="53" s="1"/>
  <c r="AD290" i="26"/>
  <c r="AD387" i="5" s="1"/>
  <c r="AD429" i="5" s="1"/>
  <c r="Y458" i="5" s="1"/>
  <c r="AD291" i="26"/>
  <c r="AD388" i="5" s="1"/>
  <c r="AD430" i="5" s="1"/>
  <c r="Y459" i="5" s="1"/>
  <c r="I43" i="55"/>
  <c r="I47" i="55" s="1"/>
  <c r="J43" i="55"/>
  <c r="J47" i="55" s="1"/>
  <c r="X452" i="5"/>
  <c r="Z139" i="28" s="1"/>
  <c r="W25" i="53" s="1"/>
  <c r="U86" i="55"/>
  <c r="U90" i="55" s="1"/>
  <c r="U85" i="55"/>
  <c r="U89" i="55" s="1"/>
  <c r="Z149" i="28" l="1"/>
  <c r="AC421" i="5"/>
  <c r="W21" i="55" s="1"/>
  <c r="Z151" i="28"/>
  <c r="Z150" i="28"/>
  <c r="AF22" i="26"/>
  <c r="AF238" i="26" s="1"/>
  <c r="AC292" i="26"/>
  <c r="AG183" i="26"/>
  <c r="AG178" i="26"/>
  <c r="AG180" i="26"/>
  <c r="AG181" i="26"/>
  <c r="AG185" i="26"/>
  <c r="AG179" i="26"/>
  <c r="AG63" i="26"/>
  <c r="AG22" i="26" s="1"/>
  <c r="AG184" i="26"/>
  <c r="AG176" i="26"/>
  <c r="AG177" i="26"/>
  <c r="AF176" i="26"/>
  <c r="AF185" i="26"/>
  <c r="AF177" i="26"/>
  <c r="AF175" i="26"/>
  <c r="AF178" i="26"/>
  <c r="AF184" i="26"/>
  <c r="AE186" i="26"/>
  <c r="T59" i="55"/>
  <c r="T69" i="55"/>
  <c r="W153" i="28"/>
  <c r="W154" i="28"/>
  <c r="W156" i="28"/>
  <c r="W155" i="28"/>
  <c r="T64" i="55"/>
  <c r="T37" i="55"/>
  <c r="K43" i="55" s="1"/>
  <c r="K47" i="55" s="1"/>
  <c r="K54" i="55"/>
  <c r="T74" i="55"/>
  <c r="T35" i="55"/>
  <c r="K41" i="55" s="1"/>
  <c r="K45" i="55" s="1"/>
  <c r="K53" i="55"/>
  <c r="AC389" i="5"/>
  <c r="AC420" i="5"/>
  <c r="X449" i="5" s="1"/>
  <c r="S63" i="55"/>
  <c r="W85" i="55"/>
  <c r="W89" i="55" s="1"/>
  <c r="W86" i="55"/>
  <c r="W90" i="55" s="1"/>
  <c r="AE234" i="26"/>
  <c r="X450" i="5"/>
  <c r="Z137" i="28" s="1"/>
  <c r="AE249" i="26"/>
  <c r="S65" i="55"/>
  <c r="X22" i="55"/>
  <c r="Y452" i="5"/>
  <c r="AA139" i="28" s="1"/>
  <c r="X25" i="53" s="1"/>
  <c r="S68" i="55"/>
  <c r="AF239" i="26"/>
  <c r="AF241" i="26"/>
  <c r="AF248" i="26"/>
  <c r="AF243" i="26"/>
  <c r="AF240" i="26"/>
  <c r="AF247" i="26"/>
  <c r="AF244" i="26"/>
  <c r="AF242" i="26"/>
  <c r="AF245" i="26"/>
  <c r="AF246" i="26"/>
  <c r="X147" i="28"/>
  <c r="U23" i="53"/>
  <c r="S75" i="55"/>
  <c r="AF223" i="26"/>
  <c r="AF230" i="26"/>
  <c r="AF226" i="26"/>
  <c r="AF232" i="26"/>
  <c r="AF233" i="26"/>
  <c r="AF229" i="26"/>
  <c r="AF227" i="26"/>
  <c r="AF225" i="26"/>
  <c r="AF224" i="26"/>
  <c r="AF231" i="26"/>
  <c r="AF228" i="26"/>
  <c r="AF24" i="26"/>
  <c r="U30" i="55"/>
  <c r="U32" i="55"/>
  <c r="U31" i="55"/>
  <c r="U36" i="55" s="1"/>
  <c r="V30" i="55"/>
  <c r="V35" i="55" s="1"/>
  <c r="V32" i="55"/>
  <c r="V37" i="55" s="1"/>
  <c r="V31" i="55"/>
  <c r="V36" i="55" s="1"/>
  <c r="AA151" i="28"/>
  <c r="AA149" i="28"/>
  <c r="AA148" i="28"/>
  <c r="AA150" i="28"/>
  <c r="AD421" i="5"/>
  <c r="AE291" i="26"/>
  <c r="AE388" i="5" s="1"/>
  <c r="AE430" i="5" s="1"/>
  <c r="Z459" i="5" s="1"/>
  <c r="AE285" i="26"/>
  <c r="AE382" i="5" s="1"/>
  <c r="AE424" i="5" s="1"/>
  <c r="Z453" i="5" s="1"/>
  <c r="AB143" i="28"/>
  <c r="AE284" i="26"/>
  <c r="AE381" i="5" s="1"/>
  <c r="AE423" i="5" s="1"/>
  <c r="AE282" i="26"/>
  <c r="AE379" i="5" s="1"/>
  <c r="AE289" i="26"/>
  <c r="AE386" i="5" s="1"/>
  <c r="AE428" i="5" s="1"/>
  <c r="Z457" i="5" s="1"/>
  <c r="AE288" i="26"/>
  <c r="AE385" i="5" s="1"/>
  <c r="AE427" i="5" s="1"/>
  <c r="Z456" i="5" s="1"/>
  <c r="AE281" i="26"/>
  <c r="AE290" i="26"/>
  <c r="AE387" i="5" s="1"/>
  <c r="AE429" i="5" s="1"/>
  <c r="Z458" i="5" s="1"/>
  <c r="AE287" i="26"/>
  <c r="AE384" i="5" s="1"/>
  <c r="AE283" i="26"/>
  <c r="AE380" i="5" s="1"/>
  <c r="AE422" i="5" s="1"/>
  <c r="Z451" i="5" s="1"/>
  <c r="AB138" i="28" s="1"/>
  <c r="Y24" i="53" s="1"/>
  <c r="AE286" i="26"/>
  <c r="AE383" i="5" s="1"/>
  <c r="AE425" i="5" s="1"/>
  <c r="Z454" i="5" s="1"/>
  <c r="Y147" i="28"/>
  <c r="V23" i="53"/>
  <c r="AF23" i="53" s="1"/>
  <c r="AD378" i="5"/>
  <c r="AD292" i="26"/>
  <c r="AF186" i="26" l="1"/>
  <c r="AG186" i="26"/>
  <c r="AG20" i="26"/>
  <c r="T60" i="55"/>
  <c r="T65" i="55"/>
  <c r="T70" i="55"/>
  <c r="T75" i="55"/>
  <c r="T73" i="55"/>
  <c r="T68" i="55"/>
  <c r="T58" i="55"/>
  <c r="T63" i="55"/>
  <c r="L42" i="55"/>
  <c r="L46" i="55" s="1"/>
  <c r="M42" i="55"/>
  <c r="M46" i="55" s="1"/>
  <c r="U74" i="55"/>
  <c r="U37" i="55"/>
  <c r="L54" i="55"/>
  <c r="M54" i="55"/>
  <c r="U35" i="55"/>
  <c r="M53" i="55"/>
  <c r="L53" i="55"/>
  <c r="X85" i="55"/>
  <c r="X89" i="55" s="1"/>
  <c r="X86" i="55"/>
  <c r="X90" i="55" s="1"/>
  <c r="AE378" i="5"/>
  <c r="AE292" i="26"/>
  <c r="X153" i="28"/>
  <c r="X154" i="28"/>
  <c r="X155" i="28"/>
  <c r="X156" i="28"/>
  <c r="AD420" i="5"/>
  <c r="Y449" i="5" s="1"/>
  <c r="AD389" i="5"/>
  <c r="X21" i="55"/>
  <c r="Y450" i="5"/>
  <c r="AA137" i="28" s="1"/>
  <c r="U64" i="55"/>
  <c r="AF281" i="26"/>
  <c r="AF289" i="26"/>
  <c r="AF386" i="5" s="1"/>
  <c r="AF428" i="5" s="1"/>
  <c r="AA457" i="5" s="1"/>
  <c r="AF288" i="26"/>
  <c r="AF385" i="5" s="1"/>
  <c r="AF427" i="5" s="1"/>
  <c r="AA456" i="5" s="1"/>
  <c r="AF282" i="26"/>
  <c r="AF379" i="5" s="1"/>
  <c r="AF287" i="26"/>
  <c r="AF384" i="5" s="1"/>
  <c r="AF285" i="26"/>
  <c r="AF382" i="5" s="1"/>
  <c r="AF424" i="5" s="1"/>
  <c r="AA453" i="5" s="1"/>
  <c r="AF286" i="26"/>
  <c r="AF383" i="5" s="1"/>
  <c r="AF425" i="5" s="1"/>
  <c r="AA454" i="5" s="1"/>
  <c r="AF290" i="26"/>
  <c r="AF387" i="5" s="1"/>
  <c r="AF429" i="5" s="1"/>
  <c r="AA458" i="5" s="1"/>
  <c r="AF283" i="26"/>
  <c r="AF380" i="5" s="1"/>
  <c r="AF422" i="5" s="1"/>
  <c r="AA451" i="5" s="1"/>
  <c r="AC138" i="28" s="1"/>
  <c r="Z24" i="53" s="1"/>
  <c r="AF284" i="26"/>
  <c r="AF381" i="5" s="1"/>
  <c r="AF423" i="5" s="1"/>
  <c r="AC143" i="28"/>
  <c r="AF291" i="26"/>
  <c r="AF388" i="5" s="1"/>
  <c r="AF430" i="5" s="1"/>
  <c r="AA459" i="5" s="1"/>
  <c r="Y153" i="28"/>
  <c r="Y155" i="28"/>
  <c r="Y154" i="28"/>
  <c r="Y156" i="28"/>
  <c r="U59" i="55"/>
  <c r="U69" i="55"/>
  <c r="AB151" i="28"/>
  <c r="AB148" i="28"/>
  <c r="AE421" i="5"/>
  <c r="AB150" i="28"/>
  <c r="AB149" i="28"/>
  <c r="AG225" i="26"/>
  <c r="AG223" i="26"/>
  <c r="AG224" i="26"/>
  <c r="AG230" i="26"/>
  <c r="AG226" i="26"/>
  <c r="AG227" i="26"/>
  <c r="AG228" i="26"/>
  <c r="AG233" i="26"/>
  <c r="AG231" i="26"/>
  <c r="AG229" i="26"/>
  <c r="AG232" i="26"/>
  <c r="AG24" i="26"/>
  <c r="AF234" i="26"/>
  <c r="AF249" i="26"/>
  <c r="W32" i="55"/>
  <c r="W37" i="55" s="1"/>
  <c r="W30" i="55"/>
  <c r="W35" i="55" s="1"/>
  <c r="W31" i="55"/>
  <c r="W36" i="55" s="1"/>
  <c r="Y22" i="55"/>
  <c r="Z452" i="5"/>
  <c r="AB139" i="28" s="1"/>
  <c r="Y25" i="53" s="1"/>
  <c r="AG244" i="26"/>
  <c r="AG239" i="26"/>
  <c r="AG245" i="26"/>
  <c r="AG246" i="26"/>
  <c r="AG248" i="26"/>
  <c r="AG247" i="26"/>
  <c r="AG241" i="26"/>
  <c r="AG238" i="26"/>
  <c r="AG242" i="26"/>
  <c r="AG240" i="26"/>
  <c r="AG243" i="26"/>
  <c r="Z147" i="28"/>
  <c r="W23" i="53"/>
  <c r="U75" i="55" l="1"/>
  <c r="V75" i="55" s="1"/>
  <c r="W75" i="55" s="1"/>
  <c r="U63" i="55"/>
  <c r="V63" i="55" s="1"/>
  <c r="W63" i="55" s="1"/>
  <c r="U65" i="55"/>
  <c r="V65" i="55" s="1"/>
  <c r="W65" i="55" s="1"/>
  <c r="AF378" i="5"/>
  <c r="AF292" i="26"/>
  <c r="N54" i="55"/>
  <c r="V59" i="55"/>
  <c r="W59" i="55" s="1"/>
  <c r="Z450" i="5"/>
  <c r="AB137" i="28" s="1"/>
  <c r="Y21" i="55"/>
  <c r="V64" i="55"/>
  <c r="W64" i="55" s="1"/>
  <c r="N42" i="55"/>
  <c r="N46" i="55" s="1"/>
  <c r="AG282" i="26"/>
  <c r="AG379" i="5" s="1"/>
  <c r="AG285" i="26"/>
  <c r="AG382" i="5" s="1"/>
  <c r="AG424" i="5" s="1"/>
  <c r="AB453" i="5" s="1"/>
  <c r="AD143" i="28"/>
  <c r="AG287" i="26"/>
  <c r="AG384" i="5" s="1"/>
  <c r="AG283" i="26"/>
  <c r="AG380" i="5" s="1"/>
  <c r="AG422" i="5" s="1"/>
  <c r="AB451" i="5" s="1"/>
  <c r="AD138" i="28" s="1"/>
  <c r="AA24" i="53" s="1"/>
  <c r="AG286" i="26"/>
  <c r="AG383" i="5" s="1"/>
  <c r="AG425" i="5" s="1"/>
  <c r="AB454" i="5" s="1"/>
  <c r="AG281" i="26"/>
  <c r="AG288" i="26"/>
  <c r="AG385" i="5" s="1"/>
  <c r="AG427" i="5" s="1"/>
  <c r="AB456" i="5" s="1"/>
  <c r="AG289" i="26"/>
  <c r="AG386" i="5" s="1"/>
  <c r="AG428" i="5" s="1"/>
  <c r="AB457" i="5" s="1"/>
  <c r="AG290" i="26"/>
  <c r="AG387" i="5" s="1"/>
  <c r="AG429" i="5" s="1"/>
  <c r="AB458" i="5" s="1"/>
  <c r="AG284" i="26"/>
  <c r="AG381" i="5" s="1"/>
  <c r="AG423" i="5" s="1"/>
  <c r="AG291" i="26"/>
  <c r="AG388" i="5" s="1"/>
  <c r="AG430" i="5" s="1"/>
  <c r="AB459" i="5" s="1"/>
  <c r="X23" i="53"/>
  <c r="AA147" i="28"/>
  <c r="V74" i="55"/>
  <c r="W74" i="55" s="1"/>
  <c r="AC150" i="28"/>
  <c r="AC149" i="28"/>
  <c r="AC151" i="28"/>
  <c r="AF421" i="5"/>
  <c r="AC148" i="28"/>
  <c r="X31" i="55"/>
  <c r="X36" i="55" s="1"/>
  <c r="X32" i="55"/>
  <c r="X37" i="55" s="1"/>
  <c r="O43" i="55" s="1"/>
  <c r="O47" i="55" s="1"/>
  <c r="X30" i="55"/>
  <c r="X35" i="55" s="1"/>
  <c r="O41" i="55" s="1"/>
  <c r="O45" i="55" s="1"/>
  <c r="AG249" i="26"/>
  <c r="Z154" i="28"/>
  <c r="Z153" i="28"/>
  <c r="Z156" i="28"/>
  <c r="Z155" i="28"/>
  <c r="Y86" i="55"/>
  <c r="Y90" i="55" s="1"/>
  <c r="Y85" i="55"/>
  <c r="Y89" i="55" s="1"/>
  <c r="AG234" i="26"/>
  <c r="V69" i="55"/>
  <c r="W69" i="55" s="1"/>
  <c r="AE389" i="5"/>
  <c r="AE420" i="5"/>
  <c r="Z449" i="5" s="1"/>
  <c r="N53" i="55"/>
  <c r="U70" i="55"/>
  <c r="L43" i="55"/>
  <c r="L47" i="55" s="1"/>
  <c r="N43" i="55"/>
  <c r="N47" i="55" s="1"/>
  <c r="M43" i="55"/>
  <c r="M47" i="55" s="1"/>
  <c r="U60" i="55"/>
  <c r="AA452" i="5"/>
  <c r="AC139" i="28" s="1"/>
  <c r="Z25" i="53" s="1"/>
  <c r="Z22" i="55"/>
  <c r="N41" i="55"/>
  <c r="N45" i="55" s="1"/>
  <c r="U58" i="55"/>
  <c r="L41" i="55"/>
  <c r="L45" i="55" s="1"/>
  <c r="M41" i="55"/>
  <c r="M45" i="55" s="1"/>
  <c r="U73" i="55"/>
  <c r="U68" i="55"/>
  <c r="O53" i="55" l="1"/>
  <c r="X74" i="55"/>
  <c r="AD150" i="28"/>
  <c r="AG421" i="5"/>
  <c r="AD149" i="28"/>
  <c r="AD151" i="28"/>
  <c r="AD148" i="28"/>
  <c r="V60" i="55"/>
  <c r="W60" i="55" s="1"/>
  <c r="X60" i="55" s="1"/>
  <c r="O54" i="55"/>
  <c r="X65" i="55"/>
  <c r="X63" i="55"/>
  <c r="AA450" i="5"/>
  <c r="AC137" i="28" s="1"/>
  <c r="Z21" i="55"/>
  <c r="AA155" i="28"/>
  <c r="AA154" i="28"/>
  <c r="AA153" i="28"/>
  <c r="AA156" i="28"/>
  <c r="AG378" i="5"/>
  <c r="AG292" i="26"/>
  <c r="X75" i="55"/>
  <c r="V58" i="55"/>
  <c r="W58" i="55" s="1"/>
  <c r="X58" i="55" s="1"/>
  <c r="V68" i="55"/>
  <c r="W68" i="55" s="1"/>
  <c r="X68" i="55" s="1"/>
  <c r="X64" i="55"/>
  <c r="Y64" i="55" s="1"/>
  <c r="P54" i="55"/>
  <c r="Z85" i="55"/>
  <c r="Z89" i="55" s="1"/>
  <c r="Z86" i="55"/>
  <c r="Z90" i="55" s="1"/>
  <c r="Y31" i="55"/>
  <c r="Y36" i="55" s="1"/>
  <c r="P42" i="55" s="1"/>
  <c r="P46" i="55" s="1"/>
  <c r="Y32" i="55"/>
  <c r="Y37" i="55" s="1"/>
  <c r="Y30" i="55"/>
  <c r="X59" i="55"/>
  <c r="AB147" i="28"/>
  <c r="Y23" i="53"/>
  <c r="O42" i="55"/>
  <c r="O46" i="55" s="1"/>
  <c r="AF420" i="5"/>
  <c r="AA449" i="5" s="1"/>
  <c r="AF389" i="5"/>
  <c r="X69" i="55"/>
  <c r="V73" i="55"/>
  <c r="W73" i="55" s="1"/>
  <c r="X73" i="55" s="1"/>
  <c r="V70" i="55"/>
  <c r="W70" i="55" s="1"/>
  <c r="X70" i="55" s="1"/>
  <c r="AA22" i="55"/>
  <c r="AB452" i="5"/>
  <c r="AD139" i="28" s="1"/>
  <c r="AA25" i="53" s="1"/>
  <c r="Y74" i="55" l="1"/>
  <c r="Y35" i="55"/>
  <c r="Y63" i="55" s="1"/>
  <c r="P53" i="55"/>
  <c r="Y75" i="55"/>
  <c r="Z32" i="55"/>
  <c r="Z30" i="55"/>
  <c r="Z35" i="55" s="1"/>
  <c r="Z31" i="55"/>
  <c r="Z36" i="55" s="1"/>
  <c r="Q42" i="55" s="1"/>
  <c r="Q46" i="55" s="1"/>
  <c r="Y60" i="55"/>
  <c r="AC147" i="28"/>
  <c r="Z23" i="53"/>
  <c r="AA85" i="55"/>
  <c r="AA89" i="55" s="1"/>
  <c r="AB22" i="55"/>
  <c r="AA86" i="55"/>
  <c r="AA90" i="55" s="1"/>
  <c r="P43" i="55"/>
  <c r="P47" i="55" s="1"/>
  <c r="AG420" i="5"/>
  <c r="AB449" i="5" s="1"/>
  <c r="AG389" i="5"/>
  <c r="Y70" i="55"/>
  <c r="Y68" i="55"/>
  <c r="Y65" i="55"/>
  <c r="AB450" i="5"/>
  <c r="AD137" i="28" s="1"/>
  <c r="AA21" i="55"/>
  <c r="AB156" i="28"/>
  <c r="AB154" i="28"/>
  <c r="AB153" i="28"/>
  <c r="AB155" i="28"/>
  <c r="Y69" i="55"/>
  <c r="Y59" i="55"/>
  <c r="Y58" i="55" l="1"/>
  <c r="Y73" i="55"/>
  <c r="Z59" i="55"/>
  <c r="Z69" i="55"/>
  <c r="Z74" i="55"/>
  <c r="Z64" i="55"/>
  <c r="Z73" i="55"/>
  <c r="AB85" i="55"/>
  <c r="AB89" i="55" s="1"/>
  <c r="AC22" i="55"/>
  <c r="AB86" i="55"/>
  <c r="AB90" i="55" s="1"/>
  <c r="Z37" i="55"/>
  <c r="Q43" i="55" s="1"/>
  <c r="Q47" i="55" s="1"/>
  <c r="Q54" i="55"/>
  <c r="AA32" i="55"/>
  <c r="AA37" i="55" s="1"/>
  <c r="AA30" i="55"/>
  <c r="AA35" i="55" s="1"/>
  <c r="AB21" i="55"/>
  <c r="AA31" i="55"/>
  <c r="AA36" i="55" s="1"/>
  <c r="AA23" i="53"/>
  <c r="AG23" i="53" s="1"/>
  <c r="AD147" i="28"/>
  <c r="Z63" i="55"/>
  <c r="Q53" i="55"/>
  <c r="AC153" i="28"/>
  <c r="AC155" i="28"/>
  <c r="AC154" i="28"/>
  <c r="AC156" i="28"/>
  <c r="P41" i="55"/>
  <c r="P45" i="55" s="1"/>
  <c r="Q41" i="55"/>
  <c r="Q45" i="55" s="1"/>
  <c r="Z68" i="55"/>
  <c r="Z58" i="55"/>
  <c r="AA59" i="55" l="1"/>
  <c r="AA68" i="55"/>
  <c r="C68" i="55" s="1"/>
  <c r="AA58" i="55"/>
  <c r="C59" i="55"/>
  <c r="AB30" i="55"/>
  <c r="AB35" i="55" s="1"/>
  <c r="AB68" i="55" s="1"/>
  <c r="AB31" i="55"/>
  <c r="AB36" i="55" s="1"/>
  <c r="AC21" i="55"/>
  <c r="AB32" i="55"/>
  <c r="AB37" i="55" s="1"/>
  <c r="AD22" i="55"/>
  <c r="AC86" i="55"/>
  <c r="AC90" i="55" s="1"/>
  <c r="AC85" i="55"/>
  <c r="AC89" i="55" s="1"/>
  <c r="AA74" i="55"/>
  <c r="AA69" i="55"/>
  <c r="AA64" i="55"/>
  <c r="Z60" i="55"/>
  <c r="Z65" i="55"/>
  <c r="Z70" i="55"/>
  <c r="AA63" i="55"/>
  <c r="C63" i="55" s="1"/>
  <c r="Z75" i="55"/>
  <c r="AA75" i="55" s="1"/>
  <c r="C58" i="55"/>
  <c r="AD156" i="28"/>
  <c r="AD153" i="28"/>
  <c r="AD154" i="28"/>
  <c r="AD155" i="28"/>
  <c r="AA73" i="55"/>
  <c r="AB59" i="55" l="1"/>
  <c r="AB58" i="55"/>
  <c r="AB75" i="55"/>
  <c r="AB74" i="55"/>
  <c r="AC30" i="55"/>
  <c r="AC35" i="55" s="1"/>
  <c r="AC68" i="55" s="1"/>
  <c r="AC32" i="55"/>
  <c r="AC37" i="55" s="1"/>
  <c r="AD21" i="55"/>
  <c r="AC31" i="55"/>
  <c r="AC36" i="55" s="1"/>
  <c r="AB69" i="55"/>
  <c r="C69" i="55"/>
  <c r="AA65" i="55"/>
  <c r="AB65" i="55" s="1"/>
  <c r="AA60" i="55"/>
  <c r="AB60" i="55" s="1"/>
  <c r="AD85" i="55"/>
  <c r="AD89" i="55" s="1"/>
  <c r="AD86" i="55"/>
  <c r="AD90" i="55" s="1"/>
  <c r="AE22" i="55"/>
  <c r="AB64" i="55"/>
  <c r="C64" i="55"/>
  <c r="AB73" i="55"/>
  <c r="AB63" i="55"/>
  <c r="AA70" i="55"/>
  <c r="AB70" i="55" s="1"/>
  <c r="AC59" i="55" l="1"/>
  <c r="C65" i="55"/>
  <c r="AC70" i="55"/>
  <c r="AC63" i="55"/>
  <c r="C60" i="55"/>
  <c r="AC73" i="55"/>
  <c r="AC69" i="55"/>
  <c r="AC60" i="55"/>
  <c r="AC75" i="55"/>
  <c r="AD32" i="55"/>
  <c r="AD37" i="55" s="1"/>
  <c r="AE21" i="55"/>
  <c r="AD30" i="55"/>
  <c r="AD35" i="55" s="1"/>
  <c r="AD31" i="55"/>
  <c r="AD36" i="55" s="1"/>
  <c r="AC74" i="55"/>
  <c r="AC58" i="55"/>
  <c r="AC65" i="55"/>
  <c r="AC64" i="55"/>
  <c r="C70" i="55"/>
  <c r="AE85" i="55"/>
  <c r="AE89" i="55" s="1"/>
  <c r="AF22" i="55"/>
  <c r="AE86" i="55"/>
  <c r="AE90" i="55" s="1"/>
  <c r="AD70" i="55" l="1"/>
  <c r="AD63" i="55"/>
  <c r="AD69" i="55"/>
  <c r="AD73" i="55"/>
  <c r="AD65" i="55"/>
  <c r="AD75" i="55"/>
  <c r="AD64" i="55"/>
  <c r="AE30" i="55"/>
  <c r="AE35" i="55" s="1"/>
  <c r="AF21" i="55"/>
  <c r="AE31" i="55"/>
  <c r="AE36" i="55" s="1"/>
  <c r="AE32" i="55"/>
  <c r="AE37" i="55" s="1"/>
  <c r="AF85" i="55"/>
  <c r="AF89" i="55" s="1"/>
  <c r="AF86" i="55"/>
  <c r="AF90" i="55" s="1"/>
  <c r="AD68" i="55"/>
  <c r="AD58" i="55"/>
  <c r="AD74" i="55"/>
  <c r="AD60" i="55"/>
  <c r="AD59" i="55"/>
  <c r="AE70" i="55" l="1"/>
  <c r="AE69" i="55"/>
  <c r="AE73" i="55"/>
  <c r="AE59" i="55"/>
  <c r="AE74" i="55"/>
  <c r="AE64" i="55"/>
  <c r="AE60" i="55"/>
  <c r="AE65" i="55"/>
  <c r="AE75" i="55"/>
  <c r="AE58" i="55"/>
  <c r="AF32" i="55"/>
  <c r="AF37" i="55" s="1"/>
  <c r="AF30" i="55"/>
  <c r="AF35" i="55" s="1"/>
  <c r="AF31" i="55"/>
  <c r="AF36" i="55" s="1"/>
  <c r="AE63" i="55"/>
  <c r="AE68" i="55"/>
  <c r="AF69" i="55" l="1"/>
  <c r="AF70" i="55"/>
  <c r="AF73" i="55"/>
  <c r="C73" i="55" s="1"/>
  <c r="AF65" i="55"/>
  <c r="AF75" i="55"/>
  <c r="C75" i="55" s="1"/>
  <c r="AF59" i="55"/>
  <c r="AF60" i="55"/>
  <c r="AF68" i="55"/>
  <c r="AF74" i="55"/>
  <c r="C74" i="55" s="1"/>
  <c r="AF63" i="55"/>
  <c r="AF58" i="55"/>
  <c r="AF64" i="55"/>
</calcChain>
</file>

<file path=xl/sharedStrings.xml><?xml version="1.0" encoding="utf-8"?>
<sst xmlns="http://schemas.openxmlformats.org/spreadsheetml/2006/main" count="2789" uniqueCount="777">
  <si>
    <t xml:space="preserve"> </t>
  </si>
  <si>
    <t xml:space="preserve">Hawaii Gas IRP Scenario Analysis - Projected HG Model </t>
  </si>
  <si>
    <t>Issue Date</t>
  </si>
  <si>
    <t>File Name</t>
  </si>
  <si>
    <t>Project No.</t>
  </si>
  <si>
    <t>Color Code</t>
  </si>
  <si>
    <t>Hard-coded Input</t>
  </si>
  <si>
    <t>Number</t>
  </si>
  <si>
    <t>Calculated Input</t>
  </si>
  <si>
    <t>Output</t>
  </si>
  <si>
    <t>Cross Sheet Reference</t>
  </si>
  <si>
    <t>Disclaimer</t>
  </si>
  <si>
    <t xml:space="preserve">This model is prepared solely for the authorized uses of Hawaii Gas Use of, or reliance upon, this model or any information contained herein by any other party is prohibited.
</t>
  </si>
  <si>
    <t>Scenario</t>
  </si>
  <si>
    <t>Base</t>
  </si>
  <si>
    <t>Projected Gas Demand By Rate Schedule</t>
  </si>
  <si>
    <t>Super High (2 New Segments)</t>
  </si>
  <si>
    <t xml:space="preserve">Transportation </t>
  </si>
  <si>
    <t>Power Gen</t>
  </si>
  <si>
    <t>PSIP</t>
  </si>
  <si>
    <t>`</t>
  </si>
  <si>
    <t>Projected Ecometric Drivers</t>
  </si>
  <si>
    <t>Projected Key Econometric Drivers</t>
  </si>
  <si>
    <t xml:space="preserve">Projected Energy Efficiency </t>
  </si>
  <si>
    <t>Emissions</t>
  </si>
  <si>
    <t>General Inputs</t>
  </si>
  <si>
    <t>Demand Scenarios</t>
  </si>
  <si>
    <t>Supply Scenario</t>
  </si>
  <si>
    <t>Cost</t>
  </si>
  <si>
    <t>CapEx Scenario</t>
  </si>
  <si>
    <t>Retirement Year</t>
  </si>
  <si>
    <t>SNG Plant</t>
  </si>
  <si>
    <t>Cost Escalation</t>
  </si>
  <si>
    <t>O&amp;M Projections</t>
  </si>
  <si>
    <t>CapEx Projections</t>
  </si>
  <si>
    <t>Base Case</t>
  </si>
  <si>
    <t>Low Demand</t>
  </si>
  <si>
    <t>High Demand</t>
  </si>
  <si>
    <t>Rate 20 - - Residential</t>
  </si>
  <si>
    <t>Rate 30 - - Multi Family</t>
  </si>
  <si>
    <t>Operating Expense (Oahu Non Fuel)</t>
  </si>
  <si>
    <t>Metric</t>
  </si>
  <si>
    <t>Unit</t>
  </si>
  <si>
    <t>Transmission Expenses</t>
  </si>
  <si>
    <t>$/Volume</t>
  </si>
  <si>
    <t>Natural Gas Storage, Terminaling and Processing Expenses</t>
  </si>
  <si>
    <t>Distribution Expenses</t>
  </si>
  <si>
    <t>Customer Accounts Expenses</t>
  </si>
  <si>
    <t>$/Customer</t>
  </si>
  <si>
    <t>Customer Service and Informational Expenses</t>
  </si>
  <si>
    <t>Sales Expenses</t>
  </si>
  <si>
    <t>Administrative and General Expenses</t>
  </si>
  <si>
    <t>Depreciation</t>
  </si>
  <si>
    <t>Other Items</t>
  </si>
  <si>
    <t>CAGR</t>
  </si>
  <si>
    <t>Taxes Other than Income</t>
  </si>
  <si>
    <t>Income Tax</t>
  </si>
  <si>
    <t>Tax Rate</t>
  </si>
  <si>
    <t>Return on Rate Base</t>
  </si>
  <si>
    <t>Cost of Service</t>
  </si>
  <si>
    <t>Plant in Service</t>
  </si>
  <si>
    <t xml:space="preserve">  Intangible Plant</t>
  </si>
  <si>
    <t xml:space="preserve">  Production Plant</t>
  </si>
  <si>
    <t xml:space="preserve">  Storage Plant</t>
  </si>
  <si>
    <t xml:space="preserve">  Transmission Plant</t>
  </si>
  <si>
    <t xml:space="preserve">  Distribution Plant</t>
  </si>
  <si>
    <t xml:space="preserve">  General Plant</t>
  </si>
  <si>
    <t>Total</t>
  </si>
  <si>
    <t>Incremental CapEx</t>
  </si>
  <si>
    <t>Growth</t>
  </si>
  <si>
    <t>Historical Rate</t>
  </si>
  <si>
    <t>Rate</t>
  </si>
  <si>
    <t>Rate Base</t>
  </si>
  <si>
    <t>Accumulated Depreciation</t>
  </si>
  <si>
    <t>Working Capital</t>
  </si>
  <si>
    <t>Other Rate Base Items</t>
  </si>
  <si>
    <t>Total Rate Base</t>
  </si>
  <si>
    <t>Rate of Return</t>
  </si>
  <si>
    <t>Return</t>
  </si>
  <si>
    <t>Transmission Expense</t>
  </si>
  <si>
    <t>Deilivery Service</t>
  </si>
  <si>
    <t>Functional Allocation</t>
  </si>
  <si>
    <t xml:space="preserve">  Transmission Capacity</t>
  </si>
  <si>
    <t xml:space="preserve">  Storage Propane Air</t>
  </si>
  <si>
    <t xml:space="preserve">  Storage Holders </t>
  </si>
  <si>
    <t xml:space="preserve">  Distribution Mains</t>
  </si>
  <si>
    <t xml:space="preserve">  Distribution  Services</t>
  </si>
  <si>
    <t>Meters and Regulators</t>
  </si>
  <si>
    <t xml:space="preserve">  Meter Reading</t>
  </si>
  <si>
    <t xml:space="preserve">  Billing</t>
  </si>
  <si>
    <t xml:space="preserve">  Uncollectible Accounts</t>
  </si>
  <si>
    <t xml:space="preserve">  Other </t>
  </si>
  <si>
    <t xml:space="preserve">  Sales</t>
  </si>
  <si>
    <t>A&amp;G</t>
  </si>
  <si>
    <t>Taxes Other Than Income</t>
  </si>
  <si>
    <t>Oahu Allocated Cost of Service</t>
  </si>
  <si>
    <t>Allocation Units (Factors)</t>
  </si>
  <si>
    <t>Capacity</t>
  </si>
  <si>
    <t>Rate 10 - - General Service</t>
  </si>
  <si>
    <t>Rate 50 - - Commercial</t>
  </si>
  <si>
    <t>Rate 55 - - Large Industrial</t>
  </si>
  <si>
    <t>Rate 60 - - Large Firm</t>
  </si>
  <si>
    <t>Rate 65 - - Alternate Energy</t>
  </si>
  <si>
    <t>Rate 70 - - Standby Generator</t>
  </si>
  <si>
    <t>Rate 80 - - Standby Backup</t>
  </si>
  <si>
    <t>Rate 91 - - Interruptible Oil</t>
  </si>
  <si>
    <t>Rate 92 - - Interruptible LPG</t>
  </si>
  <si>
    <t>Projected Throughput</t>
  </si>
  <si>
    <t>Allocated Cost of Service (Delivery Service)</t>
  </si>
  <si>
    <t>Oahu (M&amp;R)</t>
  </si>
  <si>
    <t>Services</t>
  </si>
  <si>
    <t>Oahu Customers by Rate Class (Customers x 12)</t>
  </si>
  <si>
    <t>Allocated Cost of Service (Customer Care)</t>
  </si>
  <si>
    <t>Total Cost of Service (Without SNG Plant, Gas Procurement Service)</t>
  </si>
  <si>
    <t>Total Cost of Service (SNG Plant)</t>
  </si>
  <si>
    <t>Customer Charge</t>
  </si>
  <si>
    <t>Customer Charge Revenue Requirement</t>
  </si>
  <si>
    <t>Final Tariff Rate</t>
  </si>
  <si>
    <t>Bill Impact</t>
  </si>
  <si>
    <t>Average Therms per Month</t>
  </si>
  <si>
    <t>SNG Retirement Year</t>
  </si>
  <si>
    <t>Operating Expense (SNG Plant)</t>
  </si>
  <si>
    <t>Production Cost</t>
  </si>
  <si>
    <t>Oahu Usage by Rate Class</t>
  </si>
  <si>
    <t>Filed CPUC CapEx</t>
  </si>
  <si>
    <t>Budget Category</t>
  </si>
  <si>
    <t>Comments</t>
  </si>
  <si>
    <t>Computer Projects</t>
  </si>
  <si>
    <t>Equipment/Tools/Other</t>
  </si>
  <si>
    <t>Facilities</t>
  </si>
  <si>
    <t>Maintenance/Renewals</t>
  </si>
  <si>
    <t>Meter Tank Regulator &amp; New Connections</t>
  </si>
  <si>
    <t>New Business</t>
  </si>
  <si>
    <t>Safety and Environmental Compliance</t>
  </si>
  <si>
    <t>Vehicles</t>
  </si>
  <si>
    <t>RNG</t>
  </si>
  <si>
    <t>Incremental Supply Cost (RNG) to be determined by current IRP Process</t>
  </si>
  <si>
    <t>Grand Total</t>
  </si>
  <si>
    <t>Non-SNG Plant and RNG Spend</t>
  </si>
  <si>
    <t xml:space="preserve">Projected </t>
  </si>
  <si>
    <t>High RNG CapEx</t>
  </si>
  <si>
    <t>High RNG OpEX</t>
  </si>
  <si>
    <t>Tab Name</t>
  </si>
  <si>
    <t>Description</t>
  </si>
  <si>
    <t>Dashboard</t>
  </si>
  <si>
    <t>Summary Graphics and Key Output</t>
  </si>
  <si>
    <t>Summary Data</t>
  </si>
  <si>
    <t>Projected Therms by Rate Schedule</t>
  </si>
  <si>
    <t>Historical Data</t>
  </si>
  <si>
    <t>Historical Usage Data Provided by Hawaii Gas</t>
  </si>
  <si>
    <t>Historical Correlation Matrix</t>
  </si>
  <si>
    <t>Historical Correlation of Key Econometric Drivers</t>
  </si>
  <si>
    <t>Hist Reg (Oahu)</t>
  </si>
  <si>
    <t>Historical Regression for Oahu Market</t>
  </si>
  <si>
    <t>Hist Reg (Neigh Isl)</t>
  </si>
  <si>
    <t>Historical Regression for Neighboring Island Markets</t>
  </si>
  <si>
    <t>Projected Econometric Drivers</t>
  </si>
  <si>
    <t>Historical and Projected Econometric Variables (2002-2045)</t>
  </si>
  <si>
    <t>Energy Efficiency</t>
  </si>
  <si>
    <t>Assumptions for Energy Efficiency Programs</t>
  </si>
  <si>
    <t>Rate Schedules</t>
  </si>
  <si>
    <t>General Service Utility</t>
  </si>
  <si>
    <t>Residential Utility</t>
  </si>
  <si>
    <t>Multiple Unit Hsg-Utility</t>
  </si>
  <si>
    <t>Comm &amp; Ind - Utility</t>
  </si>
  <si>
    <t>Large Industrial Service - UT</t>
  </si>
  <si>
    <t>Large Firm - Utility</t>
  </si>
  <si>
    <t>Alternate Energy - Utility</t>
  </si>
  <si>
    <t>Power Generation Stand-by - UT</t>
  </si>
  <si>
    <t>Supplemental Standby - Utility</t>
  </si>
  <si>
    <t>Interruptible - Oil Alt Fuel</t>
  </si>
  <si>
    <t>Interruptible - Propane Alt</t>
  </si>
  <si>
    <t>Delivered Therms</t>
  </si>
  <si>
    <t>Year</t>
  </si>
  <si>
    <t>Oahu 10</t>
  </si>
  <si>
    <t>Oahu 20</t>
  </si>
  <si>
    <t>Oahu 30</t>
  </si>
  <si>
    <t>Oahu 50</t>
  </si>
  <si>
    <t>Oahu 55</t>
  </si>
  <si>
    <t>Oahu 60</t>
  </si>
  <si>
    <t>Oahu 65</t>
  </si>
  <si>
    <t>Oahu 70</t>
  </si>
  <si>
    <t>Oahu 80</t>
  </si>
  <si>
    <t>Oahu 91</t>
  </si>
  <si>
    <t>Oahu 92</t>
  </si>
  <si>
    <t>Total Therms</t>
  </si>
  <si>
    <t>Net Therms</t>
  </si>
  <si>
    <t>Emission Rate</t>
  </si>
  <si>
    <t>Methane</t>
  </si>
  <si>
    <t>metric tons CO2­/therm</t>
  </si>
  <si>
    <t>U.S. Energy Information Administration - EIA - Independent Statistics and Analysis</t>
  </si>
  <si>
    <t>Propane</t>
  </si>
  <si>
    <t>Metric ton CO2/therm</t>
  </si>
  <si>
    <t>HAWAII (Hilo + Kona)</t>
  </si>
  <si>
    <t>GEN SERVICE</t>
  </si>
  <si>
    <t>RESIDENTIAL</t>
  </si>
  <si>
    <t>MULTI-UNIT</t>
  </si>
  <si>
    <t>COMM/IND</t>
  </si>
  <si>
    <t>LGE FIRM</t>
  </si>
  <si>
    <t>Maui County (Molokai + Lanai)</t>
  </si>
  <si>
    <t>Kauai</t>
  </si>
  <si>
    <t>Units: Therms</t>
  </si>
  <si>
    <t>Source: Hawaii Gas</t>
  </si>
  <si>
    <t>Total Oahu Usage</t>
  </si>
  <si>
    <t>Note</t>
  </si>
  <si>
    <t>Oahu Market</t>
  </si>
  <si>
    <t>US Consumer Price Index (all urban consumers)</t>
  </si>
  <si>
    <t>US Real Gross Domestic Product, Monthly</t>
  </si>
  <si>
    <t>West Texas Intermediate Crude Oil Price</t>
  </si>
  <si>
    <t>Hawaii State CPI</t>
  </si>
  <si>
    <t>US Henry Hub Price Lagged</t>
  </si>
  <si>
    <t xml:space="preserve">Total Hawaii Visitors </t>
  </si>
  <si>
    <t>Hawaii State Population</t>
  </si>
  <si>
    <t>Hawaii State GDP</t>
  </si>
  <si>
    <t>West Texas Intermediate Crude Oil Price Lagged</t>
  </si>
  <si>
    <t>Total Oahu Therms</t>
  </si>
  <si>
    <t>Total Hawaii Visitors</t>
  </si>
  <si>
    <t xml:space="preserve">Hawaii State Population </t>
  </si>
  <si>
    <t>Neighbor Island Market</t>
  </si>
  <si>
    <t>Total Hawaii, Maui, Kauai Therms</t>
  </si>
  <si>
    <t xml:space="preserve">West Texas Intermediate Crude Oil Price </t>
  </si>
  <si>
    <t>West Texas Intermediate Crude Oil Price (6)</t>
  </si>
  <si>
    <t>US Henry Hub Price (2) Lagged</t>
  </si>
  <si>
    <t>Hawaii State Population (3)</t>
  </si>
  <si>
    <t>Hawaii State CPI (5)</t>
  </si>
  <si>
    <t>West Texas Intermediate Crude Oil Price (6) Lagged</t>
  </si>
  <si>
    <t>Brent Crude Oil Price Lagged</t>
  </si>
  <si>
    <t xml:space="preserve">Hawaii State GDP (4) </t>
  </si>
  <si>
    <t>Total Hawaii Visitors(1)</t>
  </si>
  <si>
    <t>Brent Crude Oil Price</t>
  </si>
  <si>
    <t>Econometric Variables</t>
  </si>
  <si>
    <t>Previous Historical Regression Analysis (Updated through 2021)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</si>
  <si>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</si>
  <si>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</si>
  <si>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</si>
  <si>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</si>
  <si>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</si>
  <si>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</si>
  <si>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</si>
  <si>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</si>
  <si>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</si>
  <si>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</si>
  <si>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</si>
  <si>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</si>
  <si>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</si>
  <si>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</si>
  <si>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</si>
  <si>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</si>
  <si>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</si>
  <si>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</si>
  <si>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</si>
  <si>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</si>
  <si>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</si>
  <si>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</si>
  <si>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Intercept</t>
  </si>
  <si>
    <t>Consumer Price Index (all urban consumers)</t>
  </si>
  <si>
    <t>Real Gross Domestic Product, Monthly</t>
  </si>
  <si>
    <t>Step 1</t>
  </si>
  <si>
    <t>US Henry Hub Price (2)</t>
  </si>
  <si>
    <t>Step 2</t>
  </si>
  <si>
    <t xml:space="preserve">Hawaii State GDP </t>
  </si>
  <si>
    <t>Step 3</t>
  </si>
  <si>
    <t>Step 4</t>
  </si>
  <si>
    <t>Actual Annual Average Commodity Prices</t>
  </si>
  <si>
    <t>US Henry Hub Price - Lagged(2)</t>
  </si>
  <si>
    <t>West Texas Intermediate Crude Oil Price-Lagged (6)</t>
  </si>
  <si>
    <t>Source:</t>
  </si>
  <si>
    <t>(1) Hawaii Tourism Authority -  Annual Visitor Report Table 10</t>
  </si>
  <si>
    <t>(2) EIA Henry Hub Price</t>
  </si>
  <si>
    <t>(3) U.S. Census Bureau - Population Estimates</t>
  </si>
  <si>
    <t>(4) Compiled by Research &amp; Economic Analysis Division, State of Hawaii Department of Business, Economic Development and Tourism</t>
  </si>
  <si>
    <t>(5) Research &amp; Economic Analysis Division, State of Hawaii Department of Business, Economic Development and Tourism</t>
  </si>
  <si>
    <t>(6) EIA WTI Price</t>
  </si>
  <si>
    <t>US Henry Hub Price</t>
  </si>
  <si>
    <t>Low</t>
  </si>
  <si>
    <t xml:space="preserve">Base </t>
  </si>
  <si>
    <t>High</t>
  </si>
  <si>
    <t>Pop Growth Rate</t>
  </si>
  <si>
    <t>GDP Growth Rate</t>
  </si>
  <si>
    <t>WTI Price</t>
  </si>
  <si>
    <t>Total Residential Customers</t>
  </si>
  <si>
    <t>Hilo 20</t>
  </si>
  <si>
    <t>Kona 20</t>
  </si>
  <si>
    <t>Kauai 20</t>
  </si>
  <si>
    <t>Maui 20</t>
  </si>
  <si>
    <t>Molokai 20</t>
  </si>
  <si>
    <t>Lanai 20</t>
  </si>
  <si>
    <t>Rate of Water Heating Replacement (1)</t>
  </si>
  <si>
    <t>Tankless Water Heating Conversion</t>
  </si>
  <si>
    <t>Cumulative Conversions</t>
  </si>
  <si>
    <t>Annual Terms Saved (2)</t>
  </si>
  <si>
    <t>Oahu</t>
  </si>
  <si>
    <t>Outer Islands</t>
  </si>
  <si>
    <t>1) Based on 2021 Impact Evaluation of Water Heating Measures - Final Residential Sector - Program Year 2019 (California PUC)</t>
  </si>
  <si>
    <t>2) SoCal Gas Tankless Water Annual Savings per converted Customer</t>
  </si>
  <si>
    <t>CapEx</t>
  </si>
  <si>
    <t xml:space="preserve">High RNG </t>
  </si>
  <si>
    <t>Retire</t>
  </si>
  <si>
    <t>Supply Optimization</t>
  </si>
  <si>
    <t>Emission</t>
  </si>
  <si>
    <t>Hybrid 1</t>
  </si>
  <si>
    <t>Hybrid 2</t>
  </si>
  <si>
    <t>Depreciation Scenario</t>
  </si>
  <si>
    <t>Accelerated Rate</t>
  </si>
  <si>
    <t>Demand Scenario</t>
  </si>
  <si>
    <t>Volume</t>
  </si>
  <si>
    <t>Suggested</t>
  </si>
  <si>
    <r>
      <t>59,421 -Ave. / 6</t>
    </r>
    <r>
      <rPr>
        <sz val="11"/>
        <color theme="1"/>
        <rFont val="Calibri"/>
        <family val="2"/>
        <scheme val="minor"/>
      </rPr>
      <t>5,185 annual high</t>
    </r>
  </si>
  <si>
    <t>12,681 - Ave./ 15,710 - High</t>
  </si>
  <si>
    <t>331- Ave. / 17,400 (2 x 8,700 - 40ft ISO Containers)</t>
  </si>
  <si>
    <t>Based on Supply Inputs</t>
  </si>
  <si>
    <t>Emissions:</t>
  </si>
  <si>
    <t>Supply Option</t>
  </si>
  <si>
    <t>Cost of Supply (2022 $/therm)</t>
  </si>
  <si>
    <t>Quantity (therms/day)</t>
  </si>
  <si>
    <t>Quantity Therms/Year</t>
  </si>
  <si>
    <t>End User Emission Rate    (g CO2/therm)</t>
  </si>
  <si>
    <t>Transmission &amp; Distribution Emission Rate                      (g Co 2/therm)</t>
  </si>
  <si>
    <t>Upstream Emission Rate (g CO2/therm)</t>
  </si>
  <si>
    <t>Total Emission g CO2/therm</t>
  </si>
  <si>
    <t>Cost Rank</t>
  </si>
  <si>
    <t>Emission Rank</t>
  </si>
  <si>
    <t xml:space="preserve">SNG -Firm </t>
  </si>
  <si>
    <t>SNG - Interruptible</t>
  </si>
  <si>
    <t>SNG Additional</t>
  </si>
  <si>
    <t>LNG - ISO</t>
  </si>
  <si>
    <t>WWTP &amp; LFG</t>
  </si>
  <si>
    <t>CDW</t>
  </si>
  <si>
    <t>W.A Cost of Supply:</t>
  </si>
  <si>
    <t>Net Gas Demand Base therms/year:</t>
  </si>
  <si>
    <t>therms/day</t>
  </si>
  <si>
    <t>COST OPTIMIZED</t>
  </si>
  <si>
    <t>Rank</t>
  </si>
  <si>
    <t>End User Emissions (MT CO2/therm)</t>
  </si>
  <si>
    <t>Transmission &amp; Distribution Emissions (MT Co 2/therm)</t>
  </si>
  <si>
    <t>Upstream Emissions (MT CO2/therm)</t>
  </si>
  <si>
    <t>Annual Emissions (MT)</t>
  </si>
  <si>
    <t>EMISSIONS OPTIMIZED</t>
  </si>
  <si>
    <t xml:space="preserve"> Transmission &amp; Distribution Emissions (MT Co 2/therm)</t>
  </si>
  <si>
    <t>EIA Price Scenario</t>
  </si>
  <si>
    <t>Reference</t>
  </si>
  <si>
    <t>Existing Supply Volume Input (therms/day)</t>
  </si>
  <si>
    <t>Initial Volume Notes:</t>
  </si>
  <si>
    <t>SNG Firm: 59,421 - Average / 65,185 annual high</t>
  </si>
  <si>
    <t>SNG- Firm</t>
  </si>
  <si>
    <t>SNG - Interruptible: 12,681 - Ave./ 15,710 - High</t>
  </si>
  <si>
    <t>SNG- Additional: 3,477</t>
  </si>
  <si>
    <t>LNG- ISO  up to: 17,400 (2 x 8,700 - 40ft ISO Containers per day)</t>
  </si>
  <si>
    <t>LNG ISO</t>
  </si>
  <si>
    <t>Propane Air</t>
  </si>
  <si>
    <t>WWTP (capacity up to 0.8 mln therms/ year ~ 2.192 therms per day)</t>
  </si>
  <si>
    <t>Exist. WWTP</t>
  </si>
  <si>
    <t>Total:</t>
  </si>
  <si>
    <t>Demand:</t>
  </si>
  <si>
    <t>Unmet Demand/ Excess Supply (+/-)</t>
  </si>
  <si>
    <t>New Incremental Capacity Additions by Year (therm)</t>
  </si>
  <si>
    <t>% Demand</t>
  </si>
  <si>
    <t>ISO Expansions (therms/day):</t>
  </si>
  <si>
    <t>CDW (therms/day)</t>
  </si>
  <si>
    <t>Hydrogen (therms/day)</t>
  </si>
  <si>
    <t>sequential:</t>
  </si>
  <si>
    <t>Capac. Add.</t>
  </si>
  <si>
    <t>$/MWh</t>
  </si>
  <si>
    <t>Cost est</t>
  </si>
  <si>
    <t>Expansion 1</t>
  </si>
  <si>
    <t>Expansion 2</t>
  </si>
  <si>
    <t>n/a</t>
  </si>
  <si>
    <t>Expansion 3</t>
  </si>
  <si>
    <t>Expansion 4</t>
  </si>
  <si>
    <t>Expansion 5</t>
  </si>
  <si>
    <t>Supply Profile:</t>
  </si>
  <si>
    <t>LFG Exp. 1</t>
  </si>
  <si>
    <t>LFG Exp. 2</t>
  </si>
  <si>
    <t>LFG Exp. 3</t>
  </si>
  <si>
    <t>CDW Exp. 1</t>
  </si>
  <si>
    <t>CDW Exp. 2</t>
  </si>
  <si>
    <t>CDW Exp. 3</t>
  </si>
  <si>
    <t>CDW Exp. 4</t>
  </si>
  <si>
    <t>CDW Exp. 5</t>
  </si>
  <si>
    <t>LNG ISO Exp 1</t>
  </si>
  <si>
    <t>LNG ISO Exp 2</t>
  </si>
  <si>
    <t>LNG ISO Exp 3</t>
  </si>
  <si>
    <t>LNG ISO Exp 4</t>
  </si>
  <si>
    <t>LNG ISO Exp 5</t>
  </si>
  <si>
    <t>Green Hydrogen</t>
  </si>
  <si>
    <t>Incremental RNG Volume:</t>
  </si>
  <si>
    <t>Cost &amp; Emissions:</t>
  </si>
  <si>
    <t>Unit Cost of Supply:</t>
  </si>
  <si>
    <t>$/therm</t>
  </si>
  <si>
    <t>Weighted Average</t>
  </si>
  <si>
    <t>Cost of Supply:</t>
  </si>
  <si>
    <t>$ thousand</t>
  </si>
  <si>
    <t>Emissions Total:</t>
  </si>
  <si>
    <t xml:space="preserve">tonne CO2e </t>
  </si>
  <si>
    <t>Supply Cost in $2022</t>
  </si>
  <si>
    <t>Note: WTI, Henry Hub, SNG Interruptible, LNG ISO scenarios are controlled from Supply sheet, cell 2E</t>
  </si>
  <si>
    <t>Index</t>
  </si>
  <si>
    <t>Commodity Cost</t>
  </si>
  <si>
    <t>Add. Cost</t>
  </si>
  <si>
    <t>Cost at Offtake</t>
  </si>
  <si>
    <t>WTI</t>
  </si>
  <si>
    <t>Power Cost</t>
  </si>
  <si>
    <t>$ 2022
/bbl</t>
  </si>
  <si>
    <t>$ 2022
/therm</t>
  </si>
  <si>
    <t>2022 $/
therm</t>
  </si>
  <si>
    <t>WTI Regression Forecast:</t>
  </si>
  <si>
    <t>Inputs:</t>
  </si>
  <si>
    <t>BTU Conversion</t>
  </si>
  <si>
    <t>mmBtu/gal</t>
  </si>
  <si>
    <t>Slope</t>
  </si>
  <si>
    <t>Therms to MMBTU:</t>
  </si>
  <si>
    <t>mmbtu/therm</t>
  </si>
  <si>
    <t>Power use:</t>
  </si>
  <si>
    <t>kwh/therm</t>
  </si>
  <si>
    <t>2022 Power Price:</t>
  </si>
  <si>
    <t>$/wh</t>
  </si>
  <si>
    <t>Historical Prices</t>
  </si>
  <si>
    <t>SNG Commodity Cost</t>
  </si>
  <si>
    <t>Power</t>
  </si>
  <si>
    <t>Commodity &amp; Variable Costs</t>
  </si>
  <si>
    <t>$ 2022
/gallon</t>
  </si>
  <si>
    <t>Redundancy Supply</t>
  </si>
  <si>
    <t>Gas</t>
  </si>
  <si>
    <t>Slope Gas</t>
  </si>
  <si>
    <t>Slope Oil</t>
  </si>
  <si>
    <t>% transportation in delivered cost:</t>
  </si>
  <si>
    <t>HH</t>
  </si>
  <si>
    <t>Propane Cost Gulf Coast Spot</t>
  </si>
  <si>
    <t>Transportation</t>
  </si>
  <si>
    <t>Propane Cost Wholesale Hawaii Delivered (pre-tax)</t>
  </si>
  <si>
    <t>$ 2022 
/mmbtu</t>
  </si>
  <si>
    <t>$ 2022 
/gallon</t>
  </si>
  <si>
    <t>$ 2022 
/therm</t>
  </si>
  <si>
    <t>$ 2022 
/ Gallon</t>
  </si>
  <si>
    <t>Commodity Inputs &amp; Conversions:</t>
  </si>
  <si>
    <t>Rate of Return (Real)</t>
  </si>
  <si>
    <t>Life:</t>
  </si>
  <si>
    <t>MMBTU/therm</t>
  </si>
  <si>
    <t>Container Capacity (40ft ISO):</t>
  </si>
  <si>
    <t>therms</t>
  </si>
  <si>
    <t>PPI January 2022</t>
  </si>
  <si>
    <t>Upstream, delivery, liquefaction, ISO transportation</t>
  </si>
  <si>
    <t># of containers/day</t>
  </si>
  <si>
    <t>PPI July 2022</t>
  </si>
  <si>
    <t>HI premium to US based on Utilities &amp; Transportation:</t>
  </si>
  <si>
    <t>https://meric.mo.gov/data/cost-living-data-series</t>
  </si>
  <si>
    <t>Supply from California</t>
  </si>
  <si>
    <t xml:space="preserve">TIC including Capex Unloading, Storage, Vaporization </t>
  </si>
  <si>
    <t>Selected Commodity Cost</t>
  </si>
  <si>
    <t>Delivered Cost</t>
  </si>
  <si>
    <t>Estimates</t>
  </si>
  <si>
    <t>Selected Commodity Case</t>
  </si>
  <si>
    <t>$ 2022
/mmbtu</t>
  </si>
  <si>
    <t>$ 2022 
/ mmbtu</t>
  </si>
  <si>
    <t>Therms</t>
  </si>
  <si>
    <t xml:space="preserve"> therms/day</t>
  </si>
  <si>
    <t>2022 cost estimate</t>
  </si>
  <si>
    <t>Gas Flow</t>
  </si>
  <si>
    <t>Flow Rate</t>
  </si>
  <si>
    <t>LNG Rate</t>
  </si>
  <si>
    <t>Storage Volume</t>
  </si>
  <si>
    <t>Equipment Costs (MM$)</t>
  </si>
  <si>
    <t>TIC + 20% HI Premium</t>
  </si>
  <si>
    <t>Nm3/h</t>
  </si>
  <si>
    <t>SCFM</t>
  </si>
  <si>
    <t>MMSCFD</t>
  </si>
  <si>
    <t>Therms/Day</t>
  </si>
  <si>
    <t>mtpa</t>
  </si>
  <si>
    <t>k gal/d</t>
  </si>
  <si>
    <t>m3/d</t>
  </si>
  <si>
    <t>Days</t>
  </si>
  <si>
    <t>m3</t>
  </si>
  <si>
    <t>Bullets</t>
  </si>
  <si>
    <t>Vessels/day</t>
  </si>
  <si>
    <t>Vessel Unloading</t>
  </si>
  <si>
    <t>Storage</t>
  </si>
  <si>
    <t>Vaporization</t>
  </si>
  <si>
    <t>(MM$)</t>
  </si>
  <si>
    <t>January 2020 cost estimate</t>
  </si>
  <si>
    <t>TIC</t>
  </si>
  <si>
    <t>Trucks/day</t>
  </si>
  <si>
    <t>Selection Restriction</t>
  </si>
  <si>
    <t>Pick:</t>
  </si>
  <si>
    <t>$ 2022
/ therm</t>
  </si>
  <si>
    <t xml:space="preserve">In Real $2022 </t>
  </si>
  <si>
    <t>Input Year:</t>
  </si>
  <si>
    <t>Reference Case</t>
  </si>
  <si>
    <t>Electrolyzer</t>
  </si>
  <si>
    <t>Conversion:</t>
  </si>
  <si>
    <t>Power Price Choice:</t>
  </si>
  <si>
    <t>Electrolyzer Cost:</t>
  </si>
  <si>
    <t>100 MW Electrolyzer by In-Service Date (efficiency improvements)</t>
  </si>
  <si>
    <t>approx.</t>
  </si>
  <si>
    <t>$mln</t>
  </si>
  <si>
    <t>Calorific Value:</t>
  </si>
  <si>
    <t>btu/lb H2</t>
  </si>
  <si>
    <t>Pipeline ($/therm):</t>
  </si>
  <si>
    <t>Pounds/kg</t>
  </si>
  <si>
    <t>lb/kg</t>
  </si>
  <si>
    <t>Power Price</t>
  </si>
  <si>
    <t>Capex</t>
  </si>
  <si>
    <t>LCOE</t>
  </si>
  <si>
    <t>LCOE + pipeline</t>
  </si>
  <si>
    <t>Production - 1 Electrolyzer</t>
  </si>
  <si>
    <t>mmbtu/H2 kg</t>
  </si>
  <si>
    <t>$/MwH</t>
  </si>
  <si>
    <t>Case</t>
  </si>
  <si>
    <t>therms/H2 kg</t>
  </si>
  <si>
    <t>+20%</t>
  </si>
  <si>
    <t>$/kg</t>
  </si>
  <si>
    <t>100 MW Electrolyzer Cost ($ mln)</t>
  </si>
  <si>
    <t xml:space="preserve">100 MW Electrolyzer Cost </t>
  </si>
  <si>
    <t>Power Price ($/MWh)</t>
  </si>
  <si>
    <t xml:space="preserve">Source: </t>
  </si>
  <si>
    <t>https://www.cpuc.ca.gov/-/media/cpuc-website/industries-and-topics/documents/energy/rps/2021-padilla-report_final.pdf</t>
  </si>
  <si>
    <t>Power Requirement</t>
  </si>
  <si>
    <t>Forecasted Levelized Cost Hawaii</t>
  </si>
  <si>
    <t>Supply Agreements (HI PUC Annual Report 2021)</t>
  </si>
  <si>
    <t>Electrolyzer Power Requirement</t>
  </si>
  <si>
    <t>MWh/y</t>
  </si>
  <si>
    <t>Base Year 2021</t>
  </si>
  <si>
    <t>Wind</t>
  </si>
  <si>
    <t>Solar</t>
  </si>
  <si>
    <t>W.A. Renewable</t>
  </si>
  <si>
    <t>OAHU Facility Name</t>
  </si>
  <si>
    <t>Capacity (MW)</t>
  </si>
  <si>
    <t>Energy</t>
  </si>
  <si>
    <t>In-service Date</t>
  </si>
  <si>
    <t>FY 2021 $ per kWh</t>
  </si>
  <si>
    <t>FY 2021 $ per MWh</t>
  </si>
  <si>
    <t>Utilization</t>
  </si>
  <si>
    <t>$/ MWh</t>
  </si>
  <si>
    <t>Kahuku Wind Power</t>
  </si>
  <si>
    <t>&lt;2015</t>
  </si>
  <si>
    <t>Kawailoa Wind</t>
  </si>
  <si>
    <t>WInd</t>
  </si>
  <si>
    <t>Kalaeloa Renewable Energy Park</t>
  </si>
  <si>
    <t>Kalaeloa Solar Two</t>
  </si>
  <si>
    <t>Kapolei Sustainable Energy Park</t>
  </si>
  <si>
    <t>Waianae Solar</t>
  </si>
  <si>
    <t>Kawailoa Solar</t>
  </si>
  <si>
    <t>Lanikuhana Solar</t>
  </si>
  <si>
    <t>Waipio PV</t>
  </si>
  <si>
    <t>Na Pua Makani Power Partners</t>
  </si>
  <si>
    <t>Weighted Average after 2015:</t>
  </si>
  <si>
    <t>Hawaii Wind PP</t>
  </si>
  <si>
    <t>%</t>
  </si>
  <si>
    <t>Hawaii Solar PP</t>
  </si>
  <si>
    <t>Wind Price ($/MWh)</t>
  </si>
  <si>
    <t>&gt; 2015</t>
  </si>
  <si>
    <t>Solar Price ($/MWh)</t>
  </si>
  <si>
    <t>https://www.bp.com/en/global/corporate/energy-economics/energy-outlook/renewable-energy.html?sectionSlug=page-8-section-1</t>
  </si>
  <si>
    <t>BP Energy Outlook (2022) Change in Levelized Cost of Energy Wind &amp; Solar</t>
  </si>
  <si>
    <t>Change relative to 2019, %</t>
  </si>
  <si>
    <t>Minimum</t>
  </si>
  <si>
    <t>Maximum</t>
  </si>
  <si>
    <t>Average Solar</t>
  </si>
  <si>
    <t>Average Wind</t>
  </si>
  <si>
    <t>mln therms/year</t>
  </si>
  <si>
    <t>Landfill Gas</t>
  </si>
  <si>
    <t>Honouliuli Waste Water Treatment:</t>
  </si>
  <si>
    <t>Waimanalo</t>
  </si>
  <si>
    <t>WWTP</t>
  </si>
  <si>
    <t>(Table ES1)</t>
  </si>
  <si>
    <t>Methane-Production</t>
  </si>
  <si>
    <t>Marginal Price</t>
  </si>
  <si>
    <t>Land Lease</t>
  </si>
  <si>
    <t>Midstream</t>
  </si>
  <si>
    <t>Cost of Supply</t>
  </si>
  <si>
    <t>LFG</t>
  </si>
  <si>
    <t>Kapaa &amp; Kalaheo (Table 6)</t>
  </si>
  <si>
    <t>mmcf/y</t>
  </si>
  <si>
    <t>Waimanalo (HNEI Table 6)</t>
  </si>
  <si>
    <t>CDW (HNEI p 24)</t>
  </si>
  <si>
    <t>MSW - limited 35% in Oahu is recycled, remaineder sent to H-Power &amp; Waimanalo Landfill</t>
  </si>
  <si>
    <t>Cummulative Supply in therms/day</t>
  </si>
  <si>
    <t>Decline:</t>
  </si>
  <si>
    <t>Cumulative Volume and Marginal Price for CDW  $/therm</t>
  </si>
  <si>
    <t>Maximum CDW</t>
  </si>
  <si>
    <t>vol:</t>
  </si>
  <si>
    <t>price:</t>
  </si>
  <si>
    <t>Total Volume</t>
  </si>
  <si>
    <t>Landfill Gas Supply Curve (AGF)</t>
  </si>
  <si>
    <t>Predicted</t>
  </si>
  <si>
    <t>LFG &amp; WWG</t>
  </si>
  <si>
    <t>Combined RNG Supply Curve (AGF)</t>
  </si>
  <si>
    <t xml:space="preserve">General </t>
  </si>
  <si>
    <t>Vol</t>
  </si>
  <si>
    <t>Percentile</t>
  </si>
  <si>
    <t>Percentile Volume</t>
  </si>
  <si>
    <t>Coeff LN</t>
  </si>
  <si>
    <t>Cost 2019</t>
  </si>
  <si>
    <t>Cost in 2022</t>
  </si>
  <si>
    <t>Price</t>
  </si>
  <si>
    <t>Marginal</t>
  </si>
  <si>
    <t>tr. BTU</t>
  </si>
  <si>
    <t>$/mmbtu</t>
  </si>
  <si>
    <t>LFG:</t>
  </si>
  <si>
    <t>w. HI Multiple</t>
  </si>
  <si>
    <t>Do not insert columns</t>
  </si>
  <si>
    <t>1mcf ~ 1mmbtu</t>
  </si>
  <si>
    <t>PPI All Commodities</t>
  </si>
  <si>
    <t>WTI Spot</t>
  </si>
  <si>
    <t>HH Spot</t>
  </si>
  <si>
    <t>Los Angeles Ultra-Low Sulfur CARB Diesel Spot Price</t>
  </si>
  <si>
    <t>Price of Liquefied US Natural Gas Exports</t>
  </si>
  <si>
    <t>Brent</t>
  </si>
  <si>
    <t xml:space="preserve">Gulf Coast Spot Propane </t>
  </si>
  <si>
    <t>WPU00000000</t>
  </si>
  <si>
    <t>Nominal $/barrel</t>
  </si>
  <si>
    <t>Nominal $/mmbtu</t>
  </si>
  <si>
    <t>Nominal $/gallon</t>
  </si>
  <si>
    <t>mcf $/gallon</t>
  </si>
  <si>
    <t>$2022/bbl</t>
  </si>
  <si>
    <t>$2022/mmbtu</t>
  </si>
  <si>
    <t>$2022/gallon</t>
  </si>
  <si>
    <t>PPI Prelim</t>
  </si>
  <si>
    <t>June CPI:</t>
  </si>
  <si>
    <t>Case Used:</t>
  </si>
  <si>
    <t>2022 mid-year conv.</t>
  </si>
  <si>
    <t>CPI (EIA July 2022 STO)</t>
  </si>
  <si>
    <t>WTI Nominal (EIA July 2022 STO)</t>
  </si>
  <si>
    <t>WTI $2021 (EIA July 2022 Ref.)</t>
  </si>
  <si>
    <t>WTI - Low Price, High Oil and Gas Supply</t>
  </si>
  <si>
    <t>WTI - High Price, Low Oil and Gas Supply</t>
  </si>
  <si>
    <t>HH Nominal (EIA July 2022 STO)</t>
  </si>
  <si>
    <t>HH $2021 (EIA 2022 Ref.)</t>
  </si>
  <si>
    <t>HH - Low Price, High Oil and Gas Supply</t>
  </si>
  <si>
    <t>HH - High Price, Low Oil and Gas Supply</t>
  </si>
  <si>
    <t>Inflation Index</t>
  </si>
  <si>
    <t>Inflation Index Cum.</t>
  </si>
  <si>
    <t>WTI $2022 Used</t>
  </si>
  <si>
    <t>HH $2022 Used</t>
  </si>
  <si>
    <t>% Change</t>
  </si>
  <si>
    <t>$/bbl</t>
  </si>
  <si>
    <t>2022$/bbl</t>
  </si>
  <si>
    <t>2022$/mmbtu</t>
  </si>
  <si>
    <t>Historic Prices, Costs, and Indicies</t>
  </si>
  <si>
    <t>Producer Price Index</t>
  </si>
  <si>
    <t>BLS</t>
  </si>
  <si>
    <t>https://data.bls.gov/cgi-bin/surveymost?wp</t>
  </si>
  <si>
    <t>Cost of Living Hawaii - PADD 3</t>
  </si>
  <si>
    <t>MERIC</t>
  </si>
  <si>
    <t>EIA</t>
  </si>
  <si>
    <t>https://www.eia.gov/dnav/pet/hist/LeafHandler.ashx?n=PET&amp;s=RWTC&amp;f=M</t>
  </si>
  <si>
    <t>HH Gas Spot</t>
  </si>
  <si>
    <t>https://www.eia.gov/dnav/ng/hist/rngwhhdm.htm</t>
  </si>
  <si>
    <t>Los Angeles Reformulated RBOB Ultra-Low Sulfur CARB Diesel Spot Price (Dollars per Gallon)</t>
  </si>
  <si>
    <t>https://www.eia.gov/dnav/pet/hist/LeafHandler.ashx?n=PET&amp;s=EER_EPD2DC_PF4_Y05LA_DPG&amp;f=M</t>
  </si>
  <si>
    <t>Forecast</t>
  </si>
  <si>
    <t>Inflation Short Term Forecast (July 2022), 2% Fed Target after 2024</t>
  </si>
  <si>
    <t>https://www.eia.gov/outlooks/steo/pdf/steo_full.pdf</t>
  </si>
  <si>
    <t>WTI Short Term Forecast (July 2022)</t>
  </si>
  <si>
    <t>https://www.eia.gov/outlooks/steo/</t>
  </si>
  <si>
    <t>WTI Long-Term Forecast (AEO 2022)</t>
  </si>
  <si>
    <t>https://www.eia.gov/outlooks/aeo/data/browser/#/?id=12-AEO2022&amp;cases=ref2022&amp;sourcekey=0</t>
  </si>
  <si>
    <t>HH Short Term Forecast (July 2022)</t>
  </si>
  <si>
    <t>https://www.eia.gov/outlooks/steo/report/natgas.php#:~:text=We%20expect%20the%20Henry%20Hub,price%20will%20average%20%244.76%2FMMBtu.</t>
  </si>
  <si>
    <t>Conversions</t>
  </si>
  <si>
    <t>LNG BTU to MT</t>
  </si>
  <si>
    <t>BP</t>
  </si>
  <si>
    <t>https://www.bp.com/content/dam/bp/business-sites/en/global/corporate/pdfs/energy-economics/statistical-review/bp-stats-review-2022-approximate-conversion-factors.pdf</t>
  </si>
  <si>
    <t>Pounds of LNG to cubic feet</t>
  </si>
  <si>
    <t>Energy Transfer</t>
  </si>
  <si>
    <t>https://lclngmessenger.energytransfer.com/InfoPost/resources/documents/PropertiesofLNG.pdf</t>
  </si>
  <si>
    <t>BTU Content Alternative Fuels (inc. Gasoline)</t>
  </si>
  <si>
    <t>DOE</t>
  </si>
  <si>
    <t>https://afdc.energy.gov/files/u/publication/fuel_comparison_chart.pdf</t>
  </si>
  <si>
    <t>Emission Estimates</t>
  </si>
  <si>
    <t>Please see 8. Emissions</t>
  </si>
  <si>
    <r>
      <t>RNG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Supply Current (800,000 therms/year)</t>
    </r>
  </si>
  <si>
    <t>Hawaii Gas</t>
  </si>
  <si>
    <t>https://www.hawaiigas.com/clean-energy/decarbonization</t>
  </si>
  <si>
    <t>RNG Cost of Supply</t>
  </si>
  <si>
    <t>AGF</t>
  </si>
  <si>
    <t>Renewable Sources of Natural Gas: Supply and Emissions Reduction Assessment</t>
  </si>
  <si>
    <t>Henry Hub</t>
  </si>
  <si>
    <t>End User Emission Rate                     (g CO2/MMBtu)</t>
  </si>
  <si>
    <t>Transmission &amp; Distribution Emission Rate (g Co 2/MMBtu)</t>
  </si>
  <si>
    <t>Upstream Emission Rate                            (g CO2/MMBtu)</t>
  </si>
  <si>
    <t>Key Assumptions</t>
  </si>
  <si>
    <t>Residential Appliance &amp; Installation Costs</t>
  </si>
  <si>
    <t>Rebate</t>
  </si>
  <si>
    <t>Annual kWh</t>
  </si>
  <si>
    <t>Appliance Life</t>
  </si>
  <si>
    <t>Water Heating - Traditional Electric 50 Gal</t>
  </si>
  <si>
    <t>Water Heating - Heat Pump 50 Gal</t>
  </si>
  <si>
    <t>Cooking - Electric</t>
  </si>
  <si>
    <t>Commercial Appliance Costs</t>
  </si>
  <si>
    <t>Water Heating - Traditional Electric</t>
  </si>
  <si>
    <t>Cooking</t>
  </si>
  <si>
    <t>HECO Residential Rate ($/kWh)</t>
  </si>
  <si>
    <t>HECO Commercial Rate ($/kWh)</t>
  </si>
  <si>
    <t>Hawaii Residential Gas Rate ($/therm)</t>
  </si>
  <si>
    <t>Water Heating Equivalent</t>
  </si>
  <si>
    <t xml:space="preserve">NPV </t>
  </si>
  <si>
    <t>Discount Rate</t>
  </si>
  <si>
    <t>Cuculative Cash Flows</t>
  </si>
  <si>
    <t>Payback Period</t>
  </si>
  <si>
    <t>Total (g CO2/MMBtu)</t>
  </si>
  <si>
    <t>Incremental RNG Capital Spend</t>
  </si>
  <si>
    <t>Final COSS Fuel Rate</t>
  </si>
  <si>
    <t>Incremental RNG Volumes</t>
  </si>
  <si>
    <t>Incremetnal RNG O&amp;M Spend</t>
  </si>
  <si>
    <t>SNG Plant Rate</t>
  </si>
  <si>
    <t>Emission Levels</t>
  </si>
  <si>
    <t>Current Live Scenario</t>
  </si>
  <si>
    <t>Annual Equivalent Therms</t>
  </si>
  <si>
    <t>Rate Escalation</t>
  </si>
  <si>
    <t>Hawaii Energy - Water Heating Types</t>
  </si>
  <si>
    <t>Cooking - Electric Stove</t>
  </si>
  <si>
    <t>Cooking - Gas Stove</t>
  </si>
  <si>
    <t>Water Heating - Natural Gas 50 gal</t>
  </si>
  <si>
    <t>Nominal Prices</t>
  </si>
  <si>
    <t>Hawaii Commercial Gas Rate ($/therm)</t>
  </si>
  <si>
    <t>Annual Electric Costs - Residential</t>
  </si>
  <si>
    <t>Annual Gas Costs - Residential</t>
  </si>
  <si>
    <t>Cooking - Gas</t>
  </si>
  <si>
    <t>Projected Annual Fuel Savings/Incremental Costs - Residential</t>
  </si>
  <si>
    <t>Rolling 10 Year Benefits</t>
  </si>
  <si>
    <t>Total Cost of Ownership</t>
  </si>
  <si>
    <t>Annual Electric Costs - Commercial</t>
  </si>
  <si>
    <t>Projected Annual Fuel Savings/Incremental Costs - Commercial</t>
  </si>
  <si>
    <t>Source</t>
  </si>
  <si>
    <t>Appliance</t>
  </si>
  <si>
    <t>Installation</t>
  </si>
  <si>
    <t>Annual Gas Costs - Commercial</t>
  </si>
  <si>
    <t>Price Sensitivity</t>
  </si>
  <si>
    <t>Emission Levels (MM Tones)</t>
  </si>
  <si>
    <t xml:space="preserve">Illustrative Annual Bill (2022$) </t>
  </si>
  <si>
    <t>Status Quo</t>
  </si>
  <si>
    <t>HECO Commercial Rate - Effecitve Jan 2023</t>
  </si>
  <si>
    <t>HECO Residential Rate - Effective Jan 2023</t>
  </si>
  <si>
    <t>Summary Bill Impacts</t>
  </si>
  <si>
    <t xml:space="preserve">Emissions Reductions </t>
  </si>
  <si>
    <t>Carbon Offsets</t>
  </si>
  <si>
    <t>Percentage of Fossil Fuel</t>
  </si>
  <si>
    <t>Percentage of RNG/Green Hydrogen</t>
  </si>
  <si>
    <t>Carbon Offset Costs</t>
  </si>
  <si>
    <t>Oahu System</t>
  </si>
  <si>
    <t>EFS 01/2023 (hawaiianelectric.com)</t>
  </si>
  <si>
    <t>Carbon Offset Cost</t>
  </si>
  <si>
    <t>Customer Defection Impact</t>
  </si>
  <si>
    <t>If 5% Residential Customers Leave HG</t>
  </si>
  <si>
    <t>If 10% Residential Customers Leave HG</t>
  </si>
  <si>
    <t>If 20% Residential Customers Leave HG</t>
  </si>
  <si>
    <t>If 30% Residential Customers Leave HG</t>
  </si>
  <si>
    <t>Annual Residential Bill (Non-Fuel)</t>
  </si>
  <si>
    <t>Revenue Requirement (Non-Fuel)</t>
  </si>
  <si>
    <t>Carbon Offset Price</t>
  </si>
  <si>
    <t>With Offsets</t>
  </si>
  <si>
    <t>Yes</t>
  </si>
  <si>
    <t>No</t>
  </si>
  <si>
    <t>Incremental LNG/Propane Costs</t>
  </si>
  <si>
    <t>Incremental LNG ISO</t>
  </si>
  <si>
    <t>Start Year</t>
  </si>
  <si>
    <t>Incremental Propane Air</t>
  </si>
  <si>
    <t>LNG ISO-Contrainers &amp; Compression</t>
  </si>
  <si>
    <t>Emission Reduction (tons) of CO2</t>
  </si>
  <si>
    <t>Scenario Name</t>
  </si>
  <si>
    <t>WWTP Expansion</t>
  </si>
  <si>
    <t>Upstream Out of State Emission Rate                                                      (g CO2/MMBtu)</t>
  </si>
  <si>
    <t>Cumulative Volume and Marginal Price for LFG, WWTP, AgCrop $/therm</t>
  </si>
  <si>
    <t>WWTP, LFG, &amp; AgCrop</t>
  </si>
  <si>
    <t>AgCrop</t>
  </si>
  <si>
    <t>Maximum WWTP, Landfill Gas &amp; AgCrop</t>
  </si>
  <si>
    <t>LFG, WWTP, AgCrop (1)</t>
  </si>
  <si>
    <t>B&amp;V Estimate</t>
  </si>
  <si>
    <t>LFG, WWTP, AgCrop (2)</t>
  </si>
  <si>
    <t>LFG, WWTP, AgCrop (3)</t>
  </si>
  <si>
    <t>LFG, New WWTP, And BioCrop (therms/day):</t>
  </si>
  <si>
    <t>BioCrop</t>
  </si>
  <si>
    <t>Sum</t>
  </si>
  <si>
    <t>In-state Emissions Only</t>
  </si>
  <si>
    <t>Average</t>
  </si>
  <si>
    <t>Technically Feasible with Par (Without Offsets)</t>
  </si>
  <si>
    <t>Resource Plan 2a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</si>
</sst>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\-mmm\-yyyy"/>
    <numFmt numFmtId="165" formatCode="_(&quot;$&quot;* #,##0_);_(&quot;$&quot;* \(#,##0\);_(&quot;$&quot;* &quot;-&quot;??_);_(@_)"/>
    <numFmt numFmtId="166" formatCode="_(* #,##0_);_(* \(#,##0\);_(* &quot;-&quot;??_);_(@_)"/>
    <numFmt numFmtId="167" formatCode="0.000"/>
    <numFmt numFmtId="168" formatCode="0.0000"/>
    <numFmt numFmtId="169" formatCode="0.000000"/>
    <numFmt numFmtId="170" formatCode="_(* #,##0.0000_);_(* \(#,##0.0000\);_(* &quot;-&quot;??_);_(@_)"/>
    <numFmt numFmtId="171" formatCode="0E+00"/>
    <numFmt numFmtId="172" formatCode="0.000000%"/>
    <numFmt numFmtId="173" formatCode="_(&quot;$&quot;* #,##0.0000_);_(&quot;$&quot;* \(#,##0.0000\);_(&quot;$&quot;* &quot;-&quot;??_);_(@_)"/>
    <numFmt numFmtId="174" formatCode="_(&quot;$&quot;* #,##0.000_);_(&quot;$&quot;* \(#,##0.000\);_(&quot;$&quot;* &quot;-&quot;??_);_(@_)"/>
    <numFmt numFmtId="175" formatCode="#,##0.0000"/>
    <numFmt numFmtId="176" formatCode="0.0%"/>
    <numFmt numFmtId="177" formatCode="0.0"/>
    <numFmt numFmtId="178" formatCode="mmm\-yyyy"/>
    <numFmt numFmtId="179" formatCode="#,##0.0"/>
    <numFmt numFmtId="180" formatCode="#,##0.000"/>
    <numFmt numFmtId="181" formatCode="#,##0.000;[Red]\(#,##0.000\)"/>
    <numFmt numFmtId="182" formatCode="&quot;$&quot;#,##0.0_);[Red]\(&quot;$&quot;#,##0.0\)"/>
    <numFmt numFmtId="183" formatCode="_(* #,##0_);_(* \(#,##0\);_(* &quot;-&quot;????_);_(@_)"/>
    <numFmt numFmtId="184" formatCode=";;;"/>
    <numFmt numFmtId="185" formatCode="0_);\(0\)"/>
    <numFmt numFmtId="186" formatCode="_(* #,##0.000_);_(* \(#,##0.000\);_(* &quot;-&quot;_);_(@_)"/>
    <numFmt numFmtId="187" formatCode="0.00000"/>
    <numFmt numFmtId="188" formatCode="0.000%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sz val="8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2"/>
      <color theme="1"/>
      <name val="Calibri Light"/>
      <family val="1"/>
      <scheme val="major"/>
    </font>
    <font>
      <sz val="12"/>
      <color theme="1"/>
      <name val="Calibri"/>
      <family val="2"/>
      <scheme val="minor"/>
    </font>
    <font>
      <sz val="11"/>
      <color theme="1"/>
      <name val="Calibri Light"/>
      <family val="1"/>
      <scheme val="major"/>
    </font>
    <font>
      <sz val="11"/>
      <color rgb="FF0000FF"/>
      <name val="Calibri"/>
      <family val="2"/>
      <scheme val="minor"/>
    </font>
    <font>
      <b/>
      <i/>
      <sz val="11"/>
      <color rgb="FF00800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2"/>
      <name val="Times New Roman"/>
      <family val="1"/>
    </font>
    <font>
      <sz val="10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2" tint="-0.249977111117893"/>
      <name val="Calibri"/>
      <family val="2"/>
      <scheme val="minor"/>
    </font>
    <font>
      <sz val="8"/>
      <color theme="2" tint="-0.249977111117893"/>
      <name val="Calibri"/>
      <family val="2"/>
      <scheme val="minor"/>
    </font>
    <font>
      <b/>
      <sz val="11"/>
      <color theme="2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i/>
      <sz val="11"/>
      <color theme="1"/>
      <name val="Arial Narrow"/>
      <family val="2"/>
    </font>
    <font>
      <sz val="12"/>
      <color indexed="12"/>
      <name val="Arial Narrow"/>
      <family val="2"/>
    </font>
    <font>
      <b/>
      <sz val="11"/>
      <color rgb="FF0000FF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1"/>
      <color theme="3" tint="-0.49998474074526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37" fontId="12" fillId="0" borderId="0"/>
    <xf numFmtId="0" fontId="12" fillId="0" borderId="0"/>
    <xf numFmtId="0" fontId="40" fillId="0" borderId="0" applyNumberFormat="0" applyFill="0" applyBorder="0" applyAlignment="0" applyProtection="0">
      <alignment vertical="top"/>
      <protection locked="0"/>
    </xf>
  </cellStyleXfs>
  <cellXfs count="581">
    <xf numFmtId="0" fontId="0" fillId="0" borderId="0" xfId="0"/>
    <xf numFmtId="0" fontId="0" fillId="2" borderId="0" xfId="0" applyFill="1"/>
    <xf numFmtId="0" fontId="3" fillId="0" borderId="0" xfId="0" applyFont="1"/>
    <xf numFmtId="0" fontId="5" fillId="2" borderId="0" xfId="0" applyFont="1" applyFill="1"/>
    <xf numFmtId="0" fontId="0" fillId="2" borderId="2" xfId="0" applyFill="1" applyBorder="1"/>
    <xf numFmtId="0" fontId="6" fillId="2" borderId="0" xfId="0" applyFont="1" applyFill="1"/>
    <xf numFmtId="0" fontId="7" fillId="2" borderId="0" xfId="0" applyFont="1" applyFill="1"/>
    <xf numFmtId="164" fontId="8" fillId="2" borderId="0" xfId="0" applyNumberFormat="1" applyFont="1" applyFill="1" applyAlignment="1">
      <alignment horizontal="left"/>
    </xf>
    <xf numFmtId="0" fontId="0" fillId="2" borderId="0" xfId="0" applyFill="1" applyAlignment="1">
      <alignment horizontal="left"/>
    </xf>
    <xf numFmtId="0" fontId="8" fillId="2" borderId="0" xfId="0" applyFont="1" applyFill="1" applyAlignment="1">
      <alignment horizontal="left"/>
    </xf>
    <xf numFmtId="0" fontId="0" fillId="2" borderId="3" xfId="0" applyFill="1" applyBorder="1"/>
    <xf numFmtId="0" fontId="2" fillId="2" borderId="0" xfId="0" applyFont="1" applyFill="1"/>
    <xf numFmtId="0" fontId="0" fillId="2" borderId="0" xfId="0" applyFill="1" applyAlignment="1">
      <alignment horizontal="left" vertical="center" indent="1"/>
    </xf>
    <xf numFmtId="0" fontId="9" fillId="3" borderId="4" xfId="0" applyFont="1" applyFill="1" applyBorder="1" applyAlignment="1">
      <alignment horizontal="center" vertical="center"/>
    </xf>
    <xf numFmtId="0" fontId="0" fillId="2" borderId="0" xfId="0" applyFill="1" applyAlignment="1">
      <alignment horizontal="left" indent="1"/>
    </xf>
    <xf numFmtId="0" fontId="0" fillId="4" borderId="4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1" fillId="2" borderId="0" xfId="0" applyFont="1" applyFill="1"/>
    <xf numFmtId="0" fontId="12" fillId="2" borderId="0" xfId="0" applyFont="1" applyFill="1"/>
    <xf numFmtId="0" fontId="11" fillId="2" borderId="0" xfId="0" applyFont="1" applyFill="1" applyAlignment="1">
      <alignment vertical="top" wrapText="1"/>
    </xf>
    <xf numFmtId="0" fontId="11" fillId="2" borderId="0" xfId="0" applyFont="1" applyFill="1" applyAlignment="1">
      <alignment horizontal="left" vertical="top" wrapText="1"/>
    </xf>
    <xf numFmtId="0" fontId="0" fillId="6" borderId="0" xfId="0" applyFill="1"/>
    <xf numFmtId="0" fontId="12" fillId="6" borderId="0" xfId="0" applyFont="1" applyFill="1" applyAlignment="1">
      <alignment horizontal="left"/>
    </xf>
    <xf numFmtId="0" fontId="11" fillId="6" borderId="0" xfId="0" applyFont="1" applyFill="1" applyAlignment="1">
      <alignment vertical="top" wrapText="1"/>
    </xf>
    <xf numFmtId="0" fontId="0" fillId="2" borderId="3" xfId="0" applyFill="1" applyBorder="1" applyAlignment="1">
      <alignment vertical="center"/>
    </xf>
    <xf numFmtId="0" fontId="13" fillId="2" borderId="3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horizontal="center" vertical="center" wrapText="1"/>
    </xf>
    <xf numFmtId="5" fontId="9" fillId="3" borderId="4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vertical="center"/>
    </xf>
    <xf numFmtId="0" fontId="0" fillId="2" borderId="3" xfId="0" applyFill="1" applyBorder="1" applyAlignment="1">
      <alignment horizontal="center" vertical="center"/>
    </xf>
    <xf numFmtId="0" fontId="0" fillId="2" borderId="3" xfId="0" applyFill="1" applyBorder="1" applyAlignment="1">
      <alignment vertical="center" wrapText="1"/>
    </xf>
    <xf numFmtId="0" fontId="2" fillId="2" borderId="3" xfId="0" applyFont="1" applyFill="1" applyBorder="1"/>
    <xf numFmtId="0" fontId="2" fillId="2" borderId="3" xfId="0" applyFont="1" applyFill="1" applyBorder="1" applyAlignment="1">
      <alignment vertic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166" fontId="0" fillId="0" borderId="0" xfId="0" applyNumberFormat="1"/>
    <xf numFmtId="0" fontId="0" fillId="0" borderId="0" xfId="0" applyAlignment="1">
      <alignment horizontal="left"/>
    </xf>
    <xf numFmtId="166" fontId="0" fillId="0" borderId="0" xfId="0" applyNumberFormat="1" applyAlignment="1">
      <alignment horizontal="center"/>
    </xf>
    <xf numFmtId="0" fontId="13" fillId="2" borderId="3" xfId="0" applyFont="1" applyFill="1" applyBorder="1" applyAlignment="1">
      <alignment horizontal="left"/>
    </xf>
    <xf numFmtId="9" fontId="9" fillId="3" borderId="4" xfId="2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/>
    </xf>
    <xf numFmtId="166" fontId="0" fillId="0" borderId="0" xfId="4" applyNumberFormat="1" applyFont="1"/>
    <xf numFmtId="166" fontId="9" fillId="3" borderId="4" xfId="4" applyNumberFormat="1" applyFont="1" applyFill="1" applyBorder="1" applyAlignment="1">
      <alignment horizontal="center" vertical="center"/>
    </xf>
    <xf numFmtId="0" fontId="21" fillId="0" borderId="7" xfId="0" applyFont="1" applyBorder="1" applyAlignment="1">
      <alignment vertical="center"/>
    </xf>
    <xf numFmtId="3" fontId="0" fillId="0" borderId="0" xfId="0" applyNumberFormat="1"/>
    <xf numFmtId="3" fontId="21" fillId="0" borderId="8" xfId="0" applyNumberFormat="1" applyFont="1" applyBorder="1" applyAlignment="1">
      <alignment horizontal="right" vertical="center"/>
    </xf>
    <xf numFmtId="0" fontId="21" fillId="0" borderId="0" xfId="0" applyFont="1" applyAlignment="1">
      <alignment vertical="center"/>
    </xf>
    <xf numFmtId="0" fontId="0" fillId="2" borderId="9" xfId="0" applyFill="1" applyBorder="1"/>
    <xf numFmtId="0" fontId="0" fillId="2" borderId="9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22" fillId="2" borderId="0" xfId="0" applyFont="1" applyFill="1"/>
    <xf numFmtId="0" fontId="23" fillId="2" borderId="0" xfId="0" applyFont="1" applyFill="1"/>
    <xf numFmtId="0" fontId="0" fillId="7" borderId="0" xfId="0" applyFill="1"/>
    <xf numFmtId="0" fontId="2" fillId="0" borderId="3" xfId="0" applyFont="1" applyBorder="1" applyAlignment="1">
      <alignment horizontal="center"/>
    </xf>
    <xf numFmtId="166" fontId="0" fillId="5" borderId="4" xfId="4" applyNumberFormat="1" applyFont="1" applyFill="1" applyBorder="1" applyAlignment="1">
      <alignment horizontal="center" vertical="center"/>
    </xf>
    <xf numFmtId="1" fontId="0" fillId="0" borderId="0" xfId="0" applyNumberFormat="1"/>
    <xf numFmtId="0" fontId="24" fillId="0" borderId="0" xfId="7"/>
    <xf numFmtId="166" fontId="17" fillId="3" borderId="4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" xfId="0" applyBorder="1"/>
    <xf numFmtId="0" fontId="25" fillId="0" borderId="10" xfId="0" applyFont="1" applyBorder="1" applyAlignment="1">
      <alignment horizontal="center"/>
    </xf>
    <xf numFmtId="0" fontId="2" fillId="0" borderId="10" xfId="0" applyFont="1" applyBorder="1" applyAlignment="1">
      <alignment horizontal="center" wrapText="1"/>
    </xf>
    <xf numFmtId="2" fontId="0" fillId="0" borderId="0" xfId="0" applyNumberFormat="1" applyAlignment="1">
      <alignment horizontal="center"/>
    </xf>
    <xf numFmtId="0" fontId="0" fillId="0" borderId="11" xfId="0" applyBorder="1"/>
    <xf numFmtId="2" fontId="0" fillId="0" borderId="11" xfId="0" applyNumberFormat="1" applyBorder="1" applyAlignment="1">
      <alignment horizontal="center"/>
    </xf>
    <xf numFmtId="2" fontId="17" fillId="0" borderId="11" xfId="0" applyNumberFormat="1" applyFont="1" applyBorder="1" applyAlignment="1">
      <alignment horizontal="center"/>
    </xf>
    <xf numFmtId="2" fontId="15" fillId="0" borderId="11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3" xfId="0" applyFont="1" applyBorder="1" applyAlignment="1">
      <alignment horizontal="center" wrapText="1"/>
    </xf>
    <xf numFmtId="1" fontId="0" fillId="4" borderId="4" xfId="0" applyNumberFormat="1" applyFill="1" applyBorder="1" applyAlignment="1">
      <alignment horizontal="center" vertical="center"/>
    </xf>
    <xf numFmtId="44" fontId="0" fillId="4" borderId="4" xfId="1" applyFont="1" applyFill="1" applyBorder="1" applyAlignment="1">
      <alignment horizontal="center" vertical="center"/>
    </xf>
    <xf numFmtId="0" fontId="25" fillId="0" borderId="10" xfId="0" applyFont="1" applyBorder="1" applyAlignment="1">
      <alignment horizontal="centerContinuous"/>
    </xf>
    <xf numFmtId="1" fontId="0" fillId="0" borderId="0" xfId="0" applyNumberFormat="1" applyAlignment="1">
      <alignment horizontal="center"/>
    </xf>
    <xf numFmtId="1" fontId="0" fillId="0" borderId="11" xfId="0" applyNumberFormat="1" applyBorder="1" applyAlignment="1">
      <alignment horizontal="center"/>
    </xf>
    <xf numFmtId="169" fontId="17" fillId="0" borderId="0" xfId="0" applyNumberFormat="1" applyFont="1"/>
    <xf numFmtId="169" fontId="0" fillId="0" borderId="0" xfId="0" applyNumberFormat="1"/>
    <xf numFmtId="7" fontId="0" fillId="0" borderId="0" xfId="1" applyNumberFormat="1" applyFont="1" applyAlignment="1">
      <alignment horizontal="center"/>
    </xf>
    <xf numFmtId="166" fontId="0" fillId="0" borderId="0" xfId="4" applyNumberFormat="1" applyFont="1" applyAlignment="1">
      <alignment horizontal="center"/>
    </xf>
    <xf numFmtId="169" fontId="0" fillId="0" borderId="11" xfId="0" applyNumberFormat="1" applyBorder="1"/>
    <xf numFmtId="0" fontId="18" fillId="7" borderId="0" xfId="0" applyFont="1" applyFill="1" applyAlignment="1">
      <alignment horizontal="center" vertical="center"/>
    </xf>
    <xf numFmtId="167" fontId="0" fillId="0" borderId="0" xfId="0" applyNumberFormat="1" applyAlignment="1">
      <alignment horizontal="center"/>
    </xf>
    <xf numFmtId="166" fontId="0" fillId="0" borderId="0" xfId="4" applyNumberFormat="1" applyFont="1" applyFill="1" applyBorder="1" applyAlignment="1"/>
    <xf numFmtId="0" fontId="0" fillId="0" borderId="3" xfId="0" applyBorder="1" applyAlignment="1">
      <alignment horizontal="left" wrapText="1"/>
    </xf>
    <xf numFmtId="167" fontId="0" fillId="0" borderId="11" xfId="0" applyNumberFormat="1" applyBorder="1"/>
    <xf numFmtId="166" fontId="0" fillId="0" borderId="0" xfId="4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168" fontId="0" fillId="0" borderId="11" xfId="0" applyNumberFormat="1" applyBorder="1" applyAlignment="1">
      <alignment horizontal="center"/>
    </xf>
    <xf numFmtId="2" fontId="0" fillId="0" borderId="0" xfId="0" applyNumberFormat="1"/>
    <xf numFmtId="170" fontId="0" fillId="0" borderId="0" xfId="4" applyNumberFormat="1" applyFont="1" applyFill="1" applyBorder="1" applyAlignment="1"/>
    <xf numFmtId="43" fontId="0" fillId="0" borderId="0" xfId="4" applyFont="1" applyFill="1" applyBorder="1" applyAlignment="1">
      <alignment horizontal="center"/>
    </xf>
    <xf numFmtId="43" fontId="0" fillId="0" borderId="11" xfId="4" applyFont="1" applyFill="1" applyBorder="1" applyAlignment="1">
      <alignment horizontal="center"/>
    </xf>
    <xf numFmtId="170" fontId="0" fillId="0" borderId="11" xfId="4" applyNumberFormat="1" applyFont="1" applyFill="1" applyBorder="1" applyAlignment="1"/>
    <xf numFmtId="0" fontId="26" fillId="0" borderId="0" xfId="0" applyFont="1"/>
    <xf numFmtId="171" fontId="0" fillId="0" borderId="0" xfId="0" applyNumberFormat="1"/>
    <xf numFmtId="171" fontId="0" fillId="0" borderId="11" xfId="0" applyNumberFormat="1" applyBorder="1"/>
    <xf numFmtId="0" fontId="17" fillId="0" borderId="0" xfId="0" applyFont="1"/>
    <xf numFmtId="0" fontId="0" fillId="0" borderId="3" xfId="0" applyBorder="1" applyAlignment="1">
      <alignment horizontal="center" wrapText="1"/>
    </xf>
    <xf numFmtId="3" fontId="0" fillId="0" borderId="0" xfId="0" applyNumberFormat="1" applyAlignment="1">
      <alignment horizontal="center"/>
    </xf>
    <xf numFmtId="7" fontId="0" fillId="0" borderId="0" xfId="1" applyNumberFormat="1" applyFont="1" applyFill="1" applyAlignment="1">
      <alignment horizontal="center"/>
    </xf>
    <xf numFmtId="37" fontId="0" fillId="0" borderId="0" xfId="4" applyNumberFormat="1" applyFont="1" applyFill="1" applyAlignment="1">
      <alignment horizontal="center"/>
    </xf>
    <xf numFmtId="44" fontId="0" fillId="0" borderId="0" xfId="1" applyFont="1" applyFill="1" applyAlignment="1">
      <alignment horizontal="center"/>
    </xf>
    <xf numFmtId="44" fontId="0" fillId="0" borderId="0" xfId="1" applyFont="1" applyFill="1" applyAlignment="1"/>
    <xf numFmtId="166" fontId="0" fillId="0" borderId="0" xfId="4" applyNumberFormat="1" applyFont="1" applyAlignment="1"/>
    <xf numFmtId="172" fontId="0" fillId="0" borderId="0" xfId="2" applyNumberFormat="1" applyFont="1" applyAlignment="1">
      <alignment horizontal="center"/>
    </xf>
    <xf numFmtId="0" fontId="27" fillId="8" borderId="5" xfId="0" applyFont="1" applyFill="1" applyBorder="1" applyAlignment="1">
      <alignment vertical="center"/>
    </xf>
    <xf numFmtId="166" fontId="0" fillId="2" borderId="4" xfId="4" applyNumberFormat="1" applyFont="1" applyFill="1" applyBorder="1" applyAlignment="1">
      <alignment horizontal="center" vertical="center"/>
    </xf>
    <xf numFmtId="43" fontId="0" fillId="2" borderId="0" xfId="0" applyNumberFormat="1" applyFill="1"/>
    <xf numFmtId="166" fontId="0" fillId="9" borderId="4" xfId="4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right"/>
    </xf>
    <xf numFmtId="0" fontId="0" fillId="2" borderId="0" xfId="0" applyFill="1" applyAlignment="1">
      <alignment horizontal="right" indent="1"/>
    </xf>
    <xf numFmtId="3" fontId="9" fillId="3" borderId="4" xfId="0" applyNumberFormat="1" applyFont="1" applyFill="1" applyBorder="1" applyAlignment="1">
      <alignment horizontal="center" vertical="center"/>
    </xf>
    <xf numFmtId="3" fontId="0" fillId="2" borderId="0" xfId="0" applyNumberFormat="1" applyFill="1" applyAlignment="1">
      <alignment horizontal="left"/>
    </xf>
    <xf numFmtId="0" fontId="0" fillId="2" borderId="0" xfId="0" applyFill="1" applyAlignment="1">
      <alignment horizontal="right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left"/>
    </xf>
    <xf numFmtId="9" fontId="2" fillId="10" borderId="4" xfId="0" applyNumberFormat="1" applyFont="1" applyFill="1" applyBorder="1" applyAlignment="1">
      <alignment horizontal="center"/>
    </xf>
    <xf numFmtId="2" fontId="0" fillId="2" borderId="0" xfId="0" applyNumberFormat="1" applyFill="1" applyAlignment="1">
      <alignment horizontal="center" vertical="center"/>
    </xf>
    <xf numFmtId="3" fontId="15" fillId="2" borderId="0" xfId="0" applyNumberFormat="1" applyFont="1" applyFill="1" applyAlignment="1">
      <alignment horizontal="center" vertical="center"/>
    </xf>
    <xf numFmtId="0" fontId="25" fillId="0" borderId="0" xfId="0" applyFont="1" applyAlignment="1">
      <alignment horizontal="right"/>
    </xf>
    <xf numFmtId="0" fontId="25" fillId="2" borderId="0" xfId="0" applyFont="1" applyFill="1" applyAlignment="1">
      <alignment horizontal="center"/>
    </xf>
    <xf numFmtId="0" fontId="0" fillId="2" borderId="12" xfId="0" applyFill="1" applyBorder="1"/>
    <xf numFmtId="0" fontId="0" fillId="10" borderId="13" xfId="0" applyFill="1" applyBorder="1" applyAlignment="1">
      <alignment horizontal="center"/>
    </xf>
    <xf numFmtId="3" fontId="10" fillId="2" borderId="15" xfId="0" applyNumberFormat="1" applyFont="1" applyFill="1" applyBorder="1" applyAlignment="1">
      <alignment horizontal="center" vertical="center"/>
    </xf>
    <xf numFmtId="0" fontId="0" fillId="2" borderId="16" xfId="0" applyFill="1" applyBorder="1"/>
    <xf numFmtId="0" fontId="0" fillId="10" borderId="17" xfId="0" applyFill="1" applyBorder="1" applyAlignment="1">
      <alignment horizontal="center"/>
    </xf>
    <xf numFmtId="3" fontId="10" fillId="2" borderId="19" xfId="0" applyNumberFormat="1" applyFont="1" applyFill="1" applyBorder="1" applyAlignment="1">
      <alignment horizontal="center" vertical="center"/>
    </xf>
    <xf numFmtId="2" fontId="0" fillId="10" borderId="4" xfId="0" applyNumberFormat="1" applyFill="1" applyBorder="1" applyAlignment="1">
      <alignment horizontal="center" vertical="center"/>
    </xf>
    <xf numFmtId="0" fontId="0" fillId="2" borderId="21" xfId="0" applyFill="1" applyBorder="1"/>
    <xf numFmtId="0" fontId="0" fillId="10" borderId="22" xfId="0" applyFill="1" applyBorder="1" applyAlignment="1">
      <alignment horizontal="center"/>
    </xf>
    <xf numFmtId="3" fontId="10" fillId="2" borderId="8" xfId="0" applyNumberFormat="1" applyFont="1" applyFill="1" applyBorder="1" applyAlignment="1">
      <alignment horizontal="center" vertical="center"/>
    </xf>
    <xf numFmtId="0" fontId="14" fillId="2" borderId="3" xfId="0" applyFont="1" applyFill="1" applyBorder="1"/>
    <xf numFmtId="0" fontId="29" fillId="2" borderId="0" xfId="0" applyFont="1" applyFill="1" applyAlignment="1">
      <alignment horizontal="right"/>
    </xf>
    <xf numFmtId="0" fontId="2" fillId="2" borderId="24" xfId="0" applyFont="1" applyFill="1" applyBorder="1"/>
    <xf numFmtId="0" fontId="2" fillId="2" borderId="24" xfId="0" applyFont="1" applyFill="1" applyBorder="1" applyAlignment="1">
      <alignment horizontal="center" wrapText="1"/>
    </xf>
    <xf numFmtId="0" fontId="2" fillId="2" borderId="25" xfId="0" applyFont="1" applyFill="1" applyBorder="1" applyAlignment="1">
      <alignment horizontal="center"/>
    </xf>
    <xf numFmtId="0" fontId="30" fillId="2" borderId="0" xfId="0" applyFont="1" applyFill="1" applyAlignment="1">
      <alignment horizontal="right"/>
    </xf>
    <xf numFmtId="44" fontId="0" fillId="2" borderId="0" xfId="1" applyFont="1" applyFill="1" applyAlignment="1">
      <alignment horizontal="right"/>
    </xf>
    <xf numFmtId="3" fontId="0" fillId="2" borderId="0" xfId="0" applyNumberFormat="1" applyFill="1" applyAlignment="1">
      <alignment horizontal="right"/>
    </xf>
    <xf numFmtId="1" fontId="0" fillId="2" borderId="0" xfId="0" applyNumberFormat="1" applyFill="1" applyAlignment="1">
      <alignment horizontal="right"/>
    </xf>
    <xf numFmtId="3" fontId="0" fillId="2" borderId="0" xfId="0" applyNumberFormat="1" applyFill="1"/>
    <xf numFmtId="44" fontId="0" fillId="2" borderId="0" xfId="1" applyFont="1" applyFill="1" applyBorder="1" applyAlignment="1">
      <alignment horizontal="right"/>
    </xf>
    <xf numFmtId="3" fontId="0" fillId="2" borderId="3" xfId="0" applyNumberFormat="1" applyFill="1" applyBorder="1"/>
    <xf numFmtId="44" fontId="0" fillId="2" borderId="3" xfId="1" applyFont="1" applyFill="1" applyBorder="1" applyAlignment="1">
      <alignment horizontal="right"/>
    </xf>
    <xf numFmtId="3" fontId="0" fillId="2" borderId="3" xfId="0" applyNumberFormat="1" applyFill="1" applyBorder="1" applyAlignment="1">
      <alignment horizontal="right"/>
    </xf>
    <xf numFmtId="1" fontId="0" fillId="2" borderId="26" xfId="0" applyNumberFormat="1" applyFill="1" applyBorder="1" applyAlignment="1">
      <alignment horizontal="right"/>
    </xf>
    <xf numFmtId="2" fontId="2" fillId="2" borderId="0" xfId="0" applyNumberFormat="1" applyFont="1" applyFill="1"/>
    <xf numFmtId="3" fontId="2" fillId="2" borderId="0" xfId="0" applyNumberFormat="1" applyFont="1" applyFill="1" applyAlignment="1">
      <alignment horizontal="right"/>
    </xf>
    <xf numFmtId="3" fontId="31" fillId="2" borderId="0" xfId="0" applyNumberFormat="1" applyFont="1" applyFill="1" applyAlignment="1">
      <alignment horizontal="right"/>
    </xf>
    <xf numFmtId="3" fontId="17" fillId="2" borderId="0" xfId="0" applyNumberFormat="1" applyFont="1" applyFill="1" applyAlignment="1">
      <alignment horizontal="center"/>
    </xf>
    <xf numFmtId="0" fontId="25" fillId="2" borderId="0" xfId="0" applyFont="1" applyFill="1" applyAlignment="1">
      <alignment horizontal="right"/>
    </xf>
    <xf numFmtId="3" fontId="14" fillId="10" borderId="4" xfId="0" applyNumberFormat="1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0" fillId="2" borderId="26" xfId="0" applyFill="1" applyBorder="1"/>
    <xf numFmtId="0" fontId="2" fillId="2" borderId="0" xfId="0" applyFont="1" applyFill="1" applyAlignment="1">
      <alignment horizontal="center" wrapText="1"/>
    </xf>
    <xf numFmtId="0" fontId="2" fillId="2" borderId="3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wrapText="1"/>
    </xf>
    <xf numFmtId="0" fontId="31" fillId="2" borderId="3" xfId="0" applyFont="1" applyFill="1" applyBorder="1" applyAlignment="1">
      <alignment horizontal="center"/>
    </xf>
    <xf numFmtId="41" fontId="0" fillId="2" borderId="0" xfId="0" applyNumberFormat="1" applyFill="1" applyAlignment="1">
      <alignment horizontal="right"/>
    </xf>
    <xf numFmtId="3" fontId="32" fillId="2" borderId="0" xfId="0" applyNumberFormat="1" applyFont="1" applyFill="1" applyAlignment="1">
      <alignment horizontal="right"/>
    </xf>
    <xf numFmtId="0" fontId="0" fillId="2" borderId="26" xfId="0" applyFill="1" applyBorder="1" applyAlignment="1">
      <alignment horizontal="center"/>
    </xf>
    <xf numFmtId="0" fontId="0" fillId="2" borderId="26" xfId="0" applyFill="1" applyBorder="1" applyAlignment="1">
      <alignment horizontal="left"/>
    </xf>
    <xf numFmtId="44" fontId="0" fillId="2" borderId="26" xfId="1" applyFont="1" applyFill="1" applyBorder="1" applyAlignment="1">
      <alignment horizontal="right"/>
    </xf>
    <xf numFmtId="41" fontId="0" fillId="2" borderId="26" xfId="0" applyNumberFormat="1" applyFill="1" applyBorder="1" applyAlignment="1">
      <alignment horizontal="right"/>
    </xf>
    <xf numFmtId="3" fontId="32" fillId="2" borderId="26" xfId="0" applyNumberFormat="1" applyFont="1" applyFill="1" applyBorder="1" applyAlignment="1">
      <alignment horizontal="right"/>
    </xf>
    <xf numFmtId="0" fontId="14" fillId="2" borderId="0" xfId="0" applyFont="1" applyFill="1" applyAlignment="1">
      <alignment horizontal="center"/>
    </xf>
    <xf numFmtId="3" fontId="0" fillId="2" borderId="26" xfId="0" applyNumberFormat="1" applyFill="1" applyBorder="1" applyAlignment="1">
      <alignment horizontal="right"/>
    </xf>
    <xf numFmtId="3" fontId="0" fillId="2" borderId="0" xfId="0" applyNumberFormat="1" applyFill="1" applyAlignment="1">
      <alignment horizontal="center"/>
    </xf>
    <xf numFmtId="0" fontId="14" fillId="2" borderId="0" xfId="0" applyFont="1" applyFill="1"/>
    <xf numFmtId="3" fontId="14" fillId="2" borderId="0" xfId="0" applyNumberFormat="1" applyFont="1" applyFill="1" applyAlignment="1">
      <alignment horizontal="center"/>
    </xf>
    <xf numFmtId="0" fontId="25" fillId="2" borderId="0" xfId="0" applyFont="1" applyFill="1"/>
    <xf numFmtId="0" fontId="2" fillId="2" borderId="0" xfId="0" applyFont="1" applyFill="1" applyAlignment="1">
      <alignment horizontal="center"/>
    </xf>
    <xf numFmtId="2" fontId="0" fillId="2" borderId="0" xfId="0" applyNumberFormat="1" applyFill="1" applyAlignment="1">
      <alignment horizontal="center"/>
    </xf>
    <xf numFmtId="175" fontId="0" fillId="2" borderId="0" xfId="0" applyNumberFormat="1" applyFill="1" applyAlignment="1">
      <alignment horizontal="center"/>
    </xf>
    <xf numFmtId="4" fontId="0" fillId="2" borderId="0" xfId="0" applyNumberFormat="1" applyFill="1"/>
    <xf numFmtId="2" fontId="0" fillId="2" borderId="0" xfId="0" applyNumberFormat="1" applyFill="1"/>
    <xf numFmtId="0" fontId="12" fillId="2" borderId="0" xfId="9" applyFill="1" applyAlignment="1">
      <alignment horizontal="center" vertical="center" wrapText="1"/>
    </xf>
    <xf numFmtId="177" fontId="0" fillId="2" borderId="0" xfId="0" applyNumberFormat="1" applyFill="1" applyAlignment="1">
      <alignment horizontal="center"/>
    </xf>
    <xf numFmtId="0" fontId="12" fillId="2" borderId="0" xfId="9" applyFill="1" applyAlignment="1">
      <alignment vertical="center" wrapText="1"/>
    </xf>
    <xf numFmtId="0" fontId="12" fillId="2" borderId="0" xfId="9" applyFill="1" applyAlignment="1">
      <alignment horizontal="center" wrapText="1"/>
    </xf>
    <xf numFmtId="0" fontId="0" fillId="2" borderId="0" xfId="0" applyFill="1" applyAlignment="1">
      <alignment horizontal="center" wrapText="1"/>
    </xf>
    <xf numFmtId="1" fontId="0" fillId="2" borderId="0" xfId="0" applyNumberFormat="1" applyFill="1"/>
    <xf numFmtId="2" fontId="10" fillId="2" borderId="0" xfId="0" applyNumberFormat="1" applyFont="1" applyFill="1" applyAlignment="1">
      <alignment horizontal="center" vertical="center"/>
    </xf>
    <xf numFmtId="4" fontId="0" fillId="10" borderId="4" xfId="0" applyNumberFormat="1" applyFill="1" applyBorder="1" applyAlignment="1">
      <alignment horizontal="center" vertical="center"/>
    </xf>
    <xf numFmtId="4" fontId="0" fillId="5" borderId="4" xfId="0" applyNumberFormat="1" applyFill="1" applyBorder="1" applyAlignment="1">
      <alignment horizontal="center" vertical="center"/>
    </xf>
    <xf numFmtId="167" fontId="9" fillId="3" borderId="4" xfId="0" applyNumberFormat="1" applyFont="1" applyFill="1" applyBorder="1" applyAlignment="1">
      <alignment horizontal="center" vertical="center"/>
    </xf>
    <xf numFmtId="2" fontId="0" fillId="2" borderId="0" xfId="0" applyNumberFormat="1" applyFill="1" applyAlignment="1">
      <alignment horizontal="right"/>
    </xf>
    <xf numFmtId="4" fontId="9" fillId="3" borderId="4" xfId="0" applyNumberFormat="1" applyFont="1" applyFill="1" applyBorder="1" applyAlignment="1">
      <alignment horizontal="center" vertical="center"/>
    </xf>
    <xf numFmtId="17" fontId="0" fillId="2" borderId="0" xfId="0" applyNumberFormat="1" applyFill="1"/>
    <xf numFmtId="0" fontId="12" fillId="2" borderId="2" xfId="9" applyFill="1" applyBorder="1" applyAlignment="1">
      <alignment vertical="center" wrapText="1"/>
    </xf>
    <xf numFmtId="178" fontId="12" fillId="2" borderId="0" xfId="9" applyNumberFormat="1" applyFill="1"/>
    <xf numFmtId="2" fontId="0" fillId="4" borderId="4" xfId="0" applyNumberFormat="1" applyFill="1" applyBorder="1" applyAlignment="1">
      <alignment horizontal="center" vertical="center"/>
    </xf>
    <xf numFmtId="17" fontId="25" fillId="2" borderId="0" xfId="0" applyNumberFormat="1" applyFont="1" applyFill="1"/>
    <xf numFmtId="2" fontId="0" fillId="10" borderId="4" xfId="0" applyNumberFormat="1" applyFill="1" applyBorder="1" applyAlignment="1">
      <alignment horizontal="center"/>
    </xf>
    <xf numFmtId="0" fontId="9" fillId="2" borderId="0" xfId="0" applyFont="1" applyFill="1" applyAlignment="1">
      <alignment horizontal="center" vertical="center"/>
    </xf>
    <xf numFmtId="4" fontId="12" fillId="2" borderId="0" xfId="0" applyNumberFormat="1" applyFont="1" applyFill="1"/>
    <xf numFmtId="4" fontId="9" fillId="2" borderId="0" xfId="0" applyNumberFormat="1" applyFont="1" applyFill="1" applyAlignment="1">
      <alignment horizontal="center" vertical="center"/>
    </xf>
    <xf numFmtId="2" fontId="9" fillId="3" borderId="4" xfId="0" applyNumberFormat="1" applyFont="1" applyFill="1" applyBorder="1" applyAlignment="1">
      <alignment horizontal="center" vertical="center"/>
    </xf>
    <xf numFmtId="2" fontId="9" fillId="2" borderId="0" xfId="0" applyNumberFormat="1" applyFont="1" applyFill="1" applyAlignment="1">
      <alignment horizontal="center" vertical="center"/>
    </xf>
    <xf numFmtId="2" fontId="25" fillId="2" borderId="0" xfId="0" applyNumberFormat="1" applyFont="1" applyFill="1"/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44" fontId="15" fillId="2" borderId="0" xfId="0" applyNumberFormat="1" applyFont="1" applyFill="1" applyAlignment="1">
      <alignment horizontal="center" vertical="center"/>
    </xf>
    <xf numFmtId="1" fontId="0" fillId="2" borderId="0" xfId="0" applyNumberFormat="1" applyFill="1" applyAlignment="1">
      <alignment horizontal="center"/>
    </xf>
    <xf numFmtId="3" fontId="0" fillId="5" borderId="4" xfId="0" applyNumberFormat="1" applyFill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27" xfId="0" applyNumberFormat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0" fontId="0" fillId="11" borderId="12" xfId="0" applyFill="1" applyBorder="1" applyAlignment="1">
      <alignment horizontal="center" vertical="center"/>
    </xf>
    <xf numFmtId="3" fontId="0" fillId="0" borderId="31" xfId="0" applyNumberFormat="1" applyBorder="1" applyAlignment="1">
      <alignment horizontal="center" vertical="center"/>
    </xf>
    <xf numFmtId="3" fontId="0" fillId="0" borderId="32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11" borderId="36" xfId="0" applyFill="1" applyBorder="1" applyAlignment="1">
      <alignment horizontal="center" vertical="center"/>
    </xf>
    <xf numFmtId="179" fontId="0" fillId="0" borderId="37" xfId="0" applyNumberFormat="1" applyBorder="1" applyAlignment="1">
      <alignment horizontal="center" vertical="center"/>
    </xf>
    <xf numFmtId="4" fontId="0" fillId="0" borderId="38" xfId="0" applyNumberFormat="1" applyBorder="1" applyAlignment="1">
      <alignment horizontal="center" vertical="center"/>
    </xf>
    <xf numFmtId="3" fontId="0" fillId="0" borderId="36" xfId="0" applyNumberFormat="1" applyBorder="1" applyAlignment="1">
      <alignment horizontal="center" vertical="center"/>
    </xf>
    <xf numFmtId="175" fontId="0" fillId="0" borderId="31" xfId="0" applyNumberFormat="1" applyBorder="1" applyAlignment="1">
      <alignment horizontal="center" vertical="center"/>
    </xf>
    <xf numFmtId="4" fontId="0" fillId="0" borderId="37" xfId="0" applyNumberFormat="1" applyBorder="1" applyAlignment="1">
      <alignment horizontal="center" vertical="center"/>
    </xf>
    <xf numFmtId="179" fontId="0" fillId="0" borderId="38" xfId="0" applyNumberFormat="1" applyBorder="1" applyAlignment="1">
      <alignment horizontal="center" vertical="center"/>
    </xf>
    <xf numFmtId="3" fontId="9" fillId="0" borderId="31" xfId="0" applyNumberFormat="1" applyFont="1" applyBorder="1" applyAlignment="1">
      <alignment horizontal="center" vertical="center"/>
    </xf>
    <xf numFmtId="3" fontId="0" fillId="0" borderId="37" xfId="0" applyNumberFormat="1" applyBorder="1" applyAlignment="1">
      <alignment horizontal="center" vertical="center"/>
    </xf>
    <xf numFmtId="179" fontId="0" fillId="0" borderId="31" xfId="0" applyNumberFormat="1" applyBorder="1" applyAlignment="1">
      <alignment horizontal="center" vertical="center"/>
    </xf>
    <xf numFmtId="179" fontId="0" fillId="11" borderId="32" xfId="0" applyNumberFormat="1" applyFill="1" applyBorder="1" applyAlignment="1">
      <alignment horizontal="center" vertical="center"/>
    </xf>
    <xf numFmtId="3" fontId="0" fillId="0" borderId="17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4" fontId="0" fillId="0" borderId="39" xfId="0" applyNumberFormat="1" applyBorder="1" applyAlignment="1">
      <alignment horizontal="center" vertical="center"/>
    </xf>
    <xf numFmtId="175" fontId="0" fillId="0" borderId="17" xfId="0" applyNumberFormat="1" applyBorder="1" applyAlignment="1">
      <alignment horizontal="center" vertical="center"/>
    </xf>
    <xf numFmtId="179" fontId="0" fillId="0" borderId="4" xfId="0" applyNumberFormat="1" applyBorder="1" applyAlignment="1">
      <alignment horizontal="center" vertical="center"/>
    </xf>
    <xf numFmtId="179" fontId="0" fillId="0" borderId="39" xfId="0" applyNumberFormat="1" applyBorder="1" applyAlignment="1">
      <alignment horizontal="center" vertical="center"/>
    </xf>
    <xf numFmtId="3" fontId="9" fillId="0" borderId="17" xfId="0" applyNumberFormat="1" applyFont="1" applyBorder="1" applyAlignment="1">
      <alignment horizontal="center" vertical="center"/>
    </xf>
    <xf numFmtId="179" fontId="0" fillId="0" borderId="17" xfId="0" applyNumberFormat="1" applyBorder="1" applyAlignment="1">
      <alignment horizontal="center" vertical="center"/>
    </xf>
    <xf numFmtId="179" fontId="0" fillId="11" borderId="16" xfId="0" applyNumberFormat="1" applyFill="1" applyBorder="1" applyAlignment="1">
      <alignment horizontal="center" vertical="center"/>
    </xf>
    <xf numFmtId="3" fontId="0" fillId="0" borderId="16" xfId="0" applyNumberFormat="1" applyBorder="1" applyAlignment="1">
      <alignment horizontal="center" vertical="center"/>
    </xf>
    <xf numFmtId="180" fontId="0" fillId="0" borderId="17" xfId="0" applyNumberFormat="1" applyBorder="1" applyAlignment="1">
      <alignment horizontal="center" vertical="center"/>
    </xf>
    <xf numFmtId="3" fontId="0" fillId="0" borderId="39" xfId="0" applyNumberFormat="1" applyBorder="1" applyAlignment="1">
      <alignment horizontal="center" vertical="center"/>
    </xf>
    <xf numFmtId="4" fontId="0" fillId="0" borderId="17" xfId="0" applyNumberFormat="1" applyBorder="1" applyAlignment="1">
      <alignment horizontal="center" vertical="center"/>
    </xf>
    <xf numFmtId="179" fontId="25" fillId="0" borderId="39" xfId="0" applyNumberFormat="1" applyFont="1" applyBorder="1" applyAlignment="1">
      <alignment horizontal="center" vertical="center"/>
    </xf>
    <xf numFmtId="3" fontId="0" fillId="0" borderId="22" xfId="0" applyNumberFormat="1" applyBorder="1" applyAlignment="1">
      <alignment horizontal="center" vertical="center"/>
    </xf>
    <xf numFmtId="3" fontId="0" fillId="0" borderId="40" xfId="0" applyNumberFormat="1" applyBorder="1" applyAlignment="1">
      <alignment horizontal="center" vertical="center"/>
    </xf>
    <xf numFmtId="179" fontId="0" fillId="0" borderId="41" xfId="0" applyNumberFormat="1" applyBorder="1" applyAlignment="1">
      <alignment horizontal="center" vertical="center"/>
    </xf>
    <xf numFmtId="3" fontId="0" fillId="0" borderId="21" xfId="0" applyNumberFormat="1" applyBorder="1" applyAlignment="1">
      <alignment horizontal="center" vertical="center"/>
    </xf>
    <xf numFmtId="4" fontId="0" fillId="0" borderId="22" xfId="0" applyNumberFormat="1" applyBorder="1" applyAlignment="1">
      <alignment horizontal="center" vertical="center"/>
    </xf>
    <xf numFmtId="3" fontId="0" fillId="0" borderId="41" xfId="0" applyNumberFormat="1" applyBorder="1" applyAlignment="1">
      <alignment horizontal="center" vertical="center"/>
    </xf>
    <xf numFmtId="3" fontId="9" fillId="0" borderId="22" xfId="0" applyNumberFormat="1" applyFont="1" applyBorder="1" applyAlignment="1">
      <alignment horizontal="center" vertical="center"/>
    </xf>
    <xf numFmtId="179" fontId="25" fillId="0" borderId="41" xfId="0" applyNumberFormat="1" applyFont="1" applyBorder="1" applyAlignment="1">
      <alignment horizontal="center" vertical="center"/>
    </xf>
    <xf numFmtId="179" fontId="0" fillId="0" borderId="22" xfId="0" applyNumberFormat="1" applyBorder="1" applyAlignment="1">
      <alignment horizontal="center" vertical="center"/>
    </xf>
    <xf numFmtId="179" fontId="0" fillId="0" borderId="40" xfId="0" applyNumberFormat="1" applyBorder="1" applyAlignment="1">
      <alignment horizontal="center" vertical="center"/>
    </xf>
    <xf numFmtId="179" fontId="0" fillId="11" borderId="21" xfId="0" applyNumberFormat="1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4" fontId="0" fillId="0" borderId="43" xfId="0" applyNumberFormat="1" applyBorder="1" applyAlignment="1">
      <alignment horizontal="center" vertical="center"/>
    </xf>
    <xf numFmtId="175" fontId="0" fillId="0" borderId="4" xfId="0" applyNumberFormat="1" applyBorder="1" applyAlignment="1">
      <alignment horizontal="center" vertical="center"/>
    </xf>
    <xf numFmtId="4" fontId="0" fillId="0" borderId="4" xfId="0" applyNumberFormat="1" applyBorder="1" applyAlignment="1">
      <alignment horizontal="center" vertical="center"/>
    </xf>
    <xf numFmtId="3" fontId="9" fillId="0" borderId="4" xfId="0" applyNumberFormat="1" applyFont="1" applyBorder="1" applyAlignment="1">
      <alignment horizontal="center" vertical="center"/>
    </xf>
    <xf numFmtId="4" fontId="0" fillId="0" borderId="18" xfId="0" applyNumberFormat="1" applyBorder="1" applyAlignment="1">
      <alignment horizontal="center" vertical="center"/>
    </xf>
    <xf numFmtId="180" fontId="0" fillId="0" borderId="4" xfId="0" applyNumberFormat="1" applyBorder="1" applyAlignment="1">
      <alignment horizontal="center" vertical="center"/>
    </xf>
    <xf numFmtId="179" fontId="0" fillId="0" borderId="18" xfId="0" applyNumberFormat="1" applyBorder="1" applyAlignment="1">
      <alignment horizontal="center" vertical="center"/>
    </xf>
    <xf numFmtId="179" fontId="25" fillId="0" borderId="4" xfId="0" applyNumberFormat="1" applyFont="1" applyBorder="1" applyAlignment="1">
      <alignment horizontal="center" vertical="center"/>
    </xf>
    <xf numFmtId="179" fontId="0" fillId="0" borderId="23" xfId="0" applyNumberFormat="1" applyBorder="1" applyAlignment="1">
      <alignment horizontal="center" vertical="center"/>
    </xf>
    <xf numFmtId="4" fontId="0" fillId="0" borderId="40" xfId="0" applyNumberFormat="1" applyBorder="1" applyAlignment="1">
      <alignment horizontal="center" vertical="center"/>
    </xf>
    <xf numFmtId="3" fontId="9" fillId="0" borderId="40" xfId="0" applyNumberFormat="1" applyFont="1" applyBorder="1" applyAlignment="1">
      <alignment horizontal="center" vertical="center"/>
    </xf>
    <xf numFmtId="179" fontId="25" fillId="0" borderId="40" xfId="0" applyNumberFormat="1" applyFont="1" applyBorder="1" applyAlignment="1">
      <alignment horizontal="center" vertical="center"/>
    </xf>
    <xf numFmtId="3" fontId="0" fillId="10" borderId="0" xfId="0" applyNumberFormat="1" applyFill="1" applyAlignment="1">
      <alignment horizontal="center"/>
    </xf>
    <xf numFmtId="4" fontId="25" fillId="2" borderId="0" xfId="0" applyNumberFormat="1" applyFont="1" applyFill="1"/>
    <xf numFmtId="181" fontId="0" fillId="2" borderId="0" xfId="0" applyNumberFormat="1" applyFill="1" applyAlignment="1">
      <alignment horizontal="right" vertical="top"/>
    </xf>
    <xf numFmtId="2" fontId="0" fillId="5" borderId="4" xfId="0" applyNumberFormat="1" applyFill="1" applyBorder="1" applyAlignment="1">
      <alignment horizontal="center" vertical="center"/>
    </xf>
    <xf numFmtId="0" fontId="33" fillId="2" borderId="0" xfId="0" applyFont="1" applyFill="1"/>
    <xf numFmtId="182" fontId="33" fillId="2" borderId="0" xfId="0" applyNumberFormat="1" applyFont="1" applyFill="1" applyAlignment="1">
      <alignment horizontal="center"/>
    </xf>
    <xf numFmtId="182" fontId="0" fillId="2" borderId="0" xfId="0" applyNumberFormat="1" applyFill="1" applyAlignment="1">
      <alignment horizontal="center"/>
    </xf>
    <xf numFmtId="9" fontId="0" fillId="2" borderId="0" xfId="0" applyNumberFormat="1" applyFill="1" applyAlignment="1">
      <alignment horizontal="center"/>
    </xf>
    <xf numFmtId="182" fontId="0" fillId="2" borderId="0" xfId="0" applyNumberFormat="1" applyFill="1" applyAlignment="1">
      <alignment horizontal="right"/>
    </xf>
    <xf numFmtId="4" fontId="0" fillId="2" borderId="0" xfId="0" applyNumberFormat="1" applyFill="1" applyAlignment="1">
      <alignment horizontal="center"/>
    </xf>
    <xf numFmtId="0" fontId="0" fillId="2" borderId="44" xfId="0" applyFill="1" applyBorder="1"/>
    <xf numFmtId="9" fontId="0" fillId="2" borderId="0" xfId="0" quotePrefix="1" applyNumberFormat="1" applyFill="1" applyAlignment="1">
      <alignment horizontal="center"/>
    </xf>
    <xf numFmtId="0" fontId="2" fillId="2" borderId="45" xfId="0" applyFont="1" applyFill="1" applyBorder="1" applyAlignment="1">
      <alignment horizontal="right"/>
    </xf>
    <xf numFmtId="9" fontId="0" fillId="2" borderId="46" xfId="0" quotePrefix="1" applyNumberFormat="1" applyFill="1" applyBorder="1" applyAlignment="1">
      <alignment horizontal="center"/>
    </xf>
    <xf numFmtId="182" fontId="0" fillId="2" borderId="45" xfId="0" applyNumberFormat="1" applyFill="1" applyBorder="1" applyAlignment="1">
      <alignment horizontal="right"/>
    </xf>
    <xf numFmtId="2" fontId="0" fillId="2" borderId="46" xfId="0" applyNumberForma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182" fontId="0" fillId="2" borderId="3" xfId="0" applyNumberFormat="1" applyFill="1" applyBorder="1" applyAlignment="1">
      <alignment horizontal="right"/>
    </xf>
    <xf numFmtId="9" fontId="0" fillId="2" borderId="3" xfId="0" applyNumberFormat="1" applyFill="1" applyBorder="1" applyAlignment="1">
      <alignment horizontal="center"/>
    </xf>
    <xf numFmtId="4" fontId="0" fillId="2" borderId="3" xfId="0" applyNumberFormat="1" applyFill="1" applyBorder="1" applyAlignment="1">
      <alignment horizontal="center"/>
    </xf>
    <xf numFmtId="3" fontId="0" fillId="2" borderId="3" xfId="0" applyNumberFormat="1" applyFill="1" applyBorder="1" applyAlignment="1">
      <alignment horizontal="center"/>
    </xf>
    <xf numFmtId="182" fontId="0" fillId="2" borderId="43" xfId="0" applyNumberFormat="1" applyFill="1" applyBorder="1" applyAlignment="1">
      <alignment horizontal="right"/>
    </xf>
    <xf numFmtId="2" fontId="0" fillId="2" borderId="3" xfId="0" applyNumberFormat="1" applyFill="1" applyBorder="1" applyAlignment="1">
      <alignment horizontal="center"/>
    </xf>
    <xf numFmtId="2" fontId="0" fillId="2" borderId="47" xfId="0" applyNumberFormat="1" applyFill="1" applyBorder="1" applyAlignment="1">
      <alignment horizontal="center"/>
    </xf>
    <xf numFmtId="0" fontId="34" fillId="2" borderId="0" xfId="0" applyFont="1" applyFill="1"/>
    <xf numFmtId="0" fontId="34" fillId="2" borderId="0" xfId="0" applyFont="1" applyFill="1" applyAlignment="1">
      <alignment horizontal="center"/>
    </xf>
    <xf numFmtId="0" fontId="34" fillId="2" borderId="0" xfId="0" applyFont="1" applyFill="1" applyAlignment="1">
      <alignment horizontal="right"/>
    </xf>
    <xf numFmtId="9" fontId="35" fillId="2" borderId="0" xfId="0" applyNumberFormat="1" applyFont="1" applyFill="1" applyAlignment="1">
      <alignment horizontal="right"/>
    </xf>
    <xf numFmtId="0" fontId="36" fillId="2" borderId="0" xfId="0" applyFont="1" applyFill="1"/>
    <xf numFmtId="0" fontId="35" fillId="2" borderId="0" xfId="0" applyFont="1" applyFill="1"/>
    <xf numFmtId="3" fontId="34" fillId="2" borderId="0" xfId="0" applyNumberFormat="1" applyFont="1" applyFill="1"/>
    <xf numFmtId="0" fontId="35" fillId="2" borderId="44" xfId="0" applyFont="1" applyFill="1" applyBorder="1"/>
    <xf numFmtId="0" fontId="35" fillId="2" borderId="2" xfId="0" applyFont="1" applyFill="1" applyBorder="1" applyAlignment="1">
      <alignment horizontal="center"/>
    </xf>
    <xf numFmtId="0" fontId="35" fillId="2" borderId="48" xfId="0" applyFont="1" applyFill="1" applyBorder="1" applyAlignment="1">
      <alignment horizontal="center"/>
    </xf>
    <xf numFmtId="9" fontId="34" fillId="2" borderId="0" xfId="0" applyNumberFormat="1" applyFont="1" applyFill="1"/>
    <xf numFmtId="0" fontId="35" fillId="2" borderId="43" xfId="0" applyFont="1" applyFill="1" applyBorder="1"/>
    <xf numFmtId="0" fontId="35" fillId="2" borderId="3" xfId="0" applyFont="1" applyFill="1" applyBorder="1" applyAlignment="1">
      <alignment horizontal="center"/>
    </xf>
    <xf numFmtId="0" fontId="35" fillId="2" borderId="47" xfId="0" applyFont="1" applyFill="1" applyBorder="1" applyAlignment="1">
      <alignment horizontal="center"/>
    </xf>
    <xf numFmtId="0" fontId="35" fillId="2" borderId="44" xfId="0" applyFont="1" applyFill="1" applyBorder="1" applyAlignment="1">
      <alignment horizontal="right"/>
    </xf>
    <xf numFmtId="3" fontId="34" fillId="2" borderId="2" xfId="0" applyNumberFormat="1" applyFont="1" applyFill="1" applyBorder="1" applyAlignment="1">
      <alignment horizontal="center"/>
    </xf>
    <xf numFmtId="3" fontId="34" fillId="2" borderId="48" xfId="0" applyNumberFormat="1" applyFont="1" applyFill="1" applyBorder="1" applyAlignment="1">
      <alignment horizontal="center"/>
    </xf>
    <xf numFmtId="0" fontId="34" fillId="2" borderId="44" xfId="0" applyFont="1" applyFill="1" applyBorder="1"/>
    <xf numFmtId="0" fontId="34" fillId="2" borderId="2" xfId="0" applyFont="1" applyFill="1" applyBorder="1" applyAlignment="1">
      <alignment horizontal="center"/>
    </xf>
    <xf numFmtId="168" fontId="34" fillId="2" borderId="2" xfId="0" applyNumberFormat="1" applyFont="1" applyFill="1" applyBorder="1" applyAlignment="1">
      <alignment horizontal="right"/>
    </xf>
    <xf numFmtId="179" fontId="34" fillId="2" borderId="48" xfId="0" applyNumberFormat="1" applyFont="1" applyFill="1" applyBorder="1" applyAlignment="1">
      <alignment horizontal="right"/>
    </xf>
    <xf numFmtId="4" fontId="37" fillId="2" borderId="0" xfId="0" applyNumberFormat="1" applyFont="1" applyFill="1"/>
    <xf numFmtId="0" fontId="35" fillId="2" borderId="45" xfId="0" applyFont="1" applyFill="1" applyBorder="1"/>
    <xf numFmtId="3" fontId="34" fillId="2" borderId="0" xfId="0" applyNumberFormat="1" applyFont="1" applyFill="1" applyAlignment="1">
      <alignment horizontal="center"/>
    </xf>
    <xf numFmtId="3" fontId="34" fillId="2" borderId="46" xfId="0" applyNumberFormat="1" applyFont="1" applyFill="1" applyBorder="1" applyAlignment="1">
      <alignment horizontal="center"/>
    </xf>
    <xf numFmtId="0" fontId="34" fillId="2" borderId="45" xfId="0" applyFont="1" applyFill="1" applyBorder="1"/>
    <xf numFmtId="168" fontId="34" fillId="2" borderId="0" xfId="0" applyNumberFormat="1" applyFont="1" applyFill="1" applyAlignment="1">
      <alignment horizontal="right"/>
    </xf>
    <xf numFmtId="179" fontId="34" fillId="2" borderId="46" xfId="0" applyNumberFormat="1" applyFont="1" applyFill="1" applyBorder="1" applyAlignment="1">
      <alignment horizontal="right"/>
    </xf>
    <xf numFmtId="3" fontId="34" fillId="2" borderId="3" xfId="0" applyNumberFormat="1" applyFont="1" applyFill="1" applyBorder="1" applyAlignment="1">
      <alignment horizontal="center"/>
    </xf>
    <xf numFmtId="3" fontId="34" fillId="2" borderId="47" xfId="0" applyNumberFormat="1" applyFont="1" applyFill="1" applyBorder="1" applyAlignment="1">
      <alignment horizontal="center"/>
    </xf>
    <xf numFmtId="0" fontId="34" fillId="2" borderId="43" xfId="0" applyFont="1" applyFill="1" applyBorder="1"/>
    <xf numFmtId="0" fontId="34" fillId="2" borderId="3" xfId="0" applyFont="1" applyFill="1" applyBorder="1" applyAlignment="1">
      <alignment horizontal="center"/>
    </xf>
    <xf numFmtId="168" fontId="34" fillId="2" borderId="3" xfId="0" applyNumberFormat="1" applyFont="1" applyFill="1" applyBorder="1" applyAlignment="1">
      <alignment horizontal="right"/>
    </xf>
    <xf numFmtId="179" fontId="34" fillId="2" borderId="47" xfId="0" applyNumberFormat="1" applyFont="1" applyFill="1" applyBorder="1" applyAlignment="1">
      <alignment horizontal="right"/>
    </xf>
    <xf numFmtId="0" fontId="35" fillId="2" borderId="18" xfId="0" applyFont="1" applyFill="1" applyBorder="1" applyAlignment="1">
      <alignment horizontal="right"/>
    </xf>
    <xf numFmtId="0" fontId="34" fillId="2" borderId="24" xfId="0" applyFont="1" applyFill="1" applyBorder="1"/>
    <xf numFmtId="2" fontId="35" fillId="2" borderId="24" xfId="0" applyNumberFormat="1" applyFont="1" applyFill="1" applyBorder="1" applyAlignment="1">
      <alignment horizontal="right"/>
    </xf>
    <xf numFmtId="179" fontId="35" fillId="2" borderId="20" xfId="0" applyNumberFormat="1" applyFont="1" applyFill="1" applyBorder="1" applyAlignment="1">
      <alignment horizontal="right"/>
    </xf>
    <xf numFmtId="2" fontId="34" fillId="2" borderId="0" xfId="0" applyNumberFormat="1" applyFont="1" applyFill="1"/>
    <xf numFmtId="0" fontId="35" fillId="2" borderId="24" xfId="0" applyFont="1" applyFill="1" applyBorder="1" applyAlignment="1">
      <alignment horizontal="center" wrapText="1"/>
    </xf>
    <xf numFmtId="0" fontId="35" fillId="2" borderId="18" xfId="0" applyFont="1" applyFill="1" applyBorder="1" applyAlignment="1">
      <alignment horizontal="center" wrapText="1"/>
    </xf>
    <xf numFmtId="0" fontId="35" fillId="2" borderId="20" xfId="0" applyFont="1" applyFill="1" applyBorder="1" applyAlignment="1">
      <alignment horizontal="center" wrapText="1"/>
    </xf>
    <xf numFmtId="0" fontId="34" fillId="2" borderId="2" xfId="0" applyFont="1" applyFill="1" applyBorder="1" applyAlignment="1">
      <alignment horizontal="left" wrapText="1"/>
    </xf>
    <xf numFmtId="176" fontId="34" fillId="2" borderId="48" xfId="2" applyNumberFormat="1" applyFont="1" applyFill="1" applyBorder="1" applyAlignment="1">
      <alignment horizontal="center" wrapText="1"/>
    </xf>
    <xf numFmtId="176" fontId="34" fillId="2" borderId="2" xfId="2" applyNumberFormat="1" applyFont="1" applyFill="1" applyBorder="1" applyAlignment="1">
      <alignment horizontal="center" wrapText="1"/>
    </xf>
    <xf numFmtId="0" fontId="34" fillId="2" borderId="3" xfId="0" applyFont="1" applyFill="1" applyBorder="1" applyAlignment="1">
      <alignment horizontal="left" wrapText="1"/>
    </xf>
    <xf numFmtId="176" fontId="34" fillId="2" borderId="47" xfId="2" applyNumberFormat="1" applyFont="1" applyFill="1" applyBorder="1" applyAlignment="1">
      <alignment horizontal="center" wrapText="1"/>
    </xf>
    <xf numFmtId="176" fontId="34" fillId="2" borderId="3" xfId="2" applyNumberFormat="1" applyFont="1" applyFill="1" applyBorder="1" applyAlignment="1">
      <alignment horizontal="center" wrapText="1"/>
    </xf>
    <xf numFmtId="0" fontId="34" fillId="2" borderId="44" xfId="0" applyFont="1" applyFill="1" applyBorder="1" applyAlignment="1">
      <alignment horizontal="right"/>
    </xf>
    <xf numFmtId="0" fontId="34" fillId="2" borderId="2" xfId="0" applyFont="1" applyFill="1" applyBorder="1"/>
    <xf numFmtId="176" fontId="34" fillId="2" borderId="2" xfId="0" applyNumberFormat="1" applyFont="1" applyFill="1" applyBorder="1" applyAlignment="1">
      <alignment horizontal="center"/>
    </xf>
    <xf numFmtId="176" fontId="34" fillId="2" borderId="48" xfId="0" applyNumberFormat="1" applyFont="1" applyFill="1" applyBorder="1" applyAlignment="1">
      <alignment horizontal="center"/>
    </xf>
    <xf numFmtId="0" fontId="34" fillId="2" borderId="43" xfId="0" applyFont="1" applyFill="1" applyBorder="1" applyAlignment="1">
      <alignment horizontal="right"/>
    </xf>
    <xf numFmtId="0" fontId="34" fillId="2" borderId="3" xfId="0" applyFont="1" applyFill="1" applyBorder="1"/>
    <xf numFmtId="176" fontId="34" fillId="2" borderId="3" xfId="0" applyNumberFormat="1" applyFont="1" applyFill="1" applyBorder="1" applyAlignment="1">
      <alignment horizontal="center"/>
    </xf>
    <xf numFmtId="176" fontId="34" fillId="2" borderId="47" xfId="0" applyNumberFormat="1" applyFont="1" applyFill="1" applyBorder="1" applyAlignment="1">
      <alignment horizontal="center"/>
    </xf>
    <xf numFmtId="179" fontId="38" fillId="3" borderId="4" xfId="0" applyNumberFormat="1" applyFont="1" applyFill="1" applyBorder="1" applyAlignment="1">
      <alignment horizontal="center" vertical="center"/>
    </xf>
    <xf numFmtId="3" fontId="0" fillId="4" borderId="4" xfId="0" applyNumberFormat="1" applyFill="1" applyBorder="1" applyAlignment="1">
      <alignment horizontal="center" vertical="center"/>
    </xf>
    <xf numFmtId="179" fontId="38" fillId="10" borderId="4" xfId="0" applyNumberFormat="1" applyFont="1" applyFill="1" applyBorder="1" applyAlignment="1">
      <alignment horizontal="center" vertical="center"/>
    </xf>
    <xf numFmtId="9" fontId="0" fillId="10" borderId="4" xfId="0" applyNumberFormat="1" applyFill="1" applyBorder="1" applyAlignment="1">
      <alignment horizontal="center"/>
    </xf>
    <xf numFmtId="2" fontId="0" fillId="0" borderId="4" xfId="0" applyNumberFormat="1" applyBorder="1" applyAlignment="1">
      <alignment horizontal="center" vertical="center"/>
    </xf>
    <xf numFmtId="10" fontId="2" fillId="4" borderId="4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vertical="center"/>
    </xf>
    <xf numFmtId="3" fontId="2" fillId="11" borderId="4" xfId="0" applyNumberFormat="1" applyFont="1" applyFill="1" applyBorder="1" applyAlignment="1">
      <alignment horizontal="center"/>
    </xf>
    <xf numFmtId="0" fontId="2" fillId="11" borderId="4" xfId="0" applyFont="1" applyFill="1" applyBorder="1" applyAlignment="1">
      <alignment horizontal="center"/>
    </xf>
    <xf numFmtId="3" fontId="2" fillId="11" borderId="49" xfId="0" applyNumberFormat="1" applyFont="1" applyFill="1" applyBorder="1" applyAlignment="1">
      <alignment horizontal="center"/>
    </xf>
    <xf numFmtId="0" fontId="2" fillId="11" borderId="50" xfId="0" applyFont="1" applyFill="1" applyBorder="1" applyAlignment="1">
      <alignment horizontal="center"/>
    </xf>
    <xf numFmtId="3" fontId="2" fillId="11" borderId="51" xfId="0" applyNumberFormat="1" applyFont="1" applyFill="1" applyBorder="1" applyAlignment="1">
      <alignment horizontal="center"/>
    </xf>
    <xf numFmtId="9" fontId="2" fillId="10" borderId="0" xfId="0" applyNumberFormat="1" applyFont="1" applyFill="1" applyAlignment="1">
      <alignment horizontal="center" vertical="center"/>
    </xf>
    <xf numFmtId="9" fontId="2" fillId="2" borderId="0" xfId="0" applyNumberFormat="1" applyFont="1" applyFill="1" applyAlignment="1">
      <alignment horizontal="center" vertical="center"/>
    </xf>
    <xf numFmtId="2" fontId="2" fillId="2" borderId="0" xfId="0" applyNumberFormat="1" applyFont="1" applyFill="1" applyAlignment="1">
      <alignment horizontal="center" vertical="center"/>
    </xf>
    <xf numFmtId="2" fontId="2" fillId="11" borderId="4" xfId="0" applyNumberFormat="1" applyFont="1" applyFill="1" applyBorder="1" applyAlignment="1">
      <alignment horizontal="center"/>
    </xf>
    <xf numFmtId="2" fontId="2" fillId="2" borderId="0" xfId="0" applyNumberFormat="1" applyFont="1" applyFill="1" applyAlignment="1">
      <alignment horizontal="center"/>
    </xf>
    <xf numFmtId="1" fontId="0" fillId="2" borderId="0" xfId="0" applyNumberFormat="1" applyFill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3" fontId="28" fillId="2" borderId="0" xfId="0" applyNumberFormat="1" applyFont="1" applyFill="1"/>
    <xf numFmtId="0" fontId="28" fillId="2" borderId="0" xfId="0" applyFont="1" applyFill="1" applyAlignment="1">
      <alignment horizontal="left"/>
    </xf>
    <xf numFmtId="178" fontId="12" fillId="2" borderId="0" xfId="9" applyNumberFormat="1" applyFill="1" applyAlignment="1">
      <alignment horizontal="center"/>
    </xf>
    <xf numFmtId="176" fontId="0" fillId="2" borderId="0" xfId="0" applyNumberFormat="1" applyFill="1"/>
    <xf numFmtId="179" fontId="0" fillId="2" borderId="0" xfId="0" applyNumberFormat="1" applyFill="1" applyAlignment="1">
      <alignment horizontal="center"/>
    </xf>
    <xf numFmtId="9" fontId="0" fillId="2" borderId="0" xfId="0" applyNumberFormat="1" applyFill="1"/>
    <xf numFmtId="9" fontId="0" fillId="10" borderId="52" xfId="0" applyNumberFormat="1" applyFill="1" applyBorder="1" applyAlignment="1">
      <alignment horizontal="center"/>
    </xf>
    <xf numFmtId="179" fontId="0" fillId="10" borderId="52" xfId="0" applyNumberFormat="1" applyFill="1" applyBorder="1" applyAlignment="1">
      <alignment horizontal="center"/>
    </xf>
    <xf numFmtId="9" fontId="0" fillId="10" borderId="53" xfId="0" applyNumberFormat="1" applyFill="1" applyBorder="1" applyAlignment="1">
      <alignment horizontal="center"/>
    </xf>
    <xf numFmtId="179" fontId="0" fillId="10" borderId="53" xfId="0" applyNumberFormat="1" applyFill="1" applyBorder="1" applyAlignment="1">
      <alignment horizontal="center"/>
    </xf>
    <xf numFmtId="9" fontId="0" fillId="10" borderId="54" xfId="0" applyNumberFormat="1" applyFill="1" applyBorder="1" applyAlignment="1">
      <alignment horizontal="center"/>
    </xf>
    <xf numFmtId="179" fontId="0" fillId="10" borderId="54" xfId="0" applyNumberFormat="1" applyFill="1" applyBorder="1" applyAlignment="1">
      <alignment horizontal="center"/>
    </xf>
    <xf numFmtId="9" fontId="0" fillId="10" borderId="55" xfId="0" applyNumberFormat="1" applyFill="1" applyBorder="1" applyAlignment="1">
      <alignment horizontal="center"/>
    </xf>
    <xf numFmtId="179" fontId="0" fillId="10" borderId="55" xfId="0" applyNumberFormat="1" applyFill="1" applyBorder="1" applyAlignment="1">
      <alignment horizontal="center"/>
    </xf>
    <xf numFmtId="9" fontId="0" fillId="10" borderId="56" xfId="0" applyNumberFormat="1" applyFill="1" applyBorder="1" applyAlignment="1">
      <alignment horizontal="center"/>
    </xf>
    <xf numFmtId="179" fontId="0" fillId="10" borderId="56" xfId="0" applyNumberFormat="1" applyFill="1" applyBorder="1" applyAlignment="1">
      <alignment horizontal="center"/>
    </xf>
    <xf numFmtId="9" fontId="0" fillId="10" borderId="37" xfId="0" applyNumberFormat="1" applyFill="1" applyBorder="1" applyAlignment="1">
      <alignment horizontal="center"/>
    </xf>
    <xf numFmtId="179" fontId="0" fillId="10" borderId="37" xfId="0" applyNumberFormat="1" applyFill="1" applyBorder="1" applyAlignment="1">
      <alignment horizontal="center"/>
    </xf>
    <xf numFmtId="0" fontId="10" fillId="2" borderId="0" xfId="0" applyFont="1" applyFill="1" applyAlignment="1">
      <alignment horizontal="left" vertical="center"/>
    </xf>
    <xf numFmtId="0" fontId="11" fillId="2" borderId="0" xfId="9" applyFont="1" applyFill="1" applyAlignment="1">
      <alignment horizontal="center" vertical="center" wrapText="1"/>
    </xf>
    <xf numFmtId="177" fontId="9" fillId="3" borderId="4" xfId="0" applyNumberFormat="1" applyFont="1" applyFill="1" applyBorder="1" applyAlignment="1">
      <alignment horizontal="center" vertical="center"/>
    </xf>
    <xf numFmtId="178" fontId="0" fillId="2" borderId="0" xfId="0" applyNumberFormat="1" applyFill="1"/>
    <xf numFmtId="179" fontId="0" fillId="4" borderId="4" xfId="0" applyNumberFormat="1" applyFill="1" applyBorder="1" applyAlignment="1">
      <alignment horizontal="center" vertical="center"/>
    </xf>
    <xf numFmtId="167" fontId="9" fillId="2" borderId="0" xfId="0" applyNumberFormat="1" applyFont="1" applyFill="1" applyAlignment="1">
      <alignment horizontal="center" vertical="center"/>
    </xf>
    <xf numFmtId="0" fontId="39" fillId="2" borderId="0" xfId="0" applyFont="1" applyFill="1"/>
    <xf numFmtId="0" fontId="41" fillId="0" borderId="0" xfId="10" applyFont="1" applyAlignment="1" applyProtection="1">
      <alignment horizontal="right"/>
    </xf>
    <xf numFmtId="4" fontId="0" fillId="4" borderId="37" xfId="0" applyNumberFormat="1" applyFill="1" applyBorder="1" applyAlignment="1">
      <alignment horizontal="center" vertical="center"/>
    </xf>
    <xf numFmtId="0" fontId="11" fillId="0" borderId="0" xfId="9" applyFont="1" applyAlignment="1">
      <alignment horizontal="center" wrapText="1"/>
    </xf>
    <xf numFmtId="0" fontId="11" fillId="2" borderId="0" xfId="9" applyFont="1" applyFill="1" applyAlignment="1">
      <alignment horizontal="center" wrapText="1"/>
    </xf>
    <xf numFmtId="3" fontId="12" fillId="2" borderId="0" xfId="9" applyNumberFormat="1" applyFill="1" applyAlignment="1">
      <alignment horizontal="center" wrapText="1"/>
    </xf>
    <xf numFmtId="1" fontId="12" fillId="2" borderId="0" xfId="9" applyNumberFormat="1" applyFill="1"/>
    <xf numFmtId="10" fontId="9" fillId="3" borderId="4" xfId="0" applyNumberFormat="1" applyFont="1" applyFill="1" applyBorder="1" applyAlignment="1">
      <alignment horizontal="center" vertical="center"/>
    </xf>
    <xf numFmtId="10" fontId="0" fillId="4" borderId="4" xfId="0" applyNumberFormat="1" applyFill="1" applyBorder="1" applyAlignment="1">
      <alignment horizontal="center" vertical="center"/>
    </xf>
    <xf numFmtId="10" fontId="0" fillId="4" borderId="18" xfId="0" applyNumberFormat="1" applyFill="1" applyBorder="1" applyAlignment="1">
      <alignment horizontal="center" vertical="center"/>
    </xf>
    <xf numFmtId="179" fontId="0" fillId="4" borderId="13" xfId="0" applyNumberFormat="1" applyFill="1" applyBorder="1" applyAlignment="1">
      <alignment horizontal="center" vertical="center"/>
    </xf>
    <xf numFmtId="179" fontId="0" fillId="4" borderId="29" xfId="0" applyNumberFormat="1" applyFill="1" applyBorder="1" applyAlignment="1">
      <alignment horizontal="center" vertical="center"/>
    </xf>
    <xf numFmtId="179" fontId="0" fillId="4" borderId="22" xfId="0" applyNumberFormat="1" applyFill="1" applyBorder="1" applyAlignment="1">
      <alignment horizontal="center" vertical="center"/>
    </xf>
    <xf numFmtId="179" fontId="0" fillId="4" borderId="41" xfId="0" applyNumberFormat="1" applyFill="1" applyBorder="1" applyAlignment="1">
      <alignment horizontal="center" vertical="center"/>
    </xf>
    <xf numFmtId="179" fontId="0" fillId="4" borderId="37" xfId="0" applyNumberFormat="1" applyFill="1" applyBorder="1" applyAlignment="1">
      <alignment horizontal="center" vertical="center"/>
    </xf>
    <xf numFmtId="0" fontId="40" fillId="2" borderId="0" xfId="10" applyFill="1" applyAlignment="1" applyProtection="1"/>
    <xf numFmtId="0" fontId="40" fillId="0" borderId="0" xfId="10" applyAlignment="1" applyProtection="1"/>
    <xf numFmtId="3" fontId="21" fillId="0" borderId="0" xfId="0" applyNumberFormat="1" applyFont="1" applyAlignment="1">
      <alignment horizontal="right" vertical="center"/>
    </xf>
    <xf numFmtId="44" fontId="0" fillId="2" borderId="0" xfId="1" applyFont="1" applyFill="1" applyAlignment="1">
      <alignment horizontal="center"/>
    </xf>
    <xf numFmtId="44" fontId="0" fillId="2" borderId="0" xfId="1" applyFont="1" applyFill="1"/>
    <xf numFmtId="0" fontId="27" fillId="8" borderId="6" xfId="0" applyFont="1" applyFill="1" applyBorder="1" applyAlignment="1">
      <alignment horizontal="center" vertical="center"/>
    </xf>
    <xf numFmtId="0" fontId="17" fillId="0" borderId="8" xfId="0" applyFont="1" applyBorder="1" applyAlignment="1">
      <alignment vertical="top"/>
    </xf>
    <xf numFmtId="3" fontId="42" fillId="0" borderId="8" xfId="0" applyNumberFormat="1" applyFont="1" applyBorder="1" applyAlignment="1">
      <alignment horizontal="right" vertical="center"/>
    </xf>
    <xf numFmtId="183" fontId="0" fillId="2" borderId="0" xfId="0" applyNumberFormat="1" applyFill="1" applyAlignment="1">
      <alignment horizontal="right"/>
    </xf>
    <xf numFmtId="183" fontId="0" fillId="2" borderId="26" xfId="0" applyNumberFormat="1" applyFill="1" applyBorder="1" applyAlignment="1">
      <alignment horizontal="right"/>
    </xf>
    <xf numFmtId="41" fontId="0" fillId="2" borderId="3" xfId="0" applyNumberFormat="1" applyFill="1" applyBorder="1" applyAlignment="1">
      <alignment horizontal="right"/>
    </xf>
    <xf numFmtId="0" fontId="0" fillId="0" borderId="3" xfId="0" applyBorder="1" applyAlignment="1">
      <alignment horizontal="left"/>
    </xf>
    <xf numFmtId="0" fontId="2" fillId="0" borderId="0" xfId="0" applyFont="1" applyAlignment="1">
      <alignment horizontal="left"/>
    </xf>
    <xf numFmtId="0" fontId="15" fillId="2" borderId="0" xfId="0" applyFont="1" applyFill="1" applyAlignment="1">
      <alignment horizontal="center"/>
    </xf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15" fillId="0" borderId="0" xfId="3" applyNumberFormat="1" applyFont="1" applyFill="1" applyBorder="1" applyAlignment="1" applyProtection="1">
      <protection locked="0"/>
    </xf>
    <xf numFmtId="0" fontId="0" fillId="0" borderId="0" xfId="0" applyAlignment="1" applyProtection="1">
      <alignment horizontal="center"/>
      <protection locked="0"/>
    </xf>
    <xf numFmtId="173" fontId="0" fillId="0" borderId="0" xfId="0" applyNumberFormat="1" applyAlignment="1" applyProtection="1">
      <alignment horizontal="center"/>
      <protection locked="0"/>
    </xf>
    <xf numFmtId="165" fontId="9" fillId="3" borderId="4" xfId="1" applyNumberFormat="1" applyFont="1" applyFill="1" applyBorder="1" applyAlignment="1" applyProtection="1">
      <alignment horizontal="center" vertical="center"/>
      <protection locked="0"/>
    </xf>
    <xf numFmtId="165" fontId="0" fillId="5" borderId="4" xfId="1" applyNumberFormat="1" applyFont="1" applyFill="1" applyBorder="1" applyAlignment="1" applyProtection="1">
      <alignment horizontal="center" vertical="center"/>
      <protection locked="0"/>
    </xf>
    <xf numFmtId="10" fontId="17" fillId="0" borderId="0" xfId="2" applyNumberFormat="1" applyFont="1" applyAlignment="1" applyProtection="1">
      <alignment horizontal="center"/>
      <protection locked="0"/>
    </xf>
    <xf numFmtId="165" fontId="2" fillId="0" borderId="0" xfId="0" applyNumberFormat="1" applyFont="1" applyAlignment="1" applyProtection="1">
      <alignment horizontal="center"/>
      <protection locked="0"/>
    </xf>
    <xf numFmtId="165" fontId="0" fillId="0" borderId="0" xfId="0" applyNumberFormat="1" applyProtection="1">
      <protection locked="0"/>
    </xf>
    <xf numFmtId="0" fontId="16" fillId="0" borderId="0" xfId="0" applyFont="1" applyProtection="1">
      <protection locked="0"/>
    </xf>
    <xf numFmtId="10" fontId="17" fillId="3" borderId="4" xfId="2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Protection="1">
      <protection locked="0"/>
    </xf>
    <xf numFmtId="10" fontId="9" fillId="3" borderId="4" xfId="2" applyNumberFormat="1" applyFont="1" applyFill="1" applyBorder="1" applyAlignment="1" applyProtection="1">
      <alignment horizontal="center" vertical="center"/>
      <protection locked="0"/>
    </xf>
    <xf numFmtId="184" fontId="0" fillId="0" borderId="0" xfId="0" applyNumberFormat="1" applyProtection="1">
      <protection locked="0"/>
    </xf>
    <xf numFmtId="184" fontId="2" fillId="0" borderId="0" xfId="0" applyNumberFormat="1" applyFont="1" applyAlignment="1" applyProtection="1">
      <alignment horizontal="center"/>
      <protection locked="0"/>
    </xf>
    <xf numFmtId="165" fontId="15" fillId="0" borderId="0" xfId="1" applyNumberFormat="1" applyFont="1" applyFill="1" applyBorder="1" applyProtection="1">
      <protection locked="0"/>
    </xf>
    <xf numFmtId="2" fontId="0" fillId="0" borderId="0" xfId="0" applyNumberFormat="1" applyAlignment="1" applyProtection="1">
      <alignment horizontal="center"/>
      <protection locked="0"/>
    </xf>
    <xf numFmtId="166" fontId="0" fillId="4" borderId="4" xfId="4" applyNumberFormat="1" applyFont="1" applyFill="1" applyBorder="1" applyAlignment="1" applyProtection="1">
      <alignment horizontal="center" vertical="center"/>
      <protection locked="0"/>
    </xf>
    <xf numFmtId="10" fontId="15" fillId="0" borderId="0" xfId="2" applyNumberFormat="1" applyFont="1" applyFill="1" applyBorder="1" applyAlignment="1" applyProtection="1">
      <alignment horizontal="center"/>
      <protection locked="0"/>
    </xf>
    <xf numFmtId="9" fontId="0" fillId="0" borderId="0" xfId="2" applyFont="1" applyFill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/>
      <protection locked="0"/>
    </xf>
    <xf numFmtId="173" fontId="0" fillId="0" borderId="0" xfId="0" applyNumberFormat="1" applyProtection="1">
      <protection locked="0"/>
    </xf>
    <xf numFmtId="44" fontId="0" fillId="5" borderId="4" xfId="1" applyFont="1" applyFill="1" applyBorder="1" applyAlignment="1" applyProtection="1">
      <alignment horizontal="center" vertical="center"/>
      <protection locked="0"/>
    </xf>
    <xf numFmtId="174" fontId="0" fillId="5" borderId="4" xfId="1" applyNumberFormat="1" applyFont="1" applyFill="1" applyBorder="1" applyAlignment="1" applyProtection="1">
      <alignment horizontal="center" vertical="center"/>
      <protection locked="0"/>
    </xf>
    <xf numFmtId="44" fontId="0" fillId="0" borderId="0" xfId="0" applyNumberFormat="1" applyProtection="1">
      <protection locked="0"/>
    </xf>
    <xf numFmtId="1" fontId="0" fillId="0" borderId="0" xfId="0" applyNumberFormat="1" applyProtection="1">
      <protection locked="0"/>
    </xf>
    <xf numFmtId="184" fontId="0" fillId="0" borderId="0" xfId="0" applyNumberFormat="1" applyProtection="1">
      <protection hidden="1"/>
    </xf>
    <xf numFmtId="184" fontId="2" fillId="0" borderId="0" xfId="0" applyNumberFormat="1" applyFont="1" applyAlignment="1" applyProtection="1">
      <alignment horizontal="center"/>
      <protection hidden="1"/>
    </xf>
    <xf numFmtId="184" fontId="0" fillId="0" borderId="0" xfId="0" applyNumberFormat="1" applyAlignment="1" applyProtection="1">
      <alignment horizontal="center"/>
      <protection hidden="1"/>
    </xf>
    <xf numFmtId="165" fontId="17" fillId="3" borderId="4" xfId="1" applyNumberFormat="1" applyFont="1" applyFill="1" applyBorder="1" applyAlignment="1" applyProtection="1">
      <alignment horizontal="center" vertical="center"/>
      <protection locked="0"/>
    </xf>
    <xf numFmtId="0" fontId="2" fillId="2" borderId="24" xfId="0" applyFont="1" applyFill="1" applyBorder="1" applyAlignment="1">
      <alignment horizontal="center"/>
    </xf>
    <xf numFmtId="3" fontId="14" fillId="2" borderId="3" xfId="0" applyNumberFormat="1" applyFont="1" applyFill="1" applyBorder="1" applyAlignment="1">
      <alignment vertical="center"/>
    </xf>
    <xf numFmtId="3" fontId="14" fillId="2" borderId="0" xfId="0" applyNumberFormat="1" applyFont="1" applyFill="1" applyAlignment="1">
      <alignment horizontal="right" vertical="center"/>
    </xf>
    <xf numFmtId="3" fontId="2" fillId="2" borderId="0" xfId="0" applyNumberFormat="1" applyFont="1" applyFill="1" applyAlignment="1">
      <alignment horizontal="center"/>
    </xf>
    <xf numFmtId="3" fontId="14" fillId="2" borderId="0" xfId="0" applyNumberFormat="1" applyFont="1" applyFill="1" applyAlignment="1">
      <alignment vertical="center"/>
    </xf>
    <xf numFmtId="3" fontId="0" fillId="10" borderId="29" xfId="0" applyNumberFormat="1" applyFill="1" applyBorder="1" applyAlignment="1">
      <alignment horizontal="center"/>
    </xf>
    <xf numFmtId="3" fontId="0" fillId="10" borderId="39" xfId="0" applyNumberFormat="1" applyFill="1" applyBorder="1" applyAlignment="1">
      <alignment horizontal="center"/>
    </xf>
    <xf numFmtId="3" fontId="0" fillId="10" borderId="41" xfId="0" applyNumberFormat="1" applyFill="1" applyBorder="1" applyAlignment="1">
      <alignment horizontal="center"/>
    </xf>
    <xf numFmtId="0" fontId="0" fillId="10" borderId="57" xfId="0" applyFill="1" applyBorder="1" applyAlignment="1">
      <alignment horizontal="center"/>
    </xf>
    <xf numFmtId="2" fontId="0" fillId="10" borderId="5" xfId="0" applyNumberFormat="1" applyFill="1" applyBorder="1" applyAlignment="1">
      <alignment horizontal="center" vertical="center"/>
    </xf>
    <xf numFmtId="9" fontId="0" fillId="10" borderId="5" xfId="0" applyNumberFormat="1" applyFill="1" applyBorder="1" applyAlignment="1">
      <alignment horizontal="center" vertical="center"/>
    </xf>
    <xf numFmtId="3" fontId="10" fillId="2" borderId="5" xfId="0" applyNumberFormat="1" applyFont="1" applyFill="1" applyBorder="1" applyAlignment="1">
      <alignment horizontal="center" vertical="center"/>
    </xf>
    <xf numFmtId="3" fontId="2" fillId="5" borderId="4" xfId="0" applyNumberFormat="1" applyFont="1" applyFill="1" applyBorder="1" applyAlignment="1">
      <alignment horizontal="center" vertical="center"/>
    </xf>
    <xf numFmtId="3" fontId="14" fillId="2" borderId="3" xfId="0" applyNumberFormat="1" applyFont="1" applyFill="1" applyBorder="1" applyAlignment="1">
      <alignment horizontal="right" vertical="center"/>
    </xf>
    <xf numFmtId="3" fontId="14" fillId="2" borderId="3" xfId="0" applyNumberFormat="1" applyFont="1" applyFill="1" applyBorder="1" applyAlignment="1">
      <alignment horizontal="left" vertical="center"/>
    </xf>
    <xf numFmtId="0" fontId="0" fillId="2" borderId="0" xfId="0" quotePrefix="1" applyFill="1"/>
    <xf numFmtId="41" fontId="0" fillId="5" borderId="4" xfId="0" applyNumberFormat="1" applyFill="1" applyBorder="1" applyAlignment="1">
      <alignment horizontal="center" vertical="center"/>
    </xf>
    <xf numFmtId="3" fontId="2" fillId="4" borderId="4" xfId="0" applyNumberFormat="1" applyFont="1" applyFill="1" applyBorder="1" applyAlignment="1">
      <alignment horizontal="center" vertical="center"/>
    </xf>
    <xf numFmtId="3" fontId="0" fillId="2" borderId="0" xfId="0" quotePrefix="1" applyNumberFormat="1" applyFill="1" applyAlignment="1">
      <alignment horizontal="right"/>
    </xf>
    <xf numFmtId="3" fontId="25" fillId="2" borderId="0" xfId="0" applyNumberFormat="1" applyFont="1" applyFill="1" applyAlignment="1">
      <alignment horizontal="center"/>
    </xf>
    <xf numFmtId="44" fontId="0" fillId="5" borderId="4" xfId="0" applyNumberFormat="1" applyFill="1" applyBorder="1" applyAlignment="1">
      <alignment horizontal="center" vertical="center"/>
    </xf>
    <xf numFmtId="4" fontId="2" fillId="2" borderId="0" xfId="0" applyNumberFormat="1" applyFont="1" applyFill="1" applyAlignment="1">
      <alignment horizontal="center"/>
    </xf>
    <xf numFmtId="42" fontId="0" fillId="5" borderId="4" xfId="0" applyNumberFormat="1" applyFill="1" applyBorder="1" applyAlignment="1">
      <alignment horizontal="center" vertical="center"/>
    </xf>
    <xf numFmtId="3" fontId="2" fillId="0" borderId="0" xfId="0" applyNumberFormat="1" applyFont="1"/>
    <xf numFmtId="41" fontId="0" fillId="2" borderId="0" xfId="0" applyNumberFormat="1" applyFill="1" applyAlignment="1">
      <alignment horizontal="center"/>
    </xf>
    <xf numFmtId="4" fontId="0" fillId="4" borderId="4" xfId="0" applyNumberFormat="1" applyFill="1" applyBorder="1" applyAlignment="1">
      <alignment horizontal="center" vertical="center"/>
    </xf>
    <xf numFmtId="0" fontId="43" fillId="2" borderId="0" xfId="0" applyFont="1" applyFill="1" applyAlignment="1">
      <alignment horizontal="left"/>
    </xf>
    <xf numFmtId="10" fontId="0" fillId="2" borderId="0" xfId="0" applyNumberFormat="1" applyFill="1" applyAlignment="1">
      <alignment horizontal="center" vertical="center"/>
    </xf>
    <xf numFmtId="9" fontId="9" fillId="3" borderId="4" xfId="0" applyNumberFormat="1" applyFont="1" applyFill="1" applyBorder="1" applyAlignment="1">
      <alignment horizontal="center" vertical="center"/>
    </xf>
    <xf numFmtId="17" fontId="2" fillId="2" borderId="0" xfId="0" applyNumberFormat="1" applyFont="1" applyFill="1" applyAlignment="1">
      <alignment horizontal="center" vertical="center"/>
    </xf>
    <xf numFmtId="10" fontId="9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right" vertical="center"/>
    </xf>
    <xf numFmtId="0" fontId="2" fillId="0" borderId="3" xfId="0" applyFont="1" applyBorder="1"/>
    <xf numFmtId="165" fontId="9" fillId="3" borderId="4" xfId="1" applyNumberFormat="1" applyFont="1" applyFill="1" applyBorder="1" applyAlignment="1">
      <alignment horizontal="center" vertical="center"/>
    </xf>
    <xf numFmtId="10" fontId="9" fillId="3" borderId="4" xfId="2" applyNumberFormat="1" applyFont="1" applyFill="1" applyBorder="1" applyAlignment="1">
      <alignment horizontal="center" vertical="center"/>
    </xf>
    <xf numFmtId="4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0" fontId="2" fillId="0" borderId="3" xfId="0" applyFont="1" applyBorder="1" applyAlignment="1">
      <alignment horizontal="left"/>
    </xf>
    <xf numFmtId="6" fontId="0" fillId="0" borderId="0" xfId="0" applyNumberFormat="1"/>
    <xf numFmtId="0" fontId="18" fillId="0" borderId="0" xfId="0" applyFont="1"/>
    <xf numFmtId="0" fontId="2" fillId="2" borderId="0" xfId="0" applyFont="1" applyFill="1" applyAlignment="1">
      <alignment horizontal="center"/>
    </xf>
    <xf numFmtId="44" fontId="0" fillId="2" borderId="0" xfId="0" applyNumberFormat="1" applyFill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5" fontId="22" fillId="2" borderId="0" xfId="0" applyNumberFormat="1" applyFont="1" applyFill="1"/>
    <xf numFmtId="185" fontId="9" fillId="3" borderId="4" xfId="0" applyNumberFormat="1" applyFont="1" applyFill="1" applyBorder="1" applyAlignment="1">
      <alignment horizontal="center" vertical="center"/>
    </xf>
    <xf numFmtId="41" fontId="0" fillId="0" borderId="0" xfId="0" applyNumberFormat="1"/>
    <xf numFmtId="165" fontId="0" fillId="0" borderId="0" xfId="1" applyNumberFormat="1" applyFont="1"/>
    <xf numFmtId="165" fontId="0" fillId="2" borderId="0" xfId="0" applyNumberFormat="1" applyFill="1"/>
    <xf numFmtId="185" fontId="9" fillId="3" borderId="4" xfId="4" applyNumberFormat="1" applyFont="1" applyFill="1" applyBorder="1" applyAlignment="1">
      <alignment horizontal="center" vertical="center"/>
    </xf>
    <xf numFmtId="44" fontId="9" fillId="3" borderId="4" xfId="1" applyFont="1" applyFill="1" applyBorder="1" applyAlignment="1">
      <alignment horizontal="center" vertical="center"/>
    </xf>
    <xf numFmtId="0" fontId="44" fillId="0" borderId="0" xfId="0" applyFont="1"/>
    <xf numFmtId="0" fontId="2" fillId="2" borderId="24" xfId="0" applyFont="1" applyFill="1" applyBorder="1" applyAlignment="1">
      <alignment horizontal="left" wrapText="1"/>
    </xf>
    <xf numFmtId="0" fontId="2" fillId="0" borderId="0" xfId="0" applyFont="1" applyBorder="1" applyAlignment="1">
      <alignment horizontal="left"/>
    </xf>
    <xf numFmtId="0" fontId="0" fillId="0" borderId="0" xfId="0" applyBorder="1"/>
    <xf numFmtId="0" fontId="0" fillId="0" borderId="0" xfId="0" applyBorder="1" applyAlignment="1">
      <alignment horizontal="center"/>
    </xf>
    <xf numFmtId="6" fontId="0" fillId="0" borderId="0" xfId="0" applyNumberFormat="1" applyBorder="1"/>
    <xf numFmtId="0" fontId="18" fillId="2" borderId="0" xfId="0" applyFont="1" applyFill="1" applyBorder="1"/>
    <xf numFmtId="186" fontId="0" fillId="2" borderId="3" xfId="0" applyNumberFormat="1" applyFill="1" applyBorder="1"/>
    <xf numFmtId="187" fontId="17" fillId="0" borderId="0" xfId="0" applyNumberFormat="1" applyFont="1"/>
    <xf numFmtId="0" fontId="0" fillId="2" borderId="0" xfId="0" applyFill="1" applyAlignment="1">
      <alignment horizontal="center"/>
    </xf>
    <xf numFmtId="176" fontId="0" fillId="5" borderId="4" xfId="2" applyNumberFormat="1" applyFont="1" applyFill="1" applyBorder="1" applyAlignment="1">
      <alignment horizontal="center" vertical="center"/>
    </xf>
    <xf numFmtId="6" fontId="9" fillId="3" borderId="4" xfId="2" applyNumberFormat="1" applyFont="1" applyFill="1" applyBorder="1" applyAlignment="1">
      <alignment horizontal="center" vertical="center"/>
    </xf>
    <xf numFmtId="0" fontId="0" fillId="2" borderId="0" xfId="0" applyFont="1" applyFill="1"/>
    <xf numFmtId="165" fontId="0" fillId="2" borderId="0" xfId="0" applyNumberFormat="1" applyFont="1" applyFill="1" applyAlignment="1">
      <alignment horizontal="right"/>
    </xf>
    <xf numFmtId="0" fontId="0" fillId="0" borderId="0" xfId="0" applyFont="1"/>
    <xf numFmtId="9" fontId="0" fillId="2" borderId="0" xfId="2" applyFont="1" applyFill="1"/>
    <xf numFmtId="6" fontId="0" fillId="5" borderId="4" xfId="0" applyNumberFormat="1" applyFill="1" applyBorder="1" applyAlignment="1">
      <alignment horizontal="center" vertical="center"/>
    </xf>
    <xf numFmtId="0" fontId="15" fillId="2" borderId="0" xfId="0" applyFont="1" applyFill="1"/>
    <xf numFmtId="188" fontId="0" fillId="0" borderId="0" xfId="2" applyNumberFormat="1" applyFont="1"/>
    <xf numFmtId="167" fontId="0" fillId="2" borderId="0" xfId="0" applyNumberFormat="1" applyFill="1"/>
    <xf numFmtId="0" fontId="24" fillId="2" borderId="0" xfId="7" applyFill="1"/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3" xfId="0" applyFont="1" applyFill="1" applyBorder="1" applyAlignment="1">
      <alignment horizontal="center"/>
    </xf>
    <xf numFmtId="10" fontId="2" fillId="2" borderId="0" xfId="2" applyNumberFormat="1" applyFont="1" applyFill="1" applyAlignment="1">
      <alignment horizontal="center"/>
    </xf>
    <xf numFmtId="176" fontId="0" fillId="2" borderId="0" xfId="2" applyNumberFormat="1" applyFont="1" applyFill="1"/>
    <xf numFmtId="10" fontId="0" fillId="2" borderId="0" xfId="2" applyNumberFormat="1" applyFont="1" applyFill="1"/>
    <xf numFmtId="165" fontId="0" fillId="2" borderId="0" xfId="1" applyNumberFormat="1" applyFont="1" applyFill="1"/>
    <xf numFmtId="0" fontId="2" fillId="2" borderId="0" xfId="0" applyFont="1" applyFill="1" applyAlignment="1">
      <alignment horizontal="center"/>
    </xf>
    <xf numFmtId="0" fontId="0" fillId="2" borderId="0" xfId="0" applyFill="1" applyBorder="1"/>
    <xf numFmtId="44" fontId="0" fillId="2" borderId="0" xfId="1" applyFont="1" applyFill="1" applyBorder="1" applyAlignment="1">
      <alignment horizontal="center"/>
    </xf>
    <xf numFmtId="44" fontId="0" fillId="2" borderId="0" xfId="1" applyFont="1" applyFill="1" applyBorder="1"/>
    <xf numFmtId="184" fontId="14" fillId="0" borderId="0" xfId="0" applyNumberFormat="1" applyFont="1" applyAlignment="1" applyProtection="1">
      <alignment horizontal="center"/>
      <protection hidden="1"/>
    </xf>
    <xf numFmtId="184" fontId="2" fillId="0" borderId="0" xfId="0" applyNumberFormat="1" applyFont="1" applyProtection="1">
      <protection hidden="1"/>
    </xf>
    <xf numFmtId="184" fontId="0" fillId="0" borderId="0" xfId="2" applyNumberFormat="1" applyFont="1" applyAlignment="1" applyProtection="1">
      <alignment horizontal="center"/>
      <protection hidden="1"/>
    </xf>
    <xf numFmtId="184" fontId="0" fillId="5" borderId="4" xfId="1" applyNumberFormat="1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Alignment="1">
      <alignment horizontal="left" vertical="top" wrapText="1"/>
    </xf>
    <xf numFmtId="0" fontId="13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2" fillId="0" borderId="0" xfId="0" applyFont="1" applyAlignment="1">
      <alignment horizontal="center"/>
    </xf>
    <xf numFmtId="0" fontId="11" fillId="0" borderId="0" xfId="0" quotePrefix="1" applyFont="1" applyAlignment="1">
      <alignment horizontal="center" vertical="center"/>
    </xf>
    <xf numFmtId="0" fontId="2" fillId="0" borderId="0" xfId="0" applyFont="1" applyAlignment="1"/>
    <xf numFmtId="0" fontId="0" fillId="0" borderId="0" xfId="0" applyAlignment="1">
      <alignment horizontal="left" wrapText="1"/>
    </xf>
    <xf numFmtId="0" fontId="14" fillId="2" borderId="3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12" fillId="2" borderId="0" xfId="9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1" fillId="2" borderId="3" xfId="9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2" borderId="24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35" fillId="2" borderId="2" xfId="0" applyFont="1" applyFill="1" applyBorder="1" applyAlignment="1">
      <alignment horizontal="center" vertical="center" wrapText="1"/>
    </xf>
    <xf numFmtId="0" fontId="35" fillId="2" borderId="3" xfId="0" applyFont="1" applyFill="1" applyBorder="1" applyAlignment="1">
      <alignment horizontal="center" vertical="center" wrapText="1"/>
    </xf>
    <xf numFmtId="0" fontId="35" fillId="2" borderId="48" xfId="0" applyFont="1" applyFill="1" applyBorder="1" applyAlignment="1">
      <alignment horizontal="center" vertical="center" wrapText="1"/>
    </xf>
    <xf numFmtId="0" fontId="35" fillId="2" borderId="47" xfId="0" applyFont="1" applyFill="1" applyBorder="1" applyAlignment="1">
      <alignment horizontal="center" vertical="center" wrapText="1"/>
    </xf>
    <xf numFmtId="0" fontId="35" fillId="2" borderId="18" xfId="0" applyFont="1" applyFill="1" applyBorder="1" applyAlignment="1">
      <alignment horizontal="left" wrapText="1"/>
    </xf>
    <xf numFmtId="0" fontId="35" fillId="2" borderId="24" xfId="0" applyFont="1" applyFill="1" applyBorder="1" applyAlignment="1">
      <alignment horizontal="left" wrapText="1"/>
    </xf>
    <xf numFmtId="0" fontId="34" fillId="2" borderId="44" xfId="0" applyFont="1" applyFill="1" applyBorder="1" applyAlignment="1">
      <alignment horizontal="center" vertical="center" wrapText="1"/>
    </xf>
    <xf numFmtId="0" fontId="34" fillId="2" borderId="43" xfId="0" applyFont="1" applyFill="1" applyBorder="1" applyAlignment="1">
      <alignment horizontal="center" vertical="center" wrapText="1"/>
    </xf>
    <xf numFmtId="0" fontId="35" fillId="2" borderId="44" xfId="0" applyFont="1" applyFill="1" applyBorder="1" applyAlignment="1">
      <alignment horizontal="center" vertical="center"/>
    </xf>
    <xf numFmtId="0" fontId="35" fillId="2" borderId="43" xfId="0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35" fillId="2" borderId="3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wrapText="1"/>
    </xf>
  </cellXfs>
  <cellStyles count="11">
    <cellStyle name="Comma" xfId="4" builtinId="3"/>
    <cellStyle name="Comma 2" xfId="5" xr:uid="{B651A383-2805-41E5-820E-8FAC2B4E2584}"/>
    <cellStyle name="Currency" xfId="1" builtinId="4"/>
    <cellStyle name="Currency 2" xfId="6" xr:uid="{9C18228C-BD0B-4E80-8B8A-E7EE501C4604}"/>
    <cellStyle name="Hyperlink" xfId="7" builtinId="8"/>
    <cellStyle name="Hyperlink 2" xfId="10" xr:uid="{54376D78-7679-4AC6-B8AE-08848CDA28D3}"/>
    <cellStyle name="Normal" xfId="0" builtinId="0"/>
    <cellStyle name="Normal 2" xfId="9" xr:uid="{7FE1BE1F-479F-4274-8AE7-7EB0D0B28127}"/>
    <cellStyle name="Normal 60" xfId="8" xr:uid="{54C314D6-5210-48BE-9C51-FFFB4B146C2D}"/>
    <cellStyle name="Percent" xfId="2" builtinId="5"/>
    <cellStyle name="Total" xfId="3" builtinId="2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Supply Portfolio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419091452647569E-2"/>
          <c:y val="0.10328151238330815"/>
          <c:w val="0.87148253180081758"/>
          <c:h val="0.695609540034378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'Supply Porfolio (Status Quo)'!$E$8</c:f>
              <c:strCache>
                <c:ptCount val="1"/>
                <c:pt idx="0">
                  <c:v>SNG- Firm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Quo)'!$G$8:$AD$8</c:f>
              <c:numCache>
                <c:formatCode>#,##0</c:formatCode>
                <c:ptCount val="24"/>
                <c:pt idx="0">
                  <c:v>65185</c:v>
                </c:pt>
                <c:pt idx="1">
                  <c:v>62685.483658376354</c:v>
                </c:pt>
                <c:pt idx="2">
                  <c:v>59185.218745440317</c:v>
                </c:pt>
                <c:pt idx="3">
                  <c:v>52569.616865176067</c:v>
                </c:pt>
                <c:pt idx="4">
                  <c:v>52931.548454358766</c:v>
                </c:pt>
                <c:pt idx="5">
                  <c:v>53260.62892494128</c:v>
                </c:pt>
                <c:pt idx="6">
                  <c:v>53631.405108899533</c:v>
                </c:pt>
                <c:pt idx="7">
                  <c:v>54039.190778504417</c:v>
                </c:pt>
                <c:pt idx="8">
                  <c:v>54459.126019662639</c:v>
                </c:pt>
                <c:pt idx="9">
                  <c:v>54863.273179780212</c:v>
                </c:pt>
                <c:pt idx="10">
                  <c:v>55305.759071354696</c:v>
                </c:pt>
                <c:pt idx="11">
                  <c:v>55788.944313321132</c:v>
                </c:pt>
                <c:pt idx="12">
                  <c:v>56314.172292666597</c:v>
                </c:pt>
                <c:pt idx="13">
                  <c:v>56832.468705923289</c:v>
                </c:pt>
                <c:pt idx="14">
                  <c:v>57327.278471323982</c:v>
                </c:pt>
                <c:pt idx="15">
                  <c:v>57861.559962623927</c:v>
                </c:pt>
                <c:pt idx="16">
                  <c:v>58398.719301879421</c:v>
                </c:pt>
                <c:pt idx="17">
                  <c:v>59016.372687535593</c:v>
                </c:pt>
                <c:pt idx="18">
                  <c:v>59542.231539833818</c:v>
                </c:pt>
                <c:pt idx="19">
                  <c:v>60132.996755383996</c:v>
                </c:pt>
                <c:pt idx="20">
                  <c:v>60786.917438236575</c:v>
                </c:pt>
                <c:pt idx="21">
                  <c:v>61364.670633350892</c:v>
                </c:pt>
                <c:pt idx="22">
                  <c:v>61931.180844890354</c:v>
                </c:pt>
                <c:pt idx="23">
                  <c:v>62631.70865414662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4AAA-4C95-8018-C111A0AAB5EB}"/>
            </c:ext>
          </c:extLst>
        </c:ser>
        <c:ser>
          <c:idx val="1"/>
          <c:order val="1"/>
          <c:tx>
            <c:strRef>
              <c:f>'Supply Porfolio (Status Quo)'!$E$9</c:f>
              <c:strCache>
                <c:ptCount val="1"/>
                <c:pt idx="0">
                  <c:v>SNG - Interruptible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Quo)'!$G$9:$AD$9</c:f>
              <c:numCache>
                <c:formatCode>#,##0</c:formatCode>
                <c:ptCount val="24"/>
                <c:pt idx="0">
                  <c:v>12606</c:v>
                </c:pt>
                <c:pt idx="1">
                  <c:v>12483</c:v>
                </c:pt>
                <c:pt idx="2">
                  <c:v>12605</c:v>
                </c:pt>
                <c:pt idx="3">
                  <c:v>12605</c:v>
                </c:pt>
                <c:pt idx="4">
                  <c:v>12605</c:v>
                </c:pt>
                <c:pt idx="5">
                  <c:v>12605</c:v>
                </c:pt>
                <c:pt idx="6">
                  <c:v>12605</c:v>
                </c:pt>
                <c:pt idx="7">
                  <c:v>12605</c:v>
                </c:pt>
                <c:pt idx="8">
                  <c:v>12605</c:v>
                </c:pt>
                <c:pt idx="9">
                  <c:v>12605</c:v>
                </c:pt>
                <c:pt idx="10">
                  <c:v>12605</c:v>
                </c:pt>
                <c:pt idx="11">
                  <c:v>12605</c:v>
                </c:pt>
                <c:pt idx="12">
                  <c:v>12605</c:v>
                </c:pt>
                <c:pt idx="13">
                  <c:v>12605</c:v>
                </c:pt>
                <c:pt idx="14">
                  <c:v>12605</c:v>
                </c:pt>
                <c:pt idx="15">
                  <c:v>12605</c:v>
                </c:pt>
                <c:pt idx="16">
                  <c:v>12605</c:v>
                </c:pt>
                <c:pt idx="17">
                  <c:v>12605</c:v>
                </c:pt>
                <c:pt idx="18">
                  <c:v>12605</c:v>
                </c:pt>
                <c:pt idx="19">
                  <c:v>12605</c:v>
                </c:pt>
                <c:pt idx="20">
                  <c:v>12605</c:v>
                </c:pt>
                <c:pt idx="21">
                  <c:v>12605</c:v>
                </c:pt>
                <c:pt idx="22">
                  <c:v>12605</c:v>
                </c:pt>
                <c:pt idx="23">
                  <c:v>12605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4AAA-4C95-8018-C111A0AAB5EB}"/>
            </c:ext>
          </c:extLst>
        </c:ser>
        <c:ser>
          <c:idx val="2"/>
          <c:order val="2"/>
          <c:tx>
            <c:strRef>
              <c:f>'Supply Porfolio (Status Quo)'!$E$10</c:f>
              <c:strCache>
                <c:ptCount val="1"/>
                <c:pt idx="0">
                  <c:v>SNG Additional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Quo)'!$G$10:$AD$10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4AAA-4C95-8018-C111A0AAB5EB}"/>
            </c:ext>
          </c:extLst>
        </c:ser>
        <c:ser>
          <c:idx val="3"/>
          <c:order val="3"/>
          <c:tx>
            <c:strRef>
              <c:f>'Supply Porfolio (Status Quo)'!$E$11</c:f>
              <c:strCache>
                <c:ptCount val="1"/>
                <c:pt idx="0">
                  <c:v>LNG ISO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Quo)'!$G$11:$AD$11</c:f>
              <c:numCache>
                <c:formatCode>#,##0</c:formatCode>
                <c:ptCount val="24"/>
                <c:pt idx="0">
                  <c:v>0</c:v>
                </c:pt>
                <c:pt idx="1">
                  <c:v>3500</c:v>
                </c:pt>
                <c:pt idx="2">
                  <c:v>7000</c:v>
                </c:pt>
                <c:pt idx="3">
                  <c:v>14000</c:v>
                </c:pt>
                <c:pt idx="4">
                  <c:v>14000</c:v>
                </c:pt>
                <c:pt idx="5">
                  <c:v>14000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  <c:pt idx="21">
                  <c:v>14000</c:v>
                </c:pt>
                <c:pt idx="22">
                  <c:v>14000</c:v>
                </c:pt>
                <c:pt idx="23">
                  <c:v>14000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4AAA-4C95-8018-C111A0AAB5EB}"/>
            </c:ext>
          </c:extLst>
        </c:ser>
        <c:ser>
          <c:idx val="4"/>
          <c:order val="4"/>
          <c:tx>
            <c:strRef>
              <c:f>'Supply Porfolio (Status Quo)'!$E$12</c:f>
              <c:strCache>
                <c:ptCount val="1"/>
                <c:pt idx="0">
                  <c:v>Propane Air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Quo)'!$G$12:$AD$12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4AAA-4C95-8018-C111A0AAB5EB}"/>
            </c:ext>
          </c:extLst>
        </c:ser>
        <c:ser>
          <c:idx val="5"/>
          <c:order val="5"/>
          <c:tx>
            <c:strRef>
              <c:f>'Supply Porfolio (Status Quo)'!$E$13</c:f>
              <c:strCache>
                <c:ptCount val="1"/>
                <c:pt idx="0">
                  <c:v>Exist. WWTP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Quo)'!$G$13:$AD$13</c:f>
              <c:numCache>
                <c:formatCode>#,##0</c:formatCode>
                <c:ptCount val="24"/>
                <c:pt idx="0">
                  <c:v>2191.7808219178082</c:v>
                </c:pt>
                <c:pt idx="1">
                  <c:v>2191.7808219178082</c:v>
                </c:pt>
                <c:pt idx="2">
                  <c:v>2191.7808219178082</c:v>
                </c:pt>
                <c:pt idx="3">
                  <c:v>2191.7808219178082</c:v>
                </c:pt>
                <c:pt idx="4">
                  <c:v>2191.7808219178082</c:v>
                </c:pt>
                <c:pt idx="5">
                  <c:v>2191.7808219178082</c:v>
                </c:pt>
                <c:pt idx="6">
                  <c:v>2191.7808219178082</c:v>
                </c:pt>
                <c:pt idx="7">
                  <c:v>2191.7808219178082</c:v>
                </c:pt>
                <c:pt idx="8">
                  <c:v>2191.7808219178082</c:v>
                </c:pt>
                <c:pt idx="9">
                  <c:v>2191.7808219178082</c:v>
                </c:pt>
                <c:pt idx="10">
                  <c:v>2191.7808219178082</c:v>
                </c:pt>
                <c:pt idx="11">
                  <c:v>2191.7808219178082</c:v>
                </c:pt>
                <c:pt idx="12">
                  <c:v>2191.7808219178082</c:v>
                </c:pt>
                <c:pt idx="13">
                  <c:v>2191.7808219178082</c:v>
                </c:pt>
                <c:pt idx="14">
                  <c:v>2191.7808219178082</c:v>
                </c:pt>
                <c:pt idx="15">
                  <c:v>2191.7808219178082</c:v>
                </c:pt>
                <c:pt idx="16">
                  <c:v>2191.7808219178082</c:v>
                </c:pt>
                <c:pt idx="17">
                  <c:v>2191.7808219178082</c:v>
                </c:pt>
                <c:pt idx="18">
                  <c:v>2191.7808219178082</c:v>
                </c:pt>
                <c:pt idx="19">
                  <c:v>2191.7808219178082</c:v>
                </c:pt>
                <c:pt idx="20">
                  <c:v>2191.7808219178082</c:v>
                </c:pt>
                <c:pt idx="21">
                  <c:v>2191.7808219178082</c:v>
                </c:pt>
                <c:pt idx="22">
                  <c:v>2191.7808219178082</c:v>
                </c:pt>
                <c:pt idx="23">
                  <c:v>2191.7808219178082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4AAA-4C95-8018-C111A0AAB5EB}"/>
            </c:ext>
          </c:extLst>
        </c:ser>
        <c:ser>
          <c:idx val="6"/>
          <c:order val="6"/>
          <c:tx>
            <c:strRef>
              <c:f>'Supply Porfolio (Status Quo)'!$E$34</c:f>
              <c:strCache>
                <c:ptCount val="1"/>
                <c:pt idx="0">
                  <c:v>WWTP Expansion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Quo)'!$G$34:$AD$34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4AAA-4C95-8018-C111A0AAB5EB}"/>
            </c:ext>
          </c:extLst>
        </c:ser>
        <c:ser>
          <c:idx val="7"/>
          <c:order val="7"/>
          <c:tx>
            <c:strRef>
              <c:f>'Supply Porfolio (Status Quo)'!$E$35</c:f>
              <c:strCache>
                <c:ptCount val="1"/>
                <c:pt idx="0">
                  <c:v>BioCrop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Quo)'!$G$35:$AD$35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4AAA-4C95-8018-C111A0AAB5EB}"/>
            </c:ext>
          </c:extLst>
        </c:ser>
        <c:ser>
          <c:idx val="8"/>
          <c:order val="8"/>
          <c:tx>
            <c:strRef>
              <c:f>'Supply Porfolio (Status Quo)'!$E$36</c:f>
              <c:strCache>
                <c:ptCount val="1"/>
                <c:pt idx="0">
                  <c:v>LFG, WWTP, AgCrop (3)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Quo)'!$G$36:$AD$36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8-4AAA-4C95-8018-C111A0AAB5EB}"/>
            </c:ext>
          </c:extLst>
        </c:ser>
        <c:ser>
          <c:idx val="9"/>
          <c:order val="9"/>
          <c:tx>
            <c:strRef>
              <c:f>'Supply Porfolio (Status Quo)'!$E$37</c:f>
              <c:strCache>
                <c:ptCount val="1"/>
                <c:pt idx="0">
                  <c:v>CDW Exp. 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Quo)'!$G$37:$AD$37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9-4AAA-4C95-8018-C111A0AAB5EB}"/>
            </c:ext>
          </c:extLst>
        </c:ser>
        <c:ser>
          <c:idx val="10"/>
          <c:order val="10"/>
          <c:tx>
            <c:strRef>
              <c:f>'Supply Porfolio (Status Quo)'!$E$38</c:f>
              <c:strCache>
                <c:ptCount val="1"/>
                <c:pt idx="0">
                  <c:v>CDW Exp. 2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Quo)'!$G$38:$AD$38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A-4AAA-4C95-8018-C111A0AAB5EB}"/>
            </c:ext>
          </c:extLst>
        </c:ser>
        <c:ser>
          <c:idx val="11"/>
          <c:order val="11"/>
          <c:tx>
            <c:strRef>
              <c:f>'Supply Porfolio (Status Quo)'!$E$39</c:f>
              <c:strCache>
                <c:ptCount val="1"/>
                <c:pt idx="0">
                  <c:v>CDW Exp. 3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Quo)'!$G$39:$AD$39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4AAA-4C95-8018-C111A0AAB5EB}"/>
            </c:ext>
          </c:extLst>
        </c:ser>
        <c:ser>
          <c:idx val="12"/>
          <c:order val="12"/>
          <c:tx>
            <c:strRef>
              <c:f>'Supply Porfolio (Status Quo)'!$E$40</c:f>
              <c:strCache>
                <c:ptCount val="1"/>
                <c:pt idx="0">
                  <c:v>CDW Exp. 4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Quo)'!$G$40:$AD$40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C-4AAA-4C95-8018-C111A0AAB5EB}"/>
            </c:ext>
          </c:extLst>
        </c:ser>
        <c:ser>
          <c:idx val="13"/>
          <c:order val="13"/>
          <c:tx>
            <c:strRef>
              <c:f>'Supply Porfolio (Status Quo)'!$E$41</c:f>
              <c:strCache>
                <c:ptCount val="1"/>
                <c:pt idx="0">
                  <c:v>CDW Exp. 5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Quo)'!$G$41:$AD$41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D-4AAA-4C95-8018-C111A0AAB5EB}"/>
            </c:ext>
          </c:extLst>
        </c:ser>
        <c:ser>
          <c:idx val="14"/>
          <c:order val="14"/>
          <c:tx>
            <c:strRef>
              <c:f>'Supply Porfolio (Status Quo)'!$E$42</c:f>
              <c:strCache>
                <c:ptCount val="1"/>
                <c:pt idx="0">
                  <c:v>LNG ISO Exp 1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Quo)'!$G$42:$AD$42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E-4AAA-4C95-8018-C111A0AAB5EB}"/>
            </c:ext>
          </c:extLst>
        </c:ser>
        <c:ser>
          <c:idx val="15"/>
          <c:order val="15"/>
          <c:tx>
            <c:strRef>
              <c:f>'Supply Porfolio (Status Quo)'!$E$43</c:f>
              <c:strCache>
                <c:ptCount val="1"/>
                <c:pt idx="0">
                  <c:v>LNG ISO Exp 2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Quo)'!$G$43:$AD$43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F-4AAA-4C95-8018-C111A0AAB5EB}"/>
            </c:ext>
          </c:extLst>
        </c:ser>
        <c:ser>
          <c:idx val="16"/>
          <c:order val="16"/>
          <c:tx>
            <c:strRef>
              <c:f>'Supply Porfolio (Status Quo)'!$E$44</c:f>
              <c:strCache>
                <c:ptCount val="1"/>
                <c:pt idx="0">
                  <c:v>LNG ISO Exp 3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Quo)'!$G$44:$AD$44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0-4AAA-4C95-8018-C111A0AAB5EB}"/>
            </c:ext>
          </c:extLst>
        </c:ser>
        <c:ser>
          <c:idx val="17"/>
          <c:order val="17"/>
          <c:tx>
            <c:strRef>
              <c:f>'Supply Porfolio (Status Quo)'!$E$45</c:f>
              <c:strCache>
                <c:ptCount val="1"/>
                <c:pt idx="0">
                  <c:v>LNG ISO Exp 4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Quo)'!$G$45:$AD$45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1-4AAA-4C95-8018-C111A0AAB5EB}"/>
            </c:ext>
          </c:extLst>
        </c:ser>
        <c:ser>
          <c:idx val="18"/>
          <c:order val="18"/>
          <c:tx>
            <c:strRef>
              <c:f>'Supply Porfolio (Status Quo)'!$E$46</c:f>
              <c:strCache>
                <c:ptCount val="1"/>
                <c:pt idx="0">
                  <c:v>LNG ISO Exp 5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Quo)'!$G$46:$AD$46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AAA-4C95-8018-C111A0AAB5EB}"/>
            </c:ext>
          </c:extLst>
        </c:ser>
        <c:ser>
          <c:idx val="19"/>
          <c:order val="19"/>
          <c:tx>
            <c:strRef>
              <c:f>'Supply Porfolio (Status Quo)'!$E$47</c:f>
              <c:strCache>
                <c:ptCount val="1"/>
                <c:pt idx="0">
                  <c:v>Green Hydrogen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Quo)'!$G$47:$AD$47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-1.4551915228366852E-11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-1.4551915228366852E-11</c:v>
                </c:pt>
                <c:pt idx="23">
                  <c:v>1.4551915228366852E-11</c:v>
                </c:pt>
              </c:numCache>
              <c:extLst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3-4AAA-4C95-8018-C111A0AAB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1647104"/>
        <c:axId val="921646448"/>
        <c:extLst/>
      </c:barChart>
      <c:lineChart>
        <c:grouping val="standard"/>
        <c:varyColors val="0"/>
        <c:ser>
          <c:idx val="20"/>
          <c:order val="20"/>
          <c:tx>
            <c:v>Demand</c:v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#REF!</c:f>
              <c:extLst xmlns:c15="http://schemas.microsoft.com/office/drawing/2012/chart"/>
            </c:multiLvlStrRef>
          </c:cat>
          <c:val>
            <c:numRef>
              <c:f>'Supply Porfolio (Status Quo)'!$G$17:$AD$17</c:f>
              <c:numCache>
                <c:formatCode>#,##0</c:formatCode>
                <c:ptCount val="24"/>
                <c:pt idx="0">
                  <c:v>79982.36913990826</c:v>
                </c:pt>
                <c:pt idx="1">
                  <c:v>80860.264480294165</c:v>
                </c:pt>
                <c:pt idx="2">
                  <c:v>80981.999567358129</c:v>
                </c:pt>
                <c:pt idx="3">
                  <c:v>81366.397687093879</c:v>
                </c:pt>
                <c:pt idx="4">
                  <c:v>81728.329276276578</c:v>
                </c:pt>
                <c:pt idx="5">
                  <c:v>82057.409746859092</c:v>
                </c:pt>
                <c:pt idx="6">
                  <c:v>82428.185930817344</c:v>
                </c:pt>
                <c:pt idx="7">
                  <c:v>82835.971600422228</c:v>
                </c:pt>
                <c:pt idx="8">
                  <c:v>83255.90684158045</c:v>
                </c:pt>
                <c:pt idx="9">
                  <c:v>83660.054001698023</c:v>
                </c:pt>
                <c:pt idx="10">
                  <c:v>84102.539893272507</c:v>
                </c:pt>
                <c:pt idx="11">
                  <c:v>84585.725135238943</c:v>
                </c:pt>
                <c:pt idx="12">
                  <c:v>85110.953114584408</c:v>
                </c:pt>
                <c:pt idx="13">
                  <c:v>85629.249527841108</c:v>
                </c:pt>
                <c:pt idx="14">
                  <c:v>86124.059293241793</c:v>
                </c:pt>
                <c:pt idx="15">
                  <c:v>86658.340784541739</c:v>
                </c:pt>
                <c:pt idx="16">
                  <c:v>87195.500123797232</c:v>
                </c:pt>
                <c:pt idx="17">
                  <c:v>87813.153509453405</c:v>
                </c:pt>
                <c:pt idx="18">
                  <c:v>88339.012361751622</c:v>
                </c:pt>
                <c:pt idx="19">
                  <c:v>88929.777577301807</c:v>
                </c:pt>
                <c:pt idx="20">
                  <c:v>89583.698260154386</c:v>
                </c:pt>
                <c:pt idx="21">
                  <c:v>90161.451455268703</c:v>
                </c:pt>
                <c:pt idx="22">
                  <c:v>90727.961666808158</c:v>
                </c:pt>
                <c:pt idx="23">
                  <c:v>91428.489476064438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5-4AAA-4C95-8018-C111A0AAB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647104"/>
        <c:axId val="921646448"/>
      </c:lineChart>
      <c:catAx>
        <c:axId val="92164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646448"/>
        <c:crosses val="autoZero"/>
        <c:auto val="1"/>
        <c:lblAlgn val="ctr"/>
        <c:lblOffset val="100"/>
        <c:noMultiLvlLbl val="0"/>
      </c:catAx>
      <c:valAx>
        <c:axId val="921646448"/>
        <c:scaling>
          <c:orientation val="minMax"/>
          <c:max val="1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</a:rPr>
                  <a:t>Therms/Day</a:t>
                </a:r>
              </a:p>
            </c:rich>
          </c:tx>
          <c:layout>
            <c:manualLayout>
              <c:xMode val="edge"/>
              <c:yMode val="edge"/>
              <c:x val="1.0799038466542014E-2"/>
              <c:y val="0.288020259891077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647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276443860186525"/>
          <c:y val="0.83396502660960004"/>
          <c:w val="0.7248237343851921"/>
          <c:h val="0.114586589338929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Hawaii Visitors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437027939417306"/>
          <c:y val="0.17171296296296296"/>
          <c:w val="0.80773562870228166"/>
          <c:h val="0.58139654418197728"/>
        </c:manualLayout>
      </c:layout>
      <c:lineChart>
        <c:grouping val="standard"/>
        <c:varyColors val="0"/>
        <c:ser>
          <c:idx val="1"/>
          <c:order val="0"/>
          <c:tx>
            <c:strRef>
              <c:f>'Projected Econometric Drivers'!$E$4</c:f>
              <c:strCache>
                <c:ptCount val="1"/>
                <c:pt idx="0">
                  <c:v>Total Hawaii Visitors(1)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'Projected Econometric Drivers'!$B$4:$B$53</c:f>
              <c:strCache>
                <c:ptCount val="50"/>
                <c:pt idx="0">
                  <c:v>Year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</c:strCache>
            </c:strRef>
          </c:cat>
          <c:val>
            <c:numRef>
              <c:f>'Projected Econometric Drivers'!$E$5:$E$53</c:f>
              <c:numCache>
                <c:formatCode>#,##0</c:formatCode>
                <c:ptCount val="49"/>
                <c:pt idx="0">
                  <c:v>6389058</c:v>
                </c:pt>
                <c:pt idx="1">
                  <c:v>6380439</c:v>
                </c:pt>
                <c:pt idx="2">
                  <c:v>6912094</c:v>
                </c:pt>
                <c:pt idx="3">
                  <c:v>7416574</c:v>
                </c:pt>
                <c:pt idx="4">
                  <c:v>7528106</c:v>
                </c:pt>
                <c:pt idx="5">
                  <c:v>7496820</c:v>
                </c:pt>
                <c:pt idx="6">
                  <c:v>6713436</c:v>
                </c:pt>
                <c:pt idx="7">
                  <c:v>6420448</c:v>
                </c:pt>
                <c:pt idx="8">
                  <c:v>6916894</c:v>
                </c:pt>
                <c:pt idx="9">
                  <c:v>7174397</c:v>
                </c:pt>
                <c:pt idx="10">
                  <c:v>7867143</c:v>
                </c:pt>
                <c:pt idx="11">
                  <c:v>8003474</c:v>
                </c:pt>
                <c:pt idx="12">
                  <c:v>8196342</c:v>
                </c:pt>
                <c:pt idx="13">
                  <c:v>8563018</c:v>
                </c:pt>
                <c:pt idx="14">
                  <c:v>8821802</c:v>
                </c:pt>
                <c:pt idx="15">
                  <c:v>9277613</c:v>
                </c:pt>
                <c:pt idx="16">
                  <c:v>9761448</c:v>
                </c:pt>
                <c:pt idx="17">
                  <c:v>10243165</c:v>
                </c:pt>
                <c:pt idx="18">
                  <c:v>2678073</c:v>
                </c:pt>
                <c:pt idx="19">
                  <c:v>6840000</c:v>
                </c:pt>
                <c:pt idx="20">
                  <c:v>7010999.9999999991</c:v>
                </c:pt>
                <c:pt idx="21">
                  <c:v>7186274.9999999981</c:v>
                </c:pt>
                <c:pt idx="22">
                  <c:v>7365931.8749999972</c:v>
                </c:pt>
                <c:pt idx="23">
                  <c:v>7550080.1718749963</c:v>
                </c:pt>
                <c:pt idx="24">
                  <c:v>7738832.1761718709</c:v>
                </c:pt>
                <c:pt idx="25">
                  <c:v>7932302.9805761669</c:v>
                </c:pt>
                <c:pt idx="26">
                  <c:v>8130610.5550905699</c:v>
                </c:pt>
                <c:pt idx="27">
                  <c:v>8333875.8189678332</c:v>
                </c:pt>
                <c:pt idx="28">
                  <c:v>8542222.7144420277</c:v>
                </c:pt>
                <c:pt idx="29">
                  <c:v>8755778.2823030781</c:v>
                </c:pt>
                <c:pt idx="30">
                  <c:v>8974672.7393606547</c:v>
                </c:pt>
                <c:pt idx="31">
                  <c:v>9199039.5578446705</c:v>
                </c:pt>
                <c:pt idx="32">
                  <c:v>9429015.5467907861</c:v>
                </c:pt>
                <c:pt idx="33">
                  <c:v>9664740.9354605544</c:v>
                </c:pt>
                <c:pt idx="34">
                  <c:v>9906359.4588470683</c:v>
                </c:pt>
                <c:pt idx="35">
                  <c:v>10154018.445318244</c:v>
                </c:pt>
                <c:pt idx="36">
                  <c:v>10407868.906451199</c:v>
                </c:pt>
                <c:pt idx="37">
                  <c:v>10668065.629112478</c:v>
                </c:pt>
                <c:pt idx="38">
                  <c:v>10934767.269840289</c:v>
                </c:pt>
                <c:pt idx="39">
                  <c:v>11208136.451586295</c:v>
                </c:pt>
                <c:pt idx="40">
                  <c:v>11488339.862875951</c:v>
                </c:pt>
                <c:pt idx="41">
                  <c:v>11775548.35944785</c:v>
                </c:pt>
                <c:pt idx="42">
                  <c:v>12069937.068434045</c:v>
                </c:pt>
                <c:pt idx="43">
                  <c:v>12371685.495144894</c:v>
                </c:pt>
                <c:pt idx="44">
                  <c:v>12680977.632523516</c:v>
                </c:pt>
                <c:pt idx="45">
                  <c:v>12998002.073336603</c:v>
                </c:pt>
                <c:pt idx="46">
                  <c:v>13322952.125170017</c:v>
                </c:pt>
                <c:pt idx="47">
                  <c:v>13656025.928299265</c:v>
                </c:pt>
                <c:pt idx="48">
                  <c:v>13997426.576506745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06-46DC-A864-CBAF78130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9521263"/>
        <c:axId val="929527167"/>
      </c:lineChart>
      <c:catAx>
        <c:axId val="92952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527167"/>
        <c:crosses val="autoZero"/>
        <c:auto val="1"/>
        <c:lblAlgn val="ctr"/>
        <c:lblOffset val="100"/>
        <c:noMultiLvlLbl val="0"/>
      </c:catAx>
      <c:valAx>
        <c:axId val="929527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521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Hawaii Population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'Projected Econometric Drivers'!$G$4</c:f>
              <c:strCache>
                <c:ptCount val="1"/>
                <c:pt idx="0">
                  <c:v>Hawaii State Population (3)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'Projected Econometric Drivers'!$B$4:$B$53</c:f>
              <c:strCache>
                <c:ptCount val="50"/>
                <c:pt idx="0">
                  <c:v>Year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</c:strCache>
            </c:strRef>
          </c:cat>
          <c:val>
            <c:numRef>
              <c:f>'Projected Econometric Drivers'!$G$5:$G$53</c:f>
              <c:numCache>
                <c:formatCode>#,##0_);\(#,##0\)</c:formatCode>
                <c:ptCount val="49"/>
                <c:pt idx="0">
                  <c:v>1239613</c:v>
                </c:pt>
                <c:pt idx="1">
                  <c:v>1251154</c:v>
                </c:pt>
                <c:pt idx="2">
                  <c:v>1273569</c:v>
                </c:pt>
                <c:pt idx="3">
                  <c:v>1292729</c:v>
                </c:pt>
                <c:pt idx="4">
                  <c:v>1309731</c:v>
                </c:pt>
                <c:pt idx="5">
                  <c:v>1315675</c:v>
                </c:pt>
                <c:pt idx="6">
                  <c:v>1332213</c:v>
                </c:pt>
                <c:pt idx="7">
                  <c:v>1346717</c:v>
                </c:pt>
                <c:pt idx="8">
                  <c:v>1364004</c:v>
                </c:pt>
                <c:pt idx="9">
                  <c:v>1379562</c:v>
                </c:pt>
                <c:pt idx="10">
                  <c:v>1395199</c:v>
                </c:pt>
                <c:pt idx="11">
                  <c:v>1408822</c:v>
                </c:pt>
                <c:pt idx="12">
                  <c:v>1415335</c:v>
                </c:pt>
                <c:pt idx="13">
                  <c:v>1422999</c:v>
                </c:pt>
                <c:pt idx="14">
                  <c:v>1428885</c:v>
                </c:pt>
                <c:pt idx="15">
                  <c:v>1425763</c:v>
                </c:pt>
                <c:pt idx="16">
                  <c:v>1423102</c:v>
                </c:pt>
                <c:pt idx="17">
                  <c:v>1415615</c:v>
                </c:pt>
                <c:pt idx="18">
                  <c:v>1451911</c:v>
                </c:pt>
                <c:pt idx="19">
                  <c:v>1441553</c:v>
                </c:pt>
                <c:pt idx="20">
                  <c:v>1446310.1249000002</c:v>
                </c:pt>
                <c:pt idx="21">
                  <c:v>1451082.9483121703</c:v>
                </c:pt>
                <c:pt idx="22">
                  <c:v>1455871.5220416007</c:v>
                </c:pt>
                <c:pt idx="23">
                  <c:v>1460675.8980643381</c:v>
                </c:pt>
                <c:pt idx="24">
                  <c:v>1465496.1285279505</c:v>
                </c:pt>
                <c:pt idx="25">
                  <c:v>1470332.2657520929</c:v>
                </c:pt>
                <c:pt idx="26">
                  <c:v>1475184.362229075</c:v>
                </c:pt>
                <c:pt idx="27">
                  <c:v>1480052.470624431</c:v>
                </c:pt>
                <c:pt idx="28">
                  <c:v>1484936.6437774918</c:v>
                </c:pt>
                <c:pt idx="29">
                  <c:v>1489836.9347019575</c:v>
                </c:pt>
                <c:pt idx="30">
                  <c:v>1494753.396586474</c:v>
                </c:pt>
                <c:pt idx="31">
                  <c:v>1499686.0827952095</c:v>
                </c:pt>
                <c:pt idx="32">
                  <c:v>1504635.0468684337</c:v>
                </c:pt>
                <c:pt idx="33">
                  <c:v>1509600.3425230996</c:v>
                </c:pt>
                <c:pt idx="34">
                  <c:v>1514582.023653426</c:v>
                </c:pt>
                <c:pt idx="35">
                  <c:v>1519580.1443314825</c:v>
                </c:pt>
                <c:pt idx="36">
                  <c:v>1524594.7588077765</c:v>
                </c:pt>
                <c:pt idx="37">
                  <c:v>1529625.9215118422</c:v>
                </c:pt>
                <c:pt idx="38">
                  <c:v>1534673.6870528313</c:v>
                </c:pt>
                <c:pt idx="39">
                  <c:v>1539738.1102201059</c:v>
                </c:pt>
                <c:pt idx="40">
                  <c:v>1544819.2459838323</c:v>
                </c:pt>
                <c:pt idx="41">
                  <c:v>1549917.1494955791</c:v>
                </c:pt>
                <c:pt idx="42">
                  <c:v>1555031.8760889147</c:v>
                </c:pt>
                <c:pt idx="43">
                  <c:v>1560163.4812800083</c:v>
                </c:pt>
                <c:pt idx="44">
                  <c:v>1565312.0207682324</c:v>
                </c:pt>
                <c:pt idx="45">
                  <c:v>1570477.5504367677</c:v>
                </c:pt>
                <c:pt idx="46">
                  <c:v>1575660.1263532091</c:v>
                </c:pt>
                <c:pt idx="47">
                  <c:v>1580859.8047701749</c:v>
                </c:pt>
                <c:pt idx="48">
                  <c:v>1586076.6421259167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94-4904-B8FD-4BE8A83D5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9521263"/>
        <c:axId val="929527167"/>
      </c:lineChart>
      <c:catAx>
        <c:axId val="92952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527167"/>
        <c:crosses val="autoZero"/>
        <c:auto val="1"/>
        <c:lblAlgn val="ctr"/>
        <c:lblOffset val="100"/>
        <c:noMultiLvlLbl val="0"/>
      </c:catAx>
      <c:valAx>
        <c:axId val="929527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521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Hawaii GDP</a:t>
            </a:r>
          </a:p>
        </c:rich>
      </c:tx>
      <c:layout>
        <c:manualLayout>
          <c:xMode val="edge"/>
          <c:yMode val="edge"/>
          <c:x val="0.3390071835100492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'Projected Econometric Drivers'!$H$4</c:f>
              <c:strCache>
                <c:ptCount val="1"/>
                <c:pt idx="0">
                  <c:v>Hawaii State GDP (4)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'Projected Econometric Drivers'!$B$4:$B$53</c:f>
              <c:strCache>
                <c:ptCount val="50"/>
                <c:pt idx="0">
                  <c:v>Year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</c:strCache>
            </c:strRef>
          </c:cat>
          <c:val>
            <c:numRef>
              <c:f>'Projected Econometric Drivers'!$H$5:$H$53</c:f>
              <c:numCache>
                <c:formatCode>#,##0_);\(#,##0\)</c:formatCode>
                <c:ptCount val="49"/>
                <c:pt idx="0">
                  <c:v>56990.8</c:v>
                </c:pt>
                <c:pt idx="1">
                  <c:v>59978.8</c:v>
                </c:pt>
                <c:pt idx="2">
                  <c:v>63318.1</c:v>
                </c:pt>
                <c:pt idx="3">
                  <c:v>67123.899999999994</c:v>
                </c:pt>
                <c:pt idx="4">
                  <c:v>68759.3</c:v>
                </c:pt>
                <c:pt idx="5">
                  <c:v>70080.399999999994</c:v>
                </c:pt>
                <c:pt idx="6">
                  <c:v>70460.800000000003</c:v>
                </c:pt>
                <c:pt idx="7">
                  <c:v>67927.5</c:v>
                </c:pt>
                <c:pt idx="8">
                  <c:v>69628.100000000006</c:v>
                </c:pt>
                <c:pt idx="9">
                  <c:v>70646.600000000006</c:v>
                </c:pt>
                <c:pt idx="10">
                  <c:v>71905.3</c:v>
                </c:pt>
                <c:pt idx="11">
                  <c:v>73063.199999999997</c:v>
                </c:pt>
                <c:pt idx="12">
                  <c:v>73512.399999999994</c:v>
                </c:pt>
                <c:pt idx="13">
                  <c:v>75869.5</c:v>
                </c:pt>
                <c:pt idx="14">
                  <c:v>77303.899999999994</c:v>
                </c:pt>
                <c:pt idx="15">
                  <c:v>78941.600000000006</c:v>
                </c:pt>
                <c:pt idx="16">
                  <c:v>79854.7</c:v>
                </c:pt>
                <c:pt idx="17">
                  <c:v>79175.399999999994</c:v>
                </c:pt>
                <c:pt idx="18">
                  <c:v>70625.2</c:v>
                </c:pt>
                <c:pt idx="19">
                  <c:v>73879.5</c:v>
                </c:pt>
                <c:pt idx="20">
                  <c:v>74512.647314999995</c:v>
                </c:pt>
                <c:pt idx="21">
                  <c:v>75151.220702489547</c:v>
                </c:pt>
                <c:pt idx="22">
                  <c:v>75795.266663909875</c:v>
                </c:pt>
                <c:pt idx="23">
                  <c:v>76444.83209921958</c:v>
                </c:pt>
                <c:pt idx="24">
                  <c:v>77099.964310309893</c:v>
                </c:pt>
                <c:pt idx="25">
                  <c:v>77760.711004449244</c:v>
                </c:pt>
                <c:pt idx="26">
                  <c:v>78427.12029775737</c:v>
                </c:pt>
                <c:pt idx="27">
                  <c:v>79099.240718709145</c:v>
                </c:pt>
                <c:pt idx="28">
                  <c:v>79777.121211668476</c:v>
                </c:pt>
                <c:pt idx="29">
                  <c:v>80460.811140452468</c:v>
                </c:pt>
                <c:pt idx="30">
                  <c:v>81150.360291926147</c:v>
                </c:pt>
                <c:pt idx="31">
                  <c:v>81845.818879627957</c:v>
                </c:pt>
                <c:pt idx="32">
                  <c:v>82547.237547426368</c:v>
                </c:pt>
                <c:pt idx="33">
                  <c:v>83254.667373207805</c:v>
                </c:pt>
                <c:pt idx="34">
                  <c:v>83968.159872596196</c:v>
                </c:pt>
                <c:pt idx="35">
                  <c:v>84687.76700270435</c:v>
                </c:pt>
                <c:pt idx="36">
                  <c:v>85413.54116591753</c:v>
                </c:pt>
                <c:pt idx="37">
                  <c:v>86145.535213709445</c:v>
                </c:pt>
                <c:pt idx="38">
                  <c:v>86883.802450490926</c:v>
                </c:pt>
                <c:pt idx="39">
                  <c:v>87628.396637491634</c:v>
                </c:pt>
                <c:pt idx="40">
                  <c:v>88379.371996674934</c:v>
                </c:pt>
                <c:pt idx="41">
                  <c:v>89136.783214686438</c:v>
                </c:pt>
                <c:pt idx="42">
                  <c:v>89900.685446836302</c:v>
                </c:pt>
                <c:pt idx="43">
                  <c:v>90671.134321115693</c:v>
                </c:pt>
                <c:pt idx="44">
                  <c:v>91448.185942247655</c:v>
                </c:pt>
                <c:pt idx="45">
                  <c:v>92231.896895772719</c:v>
                </c:pt>
                <c:pt idx="46">
                  <c:v>93022.324252169492</c:v>
                </c:pt>
                <c:pt idx="47">
                  <c:v>93819.525571010585</c:v>
                </c:pt>
                <c:pt idx="48">
                  <c:v>94623.558905154146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7-4CAA-86D8-71566FD7B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9521263"/>
        <c:axId val="929527167"/>
      </c:lineChart>
      <c:catAx>
        <c:axId val="92952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527167"/>
        <c:crosses val="autoZero"/>
        <c:auto val="1"/>
        <c:lblAlgn val="ctr"/>
        <c:lblOffset val="100"/>
        <c:noMultiLvlLbl val="0"/>
      </c:catAx>
      <c:valAx>
        <c:axId val="929527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521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WTI</a:t>
            </a:r>
            <a:r>
              <a:rPr lang="en-US" baseline="0"/>
              <a:t> Price</a:t>
            </a:r>
            <a:endParaRPr lang="en-US"/>
          </a:p>
        </c:rich>
      </c:tx>
      <c:layout>
        <c:manualLayout>
          <c:xMode val="edge"/>
          <c:yMode val="edge"/>
          <c:x val="0.40370992682105289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'Projected Econometric Drivers'!$I$4</c:f>
              <c:strCache>
                <c:ptCount val="1"/>
                <c:pt idx="0">
                  <c:v>West Texas Intermediate Crude Oil Price-Lagged (6)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'Projected Econometric Drivers'!$B$4:$B$53</c:f>
              <c:strCache>
                <c:ptCount val="50"/>
                <c:pt idx="0">
                  <c:v>Year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</c:strCache>
            </c:strRef>
          </c:cat>
          <c:val>
            <c:numRef>
              <c:f>'Projected Econometric Drivers'!$I$5:$I$53</c:f>
              <c:numCache>
                <c:formatCode>"$"#,##0.00_);\("$"#,##0.00\)</c:formatCode>
                <c:ptCount val="49"/>
                <c:pt idx="0">
                  <c:v>25.98</c:v>
                </c:pt>
                <c:pt idx="1">
                  <c:v>26.18</c:v>
                </c:pt>
                <c:pt idx="2">
                  <c:v>31.08</c:v>
                </c:pt>
                <c:pt idx="3">
                  <c:v>41.51</c:v>
                </c:pt>
                <c:pt idx="4">
                  <c:v>56.64</c:v>
                </c:pt>
                <c:pt idx="5">
                  <c:v>66.05</c:v>
                </c:pt>
                <c:pt idx="6">
                  <c:v>72.34</c:v>
                </c:pt>
                <c:pt idx="7">
                  <c:v>99.67</c:v>
                </c:pt>
                <c:pt idx="8">
                  <c:v>61.95</c:v>
                </c:pt>
                <c:pt idx="9">
                  <c:v>79.48</c:v>
                </c:pt>
                <c:pt idx="10">
                  <c:v>94.88</c:v>
                </c:pt>
                <c:pt idx="11">
                  <c:v>94.05</c:v>
                </c:pt>
                <c:pt idx="12">
                  <c:v>97.98</c:v>
                </c:pt>
                <c:pt idx="13">
                  <c:v>93.17</c:v>
                </c:pt>
                <c:pt idx="14">
                  <c:v>48.66</c:v>
                </c:pt>
                <c:pt idx="15">
                  <c:v>43.29</c:v>
                </c:pt>
                <c:pt idx="16">
                  <c:v>50.8</c:v>
                </c:pt>
                <c:pt idx="17">
                  <c:v>65.23</c:v>
                </c:pt>
                <c:pt idx="18">
                  <c:v>56.99</c:v>
                </c:pt>
                <c:pt idx="19">
                  <c:v>39.159999999999997</c:v>
                </c:pt>
                <c:pt idx="20">
                  <c:v>68.280997999999997</c:v>
                </c:pt>
                <c:pt idx="21">
                  <c:v>61.278576000000001</c:v>
                </c:pt>
                <c:pt idx="22">
                  <c:v>68.190169999999995</c:v>
                </c:pt>
                <c:pt idx="23">
                  <c:v>70.638176000000001</c:v>
                </c:pt>
                <c:pt idx="24">
                  <c:v>73.775024000000002</c:v>
                </c:pt>
                <c:pt idx="25">
                  <c:v>77.795546999999999</c:v>
                </c:pt>
                <c:pt idx="26">
                  <c:v>81.362174999999993</c:v>
                </c:pt>
                <c:pt idx="27">
                  <c:v>84.567290999999997</c:v>
                </c:pt>
                <c:pt idx="28">
                  <c:v>87.867508000000001</c:v>
                </c:pt>
                <c:pt idx="29">
                  <c:v>91.775176999999999</c:v>
                </c:pt>
                <c:pt idx="30">
                  <c:v>95.321999000000005</c:v>
                </c:pt>
                <c:pt idx="31">
                  <c:v>98.474007</c:v>
                </c:pt>
                <c:pt idx="32">
                  <c:v>101.215805</c:v>
                </c:pt>
                <c:pt idx="33">
                  <c:v>104.440201</c:v>
                </c:pt>
                <c:pt idx="34">
                  <c:v>108.455223</c:v>
                </c:pt>
                <c:pt idx="35">
                  <c:v>112.134308</c:v>
                </c:pt>
                <c:pt idx="36">
                  <c:v>116.147552</c:v>
                </c:pt>
                <c:pt idx="37">
                  <c:v>119.10437</c:v>
                </c:pt>
                <c:pt idx="38">
                  <c:v>124.12396200000001</c:v>
                </c:pt>
                <c:pt idx="39">
                  <c:v>128.38916</c:v>
                </c:pt>
                <c:pt idx="40">
                  <c:v>131.94232199999999</c:v>
                </c:pt>
                <c:pt idx="41">
                  <c:v>137.30856299999999</c:v>
                </c:pt>
                <c:pt idx="42">
                  <c:v>143.32762099999999</c:v>
                </c:pt>
                <c:pt idx="43">
                  <c:v>147.389847</c:v>
                </c:pt>
                <c:pt idx="44">
                  <c:v>152.94503800000001</c:v>
                </c:pt>
                <c:pt idx="45">
                  <c:v>156.33833300000001</c:v>
                </c:pt>
                <c:pt idx="46">
                  <c:v>160.131393</c:v>
                </c:pt>
                <c:pt idx="47">
                  <c:v>164.37977599999999</c:v>
                </c:pt>
                <c:pt idx="48">
                  <c:v>167.613632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EF-4240-8C1D-F3C06737D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9521263"/>
        <c:axId val="929527167"/>
      </c:lineChart>
      <c:catAx>
        <c:axId val="92952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527167"/>
        <c:crosses val="autoZero"/>
        <c:auto val="1"/>
        <c:lblAlgn val="ctr"/>
        <c:lblOffset val="100"/>
        <c:noMultiLvlLbl val="0"/>
      </c:catAx>
      <c:valAx>
        <c:axId val="929527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_);\(&quot;$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521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Projected Hawaii (Hilo+Kona) Demand</a:t>
            </a:r>
            <a:r>
              <a:rPr lang="en-US" baseline="0">
                <a:solidFill>
                  <a:sysClr val="windowText" lastClr="000000"/>
                </a:solidFill>
              </a:rPr>
              <a:t> by Rate Schedule</a:t>
            </a: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4801936940693962"/>
          <c:y val="2.173426490701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40650601767771"/>
          <c:y val="0.15217347502886927"/>
          <c:w val="0.88450984562028956"/>
          <c:h val="0.709024842053300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 Summary Data'!$C$34</c:f>
              <c:strCache>
                <c:ptCount val="1"/>
                <c:pt idx="0">
                  <c:v>GEN SERVICE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 Summary Data'!$B$35:$B$58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Data'!$C$35:$C$58</c:f>
              <c:numCache>
                <c:formatCode>_(* #,##0_);_(* \(#,##0\);_(* "-"??_);_(@_)</c:formatCode>
                <c:ptCount val="24"/>
                <c:pt idx="0">
                  <c:v>28887.197164774443</c:v>
                </c:pt>
                <c:pt idx="1">
                  <c:v>29280.704764234219</c:v>
                </c:pt>
                <c:pt idx="2">
                  <c:v>29684.966304846472</c:v>
                </c:pt>
                <c:pt idx="3">
                  <c:v>30100.240894667069</c:v>
                </c:pt>
                <c:pt idx="4">
                  <c:v>30526.793684122589</c:v>
                </c:pt>
                <c:pt idx="5">
                  <c:v>30964.896006301566</c:v>
                </c:pt>
                <c:pt idx="6">
                  <c:v>31414.82552052024</c:v>
                </c:pt>
                <c:pt idx="7">
                  <c:v>31876.866359239455</c:v>
                </c:pt>
                <c:pt idx="8">
                  <c:v>32351.309278411776</c:v>
                </c:pt>
                <c:pt idx="9">
                  <c:v>32838.451811339612</c:v>
                </c:pt>
                <c:pt idx="10">
                  <c:v>33338.598426126817</c:v>
                </c:pt>
                <c:pt idx="11">
                  <c:v>33852.060686808523</c:v>
                </c:pt>
                <c:pt idx="12">
                  <c:v>34379.157418245908</c:v>
                </c:pt>
                <c:pt idx="13">
                  <c:v>34920.214874874429</c:v>
                </c:pt>
                <c:pt idx="14">
                  <c:v>35475.56691339636</c:v>
                </c:pt>
                <c:pt idx="15">
                  <c:v>36045.555169510815</c:v>
                </c:pt>
                <c:pt idx="16">
                  <c:v>36630.529238776013</c:v>
                </c:pt>
                <c:pt idx="17">
                  <c:v>37230.846861701597</c:v>
                </c:pt>
                <c:pt idx="18">
                  <c:v>37846.874113170597</c:v>
                </c:pt>
                <c:pt idx="19">
                  <c:v>38478.985596293132</c:v>
                </c:pt>
                <c:pt idx="20">
                  <c:v>39127.564640796343</c:v>
                </c:pt>
                <c:pt idx="21">
                  <c:v>39793.003506057968</c:v>
                </c:pt>
                <c:pt idx="22">
                  <c:v>40475.703588892495</c:v>
                </c:pt>
                <c:pt idx="23">
                  <c:v>41176.075636202753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5-44C2-9EC9-5F4A3B253239}"/>
            </c:ext>
          </c:extLst>
        </c:ser>
        <c:ser>
          <c:idx val="1"/>
          <c:order val="1"/>
          <c:tx>
            <c:strRef>
              <c:f>' Summary Data'!$D$34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 Summary Data'!$B$35:$B$58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Data'!$D$35:$D$58</c:f>
              <c:numCache>
                <c:formatCode>_(* #,##0_);_(* \(#,##0\);_(* "-"??_);_(@_)</c:formatCode>
                <c:ptCount val="24"/>
                <c:pt idx="0">
                  <c:v>459516.28663953801</c:v>
                </c:pt>
                <c:pt idx="1">
                  <c:v>465775.91611611092</c:v>
                </c:pt>
                <c:pt idx="2">
                  <c:v>472206.61137926526</c:v>
                </c:pt>
                <c:pt idx="3">
                  <c:v>478812.49412938597</c:v>
                </c:pt>
                <c:pt idx="4">
                  <c:v>485597.78218444693</c:v>
                </c:pt>
                <c:pt idx="5">
                  <c:v>492566.79171166167</c:v>
                </c:pt>
                <c:pt idx="6">
                  <c:v>499723.93951122079</c:v>
                </c:pt>
                <c:pt idx="7">
                  <c:v>507073.74535333872</c:v>
                </c:pt>
                <c:pt idx="8">
                  <c:v>514620.83436986461</c:v>
                </c:pt>
                <c:pt idx="9">
                  <c:v>522369.9395017444</c:v>
                </c:pt>
                <c:pt idx="10">
                  <c:v>530325.90400364506</c:v>
                </c:pt>
                <c:pt idx="11">
                  <c:v>538493.68400708959</c:v>
                </c:pt>
                <c:pt idx="12">
                  <c:v>546878.35114348098</c:v>
                </c:pt>
                <c:pt idx="13">
                  <c:v>555485.09522842627</c:v>
                </c:pt>
                <c:pt idx="14">
                  <c:v>564319.22700880142</c:v>
                </c:pt>
                <c:pt idx="15">
                  <c:v>573386.18097404274</c:v>
                </c:pt>
                <c:pt idx="16">
                  <c:v>582691.51823317108</c:v>
                </c:pt>
                <c:pt idx="17">
                  <c:v>592240.9294591042</c:v>
                </c:pt>
                <c:pt idx="18">
                  <c:v>602040.23790184164</c:v>
                </c:pt>
                <c:pt idx="19">
                  <c:v>612095.40247214737</c:v>
                </c:pt>
                <c:pt idx="20">
                  <c:v>622412.5208973909</c:v>
                </c:pt>
                <c:pt idx="21">
                  <c:v>632997.83295125549</c:v>
                </c:pt>
                <c:pt idx="22">
                  <c:v>643857.72375904815</c:v>
                </c:pt>
                <c:pt idx="23">
                  <c:v>654998.72718040424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5-44C2-9EC9-5F4A3B253239}"/>
            </c:ext>
          </c:extLst>
        </c:ser>
        <c:ser>
          <c:idx val="2"/>
          <c:order val="2"/>
          <c:tx>
            <c:strRef>
              <c:f>' Summary Data'!$E$34</c:f>
              <c:strCache>
                <c:ptCount val="1"/>
                <c:pt idx="0">
                  <c:v>MULTI-UNIT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 Summary Data'!$B$35:$B$58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Data'!$E$35:$E$58</c:f>
              <c:numCache>
                <c:formatCode>_(* #,##0_);_(* \(#,##0\);_(* "-"??_);_(@_)</c:formatCode>
                <c:ptCount val="24"/>
                <c:pt idx="0">
                  <c:v>191816.42645130769</c:v>
                </c:pt>
                <c:pt idx="1">
                  <c:v>194429.39097947761</c:v>
                </c:pt>
                <c:pt idx="2">
                  <c:v>197113.76370105479</c:v>
                </c:pt>
                <c:pt idx="3">
                  <c:v>199871.26514230069</c:v>
                </c:pt>
                <c:pt idx="4">
                  <c:v>202703.65595195553</c:v>
                </c:pt>
                <c:pt idx="5">
                  <c:v>205612.73783279877</c:v>
                </c:pt>
                <c:pt idx="6">
                  <c:v>208600.35449495245</c:v>
                </c:pt>
                <c:pt idx="7">
                  <c:v>211668.39263143731</c:v>
                </c:pt>
                <c:pt idx="8">
                  <c:v>214818.7829165057</c:v>
                </c:pt>
                <c:pt idx="9">
                  <c:v>218053.50102728873</c:v>
                </c:pt>
                <c:pt idx="10">
                  <c:v>221374.56868930429</c:v>
                </c:pt>
                <c:pt idx="11">
                  <c:v>224784.05474638971</c:v>
                </c:pt>
                <c:pt idx="12">
                  <c:v>228284.07625563373</c:v>
                </c:pt>
                <c:pt idx="13">
                  <c:v>231876.79960789689</c:v>
                </c:pt>
                <c:pt idx="14">
                  <c:v>235564.44167452239</c:v>
                </c:pt>
                <c:pt idx="15">
                  <c:v>239349.27098085638</c:v>
                </c:pt>
                <c:pt idx="16">
                  <c:v>243233.60890720799</c:v>
                </c:pt>
                <c:pt idx="17">
                  <c:v>247219.83091789676</c:v>
                </c:pt>
                <c:pt idx="18">
                  <c:v>251310.36781905015</c:v>
                </c:pt>
                <c:pt idx="19">
                  <c:v>255507.70704582895</c:v>
                </c:pt>
                <c:pt idx="20">
                  <c:v>259814.39397977333</c:v>
                </c:pt>
                <c:pt idx="21">
                  <c:v>264233.03329698433</c:v>
                </c:pt>
                <c:pt idx="22">
                  <c:v>268766.29034786281</c:v>
                </c:pt>
                <c:pt idx="23">
                  <c:v>273416.89256915625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15-44C2-9EC9-5F4A3B253239}"/>
            </c:ext>
          </c:extLst>
        </c:ser>
        <c:ser>
          <c:idx val="3"/>
          <c:order val="3"/>
          <c:tx>
            <c:strRef>
              <c:f>' Summary Data'!$F$34</c:f>
              <c:strCache>
                <c:ptCount val="1"/>
                <c:pt idx="0">
                  <c:v>COMM/IND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 Summary Data'!$B$35:$B$58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Data'!$F$35:$F$58</c:f>
              <c:numCache>
                <c:formatCode>_(* #,##0_);_(* \(#,##0\);_(* "-"??_);_(@_)</c:formatCode>
                <c:ptCount val="24"/>
                <c:pt idx="0">
                  <c:v>1071542.5411875469</c:v>
                </c:pt>
                <c:pt idx="1">
                  <c:v>1086139.3236547611</c:v>
                </c:pt>
                <c:pt idx="2">
                  <c:v>1101135.0131313531</c:v>
                </c:pt>
                <c:pt idx="3">
                  <c:v>1116539.2209791674</c:v>
                </c:pt>
                <c:pt idx="4">
                  <c:v>1132361.7826959253</c:v>
                </c:pt>
                <c:pt idx="5">
                  <c:v>1148612.7631191933</c:v>
                </c:pt>
                <c:pt idx="6">
                  <c:v>1165302.4617518131</c:v>
                </c:pt>
                <c:pt idx="7">
                  <c:v>1182441.4182116438</c:v>
                </c:pt>
                <c:pt idx="8">
                  <c:v>1200040.4178085406</c:v>
                </c:pt>
                <c:pt idx="9">
                  <c:v>1218110.4972515737</c:v>
                </c:pt>
                <c:pt idx="10">
                  <c:v>1236662.9504895413</c:v>
                </c:pt>
                <c:pt idx="11">
                  <c:v>1255709.3346879259</c:v>
                </c:pt>
                <c:pt idx="12">
                  <c:v>1275261.4763455044</c:v>
                </c:pt>
                <c:pt idx="13">
                  <c:v>1295331.4775539001</c:v>
                </c:pt>
                <c:pt idx="14">
                  <c:v>1315931.7224034467</c:v>
                </c:pt>
                <c:pt idx="15">
                  <c:v>1337074.8835388136</c:v>
                </c:pt>
                <c:pt idx="16">
                  <c:v>1358773.9288679191</c:v>
                </c:pt>
                <c:pt idx="17">
                  <c:v>1381042.128427749</c:v>
                </c:pt>
                <c:pt idx="18">
                  <c:v>1403893.0614107801</c:v>
                </c:pt>
                <c:pt idx="19">
                  <c:v>1427340.6233557966</c:v>
                </c:pt>
                <c:pt idx="20">
                  <c:v>1451399.0335069702</c:v>
                </c:pt>
                <c:pt idx="21">
                  <c:v>1476082.8423451947</c:v>
                </c:pt>
                <c:pt idx="22">
                  <c:v>1501406.9392957122</c:v>
                </c:pt>
                <c:pt idx="23">
                  <c:v>1527386.5606162157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15-44C2-9EC9-5F4A3B253239}"/>
            </c:ext>
          </c:extLst>
        </c:ser>
        <c:ser>
          <c:idx val="4"/>
          <c:order val="4"/>
          <c:tx>
            <c:strRef>
              <c:f>' Summary Data'!$G$34</c:f>
              <c:strCache>
                <c:ptCount val="1"/>
                <c:pt idx="0">
                  <c:v>LGE FIRM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 Summary Data'!$B$35:$B$58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Data'!$G$35:$G$58</c:f>
              <c:numCache>
                <c:formatCode>_(* #,##0_);_(* \(#,##0\);_(* "-"??_);_(@_)</c:formatCode>
                <c:ptCount val="24"/>
                <c:pt idx="0">
                  <c:v>765116.4555925756</c:v>
                </c:pt>
                <c:pt idx="1">
                  <c:v>775539.03615759301</c:v>
                </c:pt>
                <c:pt idx="2">
                  <c:v>786246.44938710553</c:v>
                </c:pt>
                <c:pt idx="3">
                  <c:v>797245.55810813594</c:v>
                </c:pt>
                <c:pt idx="4">
                  <c:v>808543.38518806128</c:v>
                </c:pt>
                <c:pt idx="5">
                  <c:v>820147.11725041608</c:v>
                </c:pt>
                <c:pt idx="6">
                  <c:v>832064.1084774246</c:v>
                </c:pt>
                <c:pt idx="7">
                  <c:v>844301.884501294</c:v>
                </c:pt>
                <c:pt idx="8">
                  <c:v>856868.1463863611</c:v>
                </c:pt>
                <c:pt idx="9">
                  <c:v>869770.77470423176</c:v>
                </c:pt>
                <c:pt idx="10">
                  <c:v>883017.83370410069</c:v>
                </c:pt>
                <c:pt idx="11">
                  <c:v>896617.57558049145</c:v>
                </c:pt>
                <c:pt idx="12">
                  <c:v>910578.44484071806</c:v>
                </c:pt>
                <c:pt idx="13">
                  <c:v>924909.08277440956</c:v>
                </c:pt>
                <c:pt idx="14">
                  <c:v>939618.3320275062</c:v>
                </c:pt>
                <c:pt idx="15">
                  <c:v>954715.24128319137</c:v>
                </c:pt>
                <c:pt idx="16">
                  <c:v>970209.07005227427</c:v>
                </c:pt>
                <c:pt idx="17">
                  <c:v>986109.29357561003</c:v>
                </c:pt>
                <c:pt idx="18">
                  <c:v>1002425.6078411958</c:v>
                </c:pt>
                <c:pt idx="19">
                  <c:v>1019167.9347186484</c:v>
                </c:pt>
                <c:pt idx="20">
                  <c:v>1036346.4272138303</c:v>
                </c:pt>
                <c:pt idx="21">
                  <c:v>1053971.4748464671</c:v>
                </c:pt>
                <c:pt idx="22">
                  <c:v>1072053.7091536454</c:v>
                </c:pt>
                <c:pt idx="23">
                  <c:v>1090604.0093221779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15-44C2-9EC9-5F4A3B253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8768599"/>
        <c:axId val="978777783"/>
      </c:barChart>
      <c:catAx>
        <c:axId val="978768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77783"/>
        <c:crosses val="autoZero"/>
        <c:auto val="1"/>
        <c:lblAlgn val="ctr"/>
        <c:lblOffset val="100"/>
        <c:noMultiLvlLbl val="0"/>
      </c:catAx>
      <c:valAx>
        <c:axId val="978777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68599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236899431482297"/>
          <c:y val="8.6735152131639306E-2"/>
          <c:w val="0.80507176625369192"/>
          <c:h val="4.6499880608044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CO2 Emissions</a:t>
            </a:r>
          </a:p>
        </c:rich>
      </c:tx>
      <c:layout>
        <c:manualLayout>
          <c:xMode val="edge"/>
          <c:yMode val="edge"/>
          <c:x val="0.41023722299919341"/>
          <c:y val="3.30851353981274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0414242027581"/>
          <c:y val="0.14297734213297258"/>
          <c:w val="0.85217341173164141"/>
          <c:h val="0.65144850751048178"/>
        </c:manualLayout>
      </c:layout>
      <c:barChart>
        <c:barDir val="col"/>
        <c:grouping val="stacked"/>
        <c:varyColors val="0"/>
        <c:ser>
          <c:idx val="1"/>
          <c:order val="0"/>
          <c:tx>
            <c:v>Oahu System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 Summary Data'!$B$35:$B$58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Data'!$P$5:$P$28</c:f>
              <c:numCache>
                <c:formatCode>_(* #,##0_);_(* \(#,##0\);_(* "-"??_);_(@_)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00-FACC-4DF9-8EDB-63428F81D263}"/>
            </c:ext>
          </c:extLst>
        </c:ser>
        <c:ser>
          <c:idx val="0"/>
          <c:order val="1"/>
          <c:tx>
            <c:v>Hawaii (Hilo &amp; Kona)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 Summary Data'!$B$35:$B$58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Data'!$J$35:$J$58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01-FACC-4DF9-8EDB-63428F81D263}"/>
            </c:ext>
          </c:extLst>
        </c:ser>
        <c:ser>
          <c:idx val="2"/>
          <c:order val="2"/>
          <c:tx>
            <c:strRef>
              <c:f>' Summary Data'!$B$62:$H$62</c:f>
              <c:strCache>
                <c:ptCount val="1"/>
                <c:pt idx="0">
                  <c:v>Maui County (Molokai + Lanai)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 Summary Data'!$J$64:$J$87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02-FACC-4DF9-8EDB-63428F81D263}"/>
            </c:ext>
          </c:extLst>
        </c:ser>
        <c:ser>
          <c:idx val="3"/>
          <c:order val="3"/>
          <c:tx>
            <c:strRef>
              <c:f>' Summary Data'!$B$91:$H$91</c:f>
              <c:strCache>
                <c:ptCount val="1"/>
                <c:pt idx="0">
                  <c:v>Kauai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 Summary Data'!$H$93:$H$116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03-FACC-4DF9-8EDB-63428F81D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9521263"/>
        <c:axId val="929527167"/>
      </c:barChart>
      <c:catAx>
        <c:axId val="92952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527167"/>
        <c:crosses val="autoZero"/>
        <c:auto val="1"/>
        <c:lblAlgn val="ctr"/>
        <c:lblOffset val="100"/>
        <c:noMultiLvlLbl val="0"/>
      </c:catAx>
      <c:valAx>
        <c:axId val="929527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Metric Tons</a:t>
                </a:r>
                <a:r>
                  <a:rPr lang="en-US" baseline="0">
                    <a:solidFill>
                      <a:sysClr val="windowText" lastClr="000000"/>
                    </a:solidFill>
                  </a:rPr>
                  <a:t> (CO2)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521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07862345847646"/>
          <c:y val="0.89188212166288305"/>
          <c:w val="0.55288841446762926"/>
          <c:h val="5.32834826772865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Projected Energy Efficiency</a:t>
            </a:r>
          </a:p>
        </c:rich>
      </c:tx>
      <c:layout>
        <c:manualLayout>
          <c:xMode val="edge"/>
          <c:yMode val="edge"/>
          <c:x val="0.42173729592473325"/>
          <c:y val="3.33265806423039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74291921567283"/>
          <c:y val="0.18584799993219969"/>
          <c:w val="0.87917341718742115"/>
          <c:h val="0.73806803595931003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'Energy Efficiency'!$N$3</c:f>
              <c:strCache>
                <c:ptCount val="1"/>
                <c:pt idx="0">
                  <c:v>Annual Terms Saved (2)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'Energy Efficiency'!$B$22:$B$46</c:f>
              <c:numCache>
                <c:formatCode>General</c:formatCode>
                <c:ptCount val="2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</c:numCache>
            </c:numRef>
          </c:cat>
          <c:val>
            <c:numRef>
              <c:f>'Energy Efficiency'!$N$22:$N$46</c:f>
              <c:numCache>
                <c:formatCode>_(* #,##0_);_(* \(#,##0\);_(* "-"??_);_(@_)</c:formatCode>
                <c:ptCount val="25"/>
                <c:pt idx="0">
                  <c:v>1432.7615139981788</c:v>
                </c:pt>
                <c:pt idx="1">
                  <c:v>2934.9596023519871</c:v>
                </c:pt>
                <c:pt idx="2">
                  <c:v>4509.9806501444336</c:v>
                </c:pt>
                <c:pt idx="3">
                  <c:v>6161.3775370769772</c:v>
                </c:pt>
                <c:pt idx="4">
                  <c:v>7892.8779085652341</c:v>
                </c:pt>
                <c:pt idx="5">
                  <c:v>9708.3928631445688</c:v>
                </c:pt>
                <c:pt idx="6">
                  <c:v>11612.026077483501</c:v>
                </c:pt>
                <c:pt idx="7">
                  <c:v>13608.083391414084</c:v>
                </c:pt>
                <c:pt idx="8">
                  <c:v>15701.082876559041</c:v>
                </c:pt>
                <c:pt idx="9">
                  <c:v>17895.765413368525</c:v>
                </c:pt>
                <c:pt idx="10">
                  <c:v>20197.105802678678</c:v>
                </c:pt>
                <c:pt idx="11">
                  <c:v>22610.32443927287</c:v>
                </c:pt>
                <c:pt idx="12">
                  <c:v>25140.899576368931</c:v>
                </c:pt>
                <c:pt idx="13">
                  <c:v>27794.580211475452</c:v>
                </c:pt>
                <c:pt idx="14">
                  <c:v>30577.399625661958</c:v>
                </c:pt>
                <c:pt idx="15">
                  <c:v>33495.689609975714</c:v>
                </c:pt>
                <c:pt idx="16">
                  <c:v>36556.095414517084</c:v>
                </c:pt>
                <c:pt idx="17">
                  <c:v>39765.591457560535</c:v>
                </c:pt>
                <c:pt idx="18">
                  <c:v>43131.497834085436</c:v>
                </c:pt>
                <c:pt idx="19">
                  <c:v>46661.497665164359</c:v>
                </c:pt>
                <c:pt idx="20">
                  <c:v>50363.655331854134</c:v>
                </c:pt>
                <c:pt idx="21">
                  <c:v>54246.435639550975</c:v>
                </c:pt>
                <c:pt idx="22">
                  <c:v>58318.723961214047</c:v>
                </c:pt>
                <c:pt idx="23">
                  <c:v>62589.847410437294</c:v>
                </c:pt>
                <c:pt idx="24">
                  <c:v>67069.597098066079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8-48AD-AE9F-688639D09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8768599"/>
        <c:axId val="978777783"/>
      </c:barChart>
      <c:catAx>
        <c:axId val="978768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77783"/>
        <c:crosses val="autoZero"/>
        <c:auto val="1"/>
        <c:lblAlgn val="ctr"/>
        <c:lblOffset val="100"/>
        <c:noMultiLvlLbl val="0"/>
      </c:catAx>
      <c:valAx>
        <c:axId val="978777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68599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1048743016775689"/>
          <c:y val="0.10868688591861612"/>
          <c:w val="0.80507176625369192"/>
          <c:h val="6.2729154055054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Projected Residential</a:t>
            </a:r>
            <a:r>
              <a:rPr lang="en-US" baseline="0">
                <a:solidFill>
                  <a:sysClr val="windowText" lastClr="000000"/>
                </a:solidFill>
              </a:rPr>
              <a:t> Customers - Water Heating Switching</a:t>
            </a: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4926842219927525"/>
          <c:y val="2.9854549222333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165565225221863E-2"/>
          <c:y val="0.18584799993219969"/>
          <c:w val="0.8897508353274266"/>
          <c:h val="0.73806803595931003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'Energy Efficiency'!$M$3</c:f>
              <c:strCache>
                <c:ptCount val="1"/>
                <c:pt idx="0">
                  <c:v>Cumulative Conversions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'Energy Efficiency'!$B$22:$B$46</c:f>
              <c:numCache>
                <c:formatCode>General</c:formatCode>
                <c:ptCount val="2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</c:numCache>
            </c:numRef>
          </c:cat>
          <c:val>
            <c:numRef>
              <c:f>'Energy Efficiency'!$M$22:$M$46</c:f>
              <c:numCache>
                <c:formatCode>_(* #,##0_);_(* \(#,##0\);_(* "-"??_);_(@_)</c:formatCode>
                <c:ptCount val="25"/>
                <c:pt idx="0">
                  <c:v>28.093363019572131</c:v>
                </c:pt>
                <c:pt idx="1">
                  <c:v>57.548227497097784</c:v>
                </c:pt>
                <c:pt idx="2">
                  <c:v>88.430993140086926</c:v>
                </c:pt>
                <c:pt idx="3">
                  <c:v>120.81132425641131</c:v>
                </c:pt>
                <c:pt idx="4">
                  <c:v>154.76231193265164</c:v>
                </c:pt>
                <c:pt idx="5">
                  <c:v>190.36064437538371</c:v>
                </c:pt>
                <c:pt idx="6">
                  <c:v>227.68678583300982</c:v>
                </c:pt>
                <c:pt idx="7">
                  <c:v>266.82516453753107</c:v>
                </c:pt>
                <c:pt idx="8">
                  <c:v>307.86437012860864</c:v>
                </c:pt>
                <c:pt idx="9">
                  <c:v>350.89736104644169</c:v>
                </c:pt>
                <c:pt idx="10">
                  <c:v>396.02168240546428</c:v>
                </c:pt>
                <c:pt idx="11">
                  <c:v>443.33969488770333</c:v>
                </c:pt>
                <c:pt idx="12">
                  <c:v>492.95881522292018</c:v>
                </c:pt>
                <c:pt idx="13">
                  <c:v>544.99176885245981</c:v>
                </c:pt>
                <c:pt idx="14">
                  <c:v>599.55685540513639</c:v>
                </c:pt>
                <c:pt idx="15">
                  <c:v>656.77822764658265</c:v>
                </c:pt>
                <c:pt idx="16">
                  <c:v>716.78618459837412</c:v>
                </c:pt>
                <c:pt idx="17">
                  <c:v>779.71747956001047</c:v>
                </c:pt>
                <c:pt idx="18">
                  <c:v>845.71564380559676</c:v>
                </c:pt>
                <c:pt idx="19">
                  <c:v>914.93132676792868</c:v>
                </c:pt>
                <c:pt idx="20">
                  <c:v>987.52265356576731</c:v>
                </c:pt>
                <c:pt idx="21">
                  <c:v>1063.6556007755094</c:v>
                </c:pt>
                <c:pt idx="22">
                  <c:v>1143.5043913963539</c:v>
                </c:pt>
                <c:pt idx="23">
                  <c:v>1227.2519100085744</c:v>
                </c:pt>
                <c:pt idx="24">
                  <c:v>1315.0901391777663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E-4DE0-A7C7-DDCB271E4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8768599"/>
        <c:axId val="978777783"/>
      </c:barChart>
      <c:catAx>
        <c:axId val="978768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77783"/>
        <c:crosses val="autoZero"/>
        <c:auto val="1"/>
        <c:lblAlgn val="ctr"/>
        <c:lblOffset val="100"/>
        <c:noMultiLvlLbl val="0"/>
      </c:catAx>
      <c:valAx>
        <c:axId val="978777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Cummulative Customers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68599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8.7438587876205676E-2"/>
          <c:y val="0.10868688591861612"/>
          <c:w val="0.80507176625369192"/>
          <c:h val="6.2729154055054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Projected Maui County (Molokai + Lanai) Demand</a:t>
            </a:r>
            <a:r>
              <a:rPr lang="en-US" baseline="0">
                <a:solidFill>
                  <a:sysClr val="windowText" lastClr="000000"/>
                </a:solidFill>
              </a:rPr>
              <a:t> by Rate Schedule</a:t>
            </a: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4801936940693962"/>
          <c:y val="2.173426490701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40650601767771"/>
          <c:y val="0.15217347502886927"/>
          <c:w val="0.88450984562028956"/>
          <c:h val="0.709024842053300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 Summary Data'!$C$63</c:f>
              <c:strCache>
                <c:ptCount val="1"/>
                <c:pt idx="0">
                  <c:v>GEN SERVICE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 Summary Data'!$B$64:$B$87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Data'!$C$64:$C$87</c:f>
              <c:numCache>
                <c:formatCode>_(* #,##0_);_(* \(#,##0\);_(* "-"??_);_(@_)</c:formatCode>
                <c:ptCount val="24"/>
                <c:pt idx="0">
                  <c:v>3025.25271617211</c:v>
                </c:pt>
                <c:pt idx="1">
                  <c:v>3066.4633579422198</c:v>
                </c:pt>
                <c:pt idx="2">
                  <c:v>3108.8002214601684</c:v>
                </c:pt>
                <c:pt idx="3">
                  <c:v>3152.290442184802</c:v>
                </c:pt>
                <c:pt idx="4">
                  <c:v>3196.9617883708092</c:v>
                </c:pt>
                <c:pt idx="5">
                  <c:v>3242.8426757609309</c:v>
                </c:pt>
                <c:pt idx="6">
                  <c:v>3289.9621826210791</c:v>
                </c:pt>
                <c:pt idx="7">
                  <c:v>3338.3500651264203</c:v>
                </c:pt>
                <c:pt idx="8">
                  <c:v>3388.0367731066931</c:v>
                </c:pt>
                <c:pt idx="9">
                  <c:v>3439.0534661592123</c:v>
                </c:pt>
                <c:pt idx="10">
                  <c:v>3491.4320301382172</c:v>
                </c:pt>
                <c:pt idx="11">
                  <c:v>3545.2050940294207</c:v>
                </c:pt>
                <c:pt idx="12">
                  <c:v>3600.4060472188453</c:v>
                </c:pt>
                <c:pt idx="13">
                  <c:v>3657.0690571652231</c:v>
                </c:pt>
                <c:pt idx="14">
                  <c:v>3715.2290874854689</c:v>
                </c:pt>
                <c:pt idx="15">
                  <c:v>3774.9219164629781</c:v>
                </c:pt>
                <c:pt idx="16">
                  <c:v>3836.1841559886866</c:v>
                </c:pt>
                <c:pt idx="17">
                  <c:v>3899.0532709451286</c:v>
                </c:pt>
                <c:pt idx="18">
                  <c:v>3963.5675990439167</c:v>
                </c:pt>
                <c:pt idx="19">
                  <c:v>4029.7663711273467</c:v>
                </c:pt>
                <c:pt idx="20">
                  <c:v>4097.6897319450691</c:v>
                </c:pt>
                <c:pt idx="21">
                  <c:v>4167.3787614170615</c:v>
                </c:pt>
                <c:pt idx="22">
                  <c:v>4238.8754963943329</c:v>
                </c:pt>
                <c:pt idx="23">
                  <c:v>4312.2229529291644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A-49F8-A122-3AABA6424660}"/>
            </c:ext>
          </c:extLst>
        </c:ser>
        <c:ser>
          <c:idx val="1"/>
          <c:order val="1"/>
          <c:tx>
            <c:strRef>
              <c:f>' Summary Data'!$D$63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 Summary Data'!$B$64:$B$87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Data'!$D$64:$D$87</c:f>
              <c:numCache>
                <c:formatCode>_(* #,##0_);_(* \(#,##0\);_(* "-"??_);_(@_)</c:formatCode>
                <c:ptCount val="24"/>
                <c:pt idx="0">
                  <c:v>143219.08961170306</c:v>
                </c:pt>
                <c:pt idx="1">
                  <c:v>145170.05078763326</c:v>
                </c:pt>
                <c:pt idx="2">
                  <c:v>147174.32865098072</c:v>
                </c:pt>
                <c:pt idx="3">
                  <c:v>149233.20782689142</c:v>
                </c:pt>
                <c:pt idx="4">
                  <c:v>151348.00289782498</c:v>
                </c:pt>
                <c:pt idx="5">
                  <c:v>153520.05909910152</c:v>
                </c:pt>
                <c:pt idx="6">
                  <c:v>155750.75303068213</c:v>
                </c:pt>
                <c:pt idx="7">
                  <c:v>158041.49338556451</c:v>
                </c:pt>
                <c:pt idx="8">
                  <c:v>160393.72169518529</c:v>
                </c:pt>
                <c:pt idx="9">
                  <c:v>162808.91309222882</c:v>
                </c:pt>
                <c:pt idx="10">
                  <c:v>165288.57709125278</c:v>
                </c:pt>
                <c:pt idx="11">
                  <c:v>167834.25838754949</c:v>
                </c:pt>
                <c:pt idx="12">
                  <c:v>170447.53767467328</c:v>
                </c:pt>
                <c:pt idx="13">
                  <c:v>173130.03248107326</c:v>
                </c:pt>
                <c:pt idx="14">
                  <c:v>175883.39802628109</c:v>
                </c:pt>
                <c:pt idx="15">
                  <c:v>178709.32809711606</c:v>
                </c:pt>
                <c:pt idx="16">
                  <c:v>181609.55594437764</c:v>
                </c:pt>
                <c:pt idx="17">
                  <c:v>184585.85520050989</c:v>
                </c:pt>
                <c:pt idx="18">
                  <c:v>187640.04081873162</c:v>
                </c:pt>
                <c:pt idx="19">
                  <c:v>190773.97003413874</c:v>
                </c:pt>
                <c:pt idx="20">
                  <c:v>193989.54334729663</c:v>
                </c:pt>
                <c:pt idx="21">
                  <c:v>197288.70553085484</c:v>
                </c:pt>
                <c:pt idx="22">
                  <c:v>200673.44665972507</c:v>
                </c:pt>
                <c:pt idx="23">
                  <c:v>204145.8031653807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AA-49F8-A122-3AABA6424660}"/>
            </c:ext>
          </c:extLst>
        </c:ser>
        <c:ser>
          <c:idx val="2"/>
          <c:order val="2"/>
          <c:tx>
            <c:strRef>
              <c:f>' Summary Data'!$E$63</c:f>
              <c:strCache>
                <c:ptCount val="1"/>
                <c:pt idx="0">
                  <c:v>MULTI-UNIT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 Summary Data'!$B$64:$B$87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Data'!$E$64:$E$87</c:f>
              <c:numCache>
                <c:formatCode>_(* #,##0_);_(* \(#,##0\);_(* "-"??_);_(@_)</c:formatCode>
                <c:ptCount val="24"/>
                <c:pt idx="0">
                  <c:v>26586.355836208331</c:v>
                </c:pt>
                <c:pt idx="1">
                  <c:v>26948.520881290908</c:v>
                </c:pt>
                <c:pt idx="2">
                  <c:v>27320.58332502003</c:v>
                </c:pt>
                <c:pt idx="3">
                  <c:v>27702.781637709544</c:v>
                </c:pt>
                <c:pt idx="4">
                  <c:v>28095.359850774134</c:v>
                </c:pt>
                <c:pt idx="5">
                  <c:v>28498.567685846574</c:v>
                </c:pt>
                <c:pt idx="6">
                  <c:v>28912.660686908537</c:v>
                </c:pt>
                <c:pt idx="7">
                  <c:v>29337.900355505681</c:v>
                </c:pt>
                <c:pt idx="8">
                  <c:v>29774.554289119784</c:v>
                </c:pt>
                <c:pt idx="9">
                  <c:v>30222.896322772132</c:v>
                </c:pt>
                <c:pt idx="10">
                  <c:v>30683.206673934281</c:v>
                </c:pt>
                <c:pt idx="11">
                  <c:v>31155.772090824023</c:v>
                </c:pt>
                <c:pt idx="12">
                  <c:v>31640.886004166405</c:v>
                </c:pt>
                <c:pt idx="13">
                  <c:v>32138.848682501313</c:v>
                </c:pt>
                <c:pt idx="14">
                  <c:v>32649.967391121208</c:v>
                </c:pt>
                <c:pt idx="15">
                  <c:v>33174.556554724717</c:v>
                </c:pt>
                <c:pt idx="16">
                  <c:v>33712.937923873404</c:v>
                </c:pt>
                <c:pt idx="17">
                  <c:v>34265.440745341613</c:v>
                </c:pt>
                <c:pt idx="18">
                  <c:v>34832.401936451141</c:v>
                </c:pt>
                <c:pt idx="19">
                  <c:v>35414.166263484636</c:v>
                </c:pt>
                <c:pt idx="20">
                  <c:v>36011.086524273982</c:v>
                </c:pt>
                <c:pt idx="21">
                  <c:v>36623.523735062357</c:v>
                </c:pt>
                <c:pt idx="22">
                  <c:v>37251.847321740432</c:v>
                </c:pt>
                <c:pt idx="23">
                  <c:v>37896.435315560419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AA-49F8-A122-3AABA6424660}"/>
            </c:ext>
          </c:extLst>
        </c:ser>
        <c:ser>
          <c:idx val="3"/>
          <c:order val="3"/>
          <c:tx>
            <c:strRef>
              <c:f>' Summary Data'!$F$63</c:f>
              <c:strCache>
                <c:ptCount val="1"/>
                <c:pt idx="0">
                  <c:v>COMM/IND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 Summary Data'!$B$64:$B$87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Data'!$F$64:$F$87</c:f>
              <c:numCache>
                <c:formatCode>_(* #,##0_);_(* \(#,##0\);_(* "-"??_);_(@_)</c:formatCode>
                <c:ptCount val="24"/>
                <c:pt idx="0">
                  <c:v>608832.91807317291</c:v>
                </c:pt>
                <c:pt idx="1">
                  <c:v>617126.57074901008</c:v>
                </c:pt>
                <c:pt idx="2">
                  <c:v>625646.87585274805</c:v>
                </c:pt>
                <c:pt idx="3">
                  <c:v>634399.29440273554</c:v>
                </c:pt>
                <c:pt idx="4">
                  <c:v>643389.41476765403</c:v>
                </c:pt>
                <c:pt idx="5">
                  <c:v>652622.9556233281</c:v>
                </c:pt>
                <c:pt idx="6">
                  <c:v>662105.76897854835</c:v>
                </c:pt>
                <c:pt idx="7">
                  <c:v>671843.84327152336</c:v>
                </c:pt>
                <c:pt idx="8">
                  <c:v>681843.30653863051</c:v>
                </c:pt>
                <c:pt idx="9">
                  <c:v>692110.42965716124</c:v>
                </c:pt>
                <c:pt idx="10">
                  <c:v>702651.62966380746</c:v>
                </c:pt>
                <c:pt idx="11">
                  <c:v>713473.47315066878</c:v>
                </c:pt>
                <c:pt idx="12">
                  <c:v>724582.67974061042</c:v>
                </c:pt>
                <c:pt idx="13">
                  <c:v>735986.12564383855</c:v>
                </c:pt>
                <c:pt idx="14">
                  <c:v>747690.84729760629</c:v>
                </c:pt>
                <c:pt idx="15">
                  <c:v>759704.04509101401</c:v>
                </c:pt>
                <c:pt idx="16">
                  <c:v>772033.08717690269</c:v>
                </c:pt>
                <c:pt idx="17">
                  <c:v>784685.51337290008</c:v>
                </c:pt>
                <c:pt idx="18">
                  <c:v>797669.03915371979</c:v>
                </c:pt>
                <c:pt idx="19">
                  <c:v>810991.55973686383</c:v>
                </c:pt>
                <c:pt idx="20">
                  <c:v>824661.15426393412</c:v>
                </c:pt>
                <c:pt idx="21">
                  <c:v>838686.09007981082</c:v>
                </c:pt>
                <c:pt idx="22">
                  <c:v>853074.82711200009</c:v>
                </c:pt>
                <c:pt idx="23">
                  <c:v>867836.02235252562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AA-49F8-A122-3AABA6424660}"/>
            </c:ext>
          </c:extLst>
        </c:ser>
        <c:ser>
          <c:idx val="4"/>
          <c:order val="4"/>
          <c:tx>
            <c:strRef>
              <c:f>' Summary Data'!$G$63</c:f>
              <c:strCache>
                <c:ptCount val="1"/>
                <c:pt idx="0">
                  <c:v>LGE FIRM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 Summary Data'!$B$64:$B$87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Data'!$G$64:$G$87</c:f>
              <c:numCache>
                <c:formatCode>_(* #,##0_);_(* \(#,##0\);_(* "-"??_);_(@_)</c:formatCode>
                <c:ptCount val="24"/>
                <c:pt idx="0">
                  <c:v>176722.77555165795</c:v>
                </c:pt>
                <c:pt idx="1">
                  <c:v>179130.13112792003</c:v>
                </c:pt>
                <c:pt idx="2">
                  <c:v>181603.27592969069</c:v>
                </c:pt>
                <c:pt idx="3">
                  <c:v>184143.79509846159</c:v>
                </c:pt>
                <c:pt idx="4">
                  <c:v>186753.31074104537</c:v>
                </c:pt>
                <c:pt idx="5">
                  <c:v>189433.48278783381</c:v>
                </c:pt>
                <c:pt idx="6">
                  <c:v>192186.00987108762</c:v>
                </c:pt>
                <c:pt idx="7">
                  <c:v>195012.63022372755</c:v>
                </c:pt>
                <c:pt idx="8">
                  <c:v>197915.12259911132</c:v>
                </c:pt>
                <c:pt idx="9">
                  <c:v>200895.30721228835</c:v>
                </c:pt>
                <c:pt idx="10">
                  <c:v>203955.04670323976</c:v>
                </c:pt>
                <c:pt idx="11">
                  <c:v>207096.24712261971</c:v>
                </c:pt>
                <c:pt idx="12">
                  <c:v>210320.85894052946</c:v>
                </c:pt>
                <c:pt idx="13">
                  <c:v>213630.87807886628</c:v>
                </c:pt>
                <c:pt idx="14">
                  <c:v>217028.3469678018</c:v>
                </c:pt>
                <c:pt idx="15">
                  <c:v>220515.35562696061</c:v>
                </c:pt>
                <c:pt idx="16">
                  <c:v>224094.04277187871</c:v>
                </c:pt>
                <c:pt idx="17">
                  <c:v>227766.59694634014</c:v>
                </c:pt>
                <c:pt idx="18">
                  <c:v>231535.25768120072</c:v>
                </c:pt>
                <c:pt idx="19">
                  <c:v>235402.31668032397</c:v>
                </c:pt>
                <c:pt idx="20">
                  <c:v>239370.11903426843</c:v>
                </c:pt>
                <c:pt idx="21">
                  <c:v>243441.06446238293</c:v>
                </c:pt>
                <c:pt idx="22">
                  <c:v>247617.60858397689</c:v>
                </c:pt>
                <c:pt idx="23">
                  <c:v>251902.26421925591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AA-49F8-A122-3AABA6424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8768599"/>
        <c:axId val="978777783"/>
      </c:barChart>
      <c:catAx>
        <c:axId val="978768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77783"/>
        <c:crosses val="autoZero"/>
        <c:auto val="1"/>
        <c:lblAlgn val="ctr"/>
        <c:lblOffset val="100"/>
        <c:noMultiLvlLbl val="0"/>
      </c:catAx>
      <c:valAx>
        <c:axId val="978777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68599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236899431482297"/>
          <c:y val="8.6735152131639306E-2"/>
          <c:w val="0.80507176625369192"/>
          <c:h val="4.6499880608044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Projected Kauai</a:t>
            </a:r>
            <a:r>
              <a:rPr lang="en-US" baseline="0">
                <a:solidFill>
                  <a:sysClr val="windowText" lastClr="000000"/>
                </a:solidFill>
              </a:rPr>
              <a:t> </a:t>
            </a:r>
            <a:r>
              <a:rPr lang="en-US">
                <a:solidFill>
                  <a:sysClr val="windowText" lastClr="000000"/>
                </a:solidFill>
              </a:rPr>
              <a:t>Demand</a:t>
            </a:r>
            <a:r>
              <a:rPr lang="en-US" baseline="0">
                <a:solidFill>
                  <a:sysClr val="windowText" lastClr="000000"/>
                </a:solidFill>
              </a:rPr>
              <a:t> by Rate Schedule</a:t>
            </a: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4801936940693962"/>
          <c:y val="2.173426490701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40650601767771"/>
          <c:y val="0.15217347502886927"/>
          <c:w val="0.88450984562028956"/>
          <c:h val="0.709024842053300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 Summary Data'!$C$92</c:f>
              <c:strCache>
                <c:ptCount val="1"/>
                <c:pt idx="0">
                  <c:v>GEN SERVICE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 Summary Data'!$B$93:$B$116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Data'!$C$93:$C$116</c:f>
              <c:numCache>
                <c:formatCode>_(* #,##0_);_(* \(#,##0\);_(* "-"??_);_(@_)</c:formatCode>
                <c:ptCount val="24"/>
                <c:pt idx="0">
                  <c:v>1163.6137979478835</c:v>
                </c:pt>
                <c:pt idx="1">
                  <c:v>1179.4647948347365</c:v>
                </c:pt>
                <c:pt idx="2">
                  <c:v>1195.7489744300383</c:v>
                </c:pt>
                <c:pt idx="3">
                  <c:v>1212.4767739426072</c:v>
                </c:pt>
                <c:pt idx="4">
                  <c:v>1229.658873975796</c:v>
                </c:pt>
                <c:pt idx="5">
                  <c:v>1247.3062041786065</c:v>
                </c:pt>
                <c:pt idx="6">
                  <c:v>1265.4299490287044</c:v>
                </c:pt>
                <c:pt idx="7">
                  <c:v>1284.0415537504216</c:v>
                </c:pt>
                <c:pt idx="8">
                  <c:v>1303.1527303709343</c:v>
                </c:pt>
                <c:pt idx="9">
                  <c:v>1322.7754639178681</c:v>
                </c:pt>
                <c:pt idx="10">
                  <c:v>1342.9220187616515</c:v>
                </c:pt>
                <c:pt idx="11">
                  <c:v>1363.6049451060364</c:v>
                </c:pt>
                <c:pt idx="12">
                  <c:v>1384.8370856302713</c:v>
                </c:pt>
                <c:pt idx="13">
                  <c:v>1406.6315822865015</c:v>
                </c:pt>
                <c:pt idx="14">
                  <c:v>1429.0018832560468</c:v>
                </c:pt>
                <c:pt idx="15">
                  <c:v>1451.9617500683178</c:v>
                </c:pt>
                <c:pt idx="16">
                  <c:v>1475.525264886181</c:v>
                </c:pt>
                <c:pt idx="17">
                  <c:v>1499.7068379617199</c:v>
                </c:pt>
                <c:pt idx="18">
                  <c:v>1524.5212152663942</c:v>
                </c:pt>
                <c:pt idx="19">
                  <c:v>1549.9834862997225</c:v>
                </c:pt>
                <c:pt idx="20">
                  <c:v>1576.1090920806837</c:v>
                </c:pt>
                <c:pt idx="21">
                  <c:v>1602.9138333261728</c:v>
                </c:pt>
                <c:pt idx="22">
                  <c:v>1630.4138788208988</c:v>
                </c:pt>
                <c:pt idx="23">
                  <c:v>1658.6257739832656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3-4C8D-9D52-A26F4B7C9BA0}"/>
            </c:ext>
          </c:extLst>
        </c:ser>
        <c:ser>
          <c:idx val="1"/>
          <c:order val="1"/>
          <c:tx>
            <c:strRef>
              <c:f>' Summary Data'!$D$92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 Summary Data'!$B$93:$B$116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Data'!$D$93:$D$116</c:f>
              <c:numCache>
                <c:formatCode>_(* #,##0_);_(* \(#,##0\);_(* "-"??_);_(@_)</c:formatCode>
                <c:ptCount val="24"/>
                <c:pt idx="0">
                  <c:v>163715.61065166557</c:v>
                </c:pt>
                <c:pt idx="1">
                  <c:v>165945.77983610233</c:v>
                </c:pt>
                <c:pt idx="2">
                  <c:v>168236.89602182293</c:v>
                </c:pt>
                <c:pt idx="3">
                  <c:v>170590.42768059886</c:v>
                </c:pt>
                <c:pt idx="4">
                  <c:v>173007.87752879798</c:v>
                </c:pt>
                <c:pt idx="5">
                  <c:v>175490.78332247277</c:v>
                </c:pt>
                <c:pt idx="6">
                  <c:v>178040.71867100635</c:v>
                </c:pt>
                <c:pt idx="7">
                  <c:v>180659.29386975095</c:v>
                </c:pt>
                <c:pt idx="8">
                  <c:v>183348.15675210673</c:v>
                </c:pt>
                <c:pt idx="9">
                  <c:v>186108.99356149897</c:v>
                </c:pt>
                <c:pt idx="10">
                  <c:v>188943.52984372084</c:v>
                </c:pt>
                <c:pt idx="11">
                  <c:v>191853.53136012264</c:v>
                </c:pt>
                <c:pt idx="12">
                  <c:v>194840.80502213773</c:v>
                </c:pt>
                <c:pt idx="13">
                  <c:v>197907.19984764856</c:v>
                </c:pt>
                <c:pt idx="14">
                  <c:v>201054.60793970583</c:v>
                </c:pt>
                <c:pt idx="15">
                  <c:v>204284.96548813037</c:v>
                </c:pt>
                <c:pt idx="16">
                  <c:v>207600.25379453358</c:v>
                </c:pt>
                <c:pt idx="17">
                  <c:v>211002.50032131205</c:v>
                </c:pt>
                <c:pt idx="18">
                  <c:v>214493.77976517918</c:v>
                </c:pt>
                <c:pt idx="19">
                  <c:v>218076.21515581405</c:v>
                </c:pt>
                <c:pt idx="20">
                  <c:v>221751.97898021856</c:v>
                </c:pt>
                <c:pt idx="21">
                  <c:v>225523.29433339182</c:v>
                </c:pt>
                <c:pt idx="22">
                  <c:v>229392.43609594018</c:v>
                </c:pt>
                <c:pt idx="23">
                  <c:v>233361.73213926065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3-4C8D-9D52-A26F4B7C9BA0}"/>
            </c:ext>
          </c:extLst>
        </c:ser>
        <c:ser>
          <c:idx val="2"/>
          <c:order val="2"/>
          <c:tx>
            <c:strRef>
              <c:f>' Summary Data'!$E$92</c:f>
              <c:strCache>
                <c:ptCount val="1"/>
                <c:pt idx="0">
                  <c:v>COMM/IND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 Summary Data'!$B$93:$B$116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Data'!$E$93:$E$116</c:f>
              <c:numCache>
                <c:formatCode>_(* #,##0_);_(* \(#,##0\);_(* "-"??_);_(@_)</c:formatCode>
                <c:ptCount val="24"/>
                <c:pt idx="0">
                  <c:v>115051.13640128204</c:v>
                </c:pt>
                <c:pt idx="1">
                  <c:v>116618.3876732606</c:v>
                </c:pt>
                <c:pt idx="2">
                  <c:v>118228.46944704682</c:v>
                </c:pt>
                <c:pt idx="3">
                  <c:v>119882.41369109751</c:v>
                </c:pt>
                <c:pt idx="4">
                  <c:v>121581.27643925771</c:v>
                </c:pt>
                <c:pt idx="5">
                  <c:v>123326.13834950894</c:v>
                </c:pt>
                <c:pt idx="6">
                  <c:v>125118.10527575883</c:v>
                </c:pt>
                <c:pt idx="7">
                  <c:v>126958.30885297777</c:v>
                </c:pt>
                <c:pt idx="8">
                  <c:v>128847.90709599732</c:v>
                </c:pt>
                <c:pt idx="9">
                  <c:v>130788.08501229204</c:v>
                </c:pt>
                <c:pt idx="10">
                  <c:v>132780.05522907339</c:v>
                </c:pt>
                <c:pt idx="11">
                  <c:v>134825.05863503343</c:v>
                </c:pt>
                <c:pt idx="12">
                  <c:v>136924.36503708275</c:v>
                </c:pt>
                <c:pt idx="13">
                  <c:v>139079.2738324368</c:v>
                </c:pt>
                <c:pt idx="14">
                  <c:v>141291.1146964106</c:v>
                </c:pt>
                <c:pt idx="15">
                  <c:v>143561.24828629452</c:v>
                </c:pt>
                <c:pt idx="16">
                  <c:v>145891.0669616872</c:v>
                </c:pt>
                <c:pt idx="17">
                  <c:v>148281.99552167664</c:v>
                </c:pt>
                <c:pt idx="18">
                  <c:v>150735.4919592643</c:v>
                </c:pt>
                <c:pt idx="19">
                  <c:v>153253.04823344064</c:v>
                </c:pt>
                <c:pt idx="20">
                  <c:v>155836.19105932704</c:v>
                </c:pt>
                <c:pt idx="21">
                  <c:v>158486.48271681214</c:v>
                </c:pt>
                <c:pt idx="22">
                  <c:v>161205.5218781172</c:v>
                </c:pt>
                <c:pt idx="23">
                  <c:v>163994.9444547387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D3-4C8D-9D52-A26F4B7C9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8768599"/>
        <c:axId val="978777783"/>
      </c:barChart>
      <c:catAx>
        <c:axId val="978768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77783"/>
        <c:crosses val="autoZero"/>
        <c:auto val="1"/>
        <c:lblAlgn val="ctr"/>
        <c:lblOffset val="100"/>
        <c:noMultiLvlLbl val="0"/>
      </c:catAx>
      <c:valAx>
        <c:axId val="978777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68599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236899431482297"/>
          <c:y val="8.6735152131639306E-2"/>
          <c:w val="0.80507176625369192"/>
          <c:h val="4.6499880608044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Supply Portfolio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542156071247201E-2"/>
          <c:y val="5.3636119113461382E-2"/>
          <c:w val="0.90662498187450702"/>
          <c:h val="0.684152910818260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'Supply Porfolio (Live)'!$E$8</c:f>
              <c:strCache>
                <c:ptCount val="1"/>
                <c:pt idx="0">
                  <c:v>SNG- Firm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(Live)'!$G$8:$AI$8</c15:sqref>
                  </c15:fullRef>
                </c:ext>
              </c:extLst>
              <c:f>'Supply Porfolio (Live)'!$G$8:$AD$8</c:f>
              <c:numCache>
                <c:formatCode>#,##0</c:formatCode>
                <c:ptCount val="24"/>
                <c:pt idx="0">
                  <c:v>65185</c:v>
                </c:pt>
                <c:pt idx="1">
                  <c:v>62685.483658376354</c:v>
                </c:pt>
                <c:pt idx="2">
                  <c:v>59185.218745440317</c:v>
                </c:pt>
                <c:pt idx="3">
                  <c:v>50412.146777287118</c:v>
                </c:pt>
                <c:pt idx="4">
                  <c:v>50774.078366469817</c:v>
                </c:pt>
                <c:pt idx="5">
                  <c:v>51103.158837052331</c:v>
                </c:pt>
                <c:pt idx="6">
                  <c:v>51473.935021010584</c:v>
                </c:pt>
                <c:pt idx="7">
                  <c:v>51881.720690615468</c:v>
                </c:pt>
                <c:pt idx="8">
                  <c:v>49065.926282057328</c:v>
                </c:pt>
                <c:pt idx="9">
                  <c:v>49470.0734421749</c:v>
                </c:pt>
                <c:pt idx="10">
                  <c:v>49912.559333749385</c:v>
                </c:pt>
                <c:pt idx="11">
                  <c:v>50395.74457571582</c:v>
                </c:pt>
                <c:pt idx="12">
                  <c:v>50920.972555061286</c:v>
                </c:pt>
                <c:pt idx="13">
                  <c:v>47270.964124539503</c:v>
                </c:pt>
                <c:pt idx="14">
                  <c:v>47862.873228418845</c:v>
                </c:pt>
                <c:pt idx="15">
                  <c:v>48490.343238268011</c:v>
                </c:pt>
                <c:pt idx="16">
                  <c:v>49116.937790218675</c:v>
                </c:pt>
                <c:pt idx="17">
                  <c:v>49820.424252678255</c:v>
                </c:pt>
                <c:pt idx="18">
                  <c:v>34812.220771091466</c:v>
                </c:pt>
                <c:pt idx="19">
                  <c:v>35482.044192397429</c:v>
                </c:pt>
                <c:pt idx="20">
                  <c:v>36211.838894465487</c:v>
                </c:pt>
                <c:pt idx="21">
                  <c:v>36862.410170092488</c:v>
                </c:pt>
                <c:pt idx="22">
                  <c:v>37498.805605907342</c:v>
                </c:pt>
                <c:pt idx="23">
                  <c:v>38266.403908338398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B-45CB-B269-E22F1409AA86}"/>
            </c:ext>
          </c:extLst>
        </c:ser>
        <c:ser>
          <c:idx val="1"/>
          <c:order val="1"/>
          <c:tx>
            <c:strRef>
              <c:f>'Supply Porfolio (Live)'!$E$9</c:f>
              <c:strCache>
                <c:ptCount val="1"/>
                <c:pt idx="0">
                  <c:v>SNG - Interruptible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(Live)'!$G$9:$AI$9</c15:sqref>
                  </c15:fullRef>
                </c:ext>
              </c:extLst>
              <c:f>'Supply Porfolio (Live)'!$G$9:$AD$9</c:f>
              <c:numCache>
                <c:formatCode>#,##0</c:formatCode>
                <c:ptCount val="24"/>
                <c:pt idx="0">
                  <c:v>12606</c:v>
                </c:pt>
                <c:pt idx="1">
                  <c:v>12483</c:v>
                </c:pt>
                <c:pt idx="2">
                  <c:v>12605</c:v>
                </c:pt>
                <c:pt idx="3">
                  <c:v>12605</c:v>
                </c:pt>
                <c:pt idx="4">
                  <c:v>12605</c:v>
                </c:pt>
                <c:pt idx="5">
                  <c:v>12605</c:v>
                </c:pt>
                <c:pt idx="6">
                  <c:v>12605</c:v>
                </c:pt>
                <c:pt idx="7">
                  <c:v>12605</c:v>
                </c:pt>
                <c:pt idx="8">
                  <c:v>12605</c:v>
                </c:pt>
                <c:pt idx="9">
                  <c:v>12605</c:v>
                </c:pt>
                <c:pt idx="10">
                  <c:v>12605</c:v>
                </c:pt>
                <c:pt idx="11">
                  <c:v>12605</c:v>
                </c:pt>
                <c:pt idx="12">
                  <c:v>12605</c:v>
                </c:pt>
                <c:pt idx="13">
                  <c:v>12605</c:v>
                </c:pt>
                <c:pt idx="14">
                  <c:v>12605</c:v>
                </c:pt>
                <c:pt idx="15">
                  <c:v>12605</c:v>
                </c:pt>
                <c:pt idx="16">
                  <c:v>12605</c:v>
                </c:pt>
                <c:pt idx="17">
                  <c:v>12605</c:v>
                </c:pt>
                <c:pt idx="18">
                  <c:v>12605</c:v>
                </c:pt>
                <c:pt idx="19">
                  <c:v>12605</c:v>
                </c:pt>
                <c:pt idx="20">
                  <c:v>12605</c:v>
                </c:pt>
                <c:pt idx="21">
                  <c:v>12605</c:v>
                </c:pt>
                <c:pt idx="22">
                  <c:v>12605</c:v>
                </c:pt>
                <c:pt idx="23">
                  <c:v>12605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B-45CB-B269-E22F1409AA86}"/>
            </c:ext>
          </c:extLst>
        </c:ser>
        <c:ser>
          <c:idx val="3"/>
          <c:order val="3"/>
          <c:tx>
            <c:strRef>
              <c:f>'Supply Porfolio (Live)'!$E$11</c:f>
              <c:strCache>
                <c:ptCount val="1"/>
                <c:pt idx="0">
                  <c:v>LNG ISO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(Live)'!$G$11:$AI$11</c15:sqref>
                  </c15:fullRef>
                </c:ext>
              </c:extLst>
              <c:f>'Supply Porfolio (Live)'!$G$11:$AD$11</c:f>
              <c:numCache>
                <c:formatCode>#,##0</c:formatCode>
                <c:ptCount val="24"/>
                <c:pt idx="0">
                  <c:v>0</c:v>
                </c:pt>
                <c:pt idx="1">
                  <c:v>3500</c:v>
                </c:pt>
                <c:pt idx="2">
                  <c:v>7000</c:v>
                </c:pt>
                <c:pt idx="3">
                  <c:v>14000</c:v>
                </c:pt>
                <c:pt idx="4">
                  <c:v>14000</c:v>
                </c:pt>
                <c:pt idx="5">
                  <c:v>14000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  <c:pt idx="21">
                  <c:v>14000</c:v>
                </c:pt>
                <c:pt idx="22">
                  <c:v>14000</c:v>
                </c:pt>
                <c:pt idx="23">
                  <c:v>14000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7B-45CB-B269-E22F1409AA86}"/>
            </c:ext>
          </c:extLst>
        </c:ser>
        <c:ser>
          <c:idx val="4"/>
          <c:order val="4"/>
          <c:tx>
            <c:strRef>
              <c:f>'Supply Porfolio (Live)'!$E$12</c:f>
              <c:strCache>
                <c:ptCount val="1"/>
                <c:pt idx="0">
                  <c:v>Propane Air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(Live)'!$G$12:$AI$12</c15:sqref>
                  </c15:fullRef>
                </c:ext>
              </c:extLst>
              <c:f>'Supply Porfolio (Live)'!$G$12:$AD$12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7B-45CB-B269-E22F1409AA86}"/>
            </c:ext>
          </c:extLst>
        </c:ser>
        <c:ser>
          <c:idx val="5"/>
          <c:order val="5"/>
          <c:tx>
            <c:strRef>
              <c:f>'Supply Porfolio (Live)'!$E$13</c:f>
              <c:strCache>
                <c:ptCount val="1"/>
                <c:pt idx="0">
                  <c:v>Exist. WWTP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(Live)'!$G$13:$AI$13</c15:sqref>
                  </c15:fullRef>
                </c:ext>
              </c:extLst>
              <c:f>'Supply Porfolio (Live)'!$G$13:$AD$13</c:f>
              <c:numCache>
                <c:formatCode>#,##0</c:formatCode>
                <c:ptCount val="24"/>
                <c:pt idx="0">
                  <c:v>2191.7808219178082</c:v>
                </c:pt>
                <c:pt idx="1">
                  <c:v>2191.7808219178082</c:v>
                </c:pt>
                <c:pt idx="2">
                  <c:v>2191.7808219178082</c:v>
                </c:pt>
                <c:pt idx="3">
                  <c:v>2191.7808219178082</c:v>
                </c:pt>
                <c:pt idx="4">
                  <c:v>2191.7808219178082</c:v>
                </c:pt>
                <c:pt idx="5">
                  <c:v>2191.7808219178082</c:v>
                </c:pt>
                <c:pt idx="6">
                  <c:v>2191.7808219178082</c:v>
                </c:pt>
                <c:pt idx="7">
                  <c:v>2191.7808219178082</c:v>
                </c:pt>
                <c:pt idx="8">
                  <c:v>2191.7808219178082</c:v>
                </c:pt>
                <c:pt idx="9">
                  <c:v>2191.7808219178082</c:v>
                </c:pt>
                <c:pt idx="10">
                  <c:v>2191.7808219178082</c:v>
                </c:pt>
                <c:pt idx="11">
                  <c:v>2191.7808219178082</c:v>
                </c:pt>
                <c:pt idx="12">
                  <c:v>2191.7808219178082</c:v>
                </c:pt>
                <c:pt idx="13">
                  <c:v>2191.7808219178082</c:v>
                </c:pt>
                <c:pt idx="14">
                  <c:v>2191.7808219178082</c:v>
                </c:pt>
                <c:pt idx="15">
                  <c:v>2191.7808219178082</c:v>
                </c:pt>
                <c:pt idx="16">
                  <c:v>2191.7808219178082</c:v>
                </c:pt>
                <c:pt idx="17">
                  <c:v>2191.7808219178082</c:v>
                </c:pt>
                <c:pt idx="18">
                  <c:v>2191.7808219178082</c:v>
                </c:pt>
                <c:pt idx="19">
                  <c:v>2191.7808219178082</c:v>
                </c:pt>
                <c:pt idx="20">
                  <c:v>2191.7808219178082</c:v>
                </c:pt>
                <c:pt idx="21">
                  <c:v>2191.7808219178082</c:v>
                </c:pt>
                <c:pt idx="22">
                  <c:v>2191.7808219178082</c:v>
                </c:pt>
                <c:pt idx="23">
                  <c:v>2191.7808219178082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7B-45CB-B269-E22F1409AA86}"/>
            </c:ext>
          </c:extLst>
        </c:ser>
        <c:ser>
          <c:idx val="6"/>
          <c:order val="6"/>
          <c:tx>
            <c:strRef>
              <c:f>'Supply Porfolio (Live)'!$E$34</c:f>
              <c:strCache>
                <c:ptCount val="1"/>
                <c:pt idx="0">
                  <c:v>WWTP Expansion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(Live)'!$G$34:$AI$34</c15:sqref>
                  </c15:fullRef>
                </c:ext>
              </c:extLst>
              <c:f>'Supply Porfolio (Live)'!$G$34:$AD$34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2157.4700878889521</c:v>
                </c:pt>
                <c:pt idx="4">
                  <c:v>2157.4700878889521</c:v>
                </c:pt>
                <c:pt idx="5">
                  <c:v>2157.4700878889521</c:v>
                </c:pt>
                <c:pt idx="6">
                  <c:v>2157.4700878889521</c:v>
                </c:pt>
                <c:pt idx="7">
                  <c:v>2157.4700878889521</c:v>
                </c:pt>
                <c:pt idx="8">
                  <c:v>2157.4700878889521</c:v>
                </c:pt>
                <c:pt idx="9">
                  <c:v>2157.4700878889521</c:v>
                </c:pt>
                <c:pt idx="10">
                  <c:v>2157.4700878889521</c:v>
                </c:pt>
                <c:pt idx="11">
                  <c:v>2157.4700878889521</c:v>
                </c:pt>
                <c:pt idx="12">
                  <c:v>2157.4700878889521</c:v>
                </c:pt>
                <c:pt idx="13">
                  <c:v>2157.4700878889521</c:v>
                </c:pt>
                <c:pt idx="14">
                  <c:v>2157.4700878889521</c:v>
                </c:pt>
                <c:pt idx="15">
                  <c:v>2157.4700878889521</c:v>
                </c:pt>
                <c:pt idx="16">
                  <c:v>2157.4700878889521</c:v>
                </c:pt>
                <c:pt idx="17">
                  <c:v>2157.4700878889521</c:v>
                </c:pt>
                <c:pt idx="18">
                  <c:v>2157.4700878889521</c:v>
                </c:pt>
                <c:pt idx="19">
                  <c:v>2157.4700878889521</c:v>
                </c:pt>
                <c:pt idx="20">
                  <c:v>2157.4700878889521</c:v>
                </c:pt>
                <c:pt idx="21">
                  <c:v>2157.4700878889521</c:v>
                </c:pt>
                <c:pt idx="22">
                  <c:v>2157.4700878889521</c:v>
                </c:pt>
                <c:pt idx="23">
                  <c:v>2157.4700878889521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7B-45CB-B269-E22F1409AA86}"/>
            </c:ext>
          </c:extLst>
        </c:ser>
        <c:ser>
          <c:idx val="7"/>
          <c:order val="7"/>
          <c:tx>
            <c:strRef>
              <c:f>'Supply Porfolio (Live)'!$E$35</c:f>
              <c:strCache>
                <c:ptCount val="1"/>
                <c:pt idx="0">
                  <c:v>BioCrop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(Live)'!$G$35:$AI$35</c15:sqref>
                  </c15:fullRef>
                </c:ext>
              </c:extLst>
              <c:f>'Supply Porfolio (Live)'!$G$35:$AD$35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3235.7296497163575</c:v>
                </c:pt>
                <c:pt idx="9">
                  <c:v>3235.7296497163575</c:v>
                </c:pt>
                <c:pt idx="10">
                  <c:v>3235.7296497163575</c:v>
                </c:pt>
                <c:pt idx="11">
                  <c:v>3235.7296497163575</c:v>
                </c:pt>
                <c:pt idx="12">
                  <c:v>3235.7296497163575</c:v>
                </c:pt>
                <c:pt idx="13">
                  <c:v>3235.7296497163575</c:v>
                </c:pt>
                <c:pt idx="14">
                  <c:v>3235.7296497163575</c:v>
                </c:pt>
                <c:pt idx="15">
                  <c:v>3235.7296497163575</c:v>
                </c:pt>
                <c:pt idx="16">
                  <c:v>3235.7296497163575</c:v>
                </c:pt>
                <c:pt idx="17">
                  <c:v>3235.7296497163575</c:v>
                </c:pt>
                <c:pt idx="18">
                  <c:v>3235.7296497163575</c:v>
                </c:pt>
                <c:pt idx="19">
                  <c:v>3235.7296497163575</c:v>
                </c:pt>
                <c:pt idx="20">
                  <c:v>3235.7296497163575</c:v>
                </c:pt>
                <c:pt idx="21">
                  <c:v>3235.7296497163575</c:v>
                </c:pt>
                <c:pt idx="22">
                  <c:v>3235.7296497163575</c:v>
                </c:pt>
                <c:pt idx="23">
                  <c:v>3235.7296497163575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7B-45CB-B269-E22F1409AA86}"/>
            </c:ext>
          </c:extLst>
        </c:ser>
        <c:ser>
          <c:idx val="8"/>
          <c:order val="8"/>
          <c:tx>
            <c:strRef>
              <c:f>'Supply Porfolio (Live)'!$E$36</c:f>
              <c:strCache>
                <c:ptCount val="1"/>
                <c:pt idx="0">
                  <c:v>LFG Exp. 3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(Live)'!$G$36:$AI$36</c15:sqref>
                  </c15:fullRef>
                </c:ext>
              </c:extLst>
              <c:f>'Supply Porfolio (Live)'!$G$36:$AD$36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4168.3048437784746</c:v>
                </c:pt>
                <c:pt idx="14">
                  <c:v>4071.2055052998276</c:v>
                </c:pt>
                <c:pt idx="15">
                  <c:v>3978.0169867506083</c:v>
                </c:pt>
                <c:pt idx="16">
                  <c:v>3888.5817740554357</c:v>
                </c:pt>
                <c:pt idx="17">
                  <c:v>3802.7486972520292</c:v>
                </c:pt>
                <c:pt idx="18">
                  <c:v>3720.3726749726393</c:v>
                </c:pt>
                <c:pt idx="19">
                  <c:v>3641.3144692168717</c:v>
                </c:pt>
                <c:pt idx="20">
                  <c:v>3565.4404500013898</c:v>
                </c:pt>
                <c:pt idx="21">
                  <c:v>3492.6223694887103</c:v>
                </c:pt>
                <c:pt idx="22">
                  <c:v>3422.7371452132993</c:v>
                </c:pt>
                <c:pt idx="23">
                  <c:v>3355.6666520385406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7B-45CB-B269-E22F1409AA86}"/>
            </c:ext>
          </c:extLst>
        </c:ser>
        <c:ser>
          <c:idx val="9"/>
          <c:order val="9"/>
          <c:tx>
            <c:strRef>
              <c:f>'Supply Porfolio (Live)'!$E$37</c:f>
              <c:strCache>
                <c:ptCount val="1"/>
                <c:pt idx="0">
                  <c:v>CDW Exp. 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(Live)'!$G$37:$AI$37</c15:sqref>
                  </c15:fullRef>
                </c:ext>
              </c:extLst>
              <c:f>'Supply Porfolio (Live)'!$G$37:$AD$37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15616.438356164384</c:v>
                </c:pt>
                <c:pt idx="19">
                  <c:v>15616.438356164384</c:v>
                </c:pt>
                <c:pt idx="20">
                  <c:v>15616.438356164384</c:v>
                </c:pt>
                <c:pt idx="21">
                  <c:v>15616.438356164384</c:v>
                </c:pt>
                <c:pt idx="22">
                  <c:v>15616.438356164384</c:v>
                </c:pt>
                <c:pt idx="23">
                  <c:v>15616.438356164384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7B-45CB-B269-E22F1409AA86}"/>
            </c:ext>
          </c:extLst>
        </c:ser>
        <c:ser>
          <c:idx val="10"/>
          <c:order val="10"/>
          <c:tx>
            <c:strRef>
              <c:f>'Supply Porfolio (Live)'!$E$38</c:f>
              <c:strCache>
                <c:ptCount val="1"/>
                <c:pt idx="0">
                  <c:v>CDW Exp. 2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(Live)'!$G$38:$AI$38</c15:sqref>
                  </c15:fullRef>
                </c:ext>
              </c:extLst>
              <c:f>'Supply Porfolio (Live)'!$G$38:$AD$38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A-FA7B-45CB-B269-E22F1409AA86}"/>
            </c:ext>
          </c:extLst>
        </c:ser>
        <c:ser>
          <c:idx val="11"/>
          <c:order val="11"/>
          <c:tx>
            <c:strRef>
              <c:f>'Supply Porfolio (Live)'!$E$39</c:f>
              <c:strCache>
                <c:ptCount val="1"/>
                <c:pt idx="0">
                  <c:v>CDW Exp. 3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(Live)'!$G$39:$AI$39</c15:sqref>
                  </c15:fullRef>
                </c:ext>
              </c:extLst>
              <c:f>'Supply Porfolio (Live)'!$G$39:$AD$39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FA7B-45CB-B269-E22F1409AA86}"/>
            </c:ext>
          </c:extLst>
        </c:ser>
        <c:ser>
          <c:idx val="12"/>
          <c:order val="12"/>
          <c:tx>
            <c:strRef>
              <c:f>'Supply Porfolio (Live)'!$E$40</c:f>
              <c:strCache>
                <c:ptCount val="1"/>
                <c:pt idx="0">
                  <c:v>CDW Exp. 4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(Live)'!$G$40:$AI$40</c15:sqref>
                  </c15:fullRef>
                </c:ext>
              </c:extLst>
              <c:f>'Supply Porfolio (Live)'!$G$40:$AD$40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C-FA7B-45CB-B269-E22F1409AA86}"/>
            </c:ext>
          </c:extLst>
        </c:ser>
        <c:ser>
          <c:idx val="13"/>
          <c:order val="13"/>
          <c:tx>
            <c:strRef>
              <c:f>'Supply Porfolio (Live)'!$E$41</c:f>
              <c:strCache>
                <c:ptCount val="1"/>
                <c:pt idx="0">
                  <c:v>CDW Exp. 5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(Live)'!$G$41:$AI$41</c15:sqref>
                  </c15:fullRef>
                </c:ext>
              </c:extLst>
              <c:f>'Supply Porfolio (Live)'!$G$41:$AD$41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D-FA7B-45CB-B269-E22F1409AA86}"/>
            </c:ext>
          </c:extLst>
        </c:ser>
        <c:ser>
          <c:idx val="19"/>
          <c:order val="19"/>
          <c:tx>
            <c:strRef>
              <c:f>'Supply Porfolio (Live)'!$E$47</c:f>
              <c:strCache>
                <c:ptCount val="1"/>
                <c:pt idx="0">
                  <c:v>Green Hydrogen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(Live)'!$G$47:$AI$47</c15:sqref>
                  </c15:fullRef>
                </c:ext>
              </c:extLst>
              <c:f>'Supply Porfolio (Live)'!$G$47:$AD$47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3-FA7B-45CB-B269-E22F1409A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1647104"/>
        <c:axId val="921646448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'Supply Porfolio (Live)'!$E$10</c15:sqref>
                        </c15:formulaRef>
                      </c:ext>
                    </c:extLst>
                    <c:strCache>
                      <c:ptCount val="1"/>
                      <c:pt idx="0">
                        <c:v>SNG Additional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'Supply Porfolio (Live)'!$G$10:$AI$10</c15:sqref>
                        </c15:fullRef>
                        <c15:formulaRef>
                          <c15:sqref>'Supply Porfolio (Live)'!$G$10:$AD$10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A7B-45CB-B269-E22F1409AA86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(Live)'!$E$42</c15:sqref>
                        </c15:formulaRef>
                      </c:ext>
                    </c:extLst>
                    <c:strCache>
                      <c:ptCount val="1"/>
                      <c:pt idx="0">
                        <c:v>LNG ISO Exp 1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(Live)'!$G$42:$AI$42</c15:sqref>
                        </c15:fullRef>
                        <c15:formulaRef>
                          <c15:sqref>'Supply Porfolio (Live)'!$G$42:$AD$42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FA7B-45CB-B269-E22F1409AA86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(Live)'!$E$43</c15:sqref>
                        </c15:formulaRef>
                      </c:ext>
                    </c:extLst>
                    <c:strCache>
                      <c:ptCount val="1"/>
                      <c:pt idx="0">
                        <c:v>LNG ISO Exp 2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(Live)'!$G$43:$AI$43</c15:sqref>
                        </c15:fullRef>
                        <c15:formulaRef>
                          <c15:sqref>'Supply Porfolio (Live)'!$G$43:$AD$43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FA7B-45CB-B269-E22F1409AA86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(Live)'!$E$44</c15:sqref>
                        </c15:formulaRef>
                      </c:ext>
                    </c:extLst>
                    <c:strCache>
                      <c:ptCount val="1"/>
                      <c:pt idx="0">
                        <c:v>LNG ISO Exp 3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(Live)'!$G$44:$AI$44</c15:sqref>
                        </c15:fullRef>
                        <c15:formulaRef>
                          <c15:sqref>'Supply Porfolio (Live)'!$G$44:$AD$44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FA7B-45CB-B269-E22F1409AA86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(Live)'!$E$45</c15:sqref>
                        </c15:formulaRef>
                      </c:ext>
                    </c:extLst>
                    <c:strCache>
                      <c:ptCount val="1"/>
                      <c:pt idx="0">
                        <c:v>LNG ISO Exp 4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(Live)'!$G$45:$AI$45</c15:sqref>
                        </c15:fullRef>
                        <c15:formulaRef>
                          <c15:sqref>'Supply Porfolio (Live)'!$G$45:$AD$45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FA7B-45CB-B269-E22F1409AA86}"/>
                  </c:ext>
                </c:extLst>
              </c15:ser>
            </c15:filteredBarSeries>
            <c15:filteredBa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(Live)'!$E$46</c15:sqref>
                        </c15:formulaRef>
                      </c:ext>
                    </c:extLst>
                    <c:strCache>
                      <c:ptCount val="1"/>
                      <c:pt idx="0">
                        <c:v>LNG ISO Exp 5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(Live)'!$G$46:$AI$46</c15:sqref>
                        </c15:fullRef>
                        <c15:formulaRef>
                          <c15:sqref>'Supply Porfolio (Live)'!$G$46:$AD$46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FA7B-45CB-B269-E22F1409AA86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20"/>
          <c:order val="20"/>
          <c:tx>
            <c:v>Current Demand Scenario Selected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(Live)'!$G$17:$AI$17</c15:sqref>
                  </c15:fullRef>
                </c:ext>
              </c:extLst>
              <c:f>'Supply Porfolio (Live)'!$G$17:$AD$17</c:f>
              <c:numCache>
                <c:formatCode>#,##0</c:formatCode>
                <c:ptCount val="24"/>
                <c:pt idx="0">
                  <c:v>79982.36913990826</c:v>
                </c:pt>
                <c:pt idx="1">
                  <c:v>80860.264480294165</c:v>
                </c:pt>
                <c:pt idx="2">
                  <c:v>80981.999567358129</c:v>
                </c:pt>
                <c:pt idx="3">
                  <c:v>81366.397687093879</c:v>
                </c:pt>
                <c:pt idx="4">
                  <c:v>81728.329276276578</c:v>
                </c:pt>
                <c:pt idx="5">
                  <c:v>82057.409746859092</c:v>
                </c:pt>
                <c:pt idx="6">
                  <c:v>82428.185930817344</c:v>
                </c:pt>
                <c:pt idx="7">
                  <c:v>82835.971600422228</c:v>
                </c:pt>
                <c:pt idx="8">
                  <c:v>83255.90684158045</c:v>
                </c:pt>
                <c:pt idx="9">
                  <c:v>83660.054001698023</c:v>
                </c:pt>
                <c:pt idx="10">
                  <c:v>84102.539893272507</c:v>
                </c:pt>
                <c:pt idx="11">
                  <c:v>84585.725135238943</c:v>
                </c:pt>
                <c:pt idx="12">
                  <c:v>85110.953114584408</c:v>
                </c:pt>
                <c:pt idx="13">
                  <c:v>85629.249527841108</c:v>
                </c:pt>
                <c:pt idx="14">
                  <c:v>86124.059293241793</c:v>
                </c:pt>
                <c:pt idx="15">
                  <c:v>86658.340784541739</c:v>
                </c:pt>
                <c:pt idx="16">
                  <c:v>87195.500123797232</c:v>
                </c:pt>
                <c:pt idx="17">
                  <c:v>87813.153509453405</c:v>
                </c:pt>
                <c:pt idx="18">
                  <c:v>88339.012361751622</c:v>
                </c:pt>
                <c:pt idx="19">
                  <c:v>88929.777577301807</c:v>
                </c:pt>
                <c:pt idx="20">
                  <c:v>89583.698260154386</c:v>
                </c:pt>
                <c:pt idx="21">
                  <c:v>90161.451455268703</c:v>
                </c:pt>
                <c:pt idx="22">
                  <c:v>90727.961666808158</c:v>
                </c:pt>
                <c:pt idx="23">
                  <c:v>91428.489476064438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7B-45CB-B269-E22F1409A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647104"/>
        <c:axId val="921646448"/>
      </c:lineChart>
      <c:catAx>
        <c:axId val="92164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646448"/>
        <c:crosses val="autoZero"/>
        <c:auto val="1"/>
        <c:lblAlgn val="ctr"/>
        <c:lblOffset val="100"/>
        <c:noMultiLvlLbl val="0"/>
      </c:catAx>
      <c:valAx>
        <c:axId val="921646448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</a:rPr>
                  <a:t>Therms/Day</a:t>
                </a:r>
              </a:p>
            </c:rich>
          </c:tx>
          <c:layout>
            <c:manualLayout>
              <c:xMode val="edge"/>
              <c:yMode val="edge"/>
              <c:x val="1.0799038466542014E-2"/>
              <c:y val="0.288020259891077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647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569220054279836"/>
          <c:y val="0.81487064458273584"/>
          <c:w val="0.82358316184154523"/>
          <c:h val="0.134655987644882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Oahu</a:t>
            </a:r>
            <a:r>
              <a:rPr lang="en-US" baseline="0">
                <a:solidFill>
                  <a:sysClr val="windowText" lastClr="000000"/>
                </a:solidFill>
              </a:rPr>
              <a:t> </a:t>
            </a:r>
            <a:r>
              <a:rPr lang="en-US">
                <a:solidFill>
                  <a:sysClr val="windowText" lastClr="000000"/>
                </a:solidFill>
              </a:rPr>
              <a:t>System - Non Fuel</a:t>
            </a:r>
            <a:r>
              <a:rPr lang="en-US" baseline="0">
                <a:solidFill>
                  <a:sysClr val="windowText" lastClr="000000"/>
                </a:solidFill>
              </a:rPr>
              <a:t> </a:t>
            </a:r>
            <a:r>
              <a:rPr lang="en-US">
                <a:solidFill>
                  <a:sysClr val="windowText" lastClr="000000"/>
                </a:solidFill>
              </a:rPr>
              <a:t>Rate Base</a:t>
            </a:r>
          </a:p>
        </c:rich>
      </c:tx>
      <c:layout>
        <c:manualLayout>
          <c:xMode val="edge"/>
          <c:yMode val="edge"/>
          <c:x val="0.43930106322334667"/>
          <c:y val="2.09941356931990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819137606605313"/>
          <c:y val="0.16150566525401391"/>
          <c:w val="0.83529017907011538"/>
          <c:h val="0.70261556409998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'Oahu COS and Allocation'!$B$28</c:f>
              <c:strCache>
                <c:ptCount val="1"/>
                <c:pt idx="0">
                  <c:v>  Intangible Plant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'Oahu COS and Allocation'!$E$27:$AG$27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Allocation'!$E$28:$AG$28</c:f>
              <c:numCache>
                <c:formatCode>_("$"* #,##0_);_("$"* \(#,##0\);_("$"* "-"??_);_(@_)</c:formatCode>
                <c:ptCount val="29"/>
                <c:pt idx="0">
                  <c:v>373274.95195329573</c:v>
                </c:pt>
                <c:pt idx="1">
                  <c:v>373274.95195329573</c:v>
                </c:pt>
                <c:pt idx="2">
                  <c:v>373274.95195329573</c:v>
                </c:pt>
                <c:pt idx="3">
                  <c:v>373274.95195329573</c:v>
                </c:pt>
                <c:pt idx="4">
                  <c:v>373274.95195329573</c:v>
                </c:pt>
                <c:pt idx="5">
                  <c:v>373274.95195329573</c:v>
                </c:pt>
                <c:pt idx="6">
                  <c:v>384758.04880783195</c:v>
                </c:pt>
                <c:pt idx="7">
                  <c:v>402641.25829283218</c:v>
                </c:pt>
                <c:pt idx="8">
                  <c:v>416555.41081891005</c:v>
                </c:pt>
                <c:pt idx="9">
                  <c:v>429583.03902297933</c:v>
                </c:pt>
                <c:pt idx="10">
                  <c:v>441053.14551490929</c:v>
                </c:pt>
                <c:pt idx="11">
                  <c:v>454664.08686578076</c:v>
                </c:pt>
                <c:pt idx="12">
                  <c:v>468281.72370348038</c:v>
                </c:pt>
                <c:pt idx="13">
                  <c:v>481905.19815349113</c:v>
                </c:pt>
                <c:pt idx="14">
                  <c:v>495530.35934252269</c:v>
                </c:pt>
                <c:pt idx="15">
                  <c:v>509152.63502514182</c:v>
                </c:pt>
                <c:pt idx="16">
                  <c:v>522780.83388238691</c:v>
                </c:pt>
                <c:pt idx="17">
                  <c:v>536415.2444291201</c:v>
                </c:pt>
                <c:pt idx="18">
                  <c:v>550055.97688581073</c:v>
                </c:pt>
                <c:pt idx="19">
                  <c:v>563695.12072741578</c:v>
                </c:pt>
                <c:pt idx="20">
                  <c:v>577330.08541822759</c:v>
                </c:pt>
                <c:pt idx="21">
                  <c:v>590970.84517032164</c:v>
                </c:pt>
                <c:pt idx="22">
                  <c:v>604611.57468271872</c:v>
                </c:pt>
                <c:pt idx="23">
                  <c:v>618264.32778432686</c:v>
                </c:pt>
                <c:pt idx="24">
                  <c:v>631902.29070323287</c:v>
                </c:pt>
                <c:pt idx="25">
                  <c:v>645549.76245595317</c:v>
                </c:pt>
                <c:pt idx="26">
                  <c:v>659206.29085116356</c:v>
                </c:pt>
                <c:pt idx="27">
                  <c:v>672850.62623010343</c:v>
                </c:pt>
                <c:pt idx="28">
                  <c:v>686492.76186088589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B-46CC-8706-4A857750E07C}"/>
            </c:ext>
          </c:extLst>
        </c:ser>
        <c:ser>
          <c:idx val="1"/>
          <c:order val="1"/>
          <c:tx>
            <c:strRef>
              <c:f>'Oahu COS and Allocation'!$B$29</c:f>
              <c:strCache>
                <c:ptCount val="1"/>
                <c:pt idx="0">
                  <c:v>  Production Plant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'Oahu COS and Allocation'!$E$27:$AG$27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Allocation'!$E$29:$AG$29</c:f>
              <c:numCache>
                <c:formatCode>_("$"* #,##0_);_("$"* \(#,##0\);_("$"* "-"??_);_(@_)</c:formatCode>
                <c:ptCount val="29"/>
                <c:pt idx="0">
                  <c:v>6461466.8449999997</c:v>
                </c:pt>
                <c:pt idx="1">
                  <c:v>6492520.7875593631</c:v>
                </c:pt>
                <c:pt idx="2">
                  <c:v>7461544.2219098974</c:v>
                </c:pt>
                <c:pt idx="3">
                  <c:v>7656518.3998749973</c:v>
                </c:pt>
                <c:pt idx="4">
                  <c:v>7821496.8354422441</c:v>
                </c:pt>
                <c:pt idx="5">
                  <c:v>7912622.0969665218</c:v>
                </c:pt>
                <c:pt idx="6">
                  <c:v>8111396.8854039544</c:v>
                </c:pt>
                <c:pt idx="7">
                  <c:v>8420958.9510203376</c:v>
                </c:pt>
                <c:pt idx="8">
                  <c:v>8661815.8173947372</c:v>
                </c:pt>
                <c:pt idx="9">
                  <c:v>8887326.7638675477</c:v>
                </c:pt>
                <c:pt idx="10">
                  <c:v>9085876.6864337362</c:v>
                </c:pt>
                <c:pt idx="11">
                  <c:v>9321484.9044716265</c:v>
                </c:pt>
                <c:pt idx="12">
                  <c:v>9557209.0227753259</c:v>
                </c:pt>
                <c:pt idx="13">
                  <c:v>9793034.1913590003</c:v>
                </c:pt>
                <c:pt idx="14">
                  <c:v>10028888.557744997</c:v>
                </c:pt>
                <c:pt idx="15">
                  <c:v>10264692.975416467</c:v>
                </c:pt>
                <c:pt idx="16">
                  <c:v>10500599.924469329</c:v>
                </c:pt>
                <c:pt idx="17">
                  <c:v>10736614.399155693</c:v>
                </c:pt>
                <c:pt idx="18">
                  <c:v>10972738.307414744</c:v>
                </c:pt>
                <c:pt idx="19">
                  <c:v>11208834.716417145</c:v>
                </c:pt>
                <c:pt idx="20">
                  <c:v>11444858.783452453</c:v>
                </c:pt>
                <c:pt idx="21">
                  <c:v>11680983.1642006</c:v>
                </c:pt>
                <c:pt idx="22">
                  <c:v>11917107.021493319</c:v>
                </c:pt>
                <c:pt idx="23">
                  <c:v>12153439.00960928</c:v>
                </c:pt>
                <c:pt idx="24">
                  <c:v>12389514.976594808</c:v>
                </c:pt>
                <c:pt idx="25">
                  <c:v>12625755.543466033</c:v>
                </c:pt>
                <c:pt idx="26">
                  <c:v>12862152.88269734</c:v>
                </c:pt>
                <c:pt idx="27">
                  <c:v>13098339.158287862</c:v>
                </c:pt>
                <c:pt idx="28">
                  <c:v>13334487.355781497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2B-46CC-8706-4A857750E07C}"/>
            </c:ext>
          </c:extLst>
        </c:ser>
        <c:ser>
          <c:idx val="2"/>
          <c:order val="2"/>
          <c:tx>
            <c:strRef>
              <c:f>'Oahu COS and Allocation'!$B$30</c:f>
              <c:strCache>
                <c:ptCount val="1"/>
                <c:pt idx="0">
                  <c:v>  Storage Plant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'Oahu COS and Allocation'!$E$27:$AG$27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Allocation'!$E$30:$AG$30</c:f>
              <c:numCache>
                <c:formatCode>_("$"* #,##0_);_("$"* \(#,##0\);_("$"* "-"??_);_(@_)</c:formatCode>
                <c:ptCount val="29"/>
                <c:pt idx="0">
                  <c:v>16280172.592399998</c:v>
                </c:pt>
                <c:pt idx="1">
                  <c:v>29552863.086776037</c:v>
                </c:pt>
                <c:pt idx="2">
                  <c:v>29568682.348715954</c:v>
                </c:pt>
                <c:pt idx="3">
                  <c:v>29712123.766465668</c:v>
                </c:pt>
                <c:pt idx="4">
                  <c:v>30404410.983006347</c:v>
                </c:pt>
                <c:pt idx="5">
                  <c:v>30556396.8830797</c:v>
                </c:pt>
                <c:pt idx="6">
                  <c:v>31057225.555640846</c:v>
                </c:pt>
                <c:pt idx="7">
                  <c:v>31837191.463876437</c:v>
                </c:pt>
                <c:pt idx="8">
                  <c:v>32444049.23297172</c:v>
                </c:pt>
                <c:pt idx="9">
                  <c:v>33012241.753048457</c:v>
                </c:pt>
                <c:pt idx="10">
                  <c:v>33512503.85840717</c:v>
                </c:pt>
                <c:pt idx="11">
                  <c:v>34106137.246282995</c:v>
                </c:pt>
                <c:pt idx="12">
                  <c:v>34700062.653970443</c:v>
                </c:pt>
                <c:pt idx="13">
                  <c:v>35294242.665765278</c:v>
                </c:pt>
                <c:pt idx="14">
                  <c:v>35888496.24371352</c:v>
                </c:pt>
                <c:pt idx="15">
                  <c:v>36482623.971957237</c:v>
                </c:pt>
                <c:pt idx="16">
                  <c:v>37077010.036059551</c:v>
                </c:pt>
                <c:pt idx="17">
                  <c:v>37671667.019430429</c:v>
                </c:pt>
                <c:pt idx="18">
                  <c:v>38266599.729272321</c:v>
                </c:pt>
                <c:pt idx="19">
                  <c:v>38861463.152579874</c:v>
                </c:pt>
                <c:pt idx="20">
                  <c:v>39456144.304626398</c:v>
                </c:pt>
                <c:pt idx="21">
                  <c:v>40051078.20494163</c:v>
                </c:pt>
                <c:pt idx="22">
                  <c:v>40646010.786369845</c:v>
                </c:pt>
                <c:pt idx="23">
                  <c:v>41241467.769734256</c:v>
                </c:pt>
                <c:pt idx="24">
                  <c:v>41836279.6877767</c:v>
                </c:pt>
                <c:pt idx="25">
                  <c:v>42431506.328143366</c:v>
                </c:pt>
                <c:pt idx="26">
                  <c:v>43027127.968769424</c:v>
                </c:pt>
                <c:pt idx="27">
                  <c:v>43622217.817995422</c:v>
                </c:pt>
                <c:pt idx="28">
                  <c:v>44217211.726469241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2B-46CC-8706-4A857750E07C}"/>
            </c:ext>
          </c:extLst>
        </c:ser>
        <c:ser>
          <c:idx val="3"/>
          <c:order val="3"/>
          <c:tx>
            <c:strRef>
              <c:f>'Oahu COS and Allocation'!$B$31</c:f>
              <c:strCache>
                <c:ptCount val="1"/>
                <c:pt idx="0">
                  <c:v>  Transmission Plant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'Oahu COS and Allocation'!$E$27:$AG$27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Allocation'!$E$31:$AG$31</c:f>
              <c:numCache>
                <c:formatCode>_("$"* #,##0_);_("$"* \(#,##0\);_("$"* "-"??_);_(@_)</c:formatCode>
                <c:ptCount val="29"/>
                <c:pt idx="0">
                  <c:v>19389710.684</c:v>
                </c:pt>
                <c:pt idx="1">
                  <c:v>19389710.684</c:v>
                </c:pt>
                <c:pt idx="2">
                  <c:v>19454356.121149369</c:v>
                </c:pt>
                <c:pt idx="3">
                  <c:v>19564437.484524753</c:v>
                </c:pt>
                <c:pt idx="4">
                  <c:v>19895320.562533729</c:v>
                </c:pt>
                <c:pt idx="5">
                  <c:v>20824468.755806718</c:v>
                </c:pt>
                <c:pt idx="6">
                  <c:v>21420956.477794733</c:v>
                </c:pt>
                <c:pt idx="7">
                  <c:v>22349897.078285132</c:v>
                </c:pt>
                <c:pt idx="8">
                  <c:v>23072665.617888223</c:v>
                </c:pt>
                <c:pt idx="9">
                  <c:v>25749383.786235154</c:v>
                </c:pt>
                <c:pt idx="10">
                  <c:v>26345196.725810643</c:v>
                </c:pt>
                <c:pt idx="11">
                  <c:v>27453846.878097914</c:v>
                </c:pt>
                <c:pt idx="12">
                  <c:v>28563042.396961994</c:v>
                </c:pt>
                <c:pt idx="13">
                  <c:v>29672713.406066675</c:v>
                </c:pt>
                <c:pt idx="14">
                  <c:v>32782521.804895114</c:v>
                </c:pt>
                <c:pt idx="15">
                  <c:v>33892095.170962699</c:v>
                </c:pt>
                <c:pt idx="16">
                  <c:v>35002150.99656646</c:v>
                </c:pt>
                <c:pt idx="17">
                  <c:v>36112712.782068171</c:v>
                </c:pt>
                <c:pt idx="18">
                  <c:v>37223789.505240716</c:v>
                </c:pt>
                <c:pt idx="19">
                  <c:v>40334736.831165045</c:v>
                </c:pt>
                <c:pt idx="20">
                  <c:v>41445343.753288932</c:v>
                </c:pt>
                <c:pt idx="21">
                  <c:v>42556422.69975026</c:v>
                </c:pt>
                <c:pt idx="22">
                  <c:v>43667499.183101662</c:v>
                </c:pt>
                <c:pt idx="23">
                  <c:v>44779555.022227675</c:v>
                </c:pt>
                <c:pt idx="24">
                  <c:v>47890406.158616208</c:v>
                </c:pt>
                <c:pt idx="25">
                  <c:v>49002031.816750489</c:v>
                </c:pt>
                <c:pt idx="26">
                  <c:v>50114395.164352164</c:v>
                </c:pt>
                <c:pt idx="27">
                  <c:v>51225765.355860025</c:v>
                </c:pt>
                <c:pt idx="28">
                  <c:v>52336956.371580787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2B-46CC-8706-4A857750E07C}"/>
            </c:ext>
          </c:extLst>
        </c:ser>
        <c:ser>
          <c:idx val="4"/>
          <c:order val="4"/>
          <c:tx>
            <c:strRef>
              <c:f>'Oahu COS and Allocation'!$B$32</c:f>
              <c:strCache>
                <c:ptCount val="1"/>
                <c:pt idx="0">
                  <c:v>  Distribution Plant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'Oahu COS and Allocation'!$E$27:$AG$27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Allocation'!$E$32:$AG$32</c:f>
              <c:numCache>
                <c:formatCode>_("$"* #,##0_);_("$"* \(#,##0\);_("$"* "-"??_);_(@_)</c:formatCode>
                <c:ptCount val="29"/>
                <c:pt idx="0">
                  <c:v>143613281.243</c:v>
                </c:pt>
                <c:pt idx="1">
                  <c:v>150521087.24475446</c:v>
                </c:pt>
                <c:pt idx="2">
                  <c:v>156689144.22108972</c:v>
                </c:pt>
                <c:pt idx="3">
                  <c:v>161326853.62884241</c:v>
                </c:pt>
                <c:pt idx="4">
                  <c:v>165512520.48276952</c:v>
                </c:pt>
                <c:pt idx="5">
                  <c:v>171098107.64431998</c:v>
                </c:pt>
                <c:pt idx="6">
                  <c:v>175516098.21529579</c:v>
                </c:pt>
                <c:pt idx="7">
                  <c:v>182396459.1392138</c:v>
                </c:pt>
                <c:pt idx="8">
                  <c:v>187749770.65805271</c:v>
                </c:pt>
                <c:pt idx="9">
                  <c:v>195762002.0531942</c:v>
                </c:pt>
                <c:pt idx="10">
                  <c:v>200174994.73028871</c:v>
                </c:pt>
                <c:pt idx="11">
                  <c:v>206014097.01372835</c:v>
                </c:pt>
                <c:pt idx="12">
                  <c:v>211856071.665171</c:v>
                </c:pt>
                <c:pt idx="13">
                  <c:v>217700550.65591663</c:v>
                </c:pt>
                <c:pt idx="14">
                  <c:v>226545753.25874862</c:v>
                </c:pt>
                <c:pt idx="15">
                  <c:v>232389717.97753957</c:v>
                </c:pt>
                <c:pt idx="16">
                  <c:v>238236223.74191967</c:v>
                </c:pt>
                <c:pt idx="17">
                  <c:v>244085394.32494375</c:v>
                </c:pt>
                <c:pt idx="18">
                  <c:v>249937277.01126152</c:v>
                </c:pt>
                <c:pt idx="19">
                  <c:v>258788478.18072209</c:v>
                </c:pt>
                <c:pt idx="20">
                  <c:v>264637886.49189967</c:v>
                </c:pt>
                <c:pt idx="21">
                  <c:v>270489780.88796246</c:v>
                </c:pt>
                <c:pt idx="22">
                  <c:v>276341662.31117648</c:v>
                </c:pt>
                <c:pt idx="23">
                  <c:v>282198701.8616212</c:v>
                </c:pt>
                <c:pt idx="24">
                  <c:v>291049396.4145112</c:v>
                </c:pt>
                <c:pt idx="25">
                  <c:v>296904170.26300663</c:v>
                </c:pt>
                <c:pt idx="26">
                  <c:v>302762829.41674882</c:v>
                </c:pt>
                <c:pt idx="27">
                  <c:v>308616257.75894666</c:v>
                </c:pt>
                <c:pt idx="28">
                  <c:v>314468742.40782034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2B-46CC-8706-4A857750E07C}"/>
            </c:ext>
          </c:extLst>
        </c:ser>
        <c:ser>
          <c:idx val="5"/>
          <c:order val="5"/>
          <c:tx>
            <c:strRef>
              <c:f>'Oahu COS and Allocation'!$B$33</c:f>
              <c:strCache>
                <c:ptCount val="1"/>
                <c:pt idx="0">
                  <c:v>  General Plant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'Oahu COS and Allocation'!$E$27:$AG$27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Allocation'!$E$33:$AG$33</c:f>
              <c:numCache>
                <c:formatCode>_("$"* #,##0_);_("$"* \(#,##0\);_("$"* "-"??_);_(@_)</c:formatCode>
                <c:ptCount val="29"/>
                <c:pt idx="0">
                  <c:v>17209255.526032161</c:v>
                </c:pt>
                <c:pt idx="1">
                  <c:v>18672447.601902891</c:v>
                </c:pt>
                <c:pt idx="2">
                  <c:v>19955287.050347134</c:v>
                </c:pt>
                <c:pt idx="3">
                  <c:v>21766864.286369849</c:v>
                </c:pt>
                <c:pt idx="4">
                  <c:v>22653081.919328529</c:v>
                </c:pt>
                <c:pt idx="5">
                  <c:v>23569572.311385505</c:v>
                </c:pt>
                <c:pt idx="6">
                  <c:v>24098982.460568555</c:v>
                </c:pt>
                <c:pt idx="7">
                  <c:v>24923459.752823185</c:v>
                </c:pt>
                <c:pt idx="8">
                  <c:v>25564949.906385429</c:v>
                </c:pt>
                <c:pt idx="9">
                  <c:v>26165568.248143394</c:v>
                </c:pt>
                <c:pt idx="10">
                  <c:v>26694379.497056559</c:v>
                </c:pt>
                <c:pt idx="11">
                  <c:v>27321890.575502273</c:v>
                </c:pt>
                <c:pt idx="12">
                  <c:v>27949710.33885463</c:v>
                </c:pt>
                <c:pt idx="13">
                  <c:v>28577799.236156102</c:v>
                </c:pt>
                <c:pt idx="14">
                  <c:v>29205965.89791153</c:v>
                </c:pt>
                <c:pt idx="15">
                  <c:v>29833999.527924772</c:v>
                </c:pt>
                <c:pt idx="16">
                  <c:v>30462306.236603297</c:v>
                </c:pt>
                <c:pt idx="17">
                  <c:v>31090899.325471785</c:v>
                </c:pt>
                <c:pt idx="18">
                  <c:v>31719783.876071904</c:v>
                </c:pt>
                <c:pt idx="19">
                  <c:v>32348595.186068021</c:v>
                </c:pt>
                <c:pt idx="20">
                  <c:v>32977213.822879113</c:v>
                </c:pt>
                <c:pt idx="21">
                  <c:v>33606099.631890945</c:v>
                </c:pt>
                <c:pt idx="22">
                  <c:v>34234984.046749033</c:v>
                </c:pt>
                <c:pt idx="23">
                  <c:v>34864422.790307693</c:v>
                </c:pt>
                <c:pt idx="24">
                  <c:v>35493179.655717112</c:v>
                </c:pt>
                <c:pt idx="25">
                  <c:v>36122374.910978325</c:v>
                </c:pt>
                <c:pt idx="26">
                  <c:v>36751987.708520375</c:v>
                </c:pt>
                <c:pt idx="27">
                  <c:v>37381038.366193317</c:v>
                </c:pt>
                <c:pt idx="28">
                  <c:v>38009987.607931614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5-4D31-844A-5B4CE0ED3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1870320"/>
        <c:axId val="971868024"/>
      </c:barChart>
      <c:catAx>
        <c:axId val="97187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1868024"/>
        <c:crosses val="autoZero"/>
        <c:auto val="1"/>
        <c:lblAlgn val="ctr"/>
        <c:lblOffset val="100"/>
        <c:noMultiLvlLbl val="0"/>
      </c:catAx>
      <c:valAx>
        <c:axId val="9718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187032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4299085474634729"/>
          <c:y val="8.7192037175184381E-2"/>
          <c:w val="0.74591884378354711"/>
          <c:h val="5.70582851045272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Cost of Service - Oahu</a:t>
            </a:r>
            <a:r>
              <a:rPr lang="en-US" baseline="0">
                <a:solidFill>
                  <a:sysClr val="windowText" lastClr="000000"/>
                </a:solidFill>
              </a:rPr>
              <a:t> (Non Fuel Only)</a:t>
            </a:r>
            <a:endParaRPr lang="en-US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31550505619101"/>
          <c:y val="9.4955875043609403E-2"/>
          <c:w val="0.87739109538892579"/>
          <c:h val="0.592105167691286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'Oahu COS and Allocation'!$B$4</c:f>
              <c:strCache>
                <c:ptCount val="1"/>
                <c:pt idx="0">
                  <c:v>Transmission Expenses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Allocation'!$E$4:$AG$4</c:f>
              <c:numCache>
                <c:formatCode>_("$"* #,##0_);_("$"* \(#,##0\);_("$"* "-"??_);_(@_)</c:formatCode>
                <c:ptCount val="29"/>
                <c:pt idx="0">
                  <c:v>294544.59064937802</c:v>
                </c:pt>
                <c:pt idx="1">
                  <c:v>304500.44525393506</c:v>
                </c:pt>
                <c:pt idx="2">
                  <c:v>301013.3955904725</c:v>
                </c:pt>
                <c:pt idx="3">
                  <c:v>220014.69097675796</c:v>
                </c:pt>
                <c:pt idx="4">
                  <c:v>251610.59547889177</c:v>
                </c:pt>
                <c:pt idx="5">
                  <c:v>264156.45608821482</c:v>
                </c:pt>
                <c:pt idx="6">
                  <c:v>267067.90797491145</c:v>
                </c:pt>
                <c:pt idx="7">
                  <c:v>267482.68042463245</c:v>
                </c:pt>
                <c:pt idx="8">
                  <c:v>268765.50299342902</c:v>
                </c:pt>
                <c:pt idx="9">
                  <c:v>269974.75238385663</c:v>
                </c:pt>
                <c:pt idx="10">
                  <c:v>271076.16239228356</c:v>
                </c:pt>
                <c:pt idx="11">
                  <c:v>272315.95745169366</c:v>
                </c:pt>
                <c:pt idx="12">
                  <c:v>273678.69322903221</c:v>
                </c:pt>
                <c:pt idx="13">
                  <c:v>275082.30252989248</c:v>
                </c:pt>
                <c:pt idx="14">
                  <c:v>276434.55539025291</c:v>
                </c:pt>
                <c:pt idx="15">
                  <c:v>277914.24453115935</c:v>
                </c:pt>
                <c:pt idx="16">
                  <c:v>279529.20457215077</c:v>
                </c:pt>
                <c:pt idx="17">
                  <c:v>281283.91249717103</c:v>
                </c:pt>
                <c:pt idx="18">
                  <c:v>283016.6710913328</c:v>
                </c:pt>
                <c:pt idx="19">
                  <c:v>284672.85084350052</c:v>
                </c:pt>
                <c:pt idx="20">
                  <c:v>286460.42054587376</c:v>
                </c:pt>
                <c:pt idx="21">
                  <c:v>288258.57605083915</c:v>
                </c:pt>
                <c:pt idx="22">
                  <c:v>290323.69862923987</c:v>
                </c:pt>
                <c:pt idx="23">
                  <c:v>292086.85185640916</c:v>
                </c:pt>
                <c:pt idx="24">
                  <c:v>294065.60211933468</c:v>
                </c:pt>
                <c:pt idx="25">
                  <c:v>296254.22531707596</c:v>
                </c:pt>
                <c:pt idx="26">
                  <c:v>298192.66310038534</c:v>
                </c:pt>
                <c:pt idx="27">
                  <c:v>300095.39501976344</c:v>
                </c:pt>
                <c:pt idx="28">
                  <c:v>302442.21658500895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9D-4FA9-BF7E-45CE27DD8193}"/>
            </c:ext>
          </c:extLst>
        </c:ser>
        <c:ser>
          <c:idx val="1"/>
          <c:order val="1"/>
          <c:tx>
            <c:strRef>
              <c:f>'Oahu COS and Allocation'!$B$5</c:f>
              <c:strCache>
                <c:ptCount val="1"/>
                <c:pt idx="0">
                  <c:v>Natural Gas Storage, Terminaling and Processing Expenses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Allocation'!$E$5:$AG$5</c:f>
              <c:numCache>
                <c:formatCode>_("$"* #,##0_);_("$"* \(#,##0\);_("$"* "-"??_);_(@_)</c:formatCode>
                <c:ptCount val="29"/>
                <c:pt idx="0">
                  <c:v>15378.069508142768</c:v>
                </c:pt>
                <c:pt idx="1">
                  <c:v>15897.861176305134</c:v>
                </c:pt>
                <c:pt idx="2">
                  <c:v>15715.803539514558</c:v>
                </c:pt>
                <c:pt idx="3">
                  <c:v>11486.889652917414</c:v>
                </c:pt>
                <c:pt idx="4">
                  <c:v>13136.500717018891</c:v>
                </c:pt>
                <c:pt idx="5">
                  <c:v>13791.515687975538</c:v>
                </c:pt>
                <c:pt idx="6">
                  <c:v>13943.521567236552</c:v>
                </c:pt>
                <c:pt idx="7">
                  <c:v>13965.176690991533</c:v>
                </c:pt>
                <c:pt idx="8">
                  <c:v>14032.152406234089</c:v>
                </c:pt>
                <c:pt idx="9">
                  <c:v>14095.286891704276</c:v>
                </c:pt>
                <c:pt idx="10">
                  <c:v>14152.791120959382</c:v>
                </c:pt>
                <c:pt idx="11">
                  <c:v>14217.520385066478</c:v>
                </c:pt>
                <c:pt idx="12">
                  <c:v>14288.668340827417</c:v>
                </c:pt>
                <c:pt idx="13">
                  <c:v>14361.95028887921</c:v>
                </c:pt>
                <c:pt idx="14">
                  <c:v>14432.550935230791</c:v>
                </c:pt>
                <c:pt idx="15">
                  <c:v>14509.804984979715</c:v>
                </c:pt>
                <c:pt idx="16">
                  <c:v>14594.121480857251</c:v>
                </c:pt>
                <c:pt idx="17">
                  <c:v>14685.734164620886</c:v>
                </c:pt>
                <c:pt idx="18">
                  <c:v>14776.200881538363</c:v>
                </c:pt>
                <c:pt idx="19">
                  <c:v>14862.669444042474</c:v>
                </c:pt>
                <c:pt idx="20">
                  <c:v>14955.997829646638</c:v>
                </c:pt>
                <c:pt idx="21">
                  <c:v>15049.878896281891</c:v>
                </c:pt>
                <c:pt idx="22">
                  <c:v>15157.698219948525</c:v>
                </c:pt>
                <c:pt idx="23">
                  <c:v>15249.751829967769</c:v>
                </c:pt>
                <c:pt idx="24">
                  <c:v>15353.061685414228</c:v>
                </c:pt>
                <c:pt idx="25">
                  <c:v>15467.328932990555</c:v>
                </c:pt>
                <c:pt idx="26">
                  <c:v>15568.534088051189</c:v>
                </c:pt>
                <c:pt idx="27">
                  <c:v>15667.875052511095</c:v>
                </c:pt>
                <c:pt idx="28">
                  <c:v>15790.401781228089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9D-4FA9-BF7E-45CE27DD8193}"/>
            </c:ext>
          </c:extLst>
        </c:ser>
        <c:ser>
          <c:idx val="2"/>
          <c:order val="2"/>
          <c:tx>
            <c:strRef>
              <c:f>'Oahu COS and Allocation'!$B$6</c:f>
              <c:strCache>
                <c:ptCount val="1"/>
                <c:pt idx="0">
                  <c:v>Distribution Expenses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Allocation'!$E$6:$AG$6</c:f>
              <c:numCache>
                <c:formatCode>_("$"* #,##0_);_("$"* \(#,##0\);_("$"* "-"??_);_(@_)</c:formatCode>
                <c:ptCount val="29"/>
                <c:pt idx="0">
                  <c:v>7154458.2039220426</c:v>
                </c:pt>
                <c:pt idx="1">
                  <c:v>7396284.9015218578</c:v>
                </c:pt>
                <c:pt idx="2">
                  <c:v>7311584.8192109214</c:v>
                </c:pt>
                <c:pt idx="3">
                  <c:v>5344134.5073480243</c:v>
                </c:pt>
                <c:pt idx="4">
                  <c:v>6111595.8200044744</c:v>
                </c:pt>
                <c:pt idx="5">
                  <c:v>6416333.5005157469</c:v>
                </c:pt>
                <c:pt idx="6">
                  <c:v>6487052.3712652577</c:v>
                </c:pt>
                <c:pt idx="7">
                  <c:v>6497127.1519601773</c:v>
                </c:pt>
                <c:pt idx="8">
                  <c:v>6654067.2880446073</c:v>
                </c:pt>
                <c:pt idx="9">
                  <c:v>6683439.8329718765</c:v>
                </c:pt>
                <c:pt idx="10">
                  <c:v>6710192.9702584874</c:v>
                </c:pt>
                <c:pt idx="11">
                  <c:v>6740307.4663842628</c:v>
                </c:pt>
                <c:pt idx="12">
                  <c:v>6773408.1800672505</c:v>
                </c:pt>
                <c:pt idx="13">
                  <c:v>6996144.7460654555</c:v>
                </c:pt>
                <c:pt idx="14">
                  <c:v>7028990.8307592981</c:v>
                </c:pt>
                <c:pt idx="15">
                  <c:v>7064932.3297699336</c:v>
                </c:pt>
                <c:pt idx="16">
                  <c:v>7104159.5452105701</c:v>
                </c:pt>
                <c:pt idx="17">
                  <c:v>7146781.2225666903</c:v>
                </c:pt>
                <c:pt idx="18">
                  <c:v>7431881.9252968971</c:v>
                </c:pt>
                <c:pt idx="19">
                  <c:v>7466449.4719039658</c:v>
                </c:pt>
                <c:pt idx="20">
                  <c:v>7504436.4678643551</c:v>
                </c:pt>
                <c:pt idx="21">
                  <c:v>7542899.4096263004</c:v>
                </c:pt>
                <c:pt idx="22">
                  <c:v>7588056.9590212703</c:v>
                </c:pt>
                <c:pt idx="23">
                  <c:v>8536519.6059746966</c:v>
                </c:pt>
                <c:pt idx="24">
                  <c:v>8579974.1555775981</c:v>
                </c:pt>
                <c:pt idx="25">
                  <c:v>8628712.1355356164</c:v>
                </c:pt>
                <c:pt idx="26">
                  <c:v>8671551.2984029446</c:v>
                </c:pt>
                <c:pt idx="27">
                  <c:v>8713694.1549789682</c:v>
                </c:pt>
                <c:pt idx="28">
                  <c:v>8766788.0027911179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9D-4FA9-BF7E-45CE27DD8193}"/>
            </c:ext>
          </c:extLst>
        </c:ser>
        <c:ser>
          <c:idx val="3"/>
          <c:order val="3"/>
          <c:tx>
            <c:strRef>
              <c:f>'Oahu COS and Allocation'!$B$7</c:f>
              <c:strCache>
                <c:ptCount val="1"/>
                <c:pt idx="0">
                  <c:v>Customer Accounts Expenses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Allocation'!$E$7:$AG$7</c:f>
              <c:numCache>
                <c:formatCode>_("$"* #,##0_);_("$"* \(#,##0\);_("$"* "-"??_);_(@_)</c:formatCode>
                <c:ptCount val="29"/>
                <c:pt idx="0">
                  <c:v>1670892.6394287169</c:v>
                </c:pt>
                <c:pt idx="1">
                  <c:v>1739318.2392173535</c:v>
                </c:pt>
                <c:pt idx="2">
                  <c:v>1672393.0764786752</c:v>
                </c:pt>
                <c:pt idx="3">
                  <c:v>1720282.6512422885</c:v>
                </c:pt>
                <c:pt idx="4">
                  <c:v>1722966.4039139997</c:v>
                </c:pt>
                <c:pt idx="5">
                  <c:v>1808881.0674725431</c:v>
                </c:pt>
                <c:pt idx="6">
                  <c:v>1828822.217091982</c:v>
                </c:pt>
                <c:pt idx="7">
                  <c:v>1831666.8618423725</c:v>
                </c:pt>
                <c:pt idx="8">
                  <c:v>1840455.6509901437</c:v>
                </c:pt>
                <c:pt idx="9">
                  <c:v>1848740.6332880692</c:v>
                </c:pt>
                <c:pt idx="10">
                  <c:v>1856287.1641483984</c:v>
                </c:pt>
                <c:pt idx="11">
                  <c:v>1864781.3139392559</c:v>
                </c:pt>
                <c:pt idx="12">
                  <c:v>1874117.3245439366</c:v>
                </c:pt>
                <c:pt idx="13">
                  <c:v>1883733.2246624881</c:v>
                </c:pt>
                <c:pt idx="14">
                  <c:v>1892997.451425598</c:v>
                </c:pt>
                <c:pt idx="15">
                  <c:v>1903134.3232542214</c:v>
                </c:pt>
                <c:pt idx="16">
                  <c:v>1914197.4892508883</c:v>
                </c:pt>
                <c:pt idx="17">
                  <c:v>1926217.6064461574</c:v>
                </c:pt>
                <c:pt idx="18">
                  <c:v>1938087.4212692683</c:v>
                </c:pt>
                <c:pt idx="19">
                  <c:v>1949432.8473680494</c:v>
                </c:pt>
                <c:pt idx="20">
                  <c:v>1961677.9920651277</c:v>
                </c:pt>
                <c:pt idx="21">
                  <c:v>1973995.6251333114</c:v>
                </c:pt>
                <c:pt idx="22">
                  <c:v>1988141.3678912157</c:v>
                </c:pt>
                <c:pt idx="23">
                  <c:v>2000219.3159586317</c:v>
                </c:pt>
                <c:pt idx="24">
                  <c:v>2013773.6072509608</c:v>
                </c:pt>
                <c:pt idx="25">
                  <c:v>2028765.0448580389</c:v>
                </c:pt>
                <c:pt idx="26">
                  <c:v>2042043.2884952959</c:v>
                </c:pt>
                <c:pt idx="27">
                  <c:v>2055077.0291869561</c:v>
                </c:pt>
                <c:pt idx="28">
                  <c:v>2071151.761317255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9D-4FA9-BF7E-45CE27DD8193}"/>
            </c:ext>
          </c:extLst>
        </c:ser>
        <c:ser>
          <c:idx val="4"/>
          <c:order val="4"/>
          <c:tx>
            <c:strRef>
              <c:f>'Oahu COS and Allocation'!$B$8</c:f>
              <c:strCache>
                <c:ptCount val="1"/>
                <c:pt idx="0">
                  <c:v>Customer Service and Informational Expenses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Allocation'!$E$8:$AG$8</c:f>
              <c:numCache>
                <c:formatCode>_("$"* #,##0_);_("$"* \(#,##0\);_("$"* "-"??_);_(@_)</c:formatCode>
                <c:ptCount val="29"/>
                <c:pt idx="0">
                  <c:v>35556.403567914422</c:v>
                </c:pt>
                <c:pt idx="1">
                  <c:v>37012.492476950014</c:v>
                </c:pt>
                <c:pt idx="2">
                  <c:v>35588.332696104735</c:v>
                </c:pt>
                <c:pt idx="3">
                  <c:v>36607.417349905729</c:v>
                </c:pt>
                <c:pt idx="4">
                  <c:v>36664.527298696012</c:v>
                </c:pt>
                <c:pt idx="5">
                  <c:v>38492.781477213197</c:v>
                </c:pt>
                <c:pt idx="6">
                  <c:v>38917.126852101763</c:v>
                </c:pt>
                <c:pt idx="7">
                  <c:v>38977.66056585779</c:v>
                </c:pt>
                <c:pt idx="8">
                  <c:v>39164.684990071131</c:v>
                </c:pt>
                <c:pt idx="9">
                  <c:v>39340.988462350942</c:v>
                </c:pt>
                <c:pt idx="10">
                  <c:v>39501.577772804383</c:v>
                </c:pt>
                <c:pt idx="11">
                  <c:v>39682.332305323784</c:v>
                </c:pt>
                <c:pt idx="12">
                  <c:v>39881.001539325473</c:v>
                </c:pt>
                <c:pt idx="13">
                  <c:v>40085.626790054252</c:v>
                </c:pt>
                <c:pt idx="14">
                  <c:v>40282.768472147261</c:v>
                </c:pt>
                <c:pt idx="15">
                  <c:v>40498.479941064848</c:v>
                </c:pt>
                <c:pt idx="16">
                  <c:v>40733.902843550561</c:v>
                </c:pt>
                <c:pt idx="17">
                  <c:v>40989.689557695601</c:v>
                </c:pt>
                <c:pt idx="18">
                  <c:v>41242.277854614098</c:v>
                </c:pt>
                <c:pt idx="19">
                  <c:v>41483.707219672608</c:v>
                </c:pt>
                <c:pt idx="20">
                  <c:v>41744.282493225597</c:v>
                </c:pt>
                <c:pt idx="21">
                  <c:v>42006.40031099489</c:v>
                </c:pt>
                <c:pt idx="22">
                  <c:v>42307.420093115616</c:v>
                </c:pt>
                <c:pt idx="23">
                  <c:v>42564.437441581627</c:v>
                </c:pt>
                <c:pt idx="24">
                  <c:v>42852.871204406692</c:v>
                </c:pt>
                <c:pt idx="25">
                  <c:v>43171.887275841858</c:v>
                </c:pt>
                <c:pt idx="26">
                  <c:v>43454.446776254059</c:v>
                </c:pt>
                <c:pt idx="27">
                  <c:v>43731.803282050059</c:v>
                </c:pt>
                <c:pt idx="28">
                  <c:v>44073.871736589696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9D-4FA9-BF7E-45CE27DD8193}"/>
            </c:ext>
          </c:extLst>
        </c:ser>
        <c:ser>
          <c:idx val="5"/>
          <c:order val="5"/>
          <c:tx>
            <c:strRef>
              <c:f>'Oahu COS and Allocation'!$B$9</c:f>
              <c:strCache>
                <c:ptCount val="1"/>
                <c:pt idx="0">
                  <c:v>Sales Expenses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Allocation'!$E$9:$AG$9</c:f>
              <c:numCache>
                <c:formatCode>_("$"* #,##0_);_("$"* \(#,##0\);_("$"* "-"??_);_(@_)</c:formatCode>
                <c:ptCount val="29"/>
                <c:pt idx="0">
                  <c:v>961531.93370165245</c:v>
                </c:pt>
                <c:pt idx="1">
                  <c:v>994032.52082317148</c:v>
                </c:pt>
                <c:pt idx="2">
                  <c:v>982649.15235447627</c:v>
                </c:pt>
                <c:pt idx="3">
                  <c:v>718231.32379124663</c:v>
                </c:pt>
                <c:pt idx="4">
                  <c:v>821375.20121235319</c:v>
                </c:pt>
                <c:pt idx="5">
                  <c:v>862330.78483056906</c:v>
                </c:pt>
                <c:pt idx="6">
                  <c:v>871835.13171510294</c:v>
                </c:pt>
                <c:pt idx="7">
                  <c:v>873189.14386907651</c:v>
                </c:pt>
                <c:pt idx="8">
                  <c:v>877376.87945930299</c:v>
                </c:pt>
                <c:pt idx="9">
                  <c:v>881324.43762746349</c:v>
                </c:pt>
                <c:pt idx="10">
                  <c:v>884919.95738515514</c:v>
                </c:pt>
                <c:pt idx="11">
                  <c:v>888967.23096855439</c:v>
                </c:pt>
                <c:pt idx="12">
                  <c:v>893415.84081815288</c:v>
                </c:pt>
                <c:pt idx="13">
                  <c:v>897997.88105267996</c:v>
                </c:pt>
                <c:pt idx="14">
                  <c:v>902412.26973593293</c:v>
                </c:pt>
                <c:pt idx="15">
                  <c:v>907242.67031397903</c:v>
                </c:pt>
                <c:pt idx="16">
                  <c:v>912514.65866603749</c:v>
                </c:pt>
                <c:pt idx="17">
                  <c:v>918242.84977118263</c:v>
                </c:pt>
                <c:pt idx="18">
                  <c:v>923899.38794765796</c:v>
                </c:pt>
                <c:pt idx="19">
                  <c:v>929305.93680380378</c:v>
                </c:pt>
                <c:pt idx="20">
                  <c:v>935141.40419011703</c:v>
                </c:pt>
                <c:pt idx="21">
                  <c:v>941011.42860976025</c:v>
                </c:pt>
                <c:pt idx="22">
                  <c:v>947752.95898980484</c:v>
                </c:pt>
                <c:pt idx="23">
                  <c:v>953508.71952913341</c:v>
                </c:pt>
                <c:pt idx="24">
                  <c:v>959968.29009000747</c:v>
                </c:pt>
                <c:pt idx="25">
                  <c:v>967112.98451752658</c:v>
                </c:pt>
                <c:pt idx="26">
                  <c:v>973440.95620438247</c:v>
                </c:pt>
                <c:pt idx="27">
                  <c:v>979652.36717520317</c:v>
                </c:pt>
                <c:pt idx="28">
                  <c:v>987313.49540270958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9D-4FA9-BF7E-45CE27DD8193}"/>
            </c:ext>
          </c:extLst>
        </c:ser>
        <c:ser>
          <c:idx val="6"/>
          <c:order val="6"/>
          <c:tx>
            <c:strRef>
              <c:f>'Oahu COS and Allocation'!$B$12</c:f>
              <c:strCache>
                <c:ptCount val="1"/>
                <c:pt idx="0">
                  <c:v>Depreciation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Allocation'!$E$12:$AG$12</c:f>
              <c:numCache>
                <c:formatCode>_("$"* #,##0_);_("$"* \(#,##0\);_("$"* "-"??_);_(@_)</c:formatCode>
                <c:ptCount val="29"/>
                <c:pt idx="0">
                  <c:v>4379498.2485455908</c:v>
                </c:pt>
                <c:pt idx="1">
                  <c:v>4873377.2278536204</c:v>
                </c:pt>
                <c:pt idx="2">
                  <c:v>5071968.4508221531</c:v>
                </c:pt>
                <c:pt idx="3">
                  <c:v>5274962.9792153463</c:v>
                </c:pt>
                <c:pt idx="4">
                  <c:v>5427124.6772868559</c:v>
                </c:pt>
                <c:pt idx="5">
                  <c:v>5604794.1875015181</c:v>
                </c:pt>
                <c:pt idx="6">
                  <c:v>5739521.1556496862</c:v>
                </c:pt>
                <c:pt idx="7">
                  <c:v>5949338.3003793219</c:v>
                </c:pt>
                <c:pt idx="8">
                  <c:v>6112587.9540168867</c:v>
                </c:pt>
                <c:pt idx="9">
                  <c:v>6352452.1209834572</c:v>
                </c:pt>
                <c:pt idx="10">
                  <c:v>6487026.6779666543</c:v>
                </c:pt>
                <c:pt idx="11">
                  <c:v>6664193.0209238231</c:v>
                </c:pt>
                <c:pt idx="12">
                  <c:v>6841446.5154515617</c:v>
                </c:pt>
                <c:pt idx="13">
                  <c:v>7018775.9950561672</c:v>
                </c:pt>
                <c:pt idx="14">
                  <c:v>7283143.2084293729</c:v>
                </c:pt>
                <c:pt idx="15">
                  <c:v>7460457.084320073</c:v>
                </c:pt>
                <c:pt idx="16">
                  <c:v>7637848.0590065215</c:v>
                </c:pt>
                <c:pt idx="17">
                  <c:v>7815319.8879323527</c:v>
                </c:pt>
                <c:pt idx="18">
                  <c:v>7992874.0057784561</c:v>
                </c:pt>
                <c:pt idx="19">
                  <c:v>8257423.2238607742</c:v>
                </c:pt>
                <c:pt idx="20">
                  <c:v>8434902.2657836601</c:v>
                </c:pt>
                <c:pt idx="21">
                  <c:v>8612456.7389194295</c:v>
                </c:pt>
                <c:pt idx="22">
                  <c:v>8790010.8184412383</c:v>
                </c:pt>
                <c:pt idx="23">
                  <c:v>8967721.4025922902</c:v>
                </c:pt>
                <c:pt idx="24">
                  <c:v>9232255.2492355183</c:v>
                </c:pt>
                <c:pt idx="25">
                  <c:v>9409897.0888931341</c:v>
                </c:pt>
                <c:pt idx="26">
                  <c:v>9587656.8140215706</c:v>
                </c:pt>
                <c:pt idx="27">
                  <c:v>9765257.8291793577</c:v>
                </c:pt>
                <c:pt idx="28">
                  <c:v>9942830.211392045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9D-4FA9-BF7E-45CE27DD8193}"/>
            </c:ext>
          </c:extLst>
        </c:ser>
        <c:ser>
          <c:idx val="7"/>
          <c:order val="7"/>
          <c:tx>
            <c:strRef>
              <c:f>'Oahu COS and Allocation'!$B$16</c:f>
              <c:strCache>
                <c:ptCount val="1"/>
                <c:pt idx="0">
                  <c:v>Taxes Other than Income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Allocation'!$E$16:$AG$16</c:f>
              <c:numCache>
                <c:formatCode>_("$"* #,##0_);_("$"* \(#,##0\);_("$"* "-"??_);_(@_)</c:formatCode>
                <c:ptCount val="29"/>
                <c:pt idx="0">
                  <c:v>7466534.7992244428</c:v>
                </c:pt>
                <c:pt idx="1">
                  <c:v>7615865.4952089321</c:v>
                </c:pt>
                <c:pt idx="2">
                  <c:v>7768182.8051131107</c:v>
                </c:pt>
                <c:pt idx="3">
                  <c:v>7923546.4612153731</c:v>
                </c:pt>
                <c:pt idx="4">
                  <c:v>8082017.3904396808</c:v>
                </c:pt>
                <c:pt idx="5">
                  <c:v>8243657.7382484749</c:v>
                </c:pt>
                <c:pt idx="6">
                  <c:v>8408530.8930134438</c:v>
                </c:pt>
                <c:pt idx="7">
                  <c:v>8576701.5108737126</c:v>
                </c:pt>
                <c:pt idx="8">
                  <c:v>8748235.5410911869</c:v>
                </c:pt>
                <c:pt idx="9">
                  <c:v>8923200.2519130111</c:v>
                </c:pt>
                <c:pt idx="10">
                  <c:v>9101664.2569512706</c:v>
                </c:pt>
                <c:pt idx="11">
                  <c:v>9283697.5420902967</c:v>
                </c:pt>
                <c:pt idx="12">
                  <c:v>9469371.4929321036</c:v>
                </c:pt>
                <c:pt idx="13">
                  <c:v>9658758.9227907453</c:v>
                </c:pt>
                <c:pt idx="14">
                  <c:v>9851934.10124656</c:v>
                </c:pt>
                <c:pt idx="15">
                  <c:v>10048972.783271492</c:v>
                </c:pt>
                <c:pt idx="16">
                  <c:v>10249952.238936922</c:v>
                </c:pt>
                <c:pt idx="17">
                  <c:v>10454951.28371566</c:v>
                </c:pt>
                <c:pt idx="18">
                  <c:v>10664050.309389973</c:v>
                </c:pt>
                <c:pt idx="19">
                  <c:v>10877331.315577773</c:v>
                </c:pt>
                <c:pt idx="20">
                  <c:v>11094877.941889329</c:v>
                </c:pt>
                <c:pt idx="21">
                  <c:v>11316775.500727115</c:v>
                </c:pt>
                <c:pt idx="22">
                  <c:v>11543111.010741659</c:v>
                </c:pt>
                <c:pt idx="23">
                  <c:v>11773973.230956491</c:v>
                </c:pt>
                <c:pt idx="24">
                  <c:v>12009452.695575621</c:v>
                </c:pt>
                <c:pt idx="25">
                  <c:v>12249641.749487134</c:v>
                </c:pt>
                <c:pt idx="26">
                  <c:v>12494634.584476877</c:v>
                </c:pt>
                <c:pt idx="27">
                  <c:v>12744527.276166415</c:v>
                </c:pt>
                <c:pt idx="28">
                  <c:v>12999417.821689744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9D-4FA9-BF7E-45CE27DD8193}"/>
            </c:ext>
          </c:extLst>
        </c:ser>
        <c:ser>
          <c:idx val="8"/>
          <c:order val="8"/>
          <c:tx>
            <c:strRef>
              <c:f>'Oahu COS and Allocation'!$B$18</c:f>
              <c:strCache>
                <c:ptCount val="1"/>
                <c:pt idx="0">
                  <c:v>Income Tax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Allocation'!$E$19:$AG$19</c:f>
              <c:numCache>
                <c:formatCode>_("$"* #,##0_);_("$"* \(#,##0\);_("$"* "-"??_);_(@_)</c:formatCode>
                <c:ptCount val="29"/>
                <c:pt idx="0">
                  <c:v>1869902.1079758315</c:v>
                </c:pt>
                <c:pt idx="1">
                  <c:v>2177073.0688300524</c:v>
                </c:pt>
                <c:pt idx="2">
                  <c:v>2239753.0863135406</c:v>
                </c:pt>
                <c:pt idx="3">
                  <c:v>2269422.3043654272</c:v>
                </c:pt>
                <c:pt idx="4">
                  <c:v>2284649.9547427814</c:v>
                </c:pt>
                <c:pt idx="5">
                  <c:v>2322486.3695390346</c:v>
                </c:pt>
                <c:pt idx="6">
                  <c:v>2331910.1544483695</c:v>
                </c:pt>
                <c:pt idx="7">
                  <c:v>2401234.683146684</c:v>
                </c:pt>
                <c:pt idx="8">
                  <c:v>2428047.999594871</c:v>
                </c:pt>
                <c:pt idx="9">
                  <c:v>2533059.880160491</c:v>
                </c:pt>
                <c:pt idx="10">
                  <c:v>2528688.0283880658</c:v>
                </c:pt>
                <c:pt idx="11">
                  <c:v>2560754.1263762512</c:v>
                </c:pt>
                <c:pt idx="12">
                  <c:v>2589655.295824049</c:v>
                </c:pt>
                <c:pt idx="13">
                  <c:v>2615380.4472135142</c:v>
                </c:pt>
                <c:pt idx="14">
                  <c:v>2727703.8776385342</c:v>
                </c:pt>
                <c:pt idx="15">
                  <c:v>2745340.4395844578</c:v>
                </c:pt>
                <c:pt idx="16">
                  <c:v>2759800.8266745843</c:v>
                </c:pt>
                <c:pt idx="17">
                  <c:v>2771086.8230410228</c:v>
                </c:pt>
                <c:pt idx="18">
                  <c:v>2779198.1705423016</c:v>
                </c:pt>
                <c:pt idx="19">
                  <c:v>2873867.4338754364</c:v>
                </c:pt>
                <c:pt idx="20">
                  <c:v>2873832.1813414032</c:v>
                </c:pt>
                <c:pt idx="21">
                  <c:v>2870616.3161637732</c:v>
                </c:pt>
                <c:pt idx="22">
                  <c:v>2864153.9765952723</c:v>
                </c:pt>
                <c:pt idx="23">
                  <c:v>2854578.5986709869</c:v>
                </c:pt>
                <c:pt idx="24">
                  <c:v>2931412.1423480106</c:v>
                </c:pt>
                <c:pt idx="25">
                  <c:v>2913692.9691732377</c:v>
                </c:pt>
                <c:pt idx="26">
                  <c:v>2892826.3108023982</c:v>
                </c:pt>
                <c:pt idx="27">
                  <c:v>2868574.7906953297</c:v>
                </c:pt>
                <c:pt idx="28">
                  <c:v>2841051.9301026026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9D-4FA9-BF7E-45CE27DD8193}"/>
            </c:ext>
          </c:extLst>
        </c:ser>
        <c:ser>
          <c:idx val="9"/>
          <c:order val="9"/>
          <c:tx>
            <c:strRef>
              <c:f>'Oahu COS and Allocation'!$B$21</c:f>
              <c:strCache>
                <c:ptCount val="1"/>
                <c:pt idx="0">
                  <c:v>Return on Rate Base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Allocation'!$E$21:$AG$21</c:f>
              <c:numCache>
                <c:formatCode>_("$"* #,##0_);_("$"* \(#,##0\);_("$"* "-"??_);_(@_)</c:formatCode>
                <c:ptCount val="29"/>
                <c:pt idx="0">
                  <c:v>7261755.7591294423</c:v>
                </c:pt>
                <c:pt idx="1">
                  <c:v>8454652.6944856402</c:v>
                </c:pt>
                <c:pt idx="2">
                  <c:v>8698070.2381108366</c:v>
                </c:pt>
                <c:pt idx="3">
                  <c:v>8813290.5023900084</c:v>
                </c:pt>
                <c:pt idx="4">
                  <c:v>8872427.0087098312</c:v>
                </c:pt>
                <c:pt idx="5">
                  <c:v>9019364.5418991633</c:v>
                </c:pt>
                <c:pt idx="6">
                  <c:v>9055961.7648480367</c:v>
                </c:pt>
                <c:pt idx="7">
                  <c:v>9325183.2355211023</c:v>
                </c:pt>
                <c:pt idx="8">
                  <c:v>9429312.6197859067</c:v>
                </c:pt>
                <c:pt idx="9">
                  <c:v>9837125.7481960803</c:v>
                </c:pt>
                <c:pt idx="10">
                  <c:v>9820147.6830604486</c:v>
                </c:pt>
                <c:pt idx="11">
                  <c:v>9944676.2189368978</c:v>
                </c:pt>
                <c:pt idx="12">
                  <c:v>10056913.770190481</c:v>
                </c:pt>
                <c:pt idx="13">
                  <c:v>10156817.270732094</c:v>
                </c:pt>
                <c:pt idx="14">
                  <c:v>10593024.767528288</c:v>
                </c:pt>
                <c:pt idx="15">
                  <c:v>10661516.270230904</c:v>
                </c:pt>
                <c:pt idx="16">
                  <c:v>10717673.113299357</c:v>
                </c:pt>
                <c:pt idx="17">
                  <c:v>10761502.225402029</c:v>
                </c:pt>
                <c:pt idx="18">
                  <c:v>10793002.604047773</c:v>
                </c:pt>
                <c:pt idx="19">
                  <c:v>11160650.228642471</c:v>
                </c:pt>
                <c:pt idx="20">
                  <c:v>11160513.325597681</c:v>
                </c:pt>
                <c:pt idx="21">
                  <c:v>11148024.528791351</c:v>
                </c:pt>
                <c:pt idx="22">
                  <c:v>11122928.06444766</c:v>
                </c:pt>
                <c:pt idx="23">
                  <c:v>11085742.130761115</c:v>
                </c:pt>
                <c:pt idx="24">
                  <c:v>11384124.824652469</c:v>
                </c:pt>
                <c:pt idx="25">
                  <c:v>11315312.501643641</c:v>
                </c:pt>
                <c:pt idx="26">
                  <c:v>11234276.935154945</c:v>
                </c:pt>
                <c:pt idx="27">
                  <c:v>11140096.274544969</c:v>
                </c:pt>
                <c:pt idx="28">
                  <c:v>11033211.379039234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7-4B15-A1DE-2AECACE4F466}"/>
            </c:ext>
          </c:extLst>
        </c:ser>
        <c:ser>
          <c:idx val="10"/>
          <c:order val="10"/>
          <c:tx>
            <c:strRef>
              <c:f>'Oahu COS and Allocation'!$B$10</c:f>
              <c:strCache>
                <c:ptCount val="1"/>
                <c:pt idx="0">
                  <c:v>Administrative and General Expenses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Allocation'!$E$10:$AG$10</c:f>
              <c:numCache>
                <c:formatCode>_("$"* #,##0_);_("$"* \(#,##0\);_("$"* "-"??_);_(@_)</c:formatCode>
                <c:ptCount val="29"/>
                <c:pt idx="0">
                  <c:v>6172711.3915032409</c:v>
                </c:pt>
                <c:pt idx="1">
                  <c:v>6381354.2220988097</c:v>
                </c:pt>
                <c:pt idx="2">
                  <c:v>6308276.8278308036</c:v>
                </c:pt>
                <c:pt idx="3">
                  <c:v>4610803.3635795005</c:v>
                </c:pt>
                <c:pt idx="4">
                  <c:v>5272952.3414819119</c:v>
                </c:pt>
                <c:pt idx="5">
                  <c:v>5535873.4038875904</c:v>
                </c:pt>
                <c:pt idx="6">
                  <c:v>5596888.1120076887</c:v>
                </c:pt>
                <c:pt idx="7">
                  <c:v>5605580.4143162463</c:v>
                </c:pt>
                <c:pt idx="8">
                  <c:v>5632464.2673390778</c:v>
                </c:pt>
                <c:pt idx="9">
                  <c:v>5657806.2621487761</c:v>
                </c:pt>
                <c:pt idx="10">
                  <c:v>5680888.2888488537</c:v>
                </c:pt>
                <c:pt idx="11">
                  <c:v>5706870.4230631599</c:v>
                </c:pt>
                <c:pt idx="12">
                  <c:v>5735429.0010286951</c:v>
                </c:pt>
                <c:pt idx="13">
                  <c:v>5764844.157156799</c:v>
                </c:pt>
                <c:pt idx="14">
                  <c:v>5793183.0467522154</c:v>
                </c:pt>
                <c:pt idx="15">
                  <c:v>5824192.5926950555</c:v>
                </c:pt>
                <c:pt idx="16">
                  <c:v>5858036.9835218312</c:v>
                </c:pt>
                <c:pt idx="17">
                  <c:v>5894810.0424792338</c:v>
                </c:pt>
                <c:pt idx="18">
                  <c:v>5931123.1137508079</c:v>
                </c:pt>
                <c:pt idx="19">
                  <c:v>5965831.3377247872</c:v>
                </c:pt>
                <c:pt idx="20">
                  <c:v>6003293.0743013052</c:v>
                </c:pt>
                <c:pt idx="21">
                  <c:v>6040976.6554009384</c:v>
                </c:pt>
                <c:pt idx="22">
                  <c:v>6084255.0114435349</c:v>
                </c:pt>
                <c:pt idx="23">
                  <c:v>6121205.0568893505</c:v>
                </c:pt>
                <c:pt idx="24">
                  <c:v>6162673.3257921049</c:v>
                </c:pt>
                <c:pt idx="25">
                  <c:v>6208539.8593265405</c:v>
                </c:pt>
                <c:pt idx="26">
                  <c:v>6249163.3077503396</c:v>
                </c:pt>
                <c:pt idx="27">
                  <c:v>6289038.4756080406</c:v>
                </c:pt>
                <c:pt idx="28">
                  <c:v>6338220.3403222384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1-4CDD-A221-403EE5472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5430712"/>
        <c:axId val="1225426448"/>
      </c:barChart>
      <c:catAx>
        <c:axId val="122543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5426448"/>
        <c:crosses val="autoZero"/>
        <c:auto val="1"/>
        <c:lblAlgn val="ctr"/>
        <c:lblOffset val="100"/>
        <c:noMultiLvlLbl val="0"/>
      </c:catAx>
      <c:valAx>
        <c:axId val="1225426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543071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1.6769235945311059E-2"/>
          <c:y val="0.76247401892094591"/>
          <c:w val="0.9832307640546889"/>
          <c:h val="0.125485737800059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37154841333766"/>
          <c:y val="0.14351851851851852"/>
          <c:w val="0.82044569219261521"/>
          <c:h val="0.74908209390492841"/>
        </c:manualLayout>
      </c:layout>
      <c:lineChart>
        <c:grouping val="standard"/>
        <c:varyColors val="0"/>
        <c:ser>
          <c:idx val="0"/>
          <c:order val="0"/>
          <c:tx>
            <c:strRef>
              <c:f>'Oahu COS and Allocation'!$B$4</c:f>
              <c:strCache>
                <c:ptCount val="1"/>
                <c:pt idx="0">
                  <c:v>Transmission Expenses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'Oahu COS and Allocation'!$E$3:$AK$3</c:f>
              <c:numCache>
                <c:formatCode>General</c:formatCode>
                <c:ptCount val="3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Allocation'!$E$4:$AG$4</c:f>
              <c:numCache>
                <c:formatCode>_("$"* #,##0_);_("$"* \(#,##0\);_("$"* "-"??_);_(@_)</c:formatCode>
                <c:ptCount val="29"/>
                <c:pt idx="0">
                  <c:v>294544.59064937802</c:v>
                </c:pt>
                <c:pt idx="1">
                  <c:v>304500.44525393506</c:v>
                </c:pt>
                <c:pt idx="2">
                  <c:v>301013.3955904725</c:v>
                </c:pt>
                <c:pt idx="3">
                  <c:v>220014.69097675796</c:v>
                </c:pt>
                <c:pt idx="4">
                  <c:v>251610.59547889177</c:v>
                </c:pt>
                <c:pt idx="5">
                  <c:v>264156.45608821482</c:v>
                </c:pt>
                <c:pt idx="6">
                  <c:v>267067.90797491145</c:v>
                </c:pt>
                <c:pt idx="7">
                  <c:v>267482.68042463245</c:v>
                </c:pt>
                <c:pt idx="8">
                  <c:v>268765.50299342902</c:v>
                </c:pt>
                <c:pt idx="9">
                  <c:v>269974.75238385663</c:v>
                </c:pt>
                <c:pt idx="10">
                  <c:v>271076.16239228356</c:v>
                </c:pt>
                <c:pt idx="11">
                  <c:v>272315.95745169366</c:v>
                </c:pt>
                <c:pt idx="12">
                  <c:v>273678.69322903221</c:v>
                </c:pt>
                <c:pt idx="13">
                  <c:v>275082.30252989248</c:v>
                </c:pt>
                <c:pt idx="14">
                  <c:v>276434.55539025291</c:v>
                </c:pt>
                <c:pt idx="15">
                  <c:v>277914.24453115935</c:v>
                </c:pt>
                <c:pt idx="16">
                  <c:v>279529.20457215077</c:v>
                </c:pt>
                <c:pt idx="17">
                  <c:v>281283.91249717103</c:v>
                </c:pt>
                <c:pt idx="18">
                  <c:v>283016.6710913328</c:v>
                </c:pt>
                <c:pt idx="19">
                  <c:v>284672.85084350052</c:v>
                </c:pt>
                <c:pt idx="20">
                  <c:v>286460.42054587376</c:v>
                </c:pt>
                <c:pt idx="21">
                  <c:v>288258.57605083915</c:v>
                </c:pt>
                <c:pt idx="22">
                  <c:v>290323.69862923987</c:v>
                </c:pt>
                <c:pt idx="23">
                  <c:v>292086.85185640916</c:v>
                </c:pt>
                <c:pt idx="24">
                  <c:v>294065.60211933468</c:v>
                </c:pt>
                <c:pt idx="25">
                  <c:v>296254.22531707596</c:v>
                </c:pt>
                <c:pt idx="26">
                  <c:v>298192.66310038534</c:v>
                </c:pt>
                <c:pt idx="27">
                  <c:v>300095.39501976344</c:v>
                </c:pt>
                <c:pt idx="28">
                  <c:v>302442.21658500895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F-4342-8206-A27143A90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6080440"/>
        <c:axId val="1226076832"/>
      </c:lineChart>
      <c:catAx>
        <c:axId val="1226080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076832"/>
        <c:crosses val="autoZero"/>
        <c:auto val="1"/>
        <c:lblAlgn val="ctr"/>
        <c:lblOffset val="100"/>
        <c:noMultiLvlLbl val="0"/>
      </c:catAx>
      <c:valAx>
        <c:axId val="122607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080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Distribution O&amp;M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'Oahu COS and Allocation'!$E$3:$AK$3</c:f>
              <c:numCache>
                <c:formatCode>General</c:formatCode>
                <c:ptCount val="3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Allocation'!$E$6:$AG$6</c:f>
              <c:numCache>
                <c:formatCode>_("$"* #,##0_);_("$"* \(#,##0\);_("$"* "-"??_);_(@_)</c:formatCode>
                <c:ptCount val="29"/>
                <c:pt idx="0">
                  <c:v>7154458.2039220426</c:v>
                </c:pt>
                <c:pt idx="1">
                  <c:v>7396284.9015218578</c:v>
                </c:pt>
                <c:pt idx="2">
                  <c:v>7311584.8192109214</c:v>
                </c:pt>
                <c:pt idx="3">
                  <c:v>5344134.5073480243</c:v>
                </c:pt>
                <c:pt idx="4">
                  <c:v>6111595.8200044744</c:v>
                </c:pt>
                <c:pt idx="5">
                  <c:v>6416333.5005157469</c:v>
                </c:pt>
                <c:pt idx="6">
                  <c:v>6487052.3712652577</c:v>
                </c:pt>
                <c:pt idx="7">
                  <c:v>6497127.1519601773</c:v>
                </c:pt>
                <c:pt idx="8">
                  <c:v>6654067.2880446073</c:v>
                </c:pt>
                <c:pt idx="9">
                  <c:v>6683439.8329718765</c:v>
                </c:pt>
                <c:pt idx="10">
                  <c:v>6710192.9702584874</c:v>
                </c:pt>
                <c:pt idx="11">
                  <c:v>6740307.4663842628</c:v>
                </c:pt>
                <c:pt idx="12">
                  <c:v>6773408.1800672505</c:v>
                </c:pt>
                <c:pt idx="13">
                  <c:v>6996144.7460654555</c:v>
                </c:pt>
                <c:pt idx="14">
                  <c:v>7028990.8307592981</c:v>
                </c:pt>
                <c:pt idx="15">
                  <c:v>7064932.3297699336</c:v>
                </c:pt>
                <c:pt idx="16">
                  <c:v>7104159.5452105701</c:v>
                </c:pt>
                <c:pt idx="17">
                  <c:v>7146781.2225666903</c:v>
                </c:pt>
                <c:pt idx="18">
                  <c:v>7431881.9252968971</c:v>
                </c:pt>
                <c:pt idx="19">
                  <c:v>7466449.4719039658</c:v>
                </c:pt>
                <c:pt idx="20">
                  <c:v>7504436.4678643551</c:v>
                </c:pt>
                <c:pt idx="21">
                  <c:v>7542899.4096263004</c:v>
                </c:pt>
                <c:pt idx="22">
                  <c:v>7588056.9590212703</c:v>
                </c:pt>
                <c:pt idx="23">
                  <c:v>8536519.6059746966</c:v>
                </c:pt>
                <c:pt idx="24">
                  <c:v>8579974.1555775981</c:v>
                </c:pt>
                <c:pt idx="25">
                  <c:v>8628712.1355356164</c:v>
                </c:pt>
                <c:pt idx="26">
                  <c:v>8671551.2984029446</c:v>
                </c:pt>
                <c:pt idx="27">
                  <c:v>8713694.1549789682</c:v>
                </c:pt>
                <c:pt idx="28">
                  <c:v>8766788.0027911179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'Rates Dashboard'!#REF!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324-44A2-A083-0F196E462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6080440"/>
        <c:axId val="1226076832"/>
      </c:lineChart>
      <c:catAx>
        <c:axId val="1226080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076832"/>
        <c:crosses val="autoZero"/>
        <c:auto val="1"/>
        <c:lblAlgn val="ctr"/>
        <c:lblOffset val="100"/>
        <c:tickLblSkip val="2"/>
        <c:noMultiLvlLbl val="0"/>
      </c:catAx>
      <c:valAx>
        <c:axId val="122607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080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Customer Account Expenses</a:t>
            </a:r>
          </a:p>
        </c:rich>
      </c:tx>
      <c:layout>
        <c:manualLayout>
          <c:xMode val="edge"/>
          <c:yMode val="edge"/>
          <c:x val="0.35351257145724879"/>
          <c:y val="6.854835807791123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'Oahu COS and Allocation'!$E$3:$AK$3</c:f>
              <c:numCache>
                <c:formatCode>General</c:formatCode>
                <c:ptCount val="3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Allocation'!$E$7:$AG$7</c:f>
              <c:numCache>
                <c:formatCode>_("$"* #,##0_);_("$"* \(#,##0\);_("$"* "-"??_);_(@_)</c:formatCode>
                <c:ptCount val="29"/>
                <c:pt idx="0">
                  <c:v>1670892.6394287169</c:v>
                </c:pt>
                <c:pt idx="1">
                  <c:v>1739318.2392173535</c:v>
                </c:pt>
                <c:pt idx="2">
                  <c:v>1672393.0764786752</c:v>
                </c:pt>
                <c:pt idx="3">
                  <c:v>1720282.6512422885</c:v>
                </c:pt>
                <c:pt idx="4">
                  <c:v>1722966.4039139997</c:v>
                </c:pt>
                <c:pt idx="5">
                  <c:v>1808881.0674725431</c:v>
                </c:pt>
                <c:pt idx="6">
                  <c:v>1828822.217091982</c:v>
                </c:pt>
                <c:pt idx="7">
                  <c:v>1831666.8618423725</c:v>
                </c:pt>
                <c:pt idx="8">
                  <c:v>1840455.6509901437</c:v>
                </c:pt>
                <c:pt idx="9">
                  <c:v>1848740.6332880692</c:v>
                </c:pt>
                <c:pt idx="10">
                  <c:v>1856287.1641483984</c:v>
                </c:pt>
                <c:pt idx="11">
                  <c:v>1864781.3139392559</c:v>
                </c:pt>
                <c:pt idx="12">
                  <c:v>1874117.3245439366</c:v>
                </c:pt>
                <c:pt idx="13">
                  <c:v>1883733.2246624881</c:v>
                </c:pt>
                <c:pt idx="14">
                  <c:v>1892997.451425598</c:v>
                </c:pt>
                <c:pt idx="15">
                  <c:v>1903134.3232542214</c:v>
                </c:pt>
                <c:pt idx="16">
                  <c:v>1914197.4892508883</c:v>
                </c:pt>
                <c:pt idx="17">
                  <c:v>1926217.6064461574</c:v>
                </c:pt>
                <c:pt idx="18">
                  <c:v>1938087.4212692683</c:v>
                </c:pt>
                <c:pt idx="19">
                  <c:v>1949432.8473680494</c:v>
                </c:pt>
                <c:pt idx="20">
                  <c:v>1961677.9920651277</c:v>
                </c:pt>
                <c:pt idx="21">
                  <c:v>1973995.6251333114</c:v>
                </c:pt>
                <c:pt idx="22">
                  <c:v>1988141.3678912157</c:v>
                </c:pt>
                <c:pt idx="23">
                  <c:v>2000219.3159586317</c:v>
                </c:pt>
                <c:pt idx="24">
                  <c:v>2013773.6072509608</c:v>
                </c:pt>
                <c:pt idx="25">
                  <c:v>2028765.0448580389</c:v>
                </c:pt>
                <c:pt idx="26">
                  <c:v>2042043.2884952959</c:v>
                </c:pt>
                <c:pt idx="27">
                  <c:v>2055077.0291869561</c:v>
                </c:pt>
                <c:pt idx="28">
                  <c:v>2071151.761317255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'Rates Dashboard'!#REF!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BF01-45A7-BCB8-6BA182AB7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6080440"/>
        <c:axId val="1226076832"/>
      </c:lineChart>
      <c:catAx>
        <c:axId val="1226080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076832"/>
        <c:crosses val="autoZero"/>
        <c:auto val="1"/>
        <c:lblAlgn val="ctr"/>
        <c:lblOffset val="100"/>
        <c:tickLblSkip val="2"/>
        <c:noMultiLvlLbl val="0"/>
      </c:catAx>
      <c:valAx>
        <c:axId val="122607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080440"/>
        <c:crosses val="autoZero"/>
        <c:crossBetween val="between"/>
      </c:valAx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A&amp;G Expense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Allocation'!$E$10:$AG$10</c:f>
              <c:numCache>
                <c:formatCode>_("$"* #,##0_);_("$"* \(#,##0\);_("$"* "-"??_);_(@_)</c:formatCode>
                <c:ptCount val="29"/>
                <c:pt idx="0">
                  <c:v>6172711.3915032409</c:v>
                </c:pt>
                <c:pt idx="1">
                  <c:v>6381354.2220988097</c:v>
                </c:pt>
                <c:pt idx="2">
                  <c:v>6308276.8278308036</c:v>
                </c:pt>
                <c:pt idx="3">
                  <c:v>4610803.3635795005</c:v>
                </c:pt>
                <c:pt idx="4">
                  <c:v>5272952.3414819119</c:v>
                </c:pt>
                <c:pt idx="5">
                  <c:v>5535873.4038875904</c:v>
                </c:pt>
                <c:pt idx="6">
                  <c:v>5596888.1120076887</c:v>
                </c:pt>
                <c:pt idx="7">
                  <c:v>5605580.4143162463</c:v>
                </c:pt>
                <c:pt idx="8">
                  <c:v>5632464.2673390778</c:v>
                </c:pt>
                <c:pt idx="9">
                  <c:v>5657806.2621487761</c:v>
                </c:pt>
                <c:pt idx="10">
                  <c:v>5680888.2888488537</c:v>
                </c:pt>
                <c:pt idx="11">
                  <c:v>5706870.4230631599</c:v>
                </c:pt>
                <c:pt idx="12">
                  <c:v>5735429.0010286951</c:v>
                </c:pt>
                <c:pt idx="13">
                  <c:v>5764844.157156799</c:v>
                </c:pt>
                <c:pt idx="14">
                  <c:v>5793183.0467522154</c:v>
                </c:pt>
                <c:pt idx="15">
                  <c:v>5824192.5926950555</c:v>
                </c:pt>
                <c:pt idx="16">
                  <c:v>5858036.9835218312</c:v>
                </c:pt>
                <c:pt idx="17">
                  <c:v>5894810.0424792338</c:v>
                </c:pt>
                <c:pt idx="18">
                  <c:v>5931123.1137508079</c:v>
                </c:pt>
                <c:pt idx="19">
                  <c:v>5965831.3377247872</c:v>
                </c:pt>
                <c:pt idx="20">
                  <c:v>6003293.0743013052</c:v>
                </c:pt>
                <c:pt idx="21">
                  <c:v>6040976.6554009384</c:v>
                </c:pt>
                <c:pt idx="22">
                  <c:v>6084255.0114435349</c:v>
                </c:pt>
                <c:pt idx="23">
                  <c:v>6121205.0568893505</c:v>
                </c:pt>
                <c:pt idx="24">
                  <c:v>6162673.3257921049</c:v>
                </c:pt>
                <c:pt idx="25">
                  <c:v>6208539.8593265405</c:v>
                </c:pt>
                <c:pt idx="26">
                  <c:v>6249163.3077503396</c:v>
                </c:pt>
                <c:pt idx="27">
                  <c:v>6289038.4756080406</c:v>
                </c:pt>
                <c:pt idx="28">
                  <c:v>6338220.3403222384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'Rates Dashboard'!#REF!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A0A-41BB-B1E5-EF42CFC4A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6080440"/>
        <c:axId val="1226076832"/>
      </c:lineChart>
      <c:catAx>
        <c:axId val="1226080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076832"/>
        <c:crosses val="autoZero"/>
        <c:auto val="1"/>
        <c:lblAlgn val="ctr"/>
        <c:lblOffset val="100"/>
        <c:noMultiLvlLbl val="0"/>
      </c:catAx>
      <c:valAx>
        <c:axId val="122607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080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800">
                <a:solidFill>
                  <a:sysClr val="windowText" lastClr="000000"/>
                </a:solidFill>
              </a:rPr>
              <a:t>Average Rates by Customer Class Oahu</a:t>
            </a:r>
            <a:r>
              <a:rPr lang="en-US" sz="2800" baseline="0">
                <a:solidFill>
                  <a:sysClr val="windowText" lastClr="000000"/>
                </a:solidFill>
              </a:rPr>
              <a:t> (Delivery &amp; SNG Plant)</a:t>
            </a:r>
            <a:endParaRPr lang="en-US" sz="28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2420130583596695"/>
          <c:y val="1.5648063952528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878377226011761E-2"/>
          <c:y val="0.12228205541811703"/>
          <c:w val="0.90163032111137376"/>
          <c:h val="0.66080632827772323"/>
        </c:manualLayout>
      </c:layout>
      <c:lineChart>
        <c:grouping val="standard"/>
        <c:varyColors val="0"/>
        <c:ser>
          <c:idx val="2"/>
          <c:order val="0"/>
          <c:tx>
            <c:strRef>
              <c:f>'Oahu COS and Allocation'!$B$420</c:f>
              <c:strCache>
                <c:ptCount val="1"/>
                <c:pt idx="0">
                  <c:v>Rate 10 - - General Service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Allocation'!$K$419:$AG$419</c:f>
              <c:strCach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Allocation'!$C$420:$AG$420</c15:sqref>
                  </c15:fullRef>
                </c:ext>
              </c:extLst>
              <c:f>'Oahu COS and Allocation'!$L$420:$AG$420</c:f>
              <c:numCache>
                <c:formatCode>General</c:formatCode>
                <c:ptCount val="22"/>
                <c:pt idx="0" formatCode="_(&quot;$&quot;* #,##0.000_);_(&quot;$&quot;* \(#,##0.000\);_(&quot;$&quot;* &quot;-&quot;??_);_(@_)">
                  <c:v>2.3438358815801545</c:v>
                </c:pt>
                <c:pt idx="1" formatCode="_(&quot;$&quot;* #,##0.000_);_(&quot;$&quot;* \(#,##0.000\);_(&quot;$&quot;* &quot;-&quot;??_);_(@_)">
                  <c:v>2.365269996070126</c:v>
                </c:pt>
                <c:pt idx="2" formatCode="_(&quot;$&quot;* #,##0.000_);_(&quot;$&quot;* \(#,##0.000\);_(&quot;$&quot;* &quot;-&quot;??_);_(@_)">
                  <c:v>2.3978629199774999</c:v>
                </c:pt>
                <c:pt idx="3" formatCode="_(&quot;$&quot;* #,##0.000_);_(&quot;$&quot;* \(#,##0.000\);_(&quot;$&quot;* &quot;-&quot;??_);_(@_)">
                  <c:v>2.4072891273906136</c:v>
                </c:pt>
                <c:pt idx="4" formatCode="_(&quot;$&quot;* #,##0.000_);_(&quot;$&quot;* \(#,##0.000\);_(&quot;$&quot;* &quot;-&quot;??_);_(@_)">
                  <c:v>2.4315113049515329</c:v>
                </c:pt>
                <c:pt idx="5" formatCode="_(&quot;$&quot;* #,##0.000_);_(&quot;$&quot;* \(#,##0.000\);_(&quot;$&quot;* &quot;-&quot;??_);_(@_)">
                  <c:v>2.4541131062441379</c:v>
                </c:pt>
                <c:pt idx="6" formatCode="_(&quot;$&quot;* #,##0.000_);_(&quot;$&quot;* \(#,##0.000\);_(&quot;$&quot;* &quot;-&quot;??_);_(@_)">
                  <c:v>2.4858899343728389</c:v>
                </c:pt>
                <c:pt idx="7" formatCode="_(&quot;$&quot;* #,##0.000_);_(&quot;$&quot;* \(#,##0.000\);_(&quot;$&quot;* &quot;-&quot;??_);_(@_)">
                  <c:v>2.528001438711756</c:v>
                </c:pt>
                <c:pt idx="8" formatCode="_(&quot;$&quot;* #,##0.000_);_(&quot;$&quot;* \(#,##0.000\);_(&quot;$&quot;* &quot;-&quot;??_);_(@_)">
                  <c:v>2.5467183131536588</c:v>
                </c:pt>
                <c:pt idx="9" formatCode="_(&quot;$&quot;* #,##0.000_);_(&quot;$&quot;* \(#,##0.000\);_(&quot;$&quot;* &quot;-&quot;??_);_(@_)">
                  <c:v>2.5637592390605479</c:v>
                </c:pt>
                <c:pt idx="10" formatCode="_(&quot;$&quot;* #,##0.000_);_(&quot;$&quot;* \(#,##0.000\);_(&quot;$&quot;* &quot;-&quot;??_);_(@_)">
                  <c:v>2.5791069435653244</c:v>
                </c:pt>
                <c:pt idx="11" formatCode="_(&quot;$&quot;* #,##0.000_);_(&quot;$&quot;* \(#,##0.000\);_(&quot;$&quot;* &quot;-&quot;??_);_(@_)">
                  <c:v>2.6066790571384049</c:v>
                </c:pt>
                <c:pt idx="12" formatCode="_(&quot;$&quot;* #,##0.000_);_(&quot;$&quot;* \(#,##0.000\);_(&quot;$&quot;* &quot;-&quot;??_);_(@_)">
                  <c:v>2.641280156071907</c:v>
                </c:pt>
                <c:pt idx="13" formatCode="_(&quot;$&quot;* #,##0.000_);_(&quot;$&quot;* \(#,##0.000\);_(&quot;$&quot;* &quot;-&quot;??_);_(@_)">
                  <c:v>2.6531427882259364</c:v>
                </c:pt>
                <c:pt idx="14" formatCode="_(&quot;$&quot;* #,##0.000_);_(&quot;$&quot;* \(#,##0.000\);_(&quot;$&quot;* &quot;-&quot;??_);_(@_)">
                  <c:v>2.6641837371559252</c:v>
                </c:pt>
                <c:pt idx="15" formatCode="_(&quot;$&quot;* #,##0.000_);_(&quot;$&quot;* \(#,##0.000\);_(&quot;$&quot;* &quot;-&quot;??_);_(@_)">
                  <c:v>2.6728265029163736</c:v>
                </c:pt>
                <c:pt idx="16" formatCode="_(&quot;$&quot;* #,##0.000_);_(&quot;$&quot;* \(#,##0.000\);_(&quot;$&quot;* &quot;-&quot;??_);_(@_)">
                  <c:v>2.7295599256246494</c:v>
                </c:pt>
                <c:pt idx="17" formatCode="_(&quot;$&quot;* #,##0.000_);_(&quot;$&quot;* \(#,##0.000\);_(&quot;$&quot;* &quot;-&quot;??_);_(@_)">
                  <c:v>2.7570111793507293</c:v>
                </c:pt>
                <c:pt idx="18" formatCode="_(&quot;$&quot;* #,##0.000_);_(&quot;$&quot;* \(#,##0.000\);_(&quot;$&quot;* &quot;-&quot;??_);_(@_)">
                  <c:v>2.7620035507465488</c:v>
                </c:pt>
                <c:pt idx="19" formatCode="_(&quot;$&quot;* #,##0.000_);_(&quot;$&quot;* \(#,##0.000\);_(&quot;$&quot;* &quot;-&quot;??_);_(@_)">
                  <c:v>2.7679447041188032</c:v>
                </c:pt>
                <c:pt idx="20" formatCode="_(&quot;$&quot;* #,##0.000_);_(&quot;$&quot;* \(#,##0.000\);_(&quot;$&quot;* &quot;-&quot;??_);_(@_)">
                  <c:v>2.7734320270348629</c:v>
                </c:pt>
                <c:pt idx="21" formatCode="_(&quot;$&quot;* #,##0.000_);_(&quot;$&quot;* \(#,##0.000\);_(&quot;$&quot;* &quot;-&quot;??_);_(@_)">
                  <c:v>2.7755034970637729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E-4D4C-8F84-07B8AB676D28}"/>
            </c:ext>
          </c:extLst>
        </c:ser>
        <c:ser>
          <c:idx val="3"/>
          <c:order val="1"/>
          <c:tx>
            <c:strRef>
              <c:f>'Oahu COS and Allocation'!$B$421</c:f>
              <c:strCache>
                <c:ptCount val="1"/>
                <c:pt idx="0">
                  <c:v>Rate 20 - -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Allocation'!$K$419:$AG$419</c:f>
              <c:strCach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Allocation'!$C$421:$AG$421</c15:sqref>
                  </c15:fullRef>
                </c:ext>
              </c:extLst>
              <c:f>'Oahu COS and Allocation'!$L$421:$AG$421</c:f>
              <c:numCache>
                <c:formatCode>General</c:formatCode>
                <c:ptCount val="22"/>
                <c:pt idx="0" formatCode="_(&quot;$&quot;* #,##0.000_);_(&quot;$&quot;* \(#,##0.000\);_(&quot;$&quot;* &quot;-&quot;??_);_(@_)">
                  <c:v>3.2355348617756459</c:v>
                </c:pt>
                <c:pt idx="1" formatCode="_(&quot;$&quot;* #,##0.000_);_(&quot;$&quot;* \(#,##0.000\);_(&quot;$&quot;* &quot;-&quot;??_);_(@_)">
                  <c:v>3.2685033290108323</c:v>
                </c:pt>
                <c:pt idx="2" formatCode="_(&quot;$&quot;* #,##0.000_);_(&quot;$&quot;* \(#,##0.000\);_(&quot;$&quot;* &quot;-&quot;??_);_(@_)">
                  <c:v>3.3149067985309153</c:v>
                </c:pt>
                <c:pt idx="3" formatCode="_(&quot;$&quot;* #,##0.000_);_(&quot;$&quot;* \(#,##0.000\);_(&quot;$&quot;* &quot;-&quot;??_);_(@_)">
                  <c:v>3.331077776200587</c:v>
                </c:pt>
                <c:pt idx="4" formatCode="_(&quot;$&quot;* #,##0.000_);_(&quot;$&quot;* \(#,##0.000\);_(&quot;$&quot;* &quot;-&quot;??_);_(@_)">
                  <c:v>3.3644186591702772</c:v>
                </c:pt>
                <c:pt idx="5" formatCode="_(&quot;$&quot;* #,##0.000_);_(&quot;$&quot;* \(#,##0.000\);_(&quot;$&quot;* &quot;-&quot;??_);_(@_)">
                  <c:v>3.395779414637726</c:v>
                </c:pt>
                <c:pt idx="6" formatCode="_(&quot;$&quot;* #,##0.000_);_(&quot;$&quot;* \(#,##0.000\);_(&quot;$&quot;* &quot;-&quot;??_);_(@_)">
                  <c:v>3.4407553617534807</c:v>
                </c:pt>
                <c:pt idx="7" formatCode="_(&quot;$&quot;* #,##0.000_);_(&quot;$&quot;* \(#,##0.000\);_(&quot;$&quot;* &quot;-&quot;??_);_(@_)">
                  <c:v>3.4973108464983711</c:v>
                </c:pt>
                <c:pt idx="8" formatCode="_(&quot;$&quot;* #,##0.000_);_(&quot;$&quot;* \(#,##0.000\);_(&quot;$&quot;* &quot;-&quot;??_);_(@_)">
                  <c:v>3.5241141883704987</c:v>
                </c:pt>
                <c:pt idx="9" formatCode="_(&quot;$&quot;* #,##0.000_);_(&quot;$&quot;* \(#,##0.000\);_(&quot;$&quot;* &quot;-&quot;??_);_(@_)">
                  <c:v>3.5488463965533685</c:v>
                </c:pt>
                <c:pt idx="10" formatCode="_(&quot;$&quot;* #,##0.000_);_(&quot;$&quot;* \(#,##0.000\);_(&quot;$&quot;* &quot;-&quot;??_);_(@_)">
                  <c:v>3.5714783728292434</c:v>
                </c:pt>
                <c:pt idx="11" formatCode="_(&quot;$&quot;* #,##0.000_);_(&quot;$&quot;* \(#,##0.000\);_(&quot;$&quot;* &quot;-&quot;??_);_(@_)">
                  <c:v>3.6120891270500333</c:v>
                </c:pt>
                <c:pt idx="12" formatCode="_(&quot;$&quot;* #,##0.000_);_(&quot;$&quot;* \(#,##0.000\);_(&quot;$&quot;* &quot;-&quot;??_);_(@_)">
                  <c:v>3.659563952752126</c:v>
                </c:pt>
                <c:pt idx="13" formatCode="_(&quot;$&quot;* #,##0.000_);_(&quot;$&quot;* \(#,##0.000\);_(&quot;$&quot;* &quot;-&quot;??_);_(@_)">
                  <c:v>3.6781061771147985</c:v>
                </c:pt>
                <c:pt idx="14" formatCode="_(&quot;$&quot;* #,##0.000_);_(&quot;$&quot;* \(#,##0.000\);_(&quot;$&quot;* &quot;-&quot;??_);_(@_)">
                  <c:v>3.6957327934484741</c:v>
                </c:pt>
                <c:pt idx="15" formatCode="_(&quot;$&quot;* #,##0.000_);_(&quot;$&quot;* \(#,##0.000\);_(&quot;$&quot;* &quot;-&quot;??_);_(@_)">
                  <c:v>3.7102618394980498</c:v>
                </c:pt>
                <c:pt idx="16" formatCode="_(&quot;$&quot;* #,##0.000_);_(&quot;$&quot;* \(#,##0.000\);_(&quot;$&quot;* &quot;-&quot;??_);_(@_)">
                  <c:v>3.7945643771651043</c:v>
                </c:pt>
                <c:pt idx="17" formatCode="_(&quot;$&quot;* #,##0.000_);_(&quot;$&quot;* \(#,##0.000\);_(&quot;$&quot;* &quot;-&quot;??_);_(@_)">
                  <c:v>3.8333578160864077</c:v>
                </c:pt>
                <c:pt idx="18" formatCode="_(&quot;$&quot;* #,##0.000_);_(&quot;$&quot;* \(#,##0.000\);_(&quot;$&quot;* &quot;-&quot;??_);_(@_)">
                  <c:v>3.8434981056898851</c:v>
                </c:pt>
                <c:pt idx="19" formatCode="_(&quot;$&quot;* #,##0.000_);_(&quot;$&quot;* \(#,##0.000\);_(&quot;$&quot;* &quot;-&quot;??_);_(@_)">
                  <c:v>3.8551548081826494</c:v>
                </c:pt>
                <c:pt idx="20" formatCode="_(&quot;$&quot;* #,##0.000_);_(&quot;$&quot;* \(#,##0.000\);_(&quot;$&quot;* &quot;-&quot;??_);_(@_)">
                  <c:v>3.8663869844237126</c:v>
                </c:pt>
                <c:pt idx="21" formatCode="_(&quot;$&quot;* #,##0.000_);_(&quot;$&quot;* \(#,##0.000\);_(&quot;$&quot;* &quot;-&quot;??_);_(@_)">
                  <c:v>3.8730617800996638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BE-4D4C-8F84-07B8AB676D28}"/>
            </c:ext>
          </c:extLst>
        </c:ser>
        <c:ser>
          <c:idx val="4"/>
          <c:order val="2"/>
          <c:tx>
            <c:strRef>
              <c:f>'Oahu COS and Allocation'!$B$422</c:f>
              <c:strCache>
                <c:ptCount val="1"/>
                <c:pt idx="0">
                  <c:v>Rate 30 - - Multi Family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Allocation'!$K$419:$AG$419</c:f>
              <c:strCach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Allocation'!$C$422:$AG$422</c15:sqref>
                  </c15:fullRef>
                </c:ext>
              </c:extLst>
              <c:f>'Oahu COS and Allocation'!$L$422:$AG$422</c:f>
              <c:numCache>
                <c:formatCode>General</c:formatCode>
                <c:ptCount val="22"/>
                <c:pt idx="0" formatCode="_(&quot;$&quot;* #,##0.000_);_(&quot;$&quot;* \(#,##0.000\);_(&quot;$&quot;* &quot;-&quot;??_);_(@_)">
                  <c:v>1.6340071134656953</c:v>
                </c:pt>
                <c:pt idx="1" formatCode="_(&quot;$&quot;* #,##0.000_);_(&quot;$&quot;* \(#,##0.000\);_(&quot;$&quot;* &quot;-&quot;??_);_(@_)">
                  <c:v>1.6460372750809309</c:v>
                </c:pt>
                <c:pt idx="2" formatCode="_(&quot;$&quot;* #,##0.000_);_(&quot;$&quot;* \(#,##0.000\);_(&quot;$&quot;* &quot;-&quot;??_);_(@_)">
                  <c:v>1.6678533190344229</c:v>
                </c:pt>
                <c:pt idx="3" formatCode="_(&quot;$&quot;* #,##0.000_);_(&quot;$&quot;* \(#,##0.000\);_(&quot;$&quot;* &quot;-&quot;??_);_(@_)">
                  <c:v>1.6729571641752539</c:v>
                </c:pt>
                <c:pt idx="4" formatCode="_(&quot;$&quot;* #,##0.000_);_(&quot;$&quot;* \(#,##0.000\);_(&quot;$&quot;* &quot;-&quot;??_);_(@_)">
                  <c:v>1.6907090446653568</c:v>
                </c:pt>
                <c:pt idx="5" formatCode="_(&quot;$&quot;* #,##0.000_);_(&quot;$&quot;* \(#,##0.000\);_(&quot;$&quot;* &quot;-&quot;??_);_(@_)">
                  <c:v>1.7071515266282526</c:v>
                </c:pt>
                <c:pt idx="6" formatCode="_(&quot;$&quot;* #,##0.000_);_(&quot;$&quot;* \(#,##0.000\);_(&quot;$&quot;* &quot;-&quot;??_);_(@_)">
                  <c:v>1.7278165218810111</c:v>
                </c:pt>
                <c:pt idx="7" formatCode="_(&quot;$&quot;* #,##0.000_);_(&quot;$&quot;* \(#,##0.000\);_(&quot;$&quot;* &quot;-&quot;??_);_(@_)">
                  <c:v>1.7586836767083265</c:v>
                </c:pt>
                <c:pt idx="8" formatCode="_(&quot;$&quot;* #,##0.000_);_(&quot;$&quot;* \(#,##0.000\);_(&quot;$&quot;* &quot;-&quot;??_);_(@_)">
                  <c:v>1.7719040253236764</c:v>
                </c:pt>
                <c:pt idx="9" formatCode="_(&quot;$&quot;* #,##0.000_);_(&quot;$&quot;* \(#,##0.000\);_(&quot;$&quot;* &quot;-&quot;??_);_(@_)">
                  <c:v>1.783783340454598</c:v>
                </c:pt>
                <c:pt idx="10" formatCode="_(&quot;$&quot;* #,##0.000_);_(&quot;$&quot;* \(#,##0.000\);_(&quot;$&quot;* &quot;-&quot;??_);_(@_)">
                  <c:v>1.7943117990936517</c:v>
                </c:pt>
                <c:pt idx="11" formatCode="_(&quot;$&quot;* #,##0.000_);_(&quot;$&quot;* \(#,##0.000\);_(&quot;$&quot;* &quot;-&quot;??_);_(@_)">
                  <c:v>1.8107042729030554</c:v>
                </c:pt>
                <c:pt idx="12" formatCode="_(&quot;$&quot;* #,##0.000_);_(&quot;$&quot;* \(#,##0.000\);_(&quot;$&quot;* &quot;-&quot;??_);_(@_)">
                  <c:v>1.8355462265540254</c:v>
                </c:pt>
                <c:pt idx="13" formatCode="_(&quot;$&quot;* #,##0.000_);_(&quot;$&quot;* \(#,##0.000\);_(&quot;$&quot;* &quot;-&quot;??_);_(@_)">
                  <c:v>1.8432421932892658</c:v>
                </c:pt>
                <c:pt idx="14" formatCode="_(&quot;$&quot;* #,##0.000_);_(&quot;$&quot;* \(#,##0.000\);_(&quot;$&quot;* &quot;-&quot;??_);_(@_)">
                  <c:v>1.8502215504066322</c:v>
                </c:pt>
                <c:pt idx="15" formatCode="_(&quot;$&quot;* #,##0.000_);_(&quot;$&quot;* \(#,##0.000\);_(&quot;$&quot;* &quot;-&quot;??_);_(@_)">
                  <c:v>1.8553553929962401</c:v>
                </c:pt>
                <c:pt idx="16" formatCode="_(&quot;$&quot;* #,##0.000_);_(&quot;$&quot;* \(#,##0.000\);_(&quot;$&quot;* &quot;-&quot;??_);_(@_)">
                  <c:v>1.8847917905678184</c:v>
                </c:pt>
                <c:pt idx="17" formatCode="_(&quot;$&quot;* #,##0.000_);_(&quot;$&quot;* \(#,##0.000\);_(&quot;$&quot;* &quot;-&quot;??_);_(@_)">
                  <c:v>1.9039016884985696</c:v>
                </c:pt>
                <c:pt idx="18" formatCode="_(&quot;$&quot;* #,##0.000_);_(&quot;$&quot;* \(#,##0.000\);_(&quot;$&quot;* &quot;-&quot;??_);_(@_)">
                  <c:v>1.9061120585584772</c:v>
                </c:pt>
                <c:pt idx="19" formatCode="_(&quot;$&quot;* #,##0.000_);_(&quot;$&quot;* \(#,##0.000\);_(&quot;$&quot;* &quot;-&quot;??_);_(@_)">
                  <c:v>1.9088775619540337</c:v>
                </c:pt>
                <c:pt idx="20" formatCode="_(&quot;$&quot;* #,##0.000_);_(&quot;$&quot;* \(#,##0.000\);_(&quot;$&quot;* &quot;-&quot;??_);_(@_)">
                  <c:v>1.9112008027919525</c:v>
                </c:pt>
                <c:pt idx="21" formatCode="_(&quot;$&quot;* #,##0.000_);_(&quot;$&quot;* \(#,##0.000\);_(&quot;$&quot;* &quot;-&quot;??_);_(@_)">
                  <c:v>1.9109879719586349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BE-4D4C-8F84-07B8AB676D28}"/>
            </c:ext>
          </c:extLst>
        </c:ser>
        <c:ser>
          <c:idx val="5"/>
          <c:order val="3"/>
          <c:tx>
            <c:strRef>
              <c:f>'Oahu COS and Allocation'!$B$423</c:f>
              <c:strCache>
                <c:ptCount val="1"/>
                <c:pt idx="0">
                  <c:v>Rate 50 - - Commercial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Allocation'!$K$419:$AG$419</c:f>
              <c:strCach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Allocation'!$C$423:$AG$423</c15:sqref>
                  </c15:fullRef>
                </c:ext>
              </c:extLst>
              <c:f>'Oahu COS and Allocation'!$L$423:$AG$423</c:f>
              <c:numCache>
                <c:formatCode>General</c:formatCode>
                <c:ptCount val="22"/>
                <c:pt idx="0" formatCode="_(&quot;$&quot;* #,##0.000_);_(&quot;$&quot;* \(#,##0.000\);_(&quot;$&quot;* &quot;-&quot;??_);_(@_)">
                  <c:v>1.6386907048642549</c:v>
                </c:pt>
                <c:pt idx="1" formatCode="_(&quot;$&quot;* #,##0.000_);_(&quot;$&quot;* \(#,##0.000\);_(&quot;$&quot;* &quot;-&quot;??_);_(@_)">
                  <c:v>1.6504653232484248</c:v>
                </c:pt>
                <c:pt idx="2" formatCode="_(&quot;$&quot;* #,##0.000_);_(&quot;$&quot;* \(#,##0.000\);_(&quot;$&quot;* &quot;-&quot;??_);_(@_)">
                  <c:v>1.6719913458120499</c:v>
                </c:pt>
                <c:pt idx="3" formatCode="_(&quot;$&quot;* #,##0.000_);_(&quot;$&quot;* \(#,##0.000\);_(&quot;$&quot;* &quot;-&quot;??_);_(@_)">
                  <c:v>1.6769846308105711</c:v>
                </c:pt>
                <c:pt idx="4" formatCode="_(&quot;$&quot;* #,##0.000_);_(&quot;$&quot;* \(#,##0.000\);_(&quot;$&quot;* &quot;-&quot;??_);_(@_)">
                  <c:v>1.6945663379519147</c:v>
                </c:pt>
                <c:pt idx="5" formatCode="_(&quot;$&quot;* #,##0.000_);_(&quot;$&quot;* \(#,##0.000\);_(&quot;$&quot;* &quot;-&quot;??_);_(@_)">
                  <c:v>1.7108472006546844</c:v>
                </c:pt>
                <c:pt idx="6" formatCode="_(&quot;$&quot;* #,##0.000_);_(&quot;$&quot;* \(#,##0.000\);_(&quot;$&quot;* &quot;-&quot;??_);_(@_)">
                  <c:v>1.7312081880052217</c:v>
                </c:pt>
                <c:pt idx="7" formatCode="_(&quot;$&quot;* #,##0.000_);_(&quot;$&quot;* \(#,##0.000\);_(&quot;$&quot;* &quot;-&quot;??_);_(@_)">
                  <c:v>1.7617729054042466</c:v>
                </c:pt>
                <c:pt idx="8" formatCode="_(&quot;$&quot;* #,##0.000_);_(&quot;$&quot;* \(#,##0.000\);_(&quot;$&quot;* &quot;-&quot;??_);_(@_)">
                  <c:v>1.7748503166517671</c:v>
                </c:pt>
                <c:pt idx="9" formatCode="_(&quot;$&quot;* #,##0.000_);_(&quot;$&quot;* \(#,##0.000\);_(&quot;$&quot;* &quot;-&quot;??_);_(@_)">
                  <c:v>1.7865958699551827</c:v>
                </c:pt>
                <c:pt idx="10" formatCode="_(&quot;$&quot;* #,##0.000_);_(&quot;$&quot;* \(#,##0.000\);_(&quot;$&quot;* &quot;-&quot;??_);_(@_)">
                  <c:v>1.7969999319071643</c:v>
                </c:pt>
                <c:pt idx="11" formatCode="_(&quot;$&quot;* #,##0.000_);_(&quot;$&quot;* \(#,##0.000\);_(&quot;$&quot;* &quot;-&quot;??_);_(@_)">
                  <c:v>1.8130853910544695</c:v>
                </c:pt>
                <c:pt idx="12" formatCode="_(&quot;$&quot;* #,##0.000_);_(&quot;$&quot;* \(#,##0.000\);_(&quot;$&quot;* &quot;-&quot;??_);_(@_)">
                  <c:v>1.837666467535831</c:v>
                </c:pt>
                <c:pt idx="13" formatCode="_(&quot;$&quot;* #,##0.000_);_(&quot;$&quot;* \(#,##0.000\);_(&quot;$&quot;* &quot;-&quot;??_);_(@_)">
                  <c:v>1.8452567060834963</c:v>
                </c:pt>
                <c:pt idx="14" formatCode="_(&quot;$&quot;* #,##0.000_);_(&quot;$&quot;* \(#,##0.000\);_(&quot;$&quot;* &quot;-&quot;??_);_(@_)">
                  <c:v>1.8521333572933931</c:v>
                </c:pt>
                <c:pt idx="15" formatCode="_(&quot;$&quot;* #,##0.000_);_(&quot;$&quot;* \(#,##0.000\);_(&quot;$&quot;* &quot;-&quot;??_);_(@_)">
                  <c:v>1.8571794094032339</c:v>
                </c:pt>
                <c:pt idx="16" formatCode="_(&quot;$&quot;* #,##0.000_);_(&quot;$&quot;* \(#,##0.000\);_(&quot;$&quot;* &quot;-&quot;??_);_(@_)">
                  <c:v>1.8858457893548306</c:v>
                </c:pt>
                <c:pt idx="17" formatCode="_(&quot;$&quot;* #,##0.000_);_(&quot;$&quot;* \(#,##0.000\);_(&quot;$&quot;* &quot;-&quot;??_);_(@_)">
                  <c:v>1.9047343283266083</c:v>
                </c:pt>
                <c:pt idx="18" formatCode="_(&quot;$&quot;* #,##0.000_);_(&quot;$&quot;* \(#,##0.000\);_(&quot;$&quot;* &quot;-&quot;??_);_(@_)">
                  <c:v>1.9068773934922154</c:v>
                </c:pt>
                <c:pt idx="19" formatCode="_(&quot;$&quot;* #,##0.000_);_(&quot;$&quot;* \(#,##0.000\);_(&quot;$&quot;* &quot;-&quot;??_);_(@_)">
                  <c:v>1.9095653001803548</c:v>
                </c:pt>
                <c:pt idx="20" formatCode="_(&quot;$&quot;* #,##0.000_);_(&quot;$&quot;* \(#,##0.000\);_(&quot;$&quot;* &quot;-&quot;??_);_(@_)">
                  <c:v>1.911811466471071</c:v>
                </c:pt>
                <c:pt idx="21" formatCode="_(&quot;$&quot;* #,##0.000_);_(&quot;$&quot;* \(#,##0.000\);_(&quot;$&quot;* &quot;-&quot;??_);_(@_)">
                  <c:v>1.9115451699478556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BE-4D4C-8F84-07B8AB676D28}"/>
            </c:ext>
          </c:extLst>
        </c:ser>
        <c:ser>
          <c:idx val="6"/>
          <c:order val="4"/>
          <c:tx>
            <c:strRef>
              <c:f>'Oahu COS and Allocation'!$B$424</c:f>
              <c:strCache>
                <c:ptCount val="1"/>
                <c:pt idx="0">
                  <c:v>Rate 55 - - Large Industrial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Allocation'!$K$419:$AG$419</c:f>
              <c:strCach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Allocation'!$C$424:$AG$424</c15:sqref>
                  </c15:fullRef>
                </c:ext>
              </c:extLst>
              <c:f>'Oahu COS and Allocation'!$L$424:$AG$424</c:f>
              <c:numCache>
                <c:formatCode>General</c:formatCode>
                <c:ptCount val="22"/>
                <c:pt idx="0" formatCode="_(&quot;$&quot;* #,##0.000_);_(&quot;$&quot;* \(#,##0.000\);_(&quot;$&quot;* &quot;-&quot;??_);_(@_)">
                  <c:v>1.5975908465672135</c:v>
                </c:pt>
                <c:pt idx="1" formatCode="_(&quot;$&quot;* #,##0.000_);_(&quot;$&quot;* \(#,##0.000\);_(&quot;$&quot;* &quot;-&quot;??_);_(@_)">
                  <c:v>1.6081321401097939</c:v>
                </c:pt>
                <c:pt idx="2" formatCode="_(&quot;$&quot;* #,##0.000_);_(&quot;$&quot;* \(#,##0.000\);_(&quot;$&quot;* &quot;-&quot;??_);_(@_)">
                  <c:v>1.6282658444678484</c:v>
                </c:pt>
                <c:pt idx="3" formatCode="_(&quot;$&quot;* #,##0.000_);_(&quot;$&quot;* \(#,##0.000\);_(&quot;$&quot;* &quot;-&quot;??_);_(@_)">
                  <c:v>1.6327435871186795</c:v>
                </c:pt>
                <c:pt idx="4" formatCode="_(&quot;$&quot;* #,##0.000_);_(&quot;$&quot;* \(#,##0.000\);_(&quot;$&quot;* &quot;-&quot;??_);_(@_)">
                  <c:v>1.6495187817544692</c:v>
                </c:pt>
                <c:pt idx="5" formatCode="_(&quot;$&quot;* #,##0.000_);_(&quot;$&quot;* \(#,##0.000\);_(&quot;$&quot;* &quot;-&quot;??_);_(@_)">
                  <c:v>1.6650346875758335</c:v>
                </c:pt>
                <c:pt idx="6" formatCode="_(&quot;$&quot;* #,##0.000_);_(&quot;$&quot;* \(#,##0.000\);_(&quot;$&quot;* &quot;-&quot;??_);_(@_)">
                  <c:v>1.6839230667017848</c:v>
                </c:pt>
                <c:pt idx="7" formatCode="_(&quot;$&quot;* #,##0.000_);_(&quot;$&quot;* \(#,##0.000\);_(&quot;$&quot;* &quot;-&quot;??_);_(@_)">
                  <c:v>1.7130362938473336</c:v>
                </c:pt>
                <c:pt idx="8" formatCode="_(&quot;$&quot;* #,##0.000_);_(&quot;$&quot;* \(#,##0.000\);_(&quot;$&quot;* &quot;-&quot;??_);_(@_)">
                  <c:v>1.7254406693177942</c:v>
                </c:pt>
                <c:pt idx="9" formatCode="_(&quot;$&quot;* #,##0.000_);_(&quot;$&quot;* \(#,##0.000\);_(&quot;$&quot;* &quot;-&quot;??_);_(@_)">
                  <c:v>1.7365576657973871</c:v>
                </c:pt>
                <c:pt idx="10" formatCode="_(&quot;$&quot;* #,##0.000_);_(&quot;$&quot;* \(#,##0.000\);_(&quot;$&quot;* &quot;-&quot;??_);_(@_)">
                  <c:v>1.7463785313227667</c:v>
                </c:pt>
                <c:pt idx="11" formatCode="_(&quot;$&quot;* #,##0.000_);_(&quot;$&quot;* \(#,##0.000\);_(&quot;$&quot;* &quot;-&quot;??_);_(@_)">
                  <c:v>1.7609738230730971</c:v>
                </c:pt>
                <c:pt idx="12" formatCode="_(&quot;$&quot;* #,##0.000_);_(&quot;$&quot;* \(#,##0.000\);_(&quot;$&quot;* &quot;-&quot;??_);_(@_)">
                  <c:v>1.7843071358561282</c:v>
                </c:pt>
                <c:pt idx="13" formatCode="_(&quot;$&quot;* #,##0.000_);_(&quot;$&quot;* \(#,##0.000\);_(&quot;$&quot;* &quot;-&quot;??_);_(@_)">
                  <c:v>1.7914067259276454</c:v>
                </c:pt>
                <c:pt idx="14" formatCode="_(&quot;$&quot;* #,##0.000_);_(&quot;$&quot;* \(#,##0.000\);_(&quot;$&quot;* &quot;-&quot;??_);_(@_)">
                  <c:v>1.797807752259549</c:v>
                </c:pt>
                <c:pt idx="15" formatCode="_(&quot;$&quot;* #,##0.000_);_(&quot;$&quot;* \(#,##0.000\);_(&quot;$&quot;* &quot;-&quot;??_);_(@_)">
                  <c:v>1.8024498964917299</c:v>
                </c:pt>
                <c:pt idx="16" formatCode="_(&quot;$&quot;* #,##0.000_);_(&quot;$&quot;* \(#,##0.000\);_(&quot;$&quot;* &quot;-&quot;??_);_(@_)">
                  <c:v>1.8273260014115809</c:v>
                </c:pt>
                <c:pt idx="17" formatCode="_(&quot;$&quot;* #,##0.000_);_(&quot;$&quot;* \(#,##0.000\);_(&quot;$&quot;* &quot;-&quot;??_);_(@_)">
                  <c:v>1.8451600976631526</c:v>
                </c:pt>
                <c:pt idx="18" formatCode="_(&quot;$&quot;* #,##0.000_);_(&quot;$&quot;* \(#,##0.000\);_(&quot;$&quot;* &quot;-&quot;??_);_(@_)">
                  <c:v>1.8470000410662291</c:v>
                </c:pt>
                <c:pt idx="19" formatCode="_(&quot;$&quot;* #,##0.000_);_(&quot;$&quot;* \(#,##0.000\);_(&quot;$&quot;* &quot;-&quot;??_);_(@_)">
                  <c:v>1.8493362155359689</c:v>
                </c:pt>
                <c:pt idx="20" formatCode="_(&quot;$&quot;* #,##0.000_);_(&quot;$&quot;* \(#,##0.000\);_(&quot;$&quot;* &quot;-&quot;??_);_(@_)">
                  <c:v>1.85123371373845</c:v>
                </c:pt>
                <c:pt idx="21" formatCode="_(&quot;$&quot;* #,##0.000_);_(&quot;$&quot;* \(#,##0.000\);_(&quot;$&quot;* &quot;-&quot;??_);_(@_)">
                  <c:v>1.850731911218584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0BE-4D4C-8F84-07B8AB676D28}"/>
            </c:ext>
          </c:extLst>
        </c:ser>
        <c:ser>
          <c:idx val="8"/>
          <c:order val="5"/>
          <c:tx>
            <c:strRef>
              <c:f>'Oahu COS and Allocation'!$B$425</c:f>
              <c:strCache>
                <c:ptCount val="1"/>
                <c:pt idx="0">
                  <c:v>Rate 60 - - Large Firm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Allocation'!$K$419:$AG$419</c:f>
              <c:strCach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Allocation'!$C$425:$AG$425</c15:sqref>
                  </c15:fullRef>
                </c:ext>
              </c:extLst>
              <c:f>'Oahu COS and Allocation'!$L$425:$AG$425</c:f>
              <c:numCache>
                <c:formatCode>General</c:formatCode>
                <c:ptCount val="22"/>
                <c:pt idx="0" formatCode="_(&quot;$&quot;* #,##0.000_);_(&quot;$&quot;* \(#,##0.000\);_(&quot;$&quot;* &quot;-&quot;??_);_(@_)">
                  <c:v>1.5849353645266691</c:v>
                </c:pt>
                <c:pt idx="1" formatCode="_(&quot;$&quot;* #,##0.000_);_(&quot;$&quot;* \(#,##0.000\);_(&quot;$&quot;* &quot;-&quot;??_);_(@_)">
                  <c:v>1.5955467780879959</c:v>
                </c:pt>
                <c:pt idx="2" formatCode="_(&quot;$&quot;* #,##0.000_);_(&quot;$&quot;* \(#,##0.000\);_(&quot;$&quot;* &quot;-&quot;??_);_(@_)">
                  <c:v>1.6157587635278385</c:v>
                </c:pt>
                <c:pt idx="3" formatCode="_(&quot;$&quot;* #,##0.000_);_(&quot;$&quot;* \(#,##0.000\);_(&quot;$&quot;* &quot;-&quot;??_);_(@_)">
                  <c:v>1.6202636764708234</c:v>
                </c:pt>
                <c:pt idx="4" formatCode="_(&quot;$&quot;* #,##0.000_);_(&quot;$&quot;* \(#,##0.000\);_(&quot;$&quot;* &quot;-&quot;??_);_(@_)">
                  <c:v>1.6370829708756096</c:v>
                </c:pt>
                <c:pt idx="5" formatCode="_(&quot;$&quot;* #,##0.000_);_(&quot;$&quot;* \(#,##0.000\);_(&quot;$&quot;* &quot;-&quot;??_);_(@_)">
                  <c:v>1.6526405816926371</c:v>
                </c:pt>
                <c:pt idx="6" formatCode="_(&quot;$&quot;* #,##0.000_);_(&quot;$&quot;* \(#,##0.000\);_(&quot;$&quot;* &quot;-&quot;??_);_(@_)">
                  <c:v>1.6716133229813026</c:v>
                </c:pt>
                <c:pt idx="7" formatCode="_(&quot;$&quot;* #,##0.000_);_(&quot;$&quot;* \(#,##0.000\);_(&quot;$&quot;* &quot;-&quot;??_);_(@_)">
                  <c:v>1.7008081063166112</c:v>
                </c:pt>
                <c:pt idx="8" formatCode="_(&quot;$&quot;* #,##0.000_);_(&quot;$&quot;* \(#,##0.000\);_(&quot;$&quot;* &quot;-&quot;??_);_(@_)">
                  <c:v>1.7132487523281437</c:v>
                </c:pt>
                <c:pt idx="9" formatCode="_(&quot;$&quot;* #,##0.000_);_(&quot;$&quot;* \(#,##0.000\);_(&quot;$&quot;* &quot;-&quot;??_);_(@_)">
                  <c:v>1.7243994673799132</c:v>
                </c:pt>
                <c:pt idx="10" formatCode="_(&quot;$&quot;* #,##0.000_);_(&quot;$&quot;* \(#,##0.000\);_(&quot;$&quot;* &quot;-&quot;??_);_(@_)">
                  <c:v>1.7342514533811111</c:v>
                </c:pt>
                <c:pt idx="11" formatCode="_(&quot;$&quot;* #,##0.000_);_(&quot;$&quot;* \(#,##0.000\);_(&quot;$&quot;* &quot;-&quot;??_);_(@_)">
                  <c:v>1.7489324669920654</c:v>
                </c:pt>
                <c:pt idx="12" formatCode="_(&quot;$&quot;* #,##0.000_);_(&quot;$&quot;* \(#,##0.000\);_(&quot;$&quot;* &quot;-&quot;??_);_(@_)">
                  <c:v>1.7723353803008899</c:v>
                </c:pt>
                <c:pt idx="13" formatCode="_(&quot;$&quot;* #,##0.000_);_(&quot;$&quot;* \(#,##0.000\);_(&quot;$&quot;* &quot;-&quot;??_);_(@_)">
                  <c:v>1.779460538761731</c:v>
                </c:pt>
                <c:pt idx="14" formatCode="_(&quot;$&quot;* #,##0.000_);_(&quot;$&quot;* \(#,##0.000\);_(&quot;$&quot;* &quot;-&quot;??_);_(@_)">
                  <c:v>1.7858862274822349</c:v>
                </c:pt>
                <c:pt idx="15" formatCode="_(&quot;$&quot;* #,##0.000_);_(&quot;$&quot;* \(#,##0.000\);_(&quot;$&quot;* &quot;-&quot;??_);_(@_)">
                  <c:v>1.790548988583436</c:v>
                </c:pt>
                <c:pt idx="16" formatCode="_(&quot;$&quot;* #,##0.000_);_(&quot;$&quot;* \(#,##0.000\);_(&quot;$&quot;* &quot;-&quot;??_);_(@_)">
                  <c:v>1.8156493561218836</c:v>
                </c:pt>
                <c:pt idx="17" formatCode="_(&quot;$&quot;* #,##0.000_);_(&quot;$&quot;* \(#,##0.000\);_(&quot;$&quot;* &quot;-&quot;??_);_(@_)">
                  <c:v>1.8335417540632708</c:v>
                </c:pt>
                <c:pt idx="18" formatCode="_(&quot;$&quot;* #,##0.000_);_(&quot;$&quot;* \(#,##0.000\);_(&quot;$&quot;* &quot;-&quot;??_);_(@_)">
                  <c:v>1.8353963569086307</c:v>
                </c:pt>
                <c:pt idx="19" formatCode="_(&quot;$&quot;* #,##0.000_);_(&quot;$&quot;* \(#,##0.000\);_(&quot;$&quot;* &quot;-&quot;??_);_(@_)">
                  <c:v>1.8377498287592402</c:v>
                </c:pt>
                <c:pt idx="20" formatCode="_(&quot;$&quot;* #,##0.000_);_(&quot;$&quot;* \(#,##0.000\);_(&quot;$&quot;* &quot;-&quot;??_);_(@_)">
                  <c:v>1.8396643856239412</c:v>
                </c:pt>
                <c:pt idx="21" formatCode="_(&quot;$&quot;* #,##0.000_);_(&quot;$&quot;* \(#,##0.000\);_(&quot;$&quot;* &quot;-&quot;??_);_(@_)">
                  <c:v>1.8391733006059969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BE-4D4C-8F84-07B8AB676D28}"/>
            </c:ext>
          </c:extLst>
        </c:ser>
        <c:ser>
          <c:idx val="0"/>
          <c:order val="6"/>
          <c:tx>
            <c:strRef>
              <c:f>'Oahu COS and Allocation'!$B$428</c:f>
              <c:strCache>
                <c:ptCount val="1"/>
                <c:pt idx="0">
                  <c:v>Rate 80 - - Standby Backup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Allocation'!$K$419:$AG$419</c:f>
              <c:strCach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Allocation'!$C$428:$AG$428</c15:sqref>
                  </c15:fullRef>
                </c:ext>
              </c:extLst>
              <c:f>'Oahu COS and Allocation'!$L$428:$AG$428</c:f>
              <c:numCache>
                <c:formatCode>General</c:formatCode>
                <c:ptCount val="22"/>
                <c:pt idx="0" formatCode="_(&quot;$&quot;* #,##0.000_);_(&quot;$&quot;* \(#,##0.000\);_(&quot;$&quot;* &quot;-&quot;??_);_(@_)">
                  <c:v>1.6373330924734006</c:v>
                </c:pt>
                <c:pt idx="1" formatCode="_(&quot;$&quot;* #,##0.000_);_(&quot;$&quot;* \(#,##0.000\);_(&quot;$&quot;* &quot;-&quot;??_);_(@_)">
                  <c:v>1.6513827545138542</c:v>
                </c:pt>
                <c:pt idx="2" formatCode="_(&quot;$&quot;* #,##0.000_);_(&quot;$&quot;* \(#,##0.000\);_(&quot;$&quot;* &quot;-&quot;??_);_(@_)">
                  <c:v>1.6745178996576631</c:v>
                </c:pt>
                <c:pt idx="3" formatCode="_(&quot;$&quot;* #,##0.000_);_(&quot;$&quot;* \(#,##0.000\);_(&quot;$&quot;* &quot;-&quot;??_);_(@_)">
                  <c:v>1.6812712547540927</c:v>
                </c:pt>
                <c:pt idx="4" formatCode="_(&quot;$&quot;* #,##0.000_);_(&quot;$&quot;* \(#,##0.000\);_(&quot;$&quot;* &quot;-&quot;??_);_(@_)">
                  <c:v>1.7077494724865074</c:v>
                </c:pt>
                <c:pt idx="5" formatCode="_(&quot;$&quot;* #,##0.000_);_(&quot;$&quot;* \(#,##0.000\);_(&quot;$&quot;* &quot;-&quot;??_);_(@_)">
                  <c:v>1.7323542826475447</c:v>
                </c:pt>
                <c:pt idx="6" formatCode="_(&quot;$&quot;* #,##0.000_);_(&quot;$&quot;* \(#,##0.000\);_(&quot;$&quot;* &quot;-&quot;??_);_(@_)">
                  <c:v>1.7628991430084258</c:v>
                </c:pt>
                <c:pt idx="7" formatCode="_(&quot;$&quot;* #,##0.000_);_(&quot;$&quot;* \(#,##0.000\);_(&quot;$&quot;* &quot;-&quot;??_);_(@_)">
                  <c:v>1.8033212836225052</c:v>
                </c:pt>
                <c:pt idx="8" formatCode="_(&quot;$&quot;* #,##0.000_);_(&quot;$&quot;* \(#,##0.000\);_(&quot;$&quot;* &quot;-&quot;??_);_(@_)">
                  <c:v>1.8233712537243976</c:v>
                </c:pt>
                <c:pt idx="9" formatCode="_(&quot;$&quot;* #,##0.000_);_(&quot;$&quot;* \(#,##0.000\);_(&quot;$&quot;* &quot;-&quot;??_);_(@_)">
                  <c:v>1.8415043564480087</c:v>
                </c:pt>
                <c:pt idx="10" formatCode="_(&quot;$&quot;* #,##0.000_);_(&quot;$&quot;* \(#,##0.000\);_(&quot;$&quot;* &quot;-&quot;??_);_(@_)">
                  <c:v>1.8577059008115016</c:v>
                </c:pt>
                <c:pt idx="11" formatCode="_(&quot;$&quot;* #,##0.000_);_(&quot;$&quot;* \(#,##0.000\);_(&quot;$&quot;* &quot;-&quot;??_);_(@_)">
                  <c:v>1.8821600734355319</c:v>
                </c:pt>
                <c:pt idx="12" formatCode="_(&quot;$&quot;* #,##0.000_);_(&quot;$&quot;* \(#,##0.000\);_(&quot;$&quot;* &quot;-&quot;??_);_(@_)">
                  <c:v>1.9141419725302078</c:v>
                </c:pt>
                <c:pt idx="13" formatCode="_(&quot;$&quot;* #,##0.000_);_(&quot;$&quot;* \(#,##0.000\);_(&quot;$&quot;* &quot;-&quot;??_);_(@_)">
                  <c:v>1.9263309571778557</c:v>
                </c:pt>
                <c:pt idx="14" formatCode="_(&quot;$&quot;* #,##0.000_);_(&quot;$&quot;* \(#,##0.000\);_(&quot;$&quot;* &quot;-&quot;??_);_(@_)">
                  <c:v>1.9374691376101107</c:v>
                </c:pt>
                <c:pt idx="15" formatCode="_(&quot;$&quot;* #,##0.000_);_(&quot;$&quot;* \(#,##0.000\);_(&quot;$&quot;* &quot;-&quot;??_);_(@_)">
                  <c:v>1.9459955971017704</c:v>
                </c:pt>
                <c:pt idx="16" formatCode="_(&quot;$&quot;* #,##0.000_);_(&quot;$&quot;* \(#,##0.000\);_(&quot;$&quot;* &quot;-&quot;??_);_(@_)">
                  <c:v>1.9888230118400176</c:v>
                </c:pt>
                <c:pt idx="17" formatCode="_(&quot;$&quot;* #,##0.000_);_(&quot;$&quot;* \(#,##0.000\);_(&quot;$&quot;* &quot;-&quot;??_);_(@_)">
                  <c:v>2.012801415277675</c:v>
                </c:pt>
                <c:pt idx="18" formatCode="_(&quot;$&quot;* #,##0.000_);_(&quot;$&quot;* \(#,##0.000\);_(&quot;$&quot;* &quot;-&quot;??_);_(@_)">
                  <c:v>2.0171976812455767</c:v>
                </c:pt>
                <c:pt idx="19" formatCode="_(&quot;$&quot;* #,##0.000_);_(&quot;$&quot;* \(#,##0.000\);_(&quot;$&quot;* &quot;-&quot;??_);_(@_)">
                  <c:v>2.0223091215694664</c:v>
                </c:pt>
                <c:pt idx="20" formatCode="_(&quot;$&quot;* #,##0.000_);_(&quot;$&quot;* \(#,##0.000\);_(&quot;$&quot;* &quot;-&quot;??_);_(@_)">
                  <c:v>2.0267653123837981</c:v>
                </c:pt>
                <c:pt idx="21" formatCode="_(&quot;$&quot;* #,##0.000_);_(&quot;$&quot;* \(#,##0.000\);_(&quot;$&quot;* &quot;-&quot;??_);_(@_)">
                  <c:v>2.0276531142142624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0B-434F-A9C5-DC6A67142D9A}"/>
            </c:ext>
          </c:extLst>
        </c:ser>
        <c:ser>
          <c:idx val="1"/>
          <c:order val="7"/>
          <c:tx>
            <c:strRef>
              <c:f>'Oahu COS and Allocation'!$B$429</c:f>
              <c:strCache>
                <c:ptCount val="1"/>
                <c:pt idx="0">
                  <c:v>Rate 91 - - Interruptible Oil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Allocation'!$K$419:$AG$419</c:f>
              <c:strCach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Allocation'!$C$429:$AG$429</c15:sqref>
                  </c15:fullRef>
                </c:ext>
              </c:extLst>
              <c:f>'Oahu COS and Allocation'!$L$429:$AG$429</c:f>
              <c:numCache>
                <c:formatCode>General</c:formatCode>
                <c:ptCount val="22"/>
                <c:pt idx="0" formatCode="_(&quot;$&quot;* #,##0.000_);_(&quot;$&quot;* \(#,##0.000\);_(&quot;$&quot;* &quot;-&quot;??_);_(@_)">
                  <c:v>1.1574516986958661</c:v>
                </c:pt>
                <c:pt idx="1" formatCode="_(&quot;$&quot;* #,##0.000_);_(&quot;$&quot;* \(#,##0.000\);_(&quot;$&quot;* &quot;-&quot;??_);_(@_)">
                  <c:v>1.1691817267450852</c:v>
                </c:pt>
                <c:pt idx="2" formatCode="_(&quot;$&quot;* #,##0.000_);_(&quot;$&quot;* \(#,##0.000\);_(&quot;$&quot;* &quot;-&quot;??_);_(@_)">
                  <c:v>1.1913283408881858</c:v>
                </c:pt>
                <c:pt idx="3" formatCode="_(&quot;$&quot;* #,##0.000_);_(&quot;$&quot;* \(#,##0.000\);_(&quot;$&quot;* &quot;-&quot;??_);_(@_)">
                  <c:v>1.195735377432487</c:v>
                </c:pt>
                <c:pt idx="4" formatCode="_(&quot;$&quot;* #,##0.000_);_(&quot;$&quot;* \(#,##0.000\);_(&quot;$&quot;* &quot;-&quot;??_);_(@_)">
                  <c:v>1.2081007495195561</c:v>
                </c:pt>
                <c:pt idx="5" formatCode="_(&quot;$&quot;* #,##0.000_);_(&quot;$&quot;* \(#,##0.000\);_(&quot;$&quot;* &quot;-&quot;??_);_(@_)">
                  <c:v>1.2195138962549725</c:v>
                </c:pt>
                <c:pt idx="6" formatCode="_(&quot;$&quot;* #,##0.000_);_(&quot;$&quot;* \(#,##0.000\);_(&quot;$&quot;* &quot;-&quot;??_);_(@_)">
                  <c:v>1.2345948098700643</c:v>
                </c:pt>
                <c:pt idx="7" formatCode="_(&quot;$&quot;* #,##0.000_);_(&quot;$&quot;* \(#,##0.000\);_(&quot;$&quot;* &quot;-&quot;??_);_(@_)">
                  <c:v>1.2600805227680902</c:v>
                </c:pt>
                <c:pt idx="8" formatCode="_(&quot;$&quot;* #,##0.000_);_(&quot;$&quot;* \(#,##0.000\);_(&quot;$&quot;* &quot;-&quot;??_);_(@_)">
                  <c:v>1.26912069826393</c:v>
                </c:pt>
                <c:pt idx="9" formatCode="_(&quot;$&quot;* #,##0.000_);_(&quot;$&quot;* \(#,##0.000\);_(&quot;$&quot;* &quot;-&quot;??_);_(@_)">
                  <c:v>1.277182683535123</c:v>
                </c:pt>
                <c:pt idx="10" formatCode="_(&quot;$&quot;* #,##0.000_);_(&quot;$&quot;* \(#,##0.000\);_(&quot;$&quot;* &quot;-&quot;??_);_(@_)">
                  <c:v>1.2842592815160072</c:v>
                </c:pt>
                <c:pt idx="11" formatCode="_(&quot;$&quot;* #,##0.000_);_(&quot;$&quot;* \(#,##0.000\);_(&quot;$&quot;* &quot;-&quot;??_);_(@_)">
                  <c:v>1.2963575287686748</c:v>
                </c:pt>
                <c:pt idx="12" formatCode="_(&quot;$&quot;* #,##0.000_);_(&quot;$&quot;* \(#,##0.000\);_(&quot;$&quot;* &quot;-&quot;??_);_(@_)">
                  <c:v>1.3173233064445014</c:v>
                </c:pt>
                <c:pt idx="13" formatCode="_(&quot;$&quot;* #,##0.000_);_(&quot;$&quot;* \(#,##0.000\);_(&quot;$&quot;* &quot;-&quot;??_);_(@_)">
                  <c:v>1.3223088698409544</c:v>
                </c:pt>
                <c:pt idx="14" formatCode="_(&quot;$&quot;* #,##0.000_);_(&quot;$&quot;* \(#,##0.000\);_(&quot;$&quot;* &quot;-&quot;??_);_(@_)">
                  <c:v>1.326798011292154</c:v>
                </c:pt>
                <c:pt idx="15" formatCode="_(&quot;$&quot;* #,##0.000_);_(&quot;$&quot;* \(#,##0.000\);_(&quot;$&quot;* &quot;-&quot;??_);_(@_)">
                  <c:v>1.3299133459579806</c:v>
                </c:pt>
                <c:pt idx="16" formatCode="_(&quot;$&quot;* #,##0.000_);_(&quot;$&quot;* \(#,##0.000\);_(&quot;$&quot;* &quot;-&quot;??_);_(@_)">
                  <c:v>1.3534292954701672</c:v>
                </c:pt>
                <c:pt idx="17" formatCode="_(&quot;$&quot;* #,##0.000_);_(&quot;$&quot;* \(#,##0.000\);_(&quot;$&quot;* &quot;-&quot;??_);_(@_)">
                  <c:v>1.3700773898197254</c:v>
                </c:pt>
                <c:pt idx="18" formatCode="_(&quot;$&quot;* #,##0.000_);_(&quot;$&quot;* \(#,##0.000\);_(&quot;$&quot;* &quot;-&quot;??_);_(@_)">
                  <c:v>1.3710221527997462</c:v>
                </c:pt>
                <c:pt idx="19" formatCode="_(&quot;$&quot;* #,##0.000_);_(&quot;$&quot;* \(#,##0.000\);_(&quot;$&quot;* &quot;-&quot;??_);_(@_)">
                  <c:v>1.3724534613781885</c:v>
                </c:pt>
                <c:pt idx="20" formatCode="_(&quot;$&quot;* #,##0.000_);_(&quot;$&quot;* \(#,##0.000\);_(&quot;$&quot;* &quot;-&quot;??_);_(@_)">
                  <c:v>1.3735886023664732</c:v>
                </c:pt>
                <c:pt idx="21" formatCode="_(&quot;$&quot;* #,##0.000_);_(&quot;$&quot;* \(#,##0.000\);_(&quot;$&quot;* &quot;-&quot;??_);_(@_)">
                  <c:v>1.3728084539090581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0B-434F-A9C5-DC6A67142D9A}"/>
            </c:ext>
          </c:extLst>
        </c:ser>
        <c:ser>
          <c:idx val="7"/>
          <c:order val="8"/>
          <c:tx>
            <c:strRef>
              <c:f>'Oahu COS and Allocation'!$B$430</c:f>
              <c:strCache>
                <c:ptCount val="1"/>
                <c:pt idx="0">
                  <c:v>Rate 92 - - Interruptible LPG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Allocation'!$K$419:$AG$419</c:f>
              <c:strCach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Allocation'!$C$430:$AG$430</c15:sqref>
                  </c15:fullRef>
                </c:ext>
              </c:extLst>
              <c:f>'Oahu COS and Allocation'!$L$430:$AG$430</c:f>
              <c:numCache>
                <c:formatCode>General</c:formatCode>
                <c:ptCount val="22"/>
                <c:pt idx="0" formatCode="_(&quot;$&quot;* #,##0.000_);_(&quot;$&quot;* \(#,##0.000\);_(&quot;$&quot;* &quot;-&quot;??_);_(@_)">
                  <c:v>0.96400237877906902</c:v>
                </c:pt>
                <c:pt idx="1" formatCode="_(&quot;$&quot;* #,##0.000_);_(&quot;$&quot;* \(#,##0.000\);_(&quot;$&quot;* &quot;-&quot;??_);_(@_)">
                  <c:v>0.9758545090739813</c:v>
                </c:pt>
                <c:pt idx="2" formatCode="_(&quot;$&quot;* #,##0.000_);_(&quot;$&quot;* \(#,##0.000\);_(&quot;$&quot;* &quot;-&quot;??_);_(@_)">
                  <c:v>0.99813950400940188</c:v>
                </c:pt>
                <c:pt idx="3" formatCode="_(&quot;$&quot;* #,##0.000_);_(&quot;$&quot;* \(#,##0.000\);_(&quot;$&quot;* &quot;-&quot;??_);_(@_)">
                  <c:v>1.0025988910972017</c:v>
                </c:pt>
                <c:pt idx="4" formatCode="_(&quot;$&quot;* #,##0.000_);_(&quot;$&quot;* \(#,##0.000\);_(&quot;$&quot;* &quot;-&quot;??_);_(@_)">
                  <c:v>1.0150451838541077</c:v>
                </c:pt>
                <c:pt idx="5" formatCode="_(&quot;$&quot;* #,##0.000_);_(&quot;$&quot;* \(#,##0.000\);_(&quot;$&quot;* &quot;-&quot;??_);_(@_)">
                  <c:v>1.0265351568326353</c:v>
                </c:pt>
                <c:pt idx="6" formatCode="_(&quot;$&quot;* #,##0.000_);_(&quot;$&quot;* \(#,##0.000\);_(&quot;$&quot;* &quot;-&quot;??_);_(@_)">
                  <c:v>1.041761471848683</c:v>
                </c:pt>
                <c:pt idx="7" formatCode="_(&quot;$&quot;* #,##0.000_);_(&quot;$&quot;* \(#,##0.000\);_(&quot;$&quot;* &quot;-&quot;??_);_(@_)">
                  <c:v>1.0673914782626663</c:v>
                </c:pt>
                <c:pt idx="8" formatCode="_(&quot;$&quot;* #,##0.000_);_(&quot;$&quot;* \(#,##0.000\);_(&quot;$&quot;* &quot;-&quot;??_);_(@_)">
                  <c:v>1.0764995071306744</c:v>
                </c:pt>
                <c:pt idx="9" formatCode="_(&quot;$&quot;* #,##0.000_);_(&quot;$&quot;* \(#,##0.000\);_(&quot;$&quot;* &quot;-&quot;??_);_(@_)">
                  <c:v>1.0846249564148784</c:v>
                </c:pt>
                <c:pt idx="10" formatCode="_(&quot;$&quot;* #,##0.000_);_(&quot;$&quot;* \(#,##0.000\);_(&quot;$&quot;* &quot;-&quot;??_);_(@_)">
                  <c:v>1.0917605393437142</c:v>
                </c:pt>
                <c:pt idx="11" formatCode="_(&quot;$&quot;* #,##0.000_);_(&quot;$&quot;* \(#,##0.000\);_(&quot;$&quot;* &quot;-&quot;??_);_(@_)">
                  <c:v>1.1040057051466334</c:v>
                </c:pt>
                <c:pt idx="12" formatCode="_(&quot;$&quot;* #,##0.000_);_(&quot;$&quot;* \(#,##0.000\);_(&quot;$&quot;* &quot;-&quot;??_);_(@_)">
                  <c:v>1.1250958352053306</c:v>
                </c:pt>
                <c:pt idx="13" formatCode="_(&quot;$&quot;* #,##0.000_);_(&quot;$&quot;* \(#,##0.000\);_(&quot;$&quot;* &quot;-&quot;??_);_(@_)">
                  <c:v>1.1301313988190298</c:v>
                </c:pt>
                <c:pt idx="14" formatCode="_(&quot;$&quot;* #,##0.000_);_(&quot;$&quot;* \(#,##0.000\);_(&quot;$&quot;* &quot;-&quot;??_);_(@_)">
                  <c:v>1.1346690848536496</c:v>
                </c:pt>
                <c:pt idx="15" formatCode="_(&quot;$&quot;* #,##0.000_);_(&quot;$&quot;* \(#,##0.000\);_(&quot;$&quot;* &quot;-&quot;??_);_(@_)">
                  <c:v>1.1378258444026226</c:v>
                </c:pt>
                <c:pt idx="16" formatCode="_(&quot;$&quot;* #,##0.000_);_(&quot;$&quot;* \(#,##0.000\);_(&quot;$&quot;* &quot;-&quot;??_);_(@_)">
                  <c:v>1.1617116721301761</c:v>
                </c:pt>
                <c:pt idx="17" formatCode="_(&quot;$&quot;* #,##0.000_);_(&quot;$&quot;* \(#,##0.000\);_(&quot;$&quot;* &quot;-&quot;??_);_(@_)">
                  <c:v>1.1784651679744367</c:v>
                </c:pt>
                <c:pt idx="18" formatCode="_(&quot;$&quot;* #,##0.000_);_(&quot;$&quot;* \(#,##0.000\);_(&quot;$&quot;* &quot;-&quot;??_);_(@_)">
                  <c:v>1.1794415169145351</c:v>
                </c:pt>
                <c:pt idx="19" formatCode="_(&quot;$&quot;* #,##0.000_);_(&quot;$&quot;* \(#,##0.000\);_(&quot;$&quot;* &quot;-&quot;??_);_(@_)">
                  <c:v>1.1809093010193739</c:v>
                </c:pt>
                <c:pt idx="20" formatCode="_(&quot;$&quot;* #,##0.000_);_(&quot;$&quot;* \(#,##0.000\);_(&quot;$&quot;* &quot;-&quot;??_);_(@_)">
                  <c:v>1.1820806536727857</c:v>
                </c:pt>
                <c:pt idx="21" formatCode="_(&quot;$&quot;* #,##0.000_);_(&quot;$&quot;* \(#,##0.000\);_(&quot;$&quot;* &quot;-&quot;??_);_(@_)">
                  <c:v>1.1813254568508065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0B-434F-A9C5-DC6A67142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25024"/>
        <c:axId val="1141526008"/>
      </c:lineChart>
      <c:catAx>
        <c:axId val="114152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526008"/>
        <c:crosses val="autoZero"/>
        <c:auto val="1"/>
        <c:lblAlgn val="ctr"/>
        <c:lblOffset val="100"/>
        <c:noMultiLvlLbl val="0"/>
      </c:catAx>
      <c:valAx>
        <c:axId val="1141526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52502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2706331823229002E-2"/>
          <c:y val="0.8710498008102282"/>
          <c:w val="0.86169078227103446"/>
          <c:h val="8.6185774538116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Projected Hawaii Gas CapEx by Plant Category</a:t>
            </a:r>
          </a:p>
        </c:rich>
      </c:tx>
      <c:layout>
        <c:manualLayout>
          <c:xMode val="edge"/>
          <c:yMode val="edge"/>
          <c:x val="0.32557780081680027"/>
          <c:y val="3.11016099157338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36755390616839"/>
          <c:y val="0.19372730884846096"/>
          <c:w val="0.83871667249430137"/>
          <c:h val="0.7130502509978575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 HG CapEx Plan'!$B$23</c:f>
              <c:strCache>
                <c:ptCount val="1"/>
                <c:pt idx="0">
                  <c:v>  Intangible Plant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 HG CapEx Plan'!$C$22:$K$22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2030</c:v>
                </c:pt>
                <c:pt idx="6">
                  <c:v>2035</c:v>
                </c:pt>
                <c:pt idx="7">
                  <c:v>2040</c:v>
                </c:pt>
                <c:pt idx="8">
                  <c:v>2045</c:v>
                </c:pt>
              </c:numCache>
            </c:numRef>
          </c:cat>
          <c:val>
            <c:numRef>
              <c:f>' HG CapEx Plan'!$C$23:$K$23</c:f>
              <c:numCache>
                <c:formatCode>#,##0</c:formatCode>
                <c:ptCount val="9"/>
                <c:pt idx="0">
                  <c:v>11483.096854536185</c:v>
                </c:pt>
                <c:pt idx="1">
                  <c:v>17883.209485000232</c:v>
                </c:pt>
                <c:pt idx="2">
                  <c:v>13914.152526077849</c:v>
                </c:pt>
                <c:pt idx="3">
                  <c:v>13027.628204069284</c:v>
                </c:pt>
                <c:pt idx="4">
                  <c:v>11470.106491929988</c:v>
                </c:pt>
                <c:pt idx="5">
                  <c:v>13625.161189031533</c:v>
                </c:pt>
                <c:pt idx="6">
                  <c:v>13639.143841605084</c:v>
                </c:pt>
                <c:pt idx="7">
                  <c:v>13637.96291890598</c:v>
                </c:pt>
                <c:pt idx="8">
                  <c:v>13661.647220912653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C1-4702-8B07-D3267E09EE65}"/>
            </c:ext>
          </c:extLst>
        </c:ser>
        <c:ser>
          <c:idx val="2"/>
          <c:order val="2"/>
          <c:tx>
            <c:strRef>
              <c:f>' HG CapEx Plan'!$B$24</c:f>
              <c:strCache>
                <c:ptCount val="1"/>
                <c:pt idx="0">
                  <c:v>  Production Plant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 HG CapEx Plan'!$C$22:$K$22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2030</c:v>
                </c:pt>
                <c:pt idx="6">
                  <c:v>2035</c:v>
                </c:pt>
                <c:pt idx="7">
                  <c:v>2040</c:v>
                </c:pt>
                <c:pt idx="8">
                  <c:v>2045</c:v>
                </c:pt>
              </c:numCache>
            </c:numRef>
          </c:cat>
          <c:val>
            <c:numRef>
              <c:f>' HG CapEx Plan'!$C$24:$K$24</c:f>
              <c:numCache>
                <c:formatCode>#,##0</c:formatCode>
                <c:ptCount val="9"/>
                <c:pt idx="0">
                  <c:v>198774.78843743302</c:v>
                </c:pt>
                <c:pt idx="1">
                  <c:v>309562.06561638351</c:v>
                </c:pt>
                <c:pt idx="2">
                  <c:v>240856.86637439861</c:v>
                </c:pt>
                <c:pt idx="3">
                  <c:v>225510.94647281046</c:v>
                </c:pt>
                <c:pt idx="4">
                  <c:v>198549.92256618923</c:v>
                </c:pt>
                <c:pt idx="5">
                  <c:v>235854.36638599698</c:v>
                </c:pt>
                <c:pt idx="6">
                  <c:v>236096.40900240178</c:v>
                </c:pt>
                <c:pt idx="7">
                  <c:v>236075.96698552696</c:v>
                </c:pt>
                <c:pt idx="8">
                  <c:v>236485.94716598719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C1-4702-8B07-D3267E09EE65}"/>
            </c:ext>
          </c:extLst>
        </c:ser>
        <c:ser>
          <c:idx val="3"/>
          <c:order val="3"/>
          <c:tx>
            <c:strRef>
              <c:f>' HG CapEx Plan'!$B$25</c:f>
              <c:strCache>
                <c:ptCount val="1"/>
                <c:pt idx="0">
                  <c:v>  Storage Plant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 HG CapEx Plan'!$C$22:$K$22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2030</c:v>
                </c:pt>
                <c:pt idx="6">
                  <c:v>2035</c:v>
                </c:pt>
                <c:pt idx="7">
                  <c:v>2040</c:v>
                </c:pt>
                <c:pt idx="8">
                  <c:v>2045</c:v>
                </c:pt>
              </c:numCache>
            </c:numRef>
          </c:cat>
          <c:val>
            <c:numRef>
              <c:f>' HG CapEx Plan'!$C$25:$K$25</c:f>
              <c:numCache>
                <c:formatCode>#,##0</c:formatCode>
                <c:ptCount val="9"/>
                <c:pt idx="0">
                  <c:v>500828.67256114585</c:v>
                </c:pt>
                <c:pt idx="1">
                  <c:v>779965.90823558986</c:v>
                </c:pt>
                <c:pt idx="2">
                  <c:v>606857.76909528242</c:v>
                </c:pt>
                <c:pt idx="3">
                  <c:v>568192.52007673681</c:v>
                </c:pt>
                <c:pt idx="4">
                  <c:v>500262.10535871214</c:v>
                </c:pt>
                <c:pt idx="5">
                  <c:v>594253.57794823998</c:v>
                </c:pt>
                <c:pt idx="6">
                  <c:v>594863.42330755433</c:v>
                </c:pt>
                <c:pt idx="7">
                  <c:v>594811.91804244311</c:v>
                </c:pt>
                <c:pt idx="8">
                  <c:v>595844.89526843023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C1-4702-8B07-D3267E09EE65}"/>
            </c:ext>
          </c:extLst>
        </c:ser>
        <c:ser>
          <c:idx val="4"/>
          <c:order val="4"/>
          <c:tx>
            <c:strRef>
              <c:f>' HG CapEx Plan'!$B$26</c:f>
              <c:strCache>
                <c:ptCount val="1"/>
                <c:pt idx="0">
                  <c:v>  Transmission Plant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 HG CapEx Plan'!$C$22:$K$22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2030</c:v>
                </c:pt>
                <c:pt idx="6">
                  <c:v>2035</c:v>
                </c:pt>
                <c:pt idx="7">
                  <c:v>2040</c:v>
                </c:pt>
                <c:pt idx="8">
                  <c:v>2045</c:v>
                </c:pt>
              </c:numCache>
            </c:numRef>
          </c:cat>
          <c:val>
            <c:numRef>
              <c:f>' HG CapEx Plan'!$C$26:$K$26</c:f>
              <c:numCache>
                <c:formatCode>#,##0</c:formatCode>
                <c:ptCount val="9"/>
                <c:pt idx="0">
                  <c:v>596487.72198801476</c:v>
                </c:pt>
                <c:pt idx="1">
                  <c:v>928940.60049039847</c:v>
                </c:pt>
                <c:pt idx="2">
                  <c:v>722768.53960309038</c:v>
                </c:pt>
                <c:pt idx="3">
                  <c:v>676718.1683469282</c:v>
                </c:pt>
                <c:pt idx="4">
                  <c:v>595812.93957548926</c:v>
                </c:pt>
                <c:pt idx="5">
                  <c:v>3109808.398828438</c:v>
                </c:pt>
                <c:pt idx="6">
                  <c:v>3110947.3259243257</c:v>
                </c:pt>
                <c:pt idx="7">
                  <c:v>3110851.1363885361</c:v>
                </c:pt>
                <c:pt idx="8">
                  <c:v>1112780.29061451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C1-4702-8B07-D3267E09EE65}"/>
            </c:ext>
          </c:extLst>
        </c:ser>
        <c:ser>
          <c:idx val="5"/>
          <c:order val="5"/>
          <c:tx>
            <c:strRef>
              <c:f>' HG CapEx Plan'!$B$27</c:f>
              <c:strCache>
                <c:ptCount val="1"/>
                <c:pt idx="0">
                  <c:v>  Distribution Plant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 HG CapEx Plan'!$C$22:$K$22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2030</c:v>
                </c:pt>
                <c:pt idx="6">
                  <c:v>2035</c:v>
                </c:pt>
                <c:pt idx="7">
                  <c:v>2040</c:v>
                </c:pt>
                <c:pt idx="8">
                  <c:v>2045</c:v>
                </c:pt>
              </c:numCache>
            </c:numRef>
          </c:cat>
          <c:val>
            <c:numRef>
              <c:f>' HG CapEx Plan'!$C$27:$K$27</c:f>
              <c:numCache>
                <c:formatCode>#,##0</c:formatCode>
                <c:ptCount val="9"/>
                <c:pt idx="0">
                  <c:v>4417990.5709758224</c:v>
                </c:pt>
                <c:pt idx="1">
                  <c:v>6880360.9239179967</c:v>
                </c:pt>
                <c:pt idx="2">
                  <c:v>5353311.5188389048</c:v>
                </c:pt>
                <c:pt idx="3">
                  <c:v>5012231.3951414898</c:v>
                </c:pt>
                <c:pt idx="4">
                  <c:v>4412992.6770945154</c:v>
                </c:pt>
                <c:pt idx="5">
                  <c:v>8845202.6028319821</c:v>
                </c:pt>
                <c:pt idx="6">
                  <c:v>8851201.1694605537</c:v>
                </c:pt>
                <c:pt idx="7">
                  <c:v>8850694.5528900195</c:v>
                </c:pt>
                <c:pt idx="8">
                  <c:v>5860855.1331440806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1C1-4702-8B07-D3267E09EE65}"/>
            </c:ext>
          </c:extLst>
        </c:ser>
        <c:ser>
          <c:idx val="6"/>
          <c:order val="6"/>
          <c:tx>
            <c:strRef>
              <c:f>' HG CapEx Plan'!$B$28</c:f>
              <c:strCache>
                <c:ptCount val="1"/>
                <c:pt idx="0">
                  <c:v>  General Plant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 HG CapEx Plan'!$C$22:$K$22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2030</c:v>
                </c:pt>
                <c:pt idx="6">
                  <c:v>2035</c:v>
                </c:pt>
                <c:pt idx="7">
                  <c:v>2040</c:v>
                </c:pt>
                <c:pt idx="8">
                  <c:v>2045</c:v>
                </c:pt>
              </c:numCache>
            </c:numRef>
          </c:cat>
          <c:val>
            <c:numRef>
              <c:f>' HG CapEx Plan'!$C$28:$K$28</c:f>
              <c:numCache>
                <c:formatCode>#,##0</c:formatCode>
                <c:ptCount val="9"/>
                <c:pt idx="0">
                  <c:v>529410.14918304794</c:v>
                </c:pt>
                <c:pt idx="1">
                  <c:v>824477.29225463164</c:v>
                </c:pt>
                <c:pt idx="2">
                  <c:v>641490.15356224566</c:v>
                </c:pt>
                <c:pt idx="3">
                  <c:v>600618.34175796295</c:v>
                </c:pt>
                <c:pt idx="4">
                  <c:v>528811.24891316367</c:v>
                </c:pt>
                <c:pt idx="5">
                  <c:v>628166.66175542877</c:v>
                </c:pt>
                <c:pt idx="6">
                  <c:v>628811.30999611784</c:v>
                </c:pt>
                <c:pt idx="7">
                  <c:v>628756.86540941556</c:v>
                </c:pt>
                <c:pt idx="8">
                  <c:v>629848.79296323541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5-4357-96A6-DE5EE87A0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41721240"/>
        <c:axId val="10417228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 HG CapEx Plan'!$B$22</c15:sqref>
                        </c15:formulaRef>
                      </c:ext>
                    </c:extLst>
                    <c:strCache>
                      <c:ptCount val="1"/>
                      <c:pt idx="0">
                        <c:v>Projected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 HG CapEx Plan'!$C$22:$K$22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2030</c:v>
                      </c:pt>
                      <c:pt idx="6">
                        <c:v>2035</c:v>
                      </c:pt>
                      <c:pt idx="7">
                        <c:v>2040</c:v>
                      </c:pt>
                      <c:pt idx="8">
                        <c:v>2045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 HG CapEx Plan'!$C$22:$K$22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2030</c:v>
                      </c:pt>
                      <c:pt idx="6">
                        <c:v>2035</c:v>
                      </c:pt>
                      <c:pt idx="7">
                        <c:v>2040</c:v>
                      </c:pt>
                      <c:pt idx="8">
                        <c:v>2045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1C1-4702-8B07-D3267E09EE65}"/>
                  </c:ext>
                </c:extLst>
              </c15:ser>
            </c15:filteredBarSeries>
          </c:ext>
        </c:extLst>
      </c:barChart>
      <c:catAx>
        <c:axId val="1041721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1722880"/>
        <c:crosses val="autoZero"/>
        <c:auto val="1"/>
        <c:lblAlgn val="ctr"/>
        <c:lblOffset val="100"/>
        <c:noMultiLvlLbl val="0"/>
      </c:catAx>
      <c:valAx>
        <c:axId val="104172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1721240"/>
        <c:crosses val="autoZero"/>
        <c:crossBetween val="between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7296282610954955"/>
          <c:y val="9.796925057776075E-2"/>
          <c:w val="0.82703719118695007"/>
          <c:h val="3.9225498019635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Oahu</a:t>
            </a:r>
            <a:r>
              <a:rPr lang="en-US" baseline="0">
                <a:solidFill>
                  <a:sysClr val="windowText" lastClr="000000"/>
                </a:solidFill>
              </a:rPr>
              <a:t> </a:t>
            </a:r>
            <a:r>
              <a:rPr lang="en-US">
                <a:solidFill>
                  <a:sysClr val="windowText" lastClr="000000"/>
                </a:solidFill>
              </a:rPr>
              <a:t>System - SNG Rate Base</a:t>
            </a:r>
          </a:p>
        </c:rich>
      </c:tx>
      <c:layout>
        <c:manualLayout>
          <c:xMode val="edge"/>
          <c:yMode val="edge"/>
          <c:x val="0.43930106322334667"/>
          <c:y val="2.09941356931990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78085728243866"/>
          <c:y val="0.15880739933047039"/>
          <c:w val="0.83529017907011538"/>
          <c:h val="0.70261556409998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'SNG Plant'!$B$34</c:f>
              <c:strCache>
                <c:ptCount val="1"/>
                <c:pt idx="0">
                  <c:v>  General Plant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'SNG Plant'!$E$28:$AG$28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'SNG Plant'!$E$34:$AG$34</c:f>
              <c:numCache>
                <c:formatCode>_("$"* #,##0_);_("$"* \(#,##0\);_("$"* "-"??_);_(@_)</c:formatCode>
                <c:ptCount val="29"/>
                <c:pt idx="0">
                  <c:v>2273929.4178828425</c:v>
                </c:pt>
                <c:pt idx="1">
                  <c:v>2273929.4178828425</c:v>
                </c:pt>
                <c:pt idx="2">
                  <c:v>2273929.4178828425</c:v>
                </c:pt>
                <c:pt idx="3">
                  <c:v>2273929.4178828425</c:v>
                </c:pt>
                <c:pt idx="4">
                  <c:v>2273929.4178828425</c:v>
                </c:pt>
                <c:pt idx="5">
                  <c:v>2273929.4178828425</c:v>
                </c:pt>
                <c:pt idx="6">
                  <c:v>2273929.4178828425</c:v>
                </c:pt>
                <c:pt idx="7">
                  <c:v>2273929.4178828425</c:v>
                </c:pt>
                <c:pt idx="8">
                  <c:v>2273929.4178828425</c:v>
                </c:pt>
                <c:pt idx="9">
                  <c:v>2273929.4178828425</c:v>
                </c:pt>
                <c:pt idx="10">
                  <c:v>2273929.4178828425</c:v>
                </c:pt>
                <c:pt idx="11">
                  <c:v>2273929.4178828425</c:v>
                </c:pt>
                <c:pt idx="12">
                  <c:v>2273929.4178828425</c:v>
                </c:pt>
                <c:pt idx="13">
                  <c:v>2273929.4178828425</c:v>
                </c:pt>
                <c:pt idx="14">
                  <c:v>2273929.4178828425</c:v>
                </c:pt>
                <c:pt idx="15">
                  <c:v>2273929.4178828425</c:v>
                </c:pt>
                <c:pt idx="16">
                  <c:v>2273929.4178828425</c:v>
                </c:pt>
                <c:pt idx="17">
                  <c:v>2273929.4178828425</c:v>
                </c:pt>
                <c:pt idx="18">
                  <c:v>2273929.4178828425</c:v>
                </c:pt>
                <c:pt idx="19">
                  <c:v>2273929.4178828425</c:v>
                </c:pt>
                <c:pt idx="20">
                  <c:v>2273929.4178828425</c:v>
                </c:pt>
                <c:pt idx="21">
                  <c:v>2273929.4178828425</c:v>
                </c:pt>
                <c:pt idx="22">
                  <c:v>2273929.4178828425</c:v>
                </c:pt>
                <c:pt idx="23">
                  <c:v>2273929.4178828425</c:v>
                </c:pt>
                <c:pt idx="24">
                  <c:v>2273929.4178828425</c:v>
                </c:pt>
                <c:pt idx="25">
                  <c:v>2273929.4178828425</c:v>
                </c:pt>
                <c:pt idx="26">
                  <c:v>2273929.4178828425</c:v>
                </c:pt>
                <c:pt idx="27">
                  <c:v>2273929.4178828425</c:v>
                </c:pt>
                <c:pt idx="28">
                  <c:v>2273929.4178828425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D-43D4-9810-520F5321E24C}"/>
            </c:ext>
          </c:extLst>
        </c:ser>
        <c:ser>
          <c:idx val="1"/>
          <c:order val="1"/>
          <c:tx>
            <c:strRef>
              <c:f>'SNG Plant'!$B$30</c:f>
              <c:strCache>
                <c:ptCount val="1"/>
                <c:pt idx="0">
                  <c:v>  Production Plant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'SNG Plant'!$E$28:$AG$28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'SNG Plant'!$E$30:$AG$30</c:f>
              <c:numCache>
                <c:formatCode>_("$"* #,##0_);_("$"* \(#,##0\);_("$"* "-"??_);_(@_)</c:formatCode>
                <c:ptCount val="29"/>
                <c:pt idx="0">
                  <c:v>31908722.664999999</c:v>
                </c:pt>
                <c:pt idx="1">
                  <c:v>32062076.642440636</c:v>
                </c:pt>
                <c:pt idx="2">
                  <c:v>36847414.208090104</c:v>
                </c:pt>
                <c:pt idx="3">
                  <c:v>37810257.030125007</c:v>
                </c:pt>
                <c:pt idx="4">
                  <c:v>38624971.594557762</c:v>
                </c:pt>
                <c:pt idx="5">
                  <c:v>39074976.333033487</c:v>
                </c:pt>
                <c:pt idx="6">
                  <c:v>45964976.333033487</c:v>
                </c:pt>
                <c:pt idx="7">
                  <c:v>49570696.333033487</c:v>
                </c:pt>
                <c:pt idx="8">
                  <c:v>50390696.333033487</c:v>
                </c:pt>
                <c:pt idx="9">
                  <c:v>50945696.333033487</c:v>
                </c:pt>
                <c:pt idx="10">
                  <c:v>52120696.333033487</c:v>
                </c:pt>
                <c:pt idx="11">
                  <c:v>54729840.333033487</c:v>
                </c:pt>
                <c:pt idx="12">
                  <c:v>57338984.333033487</c:v>
                </c:pt>
                <c:pt idx="13">
                  <c:v>59948128.333033487</c:v>
                </c:pt>
                <c:pt idx="14">
                  <c:v>62557272.333033487</c:v>
                </c:pt>
                <c:pt idx="15">
                  <c:v>65166416.333033487</c:v>
                </c:pt>
                <c:pt idx="16">
                  <c:v>67775560.333033487</c:v>
                </c:pt>
                <c:pt idx="17">
                  <c:v>70384704.333033487</c:v>
                </c:pt>
                <c:pt idx="18">
                  <c:v>72993848.333033487</c:v>
                </c:pt>
                <c:pt idx="19">
                  <c:v>75602992.333033487</c:v>
                </c:pt>
                <c:pt idx="20">
                  <c:v>78212136.333033487</c:v>
                </c:pt>
                <c:pt idx="21">
                  <c:v>80821280.333033487</c:v>
                </c:pt>
                <c:pt idx="22">
                  <c:v>83430424.333033487</c:v>
                </c:pt>
                <c:pt idx="23">
                  <c:v>86039568.333033487</c:v>
                </c:pt>
                <c:pt idx="24">
                  <c:v>88648712.333033487</c:v>
                </c:pt>
                <c:pt idx="25">
                  <c:v>91257856.333033487</c:v>
                </c:pt>
                <c:pt idx="26">
                  <c:v>93867000.333033487</c:v>
                </c:pt>
                <c:pt idx="27">
                  <c:v>96476144.333033487</c:v>
                </c:pt>
                <c:pt idx="28">
                  <c:v>99085288.333033487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5D-43D4-9810-520F5321E24C}"/>
            </c:ext>
          </c:extLst>
        </c:ser>
        <c:ser>
          <c:idx val="2"/>
          <c:order val="2"/>
          <c:tx>
            <c:strRef>
              <c:f>'SNG Plant'!$B$29</c:f>
              <c:strCache>
                <c:ptCount val="1"/>
                <c:pt idx="0">
                  <c:v>  Intangible Plant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'SNG Plant'!$E$29:$AG$29</c:f>
              <c:numCache>
                <c:formatCode>_("$"* #,##0_);_("$"* \(#,##0\);_("$"* "-"??_);_(@_)</c:formatCode>
                <c:ptCount val="29"/>
                <c:pt idx="0">
                  <c:v>62869.098046704312</c:v>
                </c:pt>
                <c:pt idx="1">
                  <c:v>62869.098046704312</c:v>
                </c:pt>
                <c:pt idx="2">
                  <c:v>62869.098046704312</c:v>
                </c:pt>
                <c:pt idx="3">
                  <c:v>62869.098046704312</c:v>
                </c:pt>
                <c:pt idx="4">
                  <c:v>62869.098046704312</c:v>
                </c:pt>
                <c:pt idx="5">
                  <c:v>62869.098046704312</c:v>
                </c:pt>
                <c:pt idx="6">
                  <c:v>62869.098046704312</c:v>
                </c:pt>
                <c:pt idx="7">
                  <c:v>62869.098046704312</c:v>
                </c:pt>
                <c:pt idx="8">
                  <c:v>62869.098046704312</c:v>
                </c:pt>
                <c:pt idx="9">
                  <c:v>62869.098046704312</c:v>
                </c:pt>
                <c:pt idx="10">
                  <c:v>62869.098046704312</c:v>
                </c:pt>
                <c:pt idx="11">
                  <c:v>62869.098046704312</c:v>
                </c:pt>
                <c:pt idx="12">
                  <c:v>62869.098046704312</c:v>
                </c:pt>
                <c:pt idx="13">
                  <c:v>62869.098046704312</c:v>
                </c:pt>
                <c:pt idx="14">
                  <c:v>62869.098046704312</c:v>
                </c:pt>
                <c:pt idx="15">
                  <c:v>62869.098046704312</c:v>
                </c:pt>
                <c:pt idx="16">
                  <c:v>62869.098046704312</c:v>
                </c:pt>
                <c:pt idx="17">
                  <c:v>62869.098046704312</c:v>
                </c:pt>
                <c:pt idx="18">
                  <c:v>62869.098046704312</c:v>
                </c:pt>
                <c:pt idx="19">
                  <c:v>62869.098046704312</c:v>
                </c:pt>
                <c:pt idx="20">
                  <c:v>62869.098046704312</c:v>
                </c:pt>
                <c:pt idx="21">
                  <c:v>62869.098046704312</c:v>
                </c:pt>
                <c:pt idx="22">
                  <c:v>62869.098046704312</c:v>
                </c:pt>
                <c:pt idx="23">
                  <c:v>62869.098046704312</c:v>
                </c:pt>
                <c:pt idx="24">
                  <c:v>62869.098046704312</c:v>
                </c:pt>
                <c:pt idx="25">
                  <c:v>62869.098046704312</c:v>
                </c:pt>
                <c:pt idx="26">
                  <c:v>62869.098046704312</c:v>
                </c:pt>
                <c:pt idx="27">
                  <c:v>62869.098046704312</c:v>
                </c:pt>
                <c:pt idx="28">
                  <c:v>62869.098046704312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5D-43D4-9810-520F5321E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1870320"/>
        <c:axId val="971868024"/>
      </c:barChart>
      <c:catAx>
        <c:axId val="97187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1868024"/>
        <c:crosses val="autoZero"/>
        <c:auto val="1"/>
        <c:lblAlgn val="ctr"/>
        <c:lblOffset val="100"/>
        <c:noMultiLvlLbl val="0"/>
      </c:catAx>
      <c:valAx>
        <c:axId val="9718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187032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9369076895759747"/>
          <c:y val="9.5287074203223229E-2"/>
          <c:w val="0.30329960150609486"/>
          <c:h val="4.55348970421885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Cost of Service - Oahu</a:t>
            </a:r>
            <a:r>
              <a:rPr lang="en-US" baseline="0">
                <a:solidFill>
                  <a:sysClr val="windowText" lastClr="000000"/>
                </a:solidFill>
              </a:rPr>
              <a:t> SNG Plant</a:t>
            </a: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9543873405828134"/>
          <c:y val="1.6550719920116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31550505619101"/>
          <c:y val="8.2083027562523489E-2"/>
          <c:w val="0.87739109538892579"/>
          <c:h val="0.676697686837790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'SNG Plant'!$B$5</c:f>
              <c:strCache>
                <c:ptCount val="1"/>
                <c:pt idx="0">
                  <c:v>Production Cost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'SNG Plant'!$E$5:$AG$5</c:f>
              <c:numCache>
                <c:formatCode>_("$"* #,##0_);_("$"* \(#,##0\);_("$"* "-"??_);_(@_)</c:formatCode>
                <c:ptCount val="29"/>
                <c:pt idx="0">
                  <c:v>7208141.3617541967</c:v>
                </c:pt>
                <c:pt idx="1">
                  <c:v>7451782.5951868109</c:v>
                </c:pt>
                <c:pt idx="2">
                  <c:v>7366446.9695883887</c:v>
                </c:pt>
                <c:pt idx="3">
                  <c:v>5384233.9821170503</c:v>
                </c:pt>
                <c:pt idx="4">
                  <c:v>6157453.9064814877</c:v>
                </c:pt>
                <c:pt idx="5">
                  <c:v>6464478.1725781392</c:v>
                </c:pt>
                <c:pt idx="6">
                  <c:v>6535727.6792181609</c:v>
                </c:pt>
                <c:pt idx="7">
                  <c:v>6545878.0555803906</c:v>
                </c:pt>
                <c:pt idx="8">
                  <c:v>6577271.4904336613</c:v>
                </c:pt>
                <c:pt idx="9">
                  <c:v>6606864.4309409047</c:v>
                </c:pt>
                <c:pt idx="10">
                  <c:v>6633818.3091991637</c:v>
                </c:pt>
                <c:pt idx="11">
                  <c:v>6664158.7681026179</c:v>
                </c:pt>
                <c:pt idx="12">
                  <c:v>6697507.8515134538</c:v>
                </c:pt>
                <c:pt idx="13">
                  <c:v>6731857.1981946062</c:v>
                </c:pt>
                <c:pt idx="14">
                  <c:v>6764949.7420190405</c:v>
                </c:pt>
                <c:pt idx="15">
                  <c:v>6801160.9264634447</c:v>
                </c:pt>
                <c:pt idx="16">
                  <c:v>6840682.4815644436</c:v>
                </c:pt>
                <c:pt idx="17">
                  <c:v>6883623.9687744146</c:v>
                </c:pt>
                <c:pt idx="18">
                  <c:v>6926028.3085213304</c:v>
                </c:pt>
                <c:pt idx="19">
                  <c:v>6966558.5988511592</c:v>
                </c:pt>
                <c:pt idx="20">
                  <c:v>7010304.2846241957</c:v>
                </c:pt>
                <c:pt idx="21">
                  <c:v>7054309.0278164959</c:v>
                </c:pt>
                <c:pt idx="22">
                  <c:v>7104847.0310493652</c:v>
                </c:pt>
                <c:pt idx="23">
                  <c:v>7147995.1930164546</c:v>
                </c:pt>
                <c:pt idx="24">
                  <c:v>7196419.4794150935</c:v>
                </c:pt>
                <c:pt idx="25">
                  <c:v>7249979.809150409</c:v>
                </c:pt>
                <c:pt idx="26">
                  <c:v>7297417.5622330718</c:v>
                </c:pt>
                <c:pt idx="27">
                  <c:v>7343981.5158204092</c:v>
                </c:pt>
                <c:pt idx="28">
                  <c:v>7401413.3007865092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C-424B-AF08-6F7D2B05C984}"/>
            </c:ext>
          </c:extLst>
        </c:ser>
        <c:ser>
          <c:idx val="6"/>
          <c:order val="1"/>
          <c:tx>
            <c:strRef>
              <c:f>'Oahu COS and Allocation'!$B$12</c:f>
              <c:strCache>
                <c:ptCount val="1"/>
                <c:pt idx="0">
                  <c:v>Depreciation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'SNG Plant'!$E$13:$AG$13</c:f>
              <c:numCache>
                <c:formatCode>_("$"* #,##0_);_("$"* \(#,##0\);_("$"* "-"??_);_(@_)</c:formatCode>
                <c:ptCount val="29"/>
                <c:pt idx="0">
                  <c:v>1317704.0492127347</c:v>
                </c:pt>
                <c:pt idx="1">
                  <c:v>1323396.548855331</c:v>
                </c:pt>
                <c:pt idx="2">
                  <c:v>1501028.2792922393</c:v>
                </c:pt>
                <c:pt idx="3">
                  <c:v>1536769.004846175</c:v>
                </c:pt>
                <c:pt idx="4">
                  <c:v>1567011.2094779187</c:v>
                </c:pt>
                <c:pt idx="5">
                  <c:v>1583715.3853701376</c:v>
                </c:pt>
                <c:pt idx="6">
                  <c:v>1839472.1853701377</c:v>
                </c:pt>
                <c:pt idx="7">
                  <c:v>1973316.5117701376</c:v>
                </c:pt>
                <c:pt idx="8">
                  <c:v>2003754.9117701377</c:v>
                </c:pt>
                <c:pt idx="9">
                  <c:v>2024356.5117701376</c:v>
                </c:pt>
                <c:pt idx="10">
                  <c:v>2067972.5117701376</c:v>
                </c:pt>
                <c:pt idx="11">
                  <c:v>2164823.9370501377</c:v>
                </c:pt>
                <c:pt idx="12">
                  <c:v>2261675.3623301373</c:v>
                </c:pt>
                <c:pt idx="13">
                  <c:v>2358526.7876101374</c:v>
                </c:pt>
                <c:pt idx="14">
                  <c:v>2455378.2128901375</c:v>
                </c:pt>
                <c:pt idx="15">
                  <c:v>2552229.6381701375</c:v>
                </c:pt>
                <c:pt idx="16">
                  <c:v>2649081.0634501376</c:v>
                </c:pt>
                <c:pt idx="17">
                  <c:v>2745932.4887301372</c:v>
                </c:pt>
                <c:pt idx="18">
                  <c:v>2842783.9140101373</c:v>
                </c:pt>
                <c:pt idx="19">
                  <c:v>2939635.3392901374</c:v>
                </c:pt>
                <c:pt idx="20">
                  <c:v>3036486.7645701375</c:v>
                </c:pt>
                <c:pt idx="21">
                  <c:v>3133338.1898501376</c:v>
                </c:pt>
                <c:pt idx="22">
                  <c:v>3230189.6151301377</c:v>
                </c:pt>
                <c:pt idx="23">
                  <c:v>3327041.0404101373</c:v>
                </c:pt>
                <c:pt idx="24">
                  <c:v>3423892.4656901374</c:v>
                </c:pt>
                <c:pt idx="25">
                  <c:v>3520743.8909701374</c:v>
                </c:pt>
                <c:pt idx="26">
                  <c:v>3617595.3162501375</c:v>
                </c:pt>
                <c:pt idx="27">
                  <c:v>3714446.7415301376</c:v>
                </c:pt>
                <c:pt idx="28">
                  <c:v>3811298.1668101377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3C-424B-AF08-6F7D2B05C984}"/>
            </c:ext>
          </c:extLst>
        </c:ser>
        <c:ser>
          <c:idx val="7"/>
          <c:order val="2"/>
          <c:tx>
            <c:strRef>
              <c:f>'Oahu COS and Allocation'!$B$16</c:f>
              <c:strCache>
                <c:ptCount val="1"/>
                <c:pt idx="0">
                  <c:v>Taxes Other than Income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'SNG Plant'!$E$17:$AG$17</c:f>
              <c:numCache>
                <c:formatCode>_("$"* #,##0_);_("$"* \(#,##0\);_("$"* "-"??_);_(@_)</c:formatCode>
                <c:ptCount val="29"/>
                <c:pt idx="0">
                  <c:v>2848065.652466292</c:v>
                </c:pt>
                <c:pt idx="1">
                  <c:v>2905026.9655156177</c:v>
                </c:pt>
                <c:pt idx="2">
                  <c:v>2963127.5048259301</c:v>
                </c:pt>
                <c:pt idx="3">
                  <c:v>3022390.0549224489</c:v>
                </c:pt>
                <c:pt idx="4">
                  <c:v>3082837.8560208981</c:v>
                </c:pt>
                <c:pt idx="5">
                  <c:v>3144494.613141316</c:v>
                </c:pt>
                <c:pt idx="6">
                  <c:v>3207384.5054041422</c:v>
                </c:pt>
                <c:pt idx="7">
                  <c:v>3271532.1955122249</c:v>
                </c:pt>
                <c:pt idx="8">
                  <c:v>3336962.8394224695</c:v>
                </c:pt>
                <c:pt idx="9">
                  <c:v>3403702.0962109189</c:v>
                </c:pt>
                <c:pt idx="10">
                  <c:v>3471776.1381351375</c:v>
                </c:pt>
                <c:pt idx="11">
                  <c:v>3541211.6608978403</c:v>
                </c:pt>
                <c:pt idx="12">
                  <c:v>3612035.8941157972</c:v>
                </c:pt>
                <c:pt idx="13">
                  <c:v>3684276.6119981133</c:v>
                </c:pt>
                <c:pt idx="14">
                  <c:v>3757962.1442380757</c:v>
                </c:pt>
                <c:pt idx="15">
                  <c:v>3833121.3871228374</c:v>
                </c:pt>
                <c:pt idx="16">
                  <c:v>3909783.8148652944</c:v>
                </c:pt>
                <c:pt idx="17">
                  <c:v>3987979.4911626005</c:v>
                </c:pt>
                <c:pt idx="18">
                  <c:v>4067739.0809858525</c:v>
                </c:pt>
                <c:pt idx="19">
                  <c:v>4149093.8626055694</c:v>
                </c:pt>
                <c:pt idx="20">
                  <c:v>4232075.7398576811</c:v>
                </c:pt>
                <c:pt idx="21">
                  <c:v>4316717.254654835</c:v>
                </c:pt>
                <c:pt idx="22">
                  <c:v>4403051.5997479316</c:v>
                </c:pt>
                <c:pt idx="23">
                  <c:v>4491112.63174289</c:v>
                </c:pt>
                <c:pt idx="24">
                  <c:v>4580934.8843777478</c:v>
                </c:pt>
                <c:pt idx="25">
                  <c:v>4672553.5820653029</c:v>
                </c:pt>
                <c:pt idx="26">
                  <c:v>4766004.6537066093</c:v>
                </c:pt>
                <c:pt idx="27">
                  <c:v>4861324.746780742</c:v>
                </c:pt>
                <c:pt idx="28">
                  <c:v>4958551.2417163569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3C-424B-AF08-6F7D2B05C984}"/>
            </c:ext>
          </c:extLst>
        </c:ser>
        <c:ser>
          <c:idx val="8"/>
          <c:order val="3"/>
          <c:tx>
            <c:strRef>
              <c:f>'Oahu COS and Allocation'!$B$18</c:f>
              <c:strCache>
                <c:ptCount val="1"/>
                <c:pt idx="0">
                  <c:v>Income Tax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'SNG Plant'!$E$20:$AG$20</c:f>
              <c:numCache>
                <c:formatCode>_("$"* #,##0_);_("$"* \(#,##0\);_("$"* "-"??_);_(@_)</c:formatCode>
                <c:ptCount val="29"/>
                <c:pt idx="0">
                  <c:v>242617.81026088737</c:v>
                </c:pt>
                <c:pt idx="1">
                  <c:v>221226.5069489982</c:v>
                </c:pt>
                <c:pt idx="2">
                  <c:v>281271.8914768243</c:v>
                </c:pt>
                <c:pt idx="3">
                  <c:v>270779.0860395772</c:v>
                </c:pt>
                <c:pt idx="4">
                  <c:v>257025.22262653898</c:v>
                </c:pt>
                <c:pt idx="5">
                  <c:v>236298.15772469185</c:v>
                </c:pt>
                <c:pt idx="6">
                  <c:v>328634.43249566236</c:v>
                </c:pt>
                <c:pt idx="7">
                  <c:v>358478.8492692248</c:v>
                </c:pt>
                <c:pt idx="8">
                  <c:v>336836.85009478731</c:v>
                </c:pt>
                <c:pt idx="9">
                  <c:v>309973.33966834983</c:v>
                </c:pt>
                <c:pt idx="10">
                  <c:v>293647.56972191227</c:v>
                </c:pt>
                <c:pt idx="11">
                  <c:v>301770.85127279308</c:v>
                </c:pt>
                <c:pt idx="12">
                  <c:v>308123.44664099225</c:v>
                </c:pt>
                <c:pt idx="13">
                  <c:v>312705.35582650994</c:v>
                </c:pt>
                <c:pt idx="14">
                  <c:v>315516.57882934599</c:v>
                </c:pt>
                <c:pt idx="15">
                  <c:v>316557.11564950045</c:v>
                </c:pt>
                <c:pt idx="16">
                  <c:v>315826.96628697333</c:v>
                </c:pt>
                <c:pt idx="17">
                  <c:v>313326.13074176456</c:v>
                </c:pt>
                <c:pt idx="18">
                  <c:v>309054.6090138742</c:v>
                </c:pt>
                <c:pt idx="19">
                  <c:v>303012.40110330237</c:v>
                </c:pt>
                <c:pt idx="20">
                  <c:v>295199.50701004872</c:v>
                </c:pt>
                <c:pt idx="21">
                  <c:v>285615.9267341136</c:v>
                </c:pt>
                <c:pt idx="22">
                  <c:v>274261.66027549683</c:v>
                </c:pt>
                <c:pt idx="23">
                  <c:v>261136.7076341986</c:v>
                </c:pt>
                <c:pt idx="24">
                  <c:v>246241.06881021871</c:v>
                </c:pt>
                <c:pt idx="25">
                  <c:v>229574.7438035571</c:v>
                </c:pt>
                <c:pt idx="26">
                  <c:v>211137.73261421407</c:v>
                </c:pt>
                <c:pt idx="27">
                  <c:v>190930.03524218939</c:v>
                </c:pt>
                <c:pt idx="28">
                  <c:v>168951.65168748301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3C-424B-AF08-6F7D2B05C984}"/>
            </c:ext>
          </c:extLst>
        </c:ser>
        <c:ser>
          <c:idx val="9"/>
          <c:order val="4"/>
          <c:tx>
            <c:strRef>
              <c:f>'Oahu COS and Allocation'!$B$21</c:f>
              <c:strCache>
                <c:ptCount val="1"/>
                <c:pt idx="0">
                  <c:v>Return on Rate Base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'SNG Plant'!$E$22:$AG$22</c:f>
              <c:numCache>
                <c:formatCode>_("$"* #,##0_);_("$"* \(#,##0\);_("$"* "-"??_);_(@_)</c:formatCode>
                <c:ptCount val="29"/>
                <c:pt idx="0">
                  <c:v>942205.08839179564</c:v>
                </c:pt>
                <c:pt idx="1">
                  <c:v>859132.06582135218</c:v>
                </c:pt>
                <c:pt idx="2">
                  <c:v>1092318.0251527156</c:v>
                </c:pt>
                <c:pt idx="3">
                  <c:v>1051569.2661731152</c:v>
                </c:pt>
                <c:pt idx="4">
                  <c:v>998156.20437490859</c:v>
                </c:pt>
                <c:pt idx="5">
                  <c:v>917662.74844540516</c:v>
                </c:pt>
                <c:pt idx="6">
                  <c:v>1276250.2232841256</c:v>
                </c:pt>
                <c:pt idx="7">
                  <c:v>1392150.8709484458</c:v>
                </c:pt>
                <c:pt idx="8">
                  <c:v>1308104.2722127661</c:v>
                </c:pt>
                <c:pt idx="9">
                  <c:v>1203779.9598770866</c:v>
                </c:pt>
                <c:pt idx="10">
                  <c:v>1140378.9115414068</c:v>
                </c:pt>
                <c:pt idx="11">
                  <c:v>1171925.6360108468</c:v>
                </c:pt>
                <c:pt idx="12">
                  <c:v>1196595.9092854068</c:v>
                </c:pt>
                <c:pt idx="13">
                  <c:v>1214389.7313650872</c:v>
                </c:pt>
                <c:pt idx="14">
                  <c:v>1225307.1022498873</c:v>
                </c:pt>
                <c:pt idx="15">
                  <c:v>1229348.0219398076</c:v>
                </c:pt>
                <c:pt idx="16">
                  <c:v>1226512.4904348478</c:v>
                </c:pt>
                <c:pt idx="17">
                  <c:v>1216800.5077350079</c:v>
                </c:pt>
                <c:pt idx="18">
                  <c:v>1200212.0738402882</c:v>
                </c:pt>
                <c:pt idx="19">
                  <c:v>1176747.1887506887</c:v>
                </c:pt>
                <c:pt idx="20">
                  <c:v>1146405.8524662086</c:v>
                </c:pt>
                <c:pt idx="21">
                  <c:v>1109188.064986849</c:v>
                </c:pt>
                <c:pt idx="22">
                  <c:v>1065093.826312609</c:v>
                </c:pt>
                <c:pt idx="23">
                  <c:v>1014123.1364434897</c:v>
                </c:pt>
                <c:pt idx="24">
                  <c:v>956275.99537949008</c:v>
                </c:pt>
                <c:pt idx="25">
                  <c:v>891552.40312061005</c:v>
                </c:pt>
                <c:pt idx="26">
                  <c:v>819952.35966685077</c:v>
                </c:pt>
                <c:pt idx="27">
                  <c:v>741475.86501821119</c:v>
                </c:pt>
                <c:pt idx="28">
                  <c:v>656122.91917469131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03C-424B-AF08-6F7D2B05C984}"/>
            </c:ext>
          </c:extLst>
        </c:ser>
        <c:ser>
          <c:idx val="10"/>
          <c:order val="5"/>
          <c:tx>
            <c:strRef>
              <c:f>'Oahu COS and Allocation'!$B$10</c:f>
              <c:strCache>
                <c:ptCount val="1"/>
                <c:pt idx="0">
                  <c:v>Administrative and General Expenses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'SNG Plant'!$E$11:$AG$11</c:f>
              <c:numCache>
                <c:formatCode>_("$"* #,##0_);_("$"* \(#,##0\);_("$"* "-"??_);_(@_)</c:formatCode>
                <c:ptCount val="29"/>
                <c:pt idx="0">
                  <c:v>3744308.0541001074</c:v>
                </c:pt>
                <c:pt idx="1">
                  <c:v>3870868.8118417687</c:v>
                </c:pt>
                <c:pt idx="2">
                  <c:v>3826540.759131093</c:v>
                </c:pt>
                <c:pt idx="3">
                  <c:v>2796869.4914016095</c:v>
                </c:pt>
                <c:pt idx="4">
                  <c:v>3198522.7672030516</c:v>
                </c:pt>
                <c:pt idx="5">
                  <c:v>3358008.1844077576</c:v>
                </c:pt>
                <c:pt idx="6">
                  <c:v>3395019.126365473</c:v>
                </c:pt>
                <c:pt idx="7">
                  <c:v>3400291.7943193652</c:v>
                </c:pt>
                <c:pt idx="8">
                  <c:v>3416599.2840129854</c:v>
                </c:pt>
                <c:pt idx="9">
                  <c:v>3431971.4971709712</c:v>
                </c:pt>
                <c:pt idx="10">
                  <c:v>3445972.8351562559</c:v>
                </c:pt>
                <c:pt idx="11">
                  <c:v>3461733.3507920997</c:v>
                </c:pt>
                <c:pt idx="12">
                  <c:v>3479056.7127165194</c:v>
                </c:pt>
                <c:pt idx="13">
                  <c:v>3496899.6668119724</c:v>
                </c:pt>
                <c:pt idx="14">
                  <c:v>3514089.7678593709</c:v>
                </c:pt>
                <c:pt idx="15">
                  <c:v>3532899.8636606405</c:v>
                </c:pt>
                <c:pt idx="16">
                  <c:v>3553429.5494213006</c:v>
                </c:pt>
                <c:pt idx="17">
                  <c:v>3575735.7374309381</c:v>
                </c:pt>
                <c:pt idx="18">
                  <c:v>3597762.9012828595</c:v>
                </c:pt>
                <c:pt idx="19">
                  <c:v>3618816.5800192687</c:v>
                </c:pt>
                <c:pt idx="20">
                  <c:v>3641540.5133262938</c:v>
                </c:pt>
                <c:pt idx="21">
                  <c:v>3664399.0154122515</c:v>
                </c:pt>
                <c:pt idx="22">
                  <c:v>3690651.2547963192</c:v>
                </c:pt>
                <c:pt idx="23">
                  <c:v>3713064.8011274459</c:v>
                </c:pt>
                <c:pt idx="24">
                  <c:v>3738219.0588586442</c:v>
                </c:pt>
                <c:pt idx="25">
                  <c:v>3766041.2621068042</c:v>
                </c:pt>
                <c:pt idx="26">
                  <c:v>3790683.0597660835</c:v>
                </c:pt>
                <c:pt idx="27">
                  <c:v>3814870.9575469038</c:v>
                </c:pt>
                <c:pt idx="28">
                  <c:v>3844704.2091741418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3C-424B-AF08-6F7D2B05C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5430712"/>
        <c:axId val="1225426448"/>
      </c:barChart>
      <c:catAx>
        <c:axId val="122543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5426448"/>
        <c:crosses val="autoZero"/>
        <c:auto val="1"/>
        <c:lblAlgn val="ctr"/>
        <c:lblOffset val="100"/>
        <c:noMultiLvlLbl val="0"/>
      </c:catAx>
      <c:valAx>
        <c:axId val="1225426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543071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1.6769202603180745E-2"/>
          <c:y val="0.82315997407488295"/>
          <c:w val="0.9832307640546889"/>
          <c:h val="8.87063563452535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>
                <a:solidFill>
                  <a:sysClr val="windowText" lastClr="000000"/>
                </a:solidFill>
              </a:rPr>
              <a:t>Total Direct Emissions (Versus Status Quo) </a:t>
            </a:r>
            <a:r>
              <a:rPr lang="en-US" sz="2400" baseline="0">
                <a:solidFill>
                  <a:sysClr val="windowText" lastClr="000000"/>
                </a:solidFill>
              </a:rPr>
              <a:t> </a:t>
            </a:r>
            <a:endParaRPr lang="en-US" sz="24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813990738899193"/>
          <c:y val="1.340861182081316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80998396861834"/>
          <c:y val="0.12510249726784584"/>
          <c:w val="0.86773815739675042"/>
          <c:h val="0.74146630500502331"/>
        </c:manualLayout>
      </c:layout>
      <c:lineChart>
        <c:grouping val="standard"/>
        <c:varyColors val="0"/>
        <c:ser>
          <c:idx val="1"/>
          <c:order val="0"/>
          <c:tx>
            <c:strRef>
              <c:f>'Summary Dashboard'!$C$29</c:f>
              <c:strCache>
                <c:ptCount val="1"/>
                <c:pt idx="0">
                  <c:v>Technically Feasible with Par (Without Offsets)</c:v>
                </c:pt>
              </c:strCache>
            </c:strRef>
          </c:tx>
          <c:spPr>
            <a:ln w="31750"/>
          </c:spPr>
          <c:marker>
            <c:symbol val="none"/>
          </c:marker>
          <c:cat>
            <c:numRef>
              <c:f>'Supply Porfolio (Live)'!$G$102:$AD$102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(Live)'!$G$124:$AD$124</c:f>
              <c:numCache>
                <c:formatCode>#,##0</c:formatCode>
                <c:ptCount val="24"/>
                <c:pt idx="0">
                  <c:v>187346.44430513994</c:v>
                </c:pt>
                <c:pt idx="1">
                  <c:v>190325.5860261723</c:v>
                </c:pt>
                <c:pt idx="2">
                  <c:v>191475.30339899307</c:v>
                </c:pt>
                <c:pt idx="3">
                  <c:v>187947.81472370619</c:v>
                </c:pt>
                <c:pt idx="4">
                  <c:v>188823.9347545889</c:v>
                </c:pt>
                <c:pt idx="5">
                  <c:v>189620.5327876611</c:v>
                </c:pt>
                <c:pt idx="6">
                  <c:v>190518.06273931192</c:v>
                </c:pt>
                <c:pt idx="7">
                  <c:v>191505.18075864398</c:v>
                </c:pt>
                <c:pt idx="8">
                  <c:v>191184.77493260088</c:v>
                </c:pt>
                <c:pt idx="9">
                  <c:v>192163.08529009947</c:v>
                </c:pt>
                <c:pt idx="10">
                  <c:v>193234.20139208654</c:v>
                </c:pt>
                <c:pt idx="11">
                  <c:v>194403.83753815942</c:v>
                </c:pt>
                <c:pt idx="12">
                  <c:v>195675.24563636855</c:v>
                </c:pt>
                <c:pt idx="13">
                  <c:v>195887.54816533055</c:v>
                </c:pt>
                <c:pt idx="14">
                  <c:v>197109.60421028241</c:v>
                </c:pt>
                <c:pt idx="15">
                  <c:v>198426.23067526729</c:v>
                </c:pt>
                <c:pt idx="16">
                  <c:v>199748.88493322761</c:v>
                </c:pt>
                <c:pt idx="17">
                  <c:v>201265.48865166269</c:v>
                </c:pt>
                <c:pt idx="18">
                  <c:v>198653.97564191621</c:v>
                </c:pt>
                <c:pt idx="19">
                  <c:v>200103.79761947063</c:v>
                </c:pt>
                <c:pt idx="20">
                  <c:v>201705.702443594</c:v>
                </c:pt>
                <c:pt idx="21">
                  <c:v>203122.46609654941</c:v>
                </c:pt>
                <c:pt idx="22">
                  <c:v>204511.28071029152</c:v>
                </c:pt>
                <c:pt idx="23">
                  <c:v>206223.80499503756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4-A512-4C76-8C3D-268CDA261245}"/>
            </c:ext>
          </c:extLst>
        </c:ser>
        <c:ser>
          <c:idx val="0"/>
          <c:order val="1"/>
          <c:tx>
            <c:v>Status Quo</c:v>
          </c:tx>
          <c:spPr>
            <a:ln w="28575"/>
          </c:spPr>
          <c:marker>
            <c:symbol val="none"/>
          </c:marker>
          <c:cat>
            <mc:AlternateContent xmlns:mc="http://schemas.openxmlformats.org/markup-compatibility/2006">
              <mc:Choice xmlns:c16ac="http://schemas.microsoft.com/office/drawing/2014/chart/ac" Requires="c16ac">
                <c16ac:multiLvlStrLit>
                  <c:ptCount val="0"/>
                </c16ac:multiLvlStrLit>
              </mc:Choice>
              <mc:Fallback>
                <c:strLit/>
              </mc:Fallback>
            </mc:AlternateContent>
          </c:cat>
          <c:val>
            <c:numRef>
              <c:f>'Supply Porfolio (Status Quo)'!$G$124:$AD$124</c:f>
              <c:numCache>
                <c:formatCode>#,##0</c:formatCode>
                <c:ptCount val="24"/>
                <c:pt idx="0">
                  <c:v>187346.44430513994</c:v>
                </c:pt>
                <c:pt idx="1">
                  <c:v>190325.5860261723</c:v>
                </c:pt>
                <c:pt idx="2">
                  <c:v>191475.30339899307</c:v>
                </c:pt>
                <c:pt idx="3">
                  <c:v>194115.87939825375</c:v>
                </c:pt>
                <c:pt idx="4">
                  <c:v>194991.9994291364</c:v>
                </c:pt>
                <c:pt idx="5">
                  <c:v>195788.59746220859</c:v>
                </c:pt>
                <c:pt idx="6">
                  <c:v>196686.12741385942</c:v>
                </c:pt>
                <c:pt idx="7">
                  <c:v>197673.24543319148</c:v>
                </c:pt>
                <c:pt idx="8">
                  <c:v>198689.77365965297</c:v>
                </c:pt>
                <c:pt idx="9">
                  <c:v>199668.0840171515</c:v>
                </c:pt>
                <c:pt idx="10">
                  <c:v>200739.20011913864</c:v>
                </c:pt>
                <c:pt idx="11">
                  <c:v>201908.83626521146</c:v>
                </c:pt>
                <c:pt idx="12">
                  <c:v>203180.24436342064</c:v>
                </c:pt>
                <c:pt idx="13">
                  <c:v>204434.87336835003</c:v>
                </c:pt>
                <c:pt idx="14">
                  <c:v>205632.64874883794</c:v>
                </c:pt>
                <c:pt idx="15">
                  <c:v>206925.97248914692</c:v>
                </c:pt>
                <c:pt idx="16">
                  <c:v>208226.26257424324</c:v>
                </c:pt>
                <c:pt idx="17">
                  <c:v>209721.40287005954</c:v>
                </c:pt>
                <c:pt idx="18">
                  <c:v>210994.33810888685</c:v>
                </c:pt>
                <c:pt idx="19">
                  <c:v>212424.39078834763</c:v>
                </c:pt>
                <c:pt idx="20">
                  <c:v>214007.32255219104</c:v>
                </c:pt>
                <c:pt idx="21">
                  <c:v>215405.8773130207</c:v>
                </c:pt>
                <c:pt idx="22">
                  <c:v>216777.21642478509</c:v>
                </c:pt>
                <c:pt idx="23">
                  <c:v>218472.96905932494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3-A512-4C76-8C3D-268CDA261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6344728"/>
        <c:axId val="926340464"/>
      </c:lineChart>
      <c:catAx>
        <c:axId val="926344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0464"/>
        <c:crosses val="autoZero"/>
        <c:auto val="1"/>
        <c:lblAlgn val="ctr"/>
        <c:lblOffset val="100"/>
        <c:noMultiLvlLbl val="0"/>
      </c:catAx>
      <c:valAx>
        <c:axId val="926340464"/>
        <c:scaling>
          <c:orientation val="minMax"/>
          <c:max val="4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US" sz="2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Tonns (CO2 Equivalent)</a:t>
                </a:r>
              </a:p>
            </c:rich>
          </c:tx>
          <c:layout>
            <c:manualLayout>
              <c:xMode val="edge"/>
              <c:yMode val="edge"/>
              <c:x val="8.6246493895773338E-3"/>
              <c:y val="0.30853215357177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4728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t"/>
      <c:layout>
        <c:manualLayout>
          <c:xMode val="edge"/>
          <c:yMode val="edge"/>
          <c:x val="0.2358408792470601"/>
          <c:y val="8.4847750901290056E-2"/>
          <c:w val="0.53084897114476337"/>
          <c:h val="4.3901588502942422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800">
                <a:solidFill>
                  <a:sysClr val="windowText" lastClr="000000"/>
                </a:solidFill>
              </a:rPr>
              <a:t>Average Rates by Customer Class Oahu</a:t>
            </a:r>
            <a:r>
              <a:rPr lang="en-US" sz="2800" baseline="0">
                <a:solidFill>
                  <a:sysClr val="windowText" lastClr="000000"/>
                </a:solidFill>
              </a:rPr>
              <a:t> - </a:t>
            </a:r>
            <a:r>
              <a:rPr lang="en-US" sz="2800">
                <a:solidFill>
                  <a:sysClr val="windowText" lastClr="000000"/>
                </a:solidFill>
              </a:rPr>
              <a:t>(COSS Fuel)</a:t>
            </a:r>
          </a:p>
        </c:rich>
      </c:tx>
      <c:layout>
        <c:manualLayout>
          <c:xMode val="edge"/>
          <c:yMode val="edge"/>
          <c:x val="0.23327239746660694"/>
          <c:y val="5.42193557045892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392497314444469E-2"/>
          <c:y val="0.13881251039909542"/>
          <c:w val="0.90163032111137376"/>
          <c:h val="0.62223500058138959"/>
        </c:manualLayout>
      </c:layout>
      <c:lineChart>
        <c:grouping val="standard"/>
        <c:varyColors val="0"/>
        <c:ser>
          <c:idx val="2"/>
          <c:order val="0"/>
          <c:tx>
            <c:strRef>
              <c:f>'Oahu COS and Allocation'!$B$420</c:f>
              <c:strCache>
                <c:ptCount val="1"/>
                <c:pt idx="0">
                  <c:v>Rate 10 - - General Service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Allocation'!$J$419:$AG$419</c:f>
              <c:strCach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Allocation'!$C$434:$AG$434</c15:sqref>
                  </c15:fullRef>
                </c:ext>
              </c:extLst>
              <c:f>'Oahu COS and Allocation'!$K$434:$AG$434</c:f>
              <c:numCache>
                <c:formatCode>General</c:formatCode>
                <c:ptCount val="23"/>
                <c:pt idx="0" formatCode="_(&quot;$&quot;* #,##0.000_);_(&quot;$&quot;* \(#,##0.000\);_(&quot;$&quot;* &quot;-&quot;??_);_(@_)">
                  <c:v>2.5688336671134255</c:v>
                </c:pt>
                <c:pt idx="1" formatCode="_(&quot;$&quot;* #,##0.000_);_(&quot;$&quot;* \(#,##0.000\);_(&quot;$&quot;* &quot;-&quot;??_);_(@_)">
                  <c:v>2.1122061440888533</c:v>
                </c:pt>
                <c:pt idx="2" formatCode="_(&quot;$&quot;* #,##0.000_);_(&quot;$&quot;* \(#,##0.000\);_(&quot;$&quot;* &quot;-&quot;??_);_(@_)">
                  <c:v>2.1992082929211691</c:v>
                </c:pt>
                <c:pt idx="3" formatCode="_(&quot;$&quot;* #,##0.000_);_(&quot;$&quot;* \(#,##0.000\);_(&quot;$&quot;* &quot;-&quot;??_);_(@_)">
                  <c:v>2.2275158954645495</c:v>
                </c:pt>
                <c:pt idx="4" formatCode="_(&quot;$&quot;* #,##0.000_);_(&quot;$&quot;* \(#,##0.000\);_(&quot;$&quot;* &quot;-&quot;??_);_(@_)">
                  <c:v>2.2724134571940438</c:v>
                </c:pt>
                <c:pt idx="5" formatCode="_(&quot;$&quot;* #,##0.000_);_(&quot;$&quot;* \(#,##0.000\);_(&quot;$&quot;* &quot;-&quot;??_);_(@_)">
                  <c:v>2.3069957145856441</c:v>
                </c:pt>
                <c:pt idx="6" formatCode="_(&quot;$&quot;* #,##0.000_);_(&quot;$&quot;* \(#,##0.000\);_(&quot;$&quot;* &quot;-&quot;??_);_(@_)">
                  <c:v>2.3324832211813211</c:v>
                </c:pt>
                <c:pt idx="7" formatCode="_(&quot;$&quot;* #,##0.000_);_(&quot;$&quot;* \(#,##0.000\);_(&quot;$&quot;* &quot;-&quot;??_);_(@_)">
                  <c:v>2.3834296842647058</c:v>
                </c:pt>
                <c:pt idx="8" formatCode="_(&quot;$&quot;* #,##0.000_);_(&quot;$&quot;* \(#,##0.000\);_(&quot;$&quot;* &quot;-&quot;??_);_(@_)">
                  <c:v>2.417623622846925</c:v>
                </c:pt>
                <c:pt idx="9" formatCode="_(&quot;$&quot;* #,##0.000_);_(&quot;$&quot;* \(#,##0.000\);_(&quot;$&quot;* &quot;-&quot;??_);_(@_)">
                  <c:v>2.4439044897677324</c:v>
                </c:pt>
                <c:pt idx="10" formatCode="_(&quot;$&quot;* #,##0.000_);_(&quot;$&quot;* \(#,##0.000\);_(&quot;$&quot;* &quot;-&quot;??_);_(@_)">
                  <c:v>2.4624544245713564</c:v>
                </c:pt>
                <c:pt idx="11" formatCode="_(&quot;$&quot;* #,##0.000_);_(&quot;$&quot;* \(#,##0.000\);_(&quot;$&quot;* &quot;-&quot;??_);_(@_)">
                  <c:v>2.4711537184280541</c:v>
                </c:pt>
                <c:pt idx="12" formatCode="_(&quot;$&quot;* #,##0.000_);_(&quot;$&quot;* \(#,##0.000\);_(&quot;$&quot;* &quot;-&quot;??_);_(@_)">
                  <c:v>2.5392164550816676</c:v>
                </c:pt>
                <c:pt idx="13" formatCode="_(&quot;$&quot;* #,##0.000_);_(&quot;$&quot;* \(#,##0.000\);_(&quot;$&quot;* &quot;-&quot;??_);_(@_)">
                  <c:v>2.5631401833794909</c:v>
                </c:pt>
                <c:pt idx="14" formatCode="_(&quot;$&quot;* #,##0.000_);_(&quot;$&quot;* \(#,##0.000\);_(&quot;$&quot;* &quot;-&quot;??_);_(@_)">
                  <c:v>2.5806222561009</c:v>
                </c:pt>
                <c:pt idx="15" formatCode="_(&quot;$&quot;* #,##0.000_);_(&quot;$&quot;* \(#,##0.000\);_(&quot;$&quot;* &quot;-&quot;??_);_(@_)">
                  <c:v>2.6013569497739559</c:v>
                </c:pt>
                <c:pt idx="16" formatCode="_(&quot;$&quot;* #,##0.000_);_(&quot;$&quot;* \(#,##0.000\);_(&quot;$&quot;* &quot;-&quot;??_);_(@_)">
                  <c:v>2.6056286410345071</c:v>
                </c:pt>
                <c:pt idx="17" formatCode="_(&quot;$&quot;* #,##0.000_);_(&quot;$&quot;* \(#,##0.000\);_(&quot;$&quot;* &quot;-&quot;??_);_(@_)">
                  <c:v>2.7970599816523833</c:v>
                </c:pt>
                <c:pt idx="18" formatCode="_(&quot;$&quot;* #,##0.000_);_(&quot;$&quot;* \(#,##0.000\);_(&quot;$&quot;* &quot;-&quot;??_);_(@_)">
                  <c:v>2.809845651654967</c:v>
                </c:pt>
                <c:pt idx="19" formatCode="_(&quot;$&quot;* #,##0.000_);_(&quot;$&quot;* \(#,##0.000\);_(&quot;$&quot;* &quot;-&quot;??_);_(@_)">
                  <c:v>2.8137896313043176</c:v>
                </c:pt>
                <c:pt idx="20" formatCode="_(&quot;$&quot;* #,##0.000_);_(&quot;$&quot;* \(#,##0.000\);_(&quot;$&quot;* &quot;-&quot;??_);_(@_)">
                  <c:v>2.8351977155153363</c:v>
                </c:pt>
                <c:pt idx="21" formatCode="_(&quot;$&quot;* #,##0.000_);_(&quot;$&quot;* \(#,##0.000\);_(&quot;$&quot;* &quot;-&quot;??_);_(@_)">
                  <c:v>2.8606866336161625</c:v>
                </c:pt>
                <c:pt idx="22" formatCode="_(&quot;$&quot;* #,##0.000_);_(&quot;$&quot;* \(#,##0.000\);_(&quot;$&quot;* &quot;-&quot;??_);_(@_)">
                  <c:v>2.8665413961349269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7-4A17-8053-46F567AE72C2}"/>
            </c:ext>
          </c:extLst>
        </c:ser>
        <c:ser>
          <c:idx val="3"/>
          <c:order val="1"/>
          <c:tx>
            <c:strRef>
              <c:f>'Oahu COS and Allocation'!$B$421</c:f>
              <c:strCache>
                <c:ptCount val="1"/>
                <c:pt idx="0">
                  <c:v>Rate 20 - -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Allocation'!$J$419:$AG$419</c:f>
              <c:strCach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Allocation'!$C$435:$AG$435</c15:sqref>
                  </c15:fullRef>
                </c:ext>
              </c:extLst>
              <c:f>'Oahu COS and Allocation'!$K$435:$AG$435</c:f>
              <c:numCache>
                <c:formatCode>General</c:formatCode>
                <c:ptCount val="23"/>
                <c:pt idx="0" formatCode="_(&quot;$&quot;* #,##0.000_);_(&quot;$&quot;* \(#,##0.000\);_(&quot;$&quot;* &quot;-&quot;??_);_(@_)">
                  <c:v>2.5688336671134255</c:v>
                </c:pt>
                <c:pt idx="1" formatCode="_(&quot;$&quot;* #,##0.000_);_(&quot;$&quot;* \(#,##0.000\);_(&quot;$&quot;* &quot;-&quot;??_);_(@_)">
                  <c:v>2.1122061440888533</c:v>
                </c:pt>
                <c:pt idx="2" formatCode="_(&quot;$&quot;* #,##0.000_);_(&quot;$&quot;* \(#,##0.000\);_(&quot;$&quot;* &quot;-&quot;??_);_(@_)">
                  <c:v>2.1992082929211691</c:v>
                </c:pt>
                <c:pt idx="3" formatCode="_(&quot;$&quot;* #,##0.000_);_(&quot;$&quot;* \(#,##0.000\);_(&quot;$&quot;* &quot;-&quot;??_);_(@_)">
                  <c:v>2.2275158954645495</c:v>
                </c:pt>
                <c:pt idx="4" formatCode="_(&quot;$&quot;* #,##0.000_);_(&quot;$&quot;* \(#,##0.000\);_(&quot;$&quot;* &quot;-&quot;??_);_(@_)">
                  <c:v>2.2724134571940438</c:v>
                </c:pt>
                <c:pt idx="5" formatCode="_(&quot;$&quot;* #,##0.000_);_(&quot;$&quot;* \(#,##0.000\);_(&quot;$&quot;* &quot;-&quot;??_);_(@_)">
                  <c:v>2.3069957145856441</c:v>
                </c:pt>
                <c:pt idx="6" formatCode="_(&quot;$&quot;* #,##0.000_);_(&quot;$&quot;* \(#,##0.000\);_(&quot;$&quot;* &quot;-&quot;??_);_(@_)">
                  <c:v>2.3324832211813211</c:v>
                </c:pt>
                <c:pt idx="7" formatCode="_(&quot;$&quot;* #,##0.000_);_(&quot;$&quot;* \(#,##0.000\);_(&quot;$&quot;* &quot;-&quot;??_);_(@_)">
                  <c:v>2.3834296842647058</c:v>
                </c:pt>
                <c:pt idx="8" formatCode="_(&quot;$&quot;* #,##0.000_);_(&quot;$&quot;* \(#,##0.000\);_(&quot;$&quot;* &quot;-&quot;??_);_(@_)">
                  <c:v>2.417623622846925</c:v>
                </c:pt>
                <c:pt idx="9" formatCode="_(&quot;$&quot;* #,##0.000_);_(&quot;$&quot;* \(#,##0.000\);_(&quot;$&quot;* &quot;-&quot;??_);_(@_)">
                  <c:v>2.4439044897677324</c:v>
                </c:pt>
                <c:pt idx="10" formatCode="_(&quot;$&quot;* #,##0.000_);_(&quot;$&quot;* \(#,##0.000\);_(&quot;$&quot;* &quot;-&quot;??_);_(@_)">
                  <c:v>2.4624544245713564</c:v>
                </c:pt>
                <c:pt idx="11" formatCode="_(&quot;$&quot;* #,##0.000_);_(&quot;$&quot;* \(#,##0.000\);_(&quot;$&quot;* &quot;-&quot;??_);_(@_)">
                  <c:v>2.4711537184280541</c:v>
                </c:pt>
                <c:pt idx="12" formatCode="_(&quot;$&quot;* #,##0.000_);_(&quot;$&quot;* \(#,##0.000\);_(&quot;$&quot;* &quot;-&quot;??_);_(@_)">
                  <c:v>2.5392164550816676</c:v>
                </c:pt>
                <c:pt idx="13" formatCode="_(&quot;$&quot;* #,##0.000_);_(&quot;$&quot;* \(#,##0.000\);_(&quot;$&quot;* &quot;-&quot;??_);_(@_)">
                  <c:v>2.5631401833794909</c:v>
                </c:pt>
                <c:pt idx="14" formatCode="_(&quot;$&quot;* #,##0.000_);_(&quot;$&quot;* \(#,##0.000\);_(&quot;$&quot;* &quot;-&quot;??_);_(@_)">
                  <c:v>2.5806222561009</c:v>
                </c:pt>
                <c:pt idx="15" formatCode="_(&quot;$&quot;* #,##0.000_);_(&quot;$&quot;* \(#,##0.000\);_(&quot;$&quot;* &quot;-&quot;??_);_(@_)">
                  <c:v>2.6013569497739559</c:v>
                </c:pt>
                <c:pt idx="16" formatCode="_(&quot;$&quot;* #,##0.000_);_(&quot;$&quot;* \(#,##0.000\);_(&quot;$&quot;* &quot;-&quot;??_);_(@_)">
                  <c:v>2.6056286410345071</c:v>
                </c:pt>
                <c:pt idx="17" formatCode="_(&quot;$&quot;* #,##0.000_);_(&quot;$&quot;* \(#,##0.000\);_(&quot;$&quot;* &quot;-&quot;??_);_(@_)">
                  <c:v>2.7970599816523833</c:v>
                </c:pt>
                <c:pt idx="18" formatCode="_(&quot;$&quot;* #,##0.000_);_(&quot;$&quot;* \(#,##0.000\);_(&quot;$&quot;* &quot;-&quot;??_);_(@_)">
                  <c:v>2.809845651654967</c:v>
                </c:pt>
                <c:pt idx="19" formatCode="_(&quot;$&quot;* #,##0.000_);_(&quot;$&quot;* \(#,##0.000\);_(&quot;$&quot;* &quot;-&quot;??_);_(@_)">
                  <c:v>2.8137896313043176</c:v>
                </c:pt>
                <c:pt idx="20" formatCode="_(&quot;$&quot;* #,##0.000_);_(&quot;$&quot;* \(#,##0.000\);_(&quot;$&quot;* &quot;-&quot;??_);_(@_)">
                  <c:v>2.8351977155153363</c:v>
                </c:pt>
                <c:pt idx="21" formatCode="_(&quot;$&quot;* #,##0.000_);_(&quot;$&quot;* \(#,##0.000\);_(&quot;$&quot;* &quot;-&quot;??_);_(@_)">
                  <c:v>2.8606866336161625</c:v>
                </c:pt>
                <c:pt idx="22" formatCode="_(&quot;$&quot;* #,##0.000_);_(&quot;$&quot;* \(#,##0.000\);_(&quot;$&quot;* &quot;-&quot;??_);_(@_)">
                  <c:v>2.8665413961349269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7-4A17-8053-46F567AE72C2}"/>
            </c:ext>
          </c:extLst>
        </c:ser>
        <c:ser>
          <c:idx val="4"/>
          <c:order val="2"/>
          <c:tx>
            <c:strRef>
              <c:f>'Oahu COS and Allocation'!$B$422</c:f>
              <c:strCache>
                <c:ptCount val="1"/>
                <c:pt idx="0">
                  <c:v>Rate 30 - - Multi Family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Allocation'!$J$419:$AG$419</c:f>
              <c:strCach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Allocation'!$C$436:$AG$436</c15:sqref>
                  </c15:fullRef>
                </c:ext>
              </c:extLst>
              <c:f>'Oahu COS and Allocation'!$K$436:$AG$436</c:f>
              <c:numCache>
                <c:formatCode>General</c:formatCode>
                <c:ptCount val="23"/>
                <c:pt idx="0" formatCode="_(&quot;$&quot;* #,##0.000_);_(&quot;$&quot;* \(#,##0.000\);_(&quot;$&quot;* &quot;-&quot;??_);_(@_)">
                  <c:v>2.5688336671134255</c:v>
                </c:pt>
                <c:pt idx="1" formatCode="_(&quot;$&quot;* #,##0.000_);_(&quot;$&quot;* \(#,##0.000\);_(&quot;$&quot;* &quot;-&quot;??_);_(@_)">
                  <c:v>2.1122061440888533</c:v>
                </c:pt>
                <c:pt idx="2" formatCode="_(&quot;$&quot;* #,##0.000_);_(&quot;$&quot;* \(#,##0.000\);_(&quot;$&quot;* &quot;-&quot;??_);_(@_)">
                  <c:v>2.1992082929211691</c:v>
                </c:pt>
                <c:pt idx="3" formatCode="_(&quot;$&quot;* #,##0.000_);_(&quot;$&quot;* \(#,##0.000\);_(&quot;$&quot;* &quot;-&quot;??_);_(@_)">
                  <c:v>2.2275158954645495</c:v>
                </c:pt>
                <c:pt idx="4" formatCode="_(&quot;$&quot;* #,##0.000_);_(&quot;$&quot;* \(#,##0.000\);_(&quot;$&quot;* &quot;-&quot;??_);_(@_)">
                  <c:v>2.2724134571940438</c:v>
                </c:pt>
                <c:pt idx="5" formatCode="_(&quot;$&quot;* #,##0.000_);_(&quot;$&quot;* \(#,##0.000\);_(&quot;$&quot;* &quot;-&quot;??_);_(@_)">
                  <c:v>2.3069957145856441</c:v>
                </c:pt>
                <c:pt idx="6" formatCode="_(&quot;$&quot;* #,##0.000_);_(&quot;$&quot;* \(#,##0.000\);_(&quot;$&quot;* &quot;-&quot;??_);_(@_)">
                  <c:v>2.3324832211813211</c:v>
                </c:pt>
                <c:pt idx="7" formatCode="_(&quot;$&quot;* #,##0.000_);_(&quot;$&quot;* \(#,##0.000\);_(&quot;$&quot;* &quot;-&quot;??_);_(@_)">
                  <c:v>2.3834296842647058</c:v>
                </c:pt>
                <c:pt idx="8" formatCode="_(&quot;$&quot;* #,##0.000_);_(&quot;$&quot;* \(#,##0.000\);_(&quot;$&quot;* &quot;-&quot;??_);_(@_)">
                  <c:v>2.417623622846925</c:v>
                </c:pt>
                <c:pt idx="9" formatCode="_(&quot;$&quot;* #,##0.000_);_(&quot;$&quot;* \(#,##0.000\);_(&quot;$&quot;* &quot;-&quot;??_);_(@_)">
                  <c:v>2.4439044897677324</c:v>
                </c:pt>
                <c:pt idx="10" formatCode="_(&quot;$&quot;* #,##0.000_);_(&quot;$&quot;* \(#,##0.000\);_(&quot;$&quot;* &quot;-&quot;??_);_(@_)">
                  <c:v>2.4624544245713564</c:v>
                </c:pt>
                <c:pt idx="11" formatCode="_(&quot;$&quot;* #,##0.000_);_(&quot;$&quot;* \(#,##0.000\);_(&quot;$&quot;* &quot;-&quot;??_);_(@_)">
                  <c:v>2.4711537184280541</c:v>
                </c:pt>
                <c:pt idx="12" formatCode="_(&quot;$&quot;* #,##0.000_);_(&quot;$&quot;* \(#,##0.000\);_(&quot;$&quot;* &quot;-&quot;??_);_(@_)">
                  <c:v>2.5392164550816676</c:v>
                </c:pt>
                <c:pt idx="13" formatCode="_(&quot;$&quot;* #,##0.000_);_(&quot;$&quot;* \(#,##0.000\);_(&quot;$&quot;* &quot;-&quot;??_);_(@_)">
                  <c:v>2.5631401833794909</c:v>
                </c:pt>
                <c:pt idx="14" formatCode="_(&quot;$&quot;* #,##0.000_);_(&quot;$&quot;* \(#,##0.000\);_(&quot;$&quot;* &quot;-&quot;??_);_(@_)">
                  <c:v>2.5806222561009</c:v>
                </c:pt>
                <c:pt idx="15" formatCode="_(&quot;$&quot;* #,##0.000_);_(&quot;$&quot;* \(#,##0.000\);_(&quot;$&quot;* &quot;-&quot;??_);_(@_)">
                  <c:v>2.6013569497739559</c:v>
                </c:pt>
                <c:pt idx="16" formatCode="_(&quot;$&quot;* #,##0.000_);_(&quot;$&quot;* \(#,##0.000\);_(&quot;$&quot;* &quot;-&quot;??_);_(@_)">
                  <c:v>2.6056286410345071</c:v>
                </c:pt>
                <c:pt idx="17" formatCode="_(&quot;$&quot;* #,##0.000_);_(&quot;$&quot;* \(#,##0.000\);_(&quot;$&quot;* &quot;-&quot;??_);_(@_)">
                  <c:v>2.7970599816523833</c:v>
                </c:pt>
                <c:pt idx="18" formatCode="_(&quot;$&quot;* #,##0.000_);_(&quot;$&quot;* \(#,##0.000\);_(&quot;$&quot;* &quot;-&quot;??_);_(@_)">
                  <c:v>2.809845651654967</c:v>
                </c:pt>
                <c:pt idx="19" formatCode="_(&quot;$&quot;* #,##0.000_);_(&quot;$&quot;* \(#,##0.000\);_(&quot;$&quot;* &quot;-&quot;??_);_(@_)">
                  <c:v>2.8137896313043176</c:v>
                </c:pt>
                <c:pt idx="20" formatCode="_(&quot;$&quot;* #,##0.000_);_(&quot;$&quot;* \(#,##0.000\);_(&quot;$&quot;* &quot;-&quot;??_);_(@_)">
                  <c:v>2.8351977155153363</c:v>
                </c:pt>
                <c:pt idx="21" formatCode="_(&quot;$&quot;* #,##0.000_);_(&quot;$&quot;* \(#,##0.000\);_(&quot;$&quot;* &quot;-&quot;??_);_(@_)">
                  <c:v>2.8606866336161625</c:v>
                </c:pt>
                <c:pt idx="22" formatCode="_(&quot;$&quot;* #,##0.000_);_(&quot;$&quot;* \(#,##0.000\);_(&quot;$&quot;* &quot;-&quot;??_);_(@_)">
                  <c:v>2.8665413961349269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7-4A17-8053-46F567AE72C2}"/>
            </c:ext>
          </c:extLst>
        </c:ser>
        <c:ser>
          <c:idx val="5"/>
          <c:order val="3"/>
          <c:tx>
            <c:strRef>
              <c:f>'Oahu COS and Allocation'!$B$423</c:f>
              <c:strCache>
                <c:ptCount val="1"/>
                <c:pt idx="0">
                  <c:v>Rate 50 - - Commercial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Allocation'!$J$419:$AG$419</c:f>
              <c:strCach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Allocation'!$C$437:$AG$437</c15:sqref>
                  </c15:fullRef>
                </c:ext>
              </c:extLst>
              <c:f>'Oahu COS and Allocation'!$K$437:$AG$437</c:f>
              <c:numCache>
                <c:formatCode>General</c:formatCode>
                <c:ptCount val="23"/>
                <c:pt idx="0" formatCode="_(&quot;$&quot;* #,##0.000_);_(&quot;$&quot;* \(#,##0.000\);_(&quot;$&quot;* &quot;-&quot;??_);_(@_)">
                  <c:v>2.5688336671134255</c:v>
                </c:pt>
                <c:pt idx="1" formatCode="_(&quot;$&quot;* #,##0.000_);_(&quot;$&quot;* \(#,##0.000\);_(&quot;$&quot;* &quot;-&quot;??_);_(@_)">
                  <c:v>2.1122061440888533</c:v>
                </c:pt>
                <c:pt idx="2" formatCode="_(&quot;$&quot;* #,##0.000_);_(&quot;$&quot;* \(#,##0.000\);_(&quot;$&quot;* &quot;-&quot;??_);_(@_)">
                  <c:v>2.1992082929211691</c:v>
                </c:pt>
                <c:pt idx="3" formatCode="_(&quot;$&quot;* #,##0.000_);_(&quot;$&quot;* \(#,##0.000\);_(&quot;$&quot;* &quot;-&quot;??_);_(@_)">
                  <c:v>2.2275158954645495</c:v>
                </c:pt>
                <c:pt idx="4" formatCode="_(&quot;$&quot;* #,##0.000_);_(&quot;$&quot;* \(#,##0.000\);_(&quot;$&quot;* &quot;-&quot;??_);_(@_)">
                  <c:v>2.2724134571940438</c:v>
                </c:pt>
                <c:pt idx="5" formatCode="_(&quot;$&quot;* #,##0.000_);_(&quot;$&quot;* \(#,##0.000\);_(&quot;$&quot;* &quot;-&quot;??_);_(@_)">
                  <c:v>2.3069957145856441</c:v>
                </c:pt>
                <c:pt idx="6" formatCode="_(&quot;$&quot;* #,##0.000_);_(&quot;$&quot;* \(#,##0.000\);_(&quot;$&quot;* &quot;-&quot;??_);_(@_)">
                  <c:v>2.3324832211813211</c:v>
                </c:pt>
                <c:pt idx="7" formatCode="_(&quot;$&quot;* #,##0.000_);_(&quot;$&quot;* \(#,##0.000\);_(&quot;$&quot;* &quot;-&quot;??_);_(@_)">
                  <c:v>2.3834296842647058</c:v>
                </c:pt>
                <c:pt idx="8" formatCode="_(&quot;$&quot;* #,##0.000_);_(&quot;$&quot;* \(#,##0.000\);_(&quot;$&quot;* &quot;-&quot;??_);_(@_)">
                  <c:v>2.417623622846925</c:v>
                </c:pt>
                <c:pt idx="9" formatCode="_(&quot;$&quot;* #,##0.000_);_(&quot;$&quot;* \(#,##0.000\);_(&quot;$&quot;* &quot;-&quot;??_);_(@_)">
                  <c:v>2.4439044897677324</c:v>
                </c:pt>
                <c:pt idx="10" formatCode="_(&quot;$&quot;* #,##0.000_);_(&quot;$&quot;* \(#,##0.000\);_(&quot;$&quot;* &quot;-&quot;??_);_(@_)">
                  <c:v>2.4624544245713564</c:v>
                </c:pt>
                <c:pt idx="11" formatCode="_(&quot;$&quot;* #,##0.000_);_(&quot;$&quot;* \(#,##0.000\);_(&quot;$&quot;* &quot;-&quot;??_);_(@_)">
                  <c:v>2.4711537184280541</c:v>
                </c:pt>
                <c:pt idx="12" formatCode="_(&quot;$&quot;* #,##0.000_);_(&quot;$&quot;* \(#,##0.000\);_(&quot;$&quot;* &quot;-&quot;??_);_(@_)">
                  <c:v>2.5392164550816676</c:v>
                </c:pt>
                <c:pt idx="13" formatCode="_(&quot;$&quot;* #,##0.000_);_(&quot;$&quot;* \(#,##0.000\);_(&quot;$&quot;* &quot;-&quot;??_);_(@_)">
                  <c:v>2.5631401833794909</c:v>
                </c:pt>
                <c:pt idx="14" formatCode="_(&quot;$&quot;* #,##0.000_);_(&quot;$&quot;* \(#,##0.000\);_(&quot;$&quot;* &quot;-&quot;??_);_(@_)">
                  <c:v>2.5806222561009</c:v>
                </c:pt>
                <c:pt idx="15" formatCode="_(&quot;$&quot;* #,##0.000_);_(&quot;$&quot;* \(#,##0.000\);_(&quot;$&quot;* &quot;-&quot;??_);_(@_)">
                  <c:v>2.6013569497739559</c:v>
                </c:pt>
                <c:pt idx="16" formatCode="_(&quot;$&quot;* #,##0.000_);_(&quot;$&quot;* \(#,##0.000\);_(&quot;$&quot;* &quot;-&quot;??_);_(@_)">
                  <c:v>2.6056286410345071</c:v>
                </c:pt>
                <c:pt idx="17" formatCode="_(&quot;$&quot;* #,##0.000_);_(&quot;$&quot;* \(#,##0.000\);_(&quot;$&quot;* &quot;-&quot;??_);_(@_)">
                  <c:v>2.7970599816523833</c:v>
                </c:pt>
                <c:pt idx="18" formatCode="_(&quot;$&quot;* #,##0.000_);_(&quot;$&quot;* \(#,##0.000\);_(&quot;$&quot;* &quot;-&quot;??_);_(@_)">
                  <c:v>2.809845651654967</c:v>
                </c:pt>
                <c:pt idx="19" formatCode="_(&quot;$&quot;* #,##0.000_);_(&quot;$&quot;* \(#,##0.000\);_(&quot;$&quot;* &quot;-&quot;??_);_(@_)">
                  <c:v>2.8137896313043176</c:v>
                </c:pt>
                <c:pt idx="20" formatCode="_(&quot;$&quot;* #,##0.000_);_(&quot;$&quot;* \(#,##0.000\);_(&quot;$&quot;* &quot;-&quot;??_);_(@_)">
                  <c:v>2.8351977155153363</c:v>
                </c:pt>
                <c:pt idx="21" formatCode="_(&quot;$&quot;* #,##0.000_);_(&quot;$&quot;* \(#,##0.000\);_(&quot;$&quot;* &quot;-&quot;??_);_(@_)">
                  <c:v>2.8606866336161625</c:v>
                </c:pt>
                <c:pt idx="22" formatCode="_(&quot;$&quot;* #,##0.000_);_(&quot;$&quot;* \(#,##0.000\);_(&quot;$&quot;* &quot;-&quot;??_);_(@_)">
                  <c:v>2.8665413961349269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B7-4A17-8053-46F567AE7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25024"/>
        <c:axId val="1141526008"/>
      </c:lineChart>
      <c:catAx>
        <c:axId val="114152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526008"/>
        <c:crosses val="autoZero"/>
        <c:auto val="1"/>
        <c:lblAlgn val="ctr"/>
        <c:lblOffset val="100"/>
        <c:noMultiLvlLbl val="0"/>
      </c:catAx>
      <c:valAx>
        <c:axId val="1141526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525024"/>
        <c:crosses val="autoZero"/>
        <c:crossBetween val="between"/>
      </c:valAx>
      <c:spPr>
        <a:noFill/>
        <a:ln w="1270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2706331823229002E-2"/>
          <c:y val="0.8710498008102282"/>
          <c:w val="0.86169078227103446"/>
          <c:h val="8.6185774538116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Supply Portfolio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2138911472768"/>
          <c:y val="7.0821062937639109E-2"/>
          <c:w val="0.87052961077903457"/>
          <c:h val="0.64405470856184577"/>
        </c:manualLayout>
      </c:layout>
      <c:areaChart>
        <c:grouping val="stacked"/>
        <c:varyColors val="0"/>
        <c:ser>
          <c:idx val="0"/>
          <c:order val="0"/>
          <c:tx>
            <c:strRef>
              <c:f>'Supply Porfolio (Live)'!$E$8</c:f>
              <c:strCache>
                <c:ptCount val="1"/>
                <c:pt idx="0">
                  <c:v>SNG- Firm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0.38928599627784949"/>
                  <c:y val="1.5275505621491313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AA-4219-8C27-BD321E095A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(Live)'!$G$8:$AI$8</c15:sqref>
                  </c15:fullRef>
                </c:ext>
              </c:extLst>
              <c:f>'Supply Porfolio (Live)'!$G$8:$AD$8</c:f>
              <c:numCache>
                <c:formatCode>#,##0</c:formatCode>
                <c:ptCount val="24"/>
                <c:pt idx="0">
                  <c:v>65185</c:v>
                </c:pt>
                <c:pt idx="1">
                  <c:v>62685.483658376354</c:v>
                </c:pt>
                <c:pt idx="2">
                  <c:v>59185.218745440317</c:v>
                </c:pt>
                <c:pt idx="3">
                  <c:v>50412.146777287118</c:v>
                </c:pt>
                <c:pt idx="4">
                  <c:v>50774.078366469817</c:v>
                </c:pt>
                <c:pt idx="5">
                  <c:v>51103.158837052331</c:v>
                </c:pt>
                <c:pt idx="6">
                  <c:v>51473.935021010584</c:v>
                </c:pt>
                <c:pt idx="7">
                  <c:v>51881.720690615468</c:v>
                </c:pt>
                <c:pt idx="8">
                  <c:v>49065.926282057328</c:v>
                </c:pt>
                <c:pt idx="9">
                  <c:v>49470.0734421749</c:v>
                </c:pt>
                <c:pt idx="10">
                  <c:v>49912.559333749385</c:v>
                </c:pt>
                <c:pt idx="11">
                  <c:v>50395.74457571582</c:v>
                </c:pt>
                <c:pt idx="12">
                  <c:v>50920.972555061286</c:v>
                </c:pt>
                <c:pt idx="13">
                  <c:v>47270.964124539503</c:v>
                </c:pt>
                <c:pt idx="14">
                  <c:v>47862.873228418845</c:v>
                </c:pt>
                <c:pt idx="15">
                  <c:v>48490.343238268011</c:v>
                </c:pt>
                <c:pt idx="16">
                  <c:v>49116.937790218675</c:v>
                </c:pt>
                <c:pt idx="17">
                  <c:v>49820.424252678255</c:v>
                </c:pt>
                <c:pt idx="18">
                  <c:v>34812.220771091466</c:v>
                </c:pt>
                <c:pt idx="19">
                  <c:v>35482.044192397429</c:v>
                </c:pt>
                <c:pt idx="20">
                  <c:v>36211.838894465487</c:v>
                </c:pt>
                <c:pt idx="21">
                  <c:v>36862.410170092488</c:v>
                </c:pt>
                <c:pt idx="22">
                  <c:v>37498.805605907342</c:v>
                </c:pt>
                <c:pt idx="23">
                  <c:v>38266.403908338398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C-48FD-B881-A304398F4599}"/>
            </c:ext>
          </c:extLst>
        </c:ser>
        <c:ser>
          <c:idx val="1"/>
          <c:order val="1"/>
          <c:tx>
            <c:strRef>
              <c:f>'Supply Porfolio (Live)'!$E$9</c:f>
              <c:strCache>
                <c:ptCount val="1"/>
                <c:pt idx="0">
                  <c:v>SNG - Interruptible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0.39466447567985086"/>
                  <c:y val="8.592471912088864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AA-4219-8C27-BD321E095A15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(Live)'!$G$9:$AI$9</c15:sqref>
                  </c15:fullRef>
                </c:ext>
              </c:extLst>
              <c:f>'Supply Porfolio (Live)'!$G$9:$AD$9</c:f>
              <c:numCache>
                <c:formatCode>#,##0</c:formatCode>
                <c:ptCount val="24"/>
                <c:pt idx="0">
                  <c:v>12606</c:v>
                </c:pt>
                <c:pt idx="1">
                  <c:v>12483</c:v>
                </c:pt>
                <c:pt idx="2">
                  <c:v>12605</c:v>
                </c:pt>
                <c:pt idx="3">
                  <c:v>12605</c:v>
                </c:pt>
                <c:pt idx="4">
                  <c:v>12605</c:v>
                </c:pt>
                <c:pt idx="5">
                  <c:v>12605</c:v>
                </c:pt>
                <c:pt idx="6">
                  <c:v>12605</c:v>
                </c:pt>
                <c:pt idx="7">
                  <c:v>12605</c:v>
                </c:pt>
                <c:pt idx="8">
                  <c:v>12605</c:v>
                </c:pt>
                <c:pt idx="9">
                  <c:v>12605</c:v>
                </c:pt>
                <c:pt idx="10">
                  <c:v>12605</c:v>
                </c:pt>
                <c:pt idx="11">
                  <c:v>12605</c:v>
                </c:pt>
                <c:pt idx="12">
                  <c:v>12605</c:v>
                </c:pt>
                <c:pt idx="13">
                  <c:v>12605</c:v>
                </c:pt>
                <c:pt idx="14">
                  <c:v>12605</c:v>
                </c:pt>
                <c:pt idx="15">
                  <c:v>12605</c:v>
                </c:pt>
                <c:pt idx="16">
                  <c:v>12605</c:v>
                </c:pt>
                <c:pt idx="17">
                  <c:v>12605</c:v>
                </c:pt>
                <c:pt idx="18">
                  <c:v>12605</c:v>
                </c:pt>
                <c:pt idx="19">
                  <c:v>12605</c:v>
                </c:pt>
                <c:pt idx="20">
                  <c:v>12605</c:v>
                </c:pt>
                <c:pt idx="21">
                  <c:v>12605</c:v>
                </c:pt>
                <c:pt idx="22">
                  <c:v>12605</c:v>
                </c:pt>
                <c:pt idx="23">
                  <c:v>12605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0C-48FD-B881-A304398F4599}"/>
            </c:ext>
          </c:extLst>
        </c:ser>
        <c:ser>
          <c:idx val="3"/>
          <c:order val="3"/>
          <c:tx>
            <c:strRef>
              <c:f>'Supply Porfolio (Live)'!$E$11</c:f>
              <c:strCache>
                <c:ptCount val="1"/>
                <c:pt idx="0">
                  <c:v>LNG ISO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0.39074335834456858"/>
                  <c:y val="7.63775281074565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9F-4801-AFDD-35D772566081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(Live)'!$G$11:$AI$11</c15:sqref>
                  </c15:fullRef>
                </c:ext>
              </c:extLst>
              <c:f>'Supply Porfolio (Live)'!$G$11:$AD$11</c:f>
              <c:numCache>
                <c:formatCode>#,##0</c:formatCode>
                <c:ptCount val="24"/>
                <c:pt idx="0">
                  <c:v>0</c:v>
                </c:pt>
                <c:pt idx="1">
                  <c:v>3500</c:v>
                </c:pt>
                <c:pt idx="2">
                  <c:v>7000</c:v>
                </c:pt>
                <c:pt idx="3">
                  <c:v>14000</c:v>
                </c:pt>
                <c:pt idx="4">
                  <c:v>14000</c:v>
                </c:pt>
                <c:pt idx="5">
                  <c:v>14000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  <c:pt idx="21">
                  <c:v>14000</c:v>
                </c:pt>
                <c:pt idx="22">
                  <c:v>14000</c:v>
                </c:pt>
                <c:pt idx="23">
                  <c:v>14000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0C-48FD-B881-A304398F4599}"/>
            </c:ext>
          </c:extLst>
        </c:ser>
        <c:ser>
          <c:idx val="4"/>
          <c:order val="4"/>
          <c:tx>
            <c:strRef>
              <c:f>'Supply Porfolio (Live)'!$E$12</c:f>
              <c:strCache>
                <c:ptCount val="1"/>
                <c:pt idx="0">
                  <c:v>Propane Air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(Live)'!$G$12:$AI$12</c15:sqref>
                  </c15:fullRef>
                </c:ext>
              </c:extLst>
              <c:f>'Supply Porfolio (Live)'!$G$12:$AD$12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0C-48FD-B881-A304398F4599}"/>
            </c:ext>
          </c:extLst>
        </c:ser>
        <c:ser>
          <c:idx val="5"/>
          <c:order val="5"/>
          <c:tx>
            <c:strRef>
              <c:f>'Supply Porfolio (Live)'!$E$13</c:f>
              <c:strCache>
                <c:ptCount val="1"/>
                <c:pt idx="0">
                  <c:v>Exist. WWTP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0.39794373156252555"/>
                  <c:y val="8.783415732357505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AA-4219-8C27-BD321E095A15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(Live)'!$G$13:$AI$13</c15:sqref>
                  </c15:fullRef>
                </c:ext>
              </c:extLst>
              <c:f>'Supply Porfolio (Live)'!$G$13:$AD$13</c:f>
              <c:numCache>
                <c:formatCode>#,##0</c:formatCode>
                <c:ptCount val="24"/>
                <c:pt idx="0">
                  <c:v>2191.7808219178082</c:v>
                </c:pt>
                <c:pt idx="1">
                  <c:v>2191.7808219178082</c:v>
                </c:pt>
                <c:pt idx="2">
                  <c:v>2191.7808219178082</c:v>
                </c:pt>
                <c:pt idx="3">
                  <c:v>2191.7808219178082</c:v>
                </c:pt>
                <c:pt idx="4">
                  <c:v>2191.7808219178082</c:v>
                </c:pt>
                <c:pt idx="5">
                  <c:v>2191.7808219178082</c:v>
                </c:pt>
                <c:pt idx="6">
                  <c:v>2191.7808219178082</c:v>
                </c:pt>
                <c:pt idx="7">
                  <c:v>2191.7808219178082</c:v>
                </c:pt>
                <c:pt idx="8">
                  <c:v>2191.7808219178082</c:v>
                </c:pt>
                <c:pt idx="9">
                  <c:v>2191.7808219178082</c:v>
                </c:pt>
                <c:pt idx="10">
                  <c:v>2191.7808219178082</c:v>
                </c:pt>
                <c:pt idx="11">
                  <c:v>2191.7808219178082</c:v>
                </c:pt>
                <c:pt idx="12">
                  <c:v>2191.7808219178082</c:v>
                </c:pt>
                <c:pt idx="13">
                  <c:v>2191.7808219178082</c:v>
                </c:pt>
                <c:pt idx="14">
                  <c:v>2191.7808219178082</c:v>
                </c:pt>
                <c:pt idx="15">
                  <c:v>2191.7808219178082</c:v>
                </c:pt>
                <c:pt idx="16">
                  <c:v>2191.7808219178082</c:v>
                </c:pt>
                <c:pt idx="17">
                  <c:v>2191.7808219178082</c:v>
                </c:pt>
                <c:pt idx="18">
                  <c:v>2191.7808219178082</c:v>
                </c:pt>
                <c:pt idx="19">
                  <c:v>2191.7808219178082</c:v>
                </c:pt>
                <c:pt idx="20">
                  <c:v>2191.7808219178082</c:v>
                </c:pt>
                <c:pt idx="21">
                  <c:v>2191.7808219178082</c:v>
                </c:pt>
                <c:pt idx="22">
                  <c:v>2191.7808219178082</c:v>
                </c:pt>
                <c:pt idx="23">
                  <c:v>2191.7808219178082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0C-48FD-B881-A304398F4599}"/>
            </c:ext>
          </c:extLst>
        </c:ser>
        <c:ser>
          <c:idx val="6"/>
          <c:order val="6"/>
          <c:tx>
            <c:strRef>
              <c:f>'Supply Porfolio (Live)'!$E$34</c:f>
              <c:strCache>
                <c:ptCount val="1"/>
                <c:pt idx="0">
                  <c:v>WWTP Expansion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(Live)'!$G$34:$AI$34</c15:sqref>
                  </c15:fullRef>
                </c:ext>
              </c:extLst>
              <c:f>'Supply Porfolio (Live)'!$G$34:$AD$34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2157.4700878889521</c:v>
                </c:pt>
                <c:pt idx="4">
                  <c:v>2157.4700878889521</c:v>
                </c:pt>
                <c:pt idx="5">
                  <c:v>2157.4700878889521</c:v>
                </c:pt>
                <c:pt idx="6">
                  <c:v>2157.4700878889521</c:v>
                </c:pt>
                <c:pt idx="7">
                  <c:v>2157.4700878889521</c:v>
                </c:pt>
                <c:pt idx="8">
                  <c:v>2157.4700878889521</c:v>
                </c:pt>
                <c:pt idx="9">
                  <c:v>2157.4700878889521</c:v>
                </c:pt>
                <c:pt idx="10">
                  <c:v>2157.4700878889521</c:v>
                </c:pt>
                <c:pt idx="11">
                  <c:v>2157.4700878889521</c:v>
                </c:pt>
                <c:pt idx="12">
                  <c:v>2157.4700878889521</c:v>
                </c:pt>
                <c:pt idx="13">
                  <c:v>2157.4700878889521</c:v>
                </c:pt>
                <c:pt idx="14">
                  <c:v>2157.4700878889521</c:v>
                </c:pt>
                <c:pt idx="15">
                  <c:v>2157.4700878889521</c:v>
                </c:pt>
                <c:pt idx="16">
                  <c:v>2157.4700878889521</c:v>
                </c:pt>
                <c:pt idx="17">
                  <c:v>2157.4700878889521</c:v>
                </c:pt>
                <c:pt idx="18">
                  <c:v>2157.4700878889521</c:v>
                </c:pt>
                <c:pt idx="19">
                  <c:v>2157.4700878889521</c:v>
                </c:pt>
                <c:pt idx="20">
                  <c:v>2157.4700878889521</c:v>
                </c:pt>
                <c:pt idx="21">
                  <c:v>2157.4700878889521</c:v>
                </c:pt>
                <c:pt idx="22">
                  <c:v>2157.4700878889521</c:v>
                </c:pt>
                <c:pt idx="23">
                  <c:v>2157.4700878889521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7-0B0C-48FD-B881-A304398F4599}"/>
            </c:ext>
          </c:extLst>
        </c:ser>
        <c:ser>
          <c:idx val="7"/>
          <c:order val="7"/>
          <c:tx>
            <c:strRef>
              <c:f>'Supply Porfolio (Live)'!$E$35</c:f>
              <c:strCache>
                <c:ptCount val="1"/>
                <c:pt idx="0">
                  <c:v>BioCrop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dLbls>
            <c:dLbl>
              <c:idx val="0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88-4BE4-91E7-3C79C6BB4D38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(Live)'!$G$35:$AI$35</c15:sqref>
                  </c15:fullRef>
                </c:ext>
              </c:extLst>
              <c:f>'Supply Porfolio (Live)'!$G$35:$AD$35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3235.7296497163575</c:v>
                </c:pt>
                <c:pt idx="9">
                  <c:v>3235.7296497163575</c:v>
                </c:pt>
                <c:pt idx="10">
                  <c:v>3235.7296497163575</c:v>
                </c:pt>
                <c:pt idx="11">
                  <c:v>3235.7296497163575</c:v>
                </c:pt>
                <c:pt idx="12">
                  <c:v>3235.7296497163575</c:v>
                </c:pt>
                <c:pt idx="13">
                  <c:v>3235.7296497163575</c:v>
                </c:pt>
                <c:pt idx="14">
                  <c:v>3235.7296497163575</c:v>
                </c:pt>
                <c:pt idx="15">
                  <c:v>3235.7296497163575</c:v>
                </c:pt>
                <c:pt idx="16">
                  <c:v>3235.7296497163575</c:v>
                </c:pt>
                <c:pt idx="17">
                  <c:v>3235.7296497163575</c:v>
                </c:pt>
                <c:pt idx="18">
                  <c:v>3235.7296497163575</c:v>
                </c:pt>
                <c:pt idx="19">
                  <c:v>3235.7296497163575</c:v>
                </c:pt>
                <c:pt idx="20">
                  <c:v>3235.7296497163575</c:v>
                </c:pt>
                <c:pt idx="21">
                  <c:v>3235.7296497163575</c:v>
                </c:pt>
                <c:pt idx="22">
                  <c:v>3235.7296497163575</c:v>
                </c:pt>
                <c:pt idx="23">
                  <c:v>3235.7296497163575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8-0B0C-48FD-B881-A304398F4599}"/>
            </c:ext>
          </c:extLst>
        </c:ser>
        <c:ser>
          <c:idx val="8"/>
          <c:order val="8"/>
          <c:tx>
            <c:strRef>
              <c:f>'Supply Porfolio (Live)'!$E$36</c:f>
              <c:strCache>
                <c:ptCount val="1"/>
                <c:pt idx="0">
                  <c:v>LFG Exp. 3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0.40153737376845172"/>
                  <c:y val="6.683033709402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CC-4F92-B681-48725AD3174F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(Live)'!$G$36:$AI$36</c15:sqref>
                  </c15:fullRef>
                </c:ext>
              </c:extLst>
              <c:f>'Supply Porfolio (Live)'!$G$36:$AD$36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4168.3048437784746</c:v>
                </c:pt>
                <c:pt idx="14">
                  <c:v>4071.2055052998276</c:v>
                </c:pt>
                <c:pt idx="15">
                  <c:v>3978.0169867506083</c:v>
                </c:pt>
                <c:pt idx="16">
                  <c:v>3888.5817740554357</c:v>
                </c:pt>
                <c:pt idx="17">
                  <c:v>3802.7486972520292</c:v>
                </c:pt>
                <c:pt idx="18">
                  <c:v>3720.3726749726393</c:v>
                </c:pt>
                <c:pt idx="19">
                  <c:v>3641.3144692168717</c:v>
                </c:pt>
                <c:pt idx="20">
                  <c:v>3565.4404500013898</c:v>
                </c:pt>
                <c:pt idx="21">
                  <c:v>3492.6223694887103</c:v>
                </c:pt>
                <c:pt idx="22">
                  <c:v>3422.7371452132993</c:v>
                </c:pt>
                <c:pt idx="23">
                  <c:v>3355.6666520385406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9-0B0C-48FD-B881-A304398F4599}"/>
            </c:ext>
          </c:extLst>
        </c:ser>
        <c:ser>
          <c:idx val="9"/>
          <c:order val="9"/>
          <c:tx>
            <c:strRef>
              <c:f>'Supply Porfolio (Live)'!$E$37</c:f>
              <c:strCache>
                <c:ptCount val="1"/>
                <c:pt idx="0">
                  <c:v>CDW Exp. 1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0.39182275988695708"/>
                  <c:y val="9.547191013432071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AA-4219-8C27-BD321E095A15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(Live)'!$G$37:$AI$37</c15:sqref>
                  </c15:fullRef>
                </c:ext>
              </c:extLst>
              <c:f>'Supply Porfolio (Live)'!$G$37:$AD$37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15616.438356164384</c:v>
                </c:pt>
                <c:pt idx="19">
                  <c:v>15616.438356164384</c:v>
                </c:pt>
                <c:pt idx="20">
                  <c:v>15616.438356164384</c:v>
                </c:pt>
                <c:pt idx="21">
                  <c:v>15616.438356164384</c:v>
                </c:pt>
                <c:pt idx="22">
                  <c:v>15616.438356164384</c:v>
                </c:pt>
                <c:pt idx="23">
                  <c:v>15616.438356164384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A-0B0C-48FD-B881-A304398F4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647104"/>
        <c:axId val="921646448"/>
        <c:extLst>
          <c:ext xmlns:c15="http://schemas.microsoft.com/office/drawing/2012/chart" uri="{02D57815-91ED-43cb-92C2-25804820EDAC}">
            <c15:filteredArea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'Supply Porfolio (Live)'!$E$10</c15:sqref>
                        </c15:formulaRef>
                      </c:ext>
                    </c:extLst>
                    <c:strCache>
                      <c:ptCount val="1"/>
                      <c:pt idx="0">
                        <c:v>SNG Additional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'Supply Porfolio (Live)'!$G$10:$AI$10</c15:sqref>
                        </c15:fullRef>
                        <c15:formulaRef>
                          <c15:sqref>'Supply Porfolio (Live)'!$G$10:$AD$10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B0C-48FD-B881-A304398F459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(Live)'!$E$38</c15:sqref>
                        </c15:formulaRef>
                      </c:ext>
                    </c:extLst>
                    <c:strCache>
                      <c:ptCount val="1"/>
                      <c:pt idx="0">
                        <c:v>CDW Exp. 2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(Live)'!$G$38:$AI$38</c15:sqref>
                        </c15:fullRef>
                        <c15:formulaRef>
                          <c15:sqref>'Supply Porfolio (Live)'!$G$38:$AD$38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0B0C-48FD-B881-A304398F459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(Live)'!$E$39</c15:sqref>
                        </c15:formulaRef>
                      </c:ext>
                    </c:extLst>
                    <c:strCache>
                      <c:ptCount val="1"/>
                      <c:pt idx="0">
                        <c:v>CDW Exp. 3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(Live)'!$G$39:$AI$39</c15:sqref>
                        </c15:fullRef>
                        <c15:formulaRef>
                          <c15:sqref>'Supply Porfolio (Live)'!$G$39:$AD$39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0B0C-48FD-B881-A304398F459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(Live)'!$E$40</c15:sqref>
                        </c15:formulaRef>
                      </c:ext>
                    </c:extLst>
                    <c:strCache>
                      <c:ptCount val="1"/>
                      <c:pt idx="0">
                        <c:v>CDW Exp. 4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(Live)'!$G$40:$AI$40</c15:sqref>
                        </c15:fullRef>
                        <c15:formulaRef>
                          <c15:sqref>'Supply Porfolio (Live)'!$G$40:$AD$40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0B0C-48FD-B881-A304398F459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(Live)'!$E$41</c15:sqref>
                        </c15:formulaRef>
                      </c:ext>
                    </c:extLst>
                    <c:strCache>
                      <c:ptCount val="1"/>
                      <c:pt idx="0">
                        <c:v>CDW Exp. 5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(Live)'!$G$41:$AI$41</c15:sqref>
                        </c15:fullRef>
                        <c15:formulaRef>
                          <c15:sqref>'Supply Porfolio (Live)'!$G$41:$AD$41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0B0C-48FD-B881-A304398F459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(Live)'!$E$42</c15:sqref>
                        </c15:formulaRef>
                      </c:ext>
                    </c:extLst>
                    <c:strCache>
                      <c:ptCount val="1"/>
                      <c:pt idx="0">
                        <c:v>LNG ISO Exp 1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(Live)'!$G$42:$AI$42</c15:sqref>
                        </c15:fullRef>
                        <c15:formulaRef>
                          <c15:sqref>'Supply Porfolio (Live)'!$G$42:$AD$42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0B0C-48FD-B881-A304398F4599}"/>
                  </c:ext>
                </c:extLst>
              </c15:ser>
            </c15:filteredAreaSeries>
            <c15:filteredArea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(Live)'!$E$43</c15:sqref>
                        </c15:formulaRef>
                      </c:ext>
                    </c:extLst>
                    <c:strCache>
                      <c:ptCount val="1"/>
                      <c:pt idx="0">
                        <c:v>LNG ISO Exp 2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(Live)'!$G$43:$AI$43</c15:sqref>
                        </c15:fullRef>
                        <c15:formulaRef>
                          <c15:sqref>'Supply Porfolio (Live)'!$G$43:$AD$43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0B0C-48FD-B881-A304398F4599}"/>
                  </c:ext>
                </c:extLst>
              </c15:ser>
            </c15:filteredAreaSeries>
            <c15:filteredArea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(Live)'!$E$44</c15:sqref>
                        </c15:formulaRef>
                      </c:ext>
                    </c:extLst>
                    <c:strCache>
                      <c:ptCount val="1"/>
                      <c:pt idx="0">
                        <c:v>LNG ISO Exp 3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(Live)'!$G$44:$AI$44</c15:sqref>
                        </c15:fullRef>
                        <c15:formulaRef>
                          <c15:sqref>'Supply Porfolio (Live)'!$G$44:$AD$44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0B0C-48FD-B881-A304398F4599}"/>
                  </c:ext>
                </c:extLst>
              </c15:ser>
            </c15:filteredAreaSeries>
            <c15:filteredArea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(Live)'!$E$45</c15:sqref>
                        </c15:formulaRef>
                      </c:ext>
                    </c:extLst>
                    <c:strCache>
                      <c:ptCount val="1"/>
                      <c:pt idx="0">
                        <c:v>LNG ISO Exp 4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(Live)'!$G$45:$AI$45</c15:sqref>
                        </c15:fullRef>
                        <c15:formulaRef>
                          <c15:sqref>'Supply Porfolio (Live)'!$G$45:$AD$45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0B0C-48FD-B881-A304398F4599}"/>
                  </c:ext>
                </c:extLst>
              </c15:ser>
            </c15:filteredAreaSeries>
            <c15:filteredArea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(Live)'!$E$46</c15:sqref>
                        </c15:formulaRef>
                      </c:ext>
                    </c:extLst>
                    <c:strCache>
                      <c:ptCount val="1"/>
                      <c:pt idx="0">
                        <c:v>LNG ISO Exp 5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(Live)'!$G$46:$AI$46</c15:sqref>
                        </c15:fullRef>
                        <c15:formulaRef>
                          <c15:sqref>'Supply Porfolio (Live)'!$G$46:$AD$46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0B0C-48FD-B881-A304398F459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(Live)'!$E$47</c15:sqref>
                        </c15:formulaRef>
                      </c:ext>
                    </c:extLst>
                    <c:strCache>
                      <c:ptCount val="1"/>
                      <c:pt idx="0">
                        <c:v>Green Hydrogen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(Live)'!$G$47:$AI$47</c15:sqref>
                        </c15:fullRef>
                        <c15:formulaRef>
                          <c15:sqref>'Supply Porfolio (Live)'!$G$47:$AD$47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0B0C-48FD-B881-A304398F4599}"/>
                  </c:ext>
                </c:extLst>
              </c15:ser>
            </c15:filteredAreaSeries>
          </c:ext>
        </c:extLst>
      </c:areaChart>
      <c:catAx>
        <c:axId val="92164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646448"/>
        <c:crosses val="autoZero"/>
        <c:auto val="1"/>
        <c:lblAlgn val="ctr"/>
        <c:lblOffset val="100"/>
        <c:noMultiLvlLbl val="0"/>
      </c:catAx>
      <c:valAx>
        <c:axId val="9216464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>
                    <a:solidFill>
                      <a:sysClr val="windowText" lastClr="000000"/>
                    </a:solidFill>
                  </a:rPr>
                  <a:t>Therms/Day</a:t>
                </a:r>
              </a:p>
            </c:rich>
          </c:tx>
          <c:layout>
            <c:manualLayout>
              <c:xMode val="edge"/>
              <c:yMode val="edge"/>
              <c:x val="5.4150720055267353E-3"/>
              <c:y val="0.288020259891077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6471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202960699329808E-2"/>
          <c:y val="0.7843196333397533"/>
          <c:w val="0.89901008679493299"/>
          <c:h val="0.156594229798031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Total Emissions </a:t>
            </a:r>
            <a:r>
              <a:rPr lang="en-US" sz="2400" baseline="0"/>
              <a:t> 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732995455489575E-2"/>
          <c:y val="0.14148411352657189"/>
          <c:w val="0.89883219282312554"/>
          <c:h val="0.772086299719852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(Live)'!$G$102:$AI$102</c15:sqref>
                  </c15:fullRef>
                </c:ext>
              </c:extLst>
              <c:f>'Supply Porfolio (Live)'!$G$102:$AD$102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(Live)'!$G$124:$AI$124</c15:sqref>
                  </c15:fullRef>
                </c:ext>
              </c:extLst>
              <c:f>'Supply Porfolio (Live)'!$G$124:$AD$124</c:f>
              <c:numCache>
                <c:formatCode>#,##0</c:formatCode>
                <c:ptCount val="24"/>
                <c:pt idx="0">
                  <c:v>187346.44430513994</c:v>
                </c:pt>
                <c:pt idx="1">
                  <c:v>190325.5860261723</c:v>
                </c:pt>
                <c:pt idx="2">
                  <c:v>191475.30339899307</c:v>
                </c:pt>
                <c:pt idx="3">
                  <c:v>187947.81472370619</c:v>
                </c:pt>
                <c:pt idx="4">
                  <c:v>188823.9347545889</c:v>
                </c:pt>
                <c:pt idx="5">
                  <c:v>189620.5327876611</c:v>
                </c:pt>
                <c:pt idx="6">
                  <c:v>190518.06273931192</c:v>
                </c:pt>
                <c:pt idx="7">
                  <c:v>191505.18075864398</c:v>
                </c:pt>
                <c:pt idx="8">
                  <c:v>191184.77493260088</c:v>
                </c:pt>
                <c:pt idx="9">
                  <c:v>192163.08529009947</c:v>
                </c:pt>
                <c:pt idx="10">
                  <c:v>193234.20139208654</c:v>
                </c:pt>
                <c:pt idx="11">
                  <c:v>194403.83753815942</c:v>
                </c:pt>
                <c:pt idx="12">
                  <c:v>195675.24563636855</c:v>
                </c:pt>
                <c:pt idx="13">
                  <c:v>195887.54816533055</c:v>
                </c:pt>
                <c:pt idx="14">
                  <c:v>197109.60421028241</c:v>
                </c:pt>
                <c:pt idx="15">
                  <c:v>198426.23067526729</c:v>
                </c:pt>
                <c:pt idx="16">
                  <c:v>199748.88493322761</c:v>
                </c:pt>
                <c:pt idx="17">
                  <c:v>201265.48865166269</c:v>
                </c:pt>
                <c:pt idx="18">
                  <c:v>198653.97564191621</c:v>
                </c:pt>
                <c:pt idx="19">
                  <c:v>200103.79761947063</c:v>
                </c:pt>
                <c:pt idx="20">
                  <c:v>201705.702443594</c:v>
                </c:pt>
                <c:pt idx="21">
                  <c:v>203122.46609654941</c:v>
                </c:pt>
                <c:pt idx="22">
                  <c:v>204511.28071029152</c:v>
                </c:pt>
                <c:pt idx="23">
                  <c:v>206223.80499503756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9-45AD-AF3A-EC072C5B6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6344728"/>
        <c:axId val="926340464"/>
      </c:lineChart>
      <c:catAx>
        <c:axId val="926344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0464"/>
        <c:crosses val="autoZero"/>
        <c:auto val="1"/>
        <c:lblAlgn val="ctr"/>
        <c:lblOffset val="100"/>
        <c:noMultiLvlLbl val="0"/>
      </c:catAx>
      <c:valAx>
        <c:axId val="9263404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</a:rPr>
                  <a:t>Tonns (CO2</a:t>
                </a:r>
                <a:r>
                  <a:rPr lang="en-US" sz="1100" baseline="0">
                    <a:solidFill>
                      <a:sysClr val="windowText" lastClr="000000"/>
                    </a:solidFill>
                  </a:rPr>
                  <a:t> Equivalent)</a:t>
                </a:r>
                <a:endParaRPr lang="en-US" sz="11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2612633218698413E-2"/>
              <c:y val="0.38159114072705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4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Monthly</a:t>
            </a:r>
            <a:r>
              <a:rPr lang="en-US" baseline="0">
                <a:solidFill>
                  <a:sysClr val="windowText" lastClr="000000"/>
                </a:solidFill>
              </a:rPr>
              <a:t> Bill Impacts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1015568317643336"/>
          <c:y val="1.14801135657428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728380002310782E-2"/>
          <c:y val="0.14558697353622901"/>
          <c:w val="0.90033825713185855"/>
          <c:h val="0.7145978984763236"/>
        </c:manualLayout>
      </c:layout>
      <c:lineChart>
        <c:grouping val="standard"/>
        <c:varyColors val="0"/>
        <c:ser>
          <c:idx val="0"/>
          <c:order val="0"/>
          <c:tx>
            <c:strRef>
              <c:f>'Supply Porfolio (Live)'!$E$137</c:f>
              <c:strCache>
                <c:ptCount val="1"/>
                <c:pt idx="0">
                  <c:v>Rate 20 - -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(Live)'!$G$136:$AD$136</c15:sqref>
                  </c15:fullRef>
                </c:ext>
              </c:extLst>
              <c:f>'Supply Porfolio (Live)'!$H$136:$AD$136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(Live)'!$G$137:$AD$137</c15:sqref>
                  </c15:fullRef>
                </c:ext>
              </c:extLst>
              <c:f>'Supply Porfolio (Live)'!$H$137:$AD$137</c:f>
              <c:numCache>
                <c:formatCode>_("$"* #,##0.00_);_("$"* \(#,##0.00\);_("$"* "-"??_);_(@_)</c:formatCode>
                <c:ptCount val="23"/>
                <c:pt idx="0">
                  <c:v>69.735326759921975</c:v>
                </c:pt>
                <c:pt idx="1">
                  <c:v>65.544236554220049</c:v>
                </c:pt>
                <c:pt idx="2">
                  <c:v>66.799283221116525</c:v>
                </c:pt>
                <c:pt idx="3">
                  <c:v>67.580856951810333</c:v>
                </c:pt>
                <c:pt idx="4">
                  <c:v>68.219712276034358</c:v>
                </c:pt>
                <c:pt idx="5">
                  <c:v>68.930275526519068</c:v>
                </c:pt>
                <c:pt idx="6">
                  <c:v>69.524981331655894</c:v>
                </c:pt>
                <c:pt idx="7">
                  <c:v>70.528452891169849</c:v>
                </c:pt>
                <c:pt idx="8">
                  <c:v>71.477808366725483</c:v>
                </c:pt>
                <c:pt idx="9">
                  <c:v>72.03313734222165</c:v>
                </c:pt>
                <c:pt idx="10">
                  <c:v>72.485924125118316</c:v>
                </c:pt>
                <c:pt idx="11">
                  <c:v>72.813689434978812</c:v>
                </c:pt>
                <c:pt idx="12">
                  <c:v>73.950553668677358</c:v>
                </c:pt>
                <c:pt idx="13">
                  <c:v>74.697474207690036</c:v>
                </c:pt>
                <c:pt idx="14">
                  <c:v>75.074334604549449</c:v>
                </c:pt>
                <c:pt idx="15">
                  <c:v>75.475643156925642</c:v>
                </c:pt>
                <c:pt idx="16">
                  <c:v>75.672323006289716</c:v>
                </c:pt>
                <c:pt idx="17">
                  <c:v>78.556853370768536</c:v>
                </c:pt>
                <c:pt idx="18">
                  <c:v>79.096437069330122</c:v>
                </c:pt>
                <c:pt idx="19">
                  <c:v>79.243776607634146</c:v>
                </c:pt>
                <c:pt idx="20">
                  <c:v>79.589676726383857</c:v>
                </c:pt>
                <c:pt idx="21">
                  <c:v>79.973826517134697</c:v>
                </c:pt>
                <c:pt idx="22">
                  <c:v>80.104901781773791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25-43C6-9FD6-0A61313441EE}"/>
            </c:ext>
          </c:extLst>
        </c:ser>
        <c:ser>
          <c:idx val="1"/>
          <c:order val="1"/>
          <c:tx>
            <c:strRef>
              <c:f>'Supply Porfolio (Live)'!$E$138</c:f>
              <c:strCache>
                <c:ptCount val="1"/>
                <c:pt idx="0">
                  <c:v>Rate 30 - - Multi Family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(Live)'!$G$136:$AD$136</c15:sqref>
                  </c15:fullRef>
                </c:ext>
              </c:extLst>
              <c:f>'Supply Porfolio (Live)'!$H$136:$AD$136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(Live)'!$G$138:$AD$138</c15:sqref>
                  </c15:fullRef>
                </c:ext>
              </c:extLst>
              <c:f>'Supply Porfolio (Live)'!$H$138:$AD$138</c:f>
              <c:numCache>
                <c:formatCode>_("$"* #,##0.00_);_("$"* \(#,##0.00\);_("$"* "-"??_);_(@_)</c:formatCode>
                <c:ptCount val="23"/>
                <c:pt idx="0">
                  <c:v>1925.885433023793</c:v>
                </c:pt>
                <c:pt idx="1">
                  <c:v>1736.5453190331089</c:v>
                </c:pt>
                <c:pt idx="2">
                  <c:v>1780.812444391913</c:v>
                </c:pt>
                <c:pt idx="3">
                  <c:v>1803.2175537233018</c:v>
                </c:pt>
                <c:pt idx="4">
                  <c:v>1825.568022333418</c:v>
                </c:pt>
                <c:pt idx="5">
                  <c:v>1848.9612142289177</c:v>
                </c:pt>
                <c:pt idx="6">
                  <c:v>1867.7037847236109</c:v>
                </c:pt>
                <c:pt idx="7">
                  <c:v>1899.7138770759618</c:v>
                </c:pt>
                <c:pt idx="8">
                  <c:v>1928.7959773008781</c:v>
                </c:pt>
                <c:pt idx="9">
                  <c:v>1946.4528940390805</c:v>
                </c:pt>
                <c:pt idx="10">
                  <c:v>1960.0546712301752</c:v>
                </c:pt>
                <c:pt idx="11">
                  <c:v>1968.6494149683645</c:v>
                </c:pt>
                <c:pt idx="12">
                  <c:v>2006.4006233555558</c:v>
                </c:pt>
                <c:pt idx="13">
                  <c:v>2028.1987268864036</c:v>
                </c:pt>
                <c:pt idx="14">
                  <c:v>2039.4532298246818</c:v>
                </c:pt>
                <c:pt idx="15">
                  <c:v>2051.8413217009147</c:v>
                </c:pt>
                <c:pt idx="16">
                  <c:v>2056.0455651859938</c:v>
                </c:pt>
                <c:pt idx="17">
                  <c:v>2154.7727362472629</c:v>
                </c:pt>
                <c:pt idx="18">
                  <c:v>2169.0299528840792</c:v>
                </c:pt>
                <c:pt idx="19">
                  <c:v>2171.7809274786373</c:v>
                </c:pt>
                <c:pt idx="20">
                  <c:v>2182.5864436593292</c:v>
                </c:pt>
                <c:pt idx="21">
                  <c:v>2195.0183895634132</c:v>
                </c:pt>
                <c:pt idx="22">
                  <c:v>2197.5403149436938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25-43C6-9FD6-0A61313441EE}"/>
            </c:ext>
          </c:extLst>
        </c:ser>
        <c:ser>
          <c:idx val="2"/>
          <c:order val="2"/>
          <c:tx>
            <c:strRef>
              <c:f>'Supply Porfolio (Live)'!$E$139</c:f>
              <c:strCache>
                <c:ptCount val="1"/>
                <c:pt idx="0">
                  <c:v>Rate 50 - - 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(Live)'!$G$136:$AD$136</c15:sqref>
                  </c15:fullRef>
                </c:ext>
              </c:extLst>
              <c:f>'Supply Porfolio (Live)'!$H$136:$AD$136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(Live)'!$G$139:$AD$139</c15:sqref>
                  </c15:fullRef>
                </c:ext>
              </c:extLst>
              <c:f>'Supply Porfolio (Live)'!$H$139:$AD$139</c:f>
              <c:numCache>
                <c:formatCode>_("$"* #,##0.00_);_("$"* \(#,##0.00\);_("$"* "-"??_);_(@_)</c:formatCode>
                <c:ptCount val="23"/>
                <c:pt idx="0">
                  <c:v>2025.0023190623556</c:v>
                </c:pt>
                <c:pt idx="1">
                  <c:v>1825.7060172313923</c:v>
                </c:pt>
                <c:pt idx="2">
                  <c:v>1872.1517569352188</c:v>
                </c:pt>
                <c:pt idx="3">
                  <c:v>1895.5839834135904</c:v>
                </c:pt>
                <c:pt idx="4">
                  <c:v>1919.0431160217101</c:v>
                </c:pt>
                <c:pt idx="5">
                  <c:v>1943.5710894196129</c:v>
                </c:pt>
                <c:pt idx="6">
                  <c:v>1963.2109588236926</c:v>
                </c:pt>
                <c:pt idx="7">
                  <c:v>1996.7403744456763</c:v>
                </c:pt>
                <c:pt idx="8">
                  <c:v>2027.1904869977757</c:v>
                </c:pt>
                <c:pt idx="9">
                  <c:v>2045.6971095013303</c:v>
                </c:pt>
                <c:pt idx="10">
                  <c:v>2059.9423251980134</c:v>
                </c:pt>
                <c:pt idx="11">
                  <c:v>2068.9248978855258</c:v>
                </c:pt>
                <c:pt idx="12">
                  <c:v>2108.4921494655491</c:v>
                </c:pt>
                <c:pt idx="13">
                  <c:v>2131.2995524677294</c:v>
                </c:pt>
                <c:pt idx="14">
                  <c:v>2143.0887826257135</c:v>
                </c:pt>
                <c:pt idx="15">
                  <c:v>2156.0718896198464</c:v>
                </c:pt>
                <c:pt idx="16">
                  <c:v>2160.4531778053547</c:v>
                </c:pt>
                <c:pt idx="17">
                  <c:v>2263.9451398025603</c:v>
                </c:pt>
                <c:pt idx="18">
                  <c:v>2278.8386426656739</c:v>
                </c:pt>
                <c:pt idx="19">
                  <c:v>2281.7008268311206</c:v>
                </c:pt>
                <c:pt idx="20">
                  <c:v>2293.0309822183203</c:v>
                </c:pt>
                <c:pt idx="21">
                  <c:v>2306.0722726615481</c:v>
                </c:pt>
                <c:pt idx="22">
                  <c:v>2308.7000205043591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25-43C6-9FD6-0A6131344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259928"/>
        <c:axId val="1053261896"/>
      </c:lineChart>
      <c:catAx>
        <c:axId val="105325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61896"/>
        <c:crosses val="autoZero"/>
        <c:auto val="1"/>
        <c:lblAlgn val="ctr"/>
        <c:lblOffset val="100"/>
        <c:noMultiLvlLbl val="0"/>
      </c:catAx>
      <c:valAx>
        <c:axId val="105326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5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91240291572841"/>
          <c:y val="7.6089801003831975E-2"/>
          <c:w val="0.74536721324998489"/>
          <c:h val="4.38520752715792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COSS Fuel 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3255705968496617E-2"/>
          <c:y val="7.5124426431113292E-2"/>
          <c:w val="0.93603939655144253"/>
          <c:h val="0.8778883382925282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(Live)'!$G$102:$AI$102</c15:sqref>
                  </c15:fullRef>
                </c:ext>
              </c:extLst>
              <c:f>'Supply Porfolio (Live)'!$G$102:$AD$102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(Live)'!$G$76:$AI$76</c15:sqref>
                  </c15:fullRef>
                </c:ext>
              </c:extLst>
              <c:f>'Supply Porfolio (Live)'!$G$76:$AD$76</c:f>
              <c:numCache>
                <c:formatCode>#,##0.00</c:formatCode>
                <c:ptCount val="24"/>
                <c:pt idx="0">
                  <c:v>2.866395486343015</c:v>
                </c:pt>
                <c:pt idx="1">
                  <c:v>2.5688336671134255</c:v>
                </c:pt>
                <c:pt idx="2">
                  <c:v>2.1122061440888533</c:v>
                </c:pt>
                <c:pt idx="3">
                  <c:v>2.1992082929211691</c:v>
                </c:pt>
                <c:pt idx="4">
                  <c:v>2.2275158954645495</c:v>
                </c:pt>
                <c:pt idx="5">
                  <c:v>2.2724134571940438</c:v>
                </c:pt>
                <c:pt idx="6">
                  <c:v>2.3069957145856441</c:v>
                </c:pt>
                <c:pt idx="7">
                  <c:v>2.3324832211813211</c:v>
                </c:pt>
                <c:pt idx="8">
                  <c:v>2.3834296842647058</c:v>
                </c:pt>
                <c:pt idx="9">
                  <c:v>2.417623622846925</c:v>
                </c:pt>
                <c:pt idx="10">
                  <c:v>2.4439044897677324</c:v>
                </c:pt>
                <c:pt idx="11">
                  <c:v>2.4624544245713564</c:v>
                </c:pt>
                <c:pt idx="12">
                  <c:v>2.4711537184280541</c:v>
                </c:pt>
                <c:pt idx="13">
                  <c:v>2.5392164550816676</c:v>
                </c:pt>
                <c:pt idx="14">
                  <c:v>2.5631401833794909</c:v>
                </c:pt>
                <c:pt idx="15">
                  <c:v>2.5806222561009</c:v>
                </c:pt>
                <c:pt idx="16">
                  <c:v>2.6013569497739559</c:v>
                </c:pt>
                <c:pt idx="17">
                  <c:v>2.6056286410345071</c:v>
                </c:pt>
                <c:pt idx="18">
                  <c:v>2.7970599816523833</c:v>
                </c:pt>
                <c:pt idx="19">
                  <c:v>2.809845651654967</c:v>
                </c:pt>
                <c:pt idx="20">
                  <c:v>2.8137896313043176</c:v>
                </c:pt>
                <c:pt idx="21">
                  <c:v>2.8351977155153363</c:v>
                </c:pt>
                <c:pt idx="22">
                  <c:v>2.8606866336161625</c:v>
                </c:pt>
                <c:pt idx="23">
                  <c:v>2.8665413961349269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44-468D-A217-B30D69EA1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950672"/>
        <c:axId val="1053951000"/>
      </c:lineChart>
      <c:catAx>
        <c:axId val="105395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951000"/>
        <c:crosses val="autoZero"/>
        <c:auto val="1"/>
        <c:lblAlgn val="ctr"/>
        <c:lblOffset val="100"/>
        <c:noMultiLvlLbl val="0"/>
      </c:catAx>
      <c:valAx>
        <c:axId val="1053951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95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Monthly</a:t>
            </a:r>
            <a:r>
              <a:rPr lang="en-US" baseline="0">
                <a:solidFill>
                  <a:sysClr val="windowText" lastClr="000000"/>
                </a:solidFill>
              </a:rPr>
              <a:t> Bill Impacts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1015568317643336"/>
          <c:y val="1.14801135657428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728380002310782E-2"/>
          <c:y val="0.14558697353622901"/>
          <c:w val="0.88841412430516598"/>
          <c:h val="0.7145978984763236"/>
        </c:manualLayout>
      </c:layout>
      <c:lineChart>
        <c:grouping val="standard"/>
        <c:varyColors val="0"/>
        <c:ser>
          <c:idx val="0"/>
          <c:order val="0"/>
          <c:tx>
            <c:strRef>
              <c:f>'Supply Porfolio (Live)'!$E$137</c:f>
              <c:strCache>
                <c:ptCount val="1"/>
                <c:pt idx="0">
                  <c:v>Rate 20 - -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(Live)'!$G$136:$AD$136</c15:sqref>
                  </c15:fullRef>
                </c:ext>
              </c:extLst>
              <c:f>'Supply Porfolio (Live)'!$H$136:$AD$136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(Live)'!$G$137:$AD$137</c15:sqref>
                  </c15:fullRef>
                </c:ext>
              </c:extLst>
              <c:f>'Supply Porfolio (Live)'!$H$137:$AD$137</c:f>
              <c:numCache>
                <c:formatCode>_("$"* #,##0.00_);_("$"* \(#,##0.00\);_("$"* "-"??_);_(@_)</c:formatCode>
                <c:ptCount val="23"/>
                <c:pt idx="0">
                  <c:v>69.735326759921975</c:v>
                </c:pt>
                <c:pt idx="1">
                  <c:v>65.544236554220049</c:v>
                </c:pt>
                <c:pt idx="2">
                  <c:v>66.799283221116525</c:v>
                </c:pt>
                <c:pt idx="3">
                  <c:v>67.580856951810333</c:v>
                </c:pt>
                <c:pt idx="4">
                  <c:v>68.219712276034358</c:v>
                </c:pt>
                <c:pt idx="5">
                  <c:v>68.930275526519068</c:v>
                </c:pt>
                <c:pt idx="6">
                  <c:v>69.524981331655894</c:v>
                </c:pt>
                <c:pt idx="7">
                  <c:v>70.528452891169849</c:v>
                </c:pt>
                <c:pt idx="8">
                  <c:v>71.477808366725483</c:v>
                </c:pt>
                <c:pt idx="9">
                  <c:v>72.03313734222165</c:v>
                </c:pt>
                <c:pt idx="10">
                  <c:v>72.485924125118316</c:v>
                </c:pt>
                <c:pt idx="11">
                  <c:v>72.813689434978812</c:v>
                </c:pt>
                <c:pt idx="12">
                  <c:v>73.950553668677358</c:v>
                </c:pt>
                <c:pt idx="13">
                  <c:v>74.697474207690036</c:v>
                </c:pt>
                <c:pt idx="14">
                  <c:v>75.074334604549449</c:v>
                </c:pt>
                <c:pt idx="15">
                  <c:v>75.475643156925642</c:v>
                </c:pt>
                <c:pt idx="16">
                  <c:v>75.672323006289716</c:v>
                </c:pt>
                <c:pt idx="17">
                  <c:v>78.556853370768536</c:v>
                </c:pt>
                <c:pt idx="18">
                  <c:v>79.096437069330122</c:v>
                </c:pt>
                <c:pt idx="19">
                  <c:v>79.243776607634146</c:v>
                </c:pt>
                <c:pt idx="20">
                  <c:v>79.589676726383857</c:v>
                </c:pt>
                <c:pt idx="21">
                  <c:v>79.973826517134697</c:v>
                </c:pt>
                <c:pt idx="22">
                  <c:v>80.104901781773791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1-4D78-B7C0-81AA1E69E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259928"/>
        <c:axId val="1053261896"/>
      </c:lineChart>
      <c:catAx>
        <c:axId val="105325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61896"/>
        <c:crosses val="autoZero"/>
        <c:auto val="1"/>
        <c:lblAlgn val="ctr"/>
        <c:lblOffset val="100"/>
        <c:noMultiLvlLbl val="0"/>
      </c:catAx>
      <c:valAx>
        <c:axId val="10532618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5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48720634298512"/>
          <c:y val="9.3309971352446272E-2"/>
          <c:w val="0.74536721324998489"/>
          <c:h val="4.38520752715792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>
                <a:solidFill>
                  <a:sysClr val="windowText" lastClr="000000"/>
                </a:solidFill>
              </a:rPr>
              <a:t>Total Emissions Reduction </a:t>
            </a:r>
            <a:r>
              <a:rPr lang="en-US" sz="2400" baseline="0">
                <a:solidFill>
                  <a:sysClr val="windowText" lastClr="000000"/>
                </a:solidFill>
              </a:rPr>
              <a:t> </a:t>
            </a:r>
            <a:endParaRPr lang="en-US" sz="240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459023982486569E-2"/>
          <c:y val="0.14722417030944332"/>
          <c:w val="0.89883219282312554"/>
          <c:h val="0.7720862997198521"/>
        </c:manualLayout>
      </c:layout>
      <c:barChart>
        <c:barDir val="col"/>
        <c:grouping val="stacked"/>
        <c:varyColors val="0"/>
        <c:ser>
          <c:idx val="1"/>
          <c:order val="0"/>
          <c:tx>
            <c:v>Direct Emission Reductions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(Live)'!$G$102:$AD$102</c15:sqref>
                  </c15:fullRef>
                </c:ext>
              </c:extLst>
              <c:f>'Supply Porfolio (Live)'!$G$102:$AD$102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(Live)'!$G$126:$AD$126</c15:sqref>
                  </c15:fullRef>
                </c:ext>
              </c:extLst>
              <c:f>'Supply Porfolio (Live)'!$G$126:$AD$126</c:f>
              <c:numCache>
                <c:formatCode>_(* #,##0_);_(* \(#,##0\);_(* "-"_);_(@_)</c:formatCode>
                <c:ptCount val="24"/>
                <c:pt idx="13">
                  <c:v>-8547.3252030194853</c:v>
                </c:pt>
                <c:pt idx="14">
                  <c:v>-8523.0445385555213</c:v>
                </c:pt>
                <c:pt idx="15">
                  <c:v>-8499.7418138796347</c:v>
                </c:pt>
                <c:pt idx="16">
                  <c:v>-8477.3776410156279</c:v>
                </c:pt>
                <c:pt idx="17">
                  <c:v>-8455.9142183968506</c:v>
                </c:pt>
                <c:pt idx="18">
                  <c:v>-12340.362466970633</c:v>
                </c:pt>
                <c:pt idx="19">
                  <c:v>-12320.593168877007</c:v>
                </c:pt>
                <c:pt idx="20">
                  <c:v>-12301.620108597039</c:v>
                </c:pt>
                <c:pt idx="21">
                  <c:v>-12283.411216471286</c:v>
                </c:pt>
                <c:pt idx="22">
                  <c:v>-12265.935714493564</c:v>
                </c:pt>
                <c:pt idx="23">
                  <c:v>-12249.164064287383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62-43DA-9BE5-B777E8520AA0}"/>
            </c:ext>
          </c:extLst>
        </c:ser>
        <c:ser>
          <c:idx val="0"/>
          <c:order val="1"/>
          <c:tx>
            <c:v>Purchased Carbon Offsets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(Live)'!$G$102:$AD$102</c15:sqref>
                  </c15:fullRef>
                </c:ext>
              </c:extLst>
              <c:f>'Supply Porfolio (Live)'!$G$102:$AD$102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(Live)'!$G$127:$AD$127</c15:sqref>
                  </c15:fullRef>
                </c:ext>
              </c:extLst>
              <c:f>'Supply Porfolio (Live)'!$G$127:$AD$127</c:f>
              <c:numCache>
                <c:formatCode>_(* #,##0_);_(* \(#,##0\);_(* "-"_);_(@_)</c:formatCode>
                <c:ptCount val="24"/>
                <c:pt idx="18">
                  <c:v>198653.97564191621</c:v>
                </c:pt>
                <c:pt idx="19">
                  <c:v>200103.79761947063</c:v>
                </c:pt>
                <c:pt idx="20">
                  <c:v>201705.702443594</c:v>
                </c:pt>
                <c:pt idx="21">
                  <c:v>203122.46609654941</c:v>
                </c:pt>
                <c:pt idx="22">
                  <c:v>204511.28071029152</c:v>
                </c:pt>
                <c:pt idx="23">
                  <c:v>206223.80499503756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62-43DA-9BE5-B777E8520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6344728"/>
        <c:axId val="926340464"/>
      </c:barChart>
      <c:lineChart>
        <c:grouping val="standard"/>
        <c:varyColors val="0"/>
        <c:ser>
          <c:idx val="2"/>
          <c:order val="2"/>
          <c:tx>
            <c:v>Total Emissions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24"/>
              <c:pt idx="0">
                <c:v>2022</c:v>
              </c:pt>
              <c:pt idx="1">
                <c:v>2023</c:v>
              </c:pt>
              <c:pt idx="2">
                <c:v>2024</c:v>
              </c:pt>
              <c:pt idx="3">
                <c:v>2025</c:v>
              </c:pt>
              <c:pt idx="4">
                <c:v>2026</c:v>
              </c:pt>
              <c:pt idx="5">
                <c:v>2027</c:v>
              </c:pt>
              <c:pt idx="6">
                <c:v>2028</c:v>
              </c:pt>
              <c:pt idx="7">
                <c:v>2029</c:v>
              </c:pt>
              <c:pt idx="8">
                <c:v>2030</c:v>
              </c:pt>
              <c:pt idx="9">
                <c:v>2031</c:v>
              </c:pt>
              <c:pt idx="10">
                <c:v>2032</c:v>
              </c:pt>
              <c:pt idx="11">
                <c:v>2033</c:v>
              </c:pt>
              <c:pt idx="12">
                <c:v>2034</c:v>
              </c:pt>
              <c:pt idx="13">
                <c:v>2035</c:v>
              </c:pt>
              <c:pt idx="14">
                <c:v>2036</c:v>
              </c:pt>
              <c:pt idx="15">
                <c:v>2037</c:v>
              </c:pt>
              <c:pt idx="16">
                <c:v>2038</c:v>
              </c:pt>
              <c:pt idx="17">
                <c:v>2039</c:v>
              </c:pt>
              <c:pt idx="18">
                <c:v>2040</c:v>
              </c:pt>
              <c:pt idx="19">
                <c:v>2041</c:v>
              </c:pt>
              <c:pt idx="20">
                <c:v>2042</c:v>
              </c:pt>
              <c:pt idx="21">
                <c:v>2043</c:v>
              </c:pt>
              <c:pt idx="22">
                <c:v>2044</c:v>
              </c:pt>
              <c:pt idx="23">
                <c:v>2045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(Live)'!$G$124:$AI$124</c15:sqref>
                  </c15:fullRef>
                </c:ext>
              </c:extLst>
              <c:f>'Supply Porfolio (Live)'!$G$124:$AD$124</c:f>
              <c:numCache>
                <c:formatCode>#,##0</c:formatCode>
                <c:ptCount val="24"/>
                <c:pt idx="0">
                  <c:v>187346.44430513994</c:v>
                </c:pt>
                <c:pt idx="1">
                  <c:v>190325.5860261723</c:v>
                </c:pt>
                <c:pt idx="2">
                  <c:v>191475.30339899307</c:v>
                </c:pt>
                <c:pt idx="3">
                  <c:v>187947.81472370619</c:v>
                </c:pt>
                <c:pt idx="4">
                  <c:v>188823.9347545889</c:v>
                </c:pt>
                <c:pt idx="5">
                  <c:v>189620.5327876611</c:v>
                </c:pt>
                <c:pt idx="6">
                  <c:v>190518.06273931192</c:v>
                </c:pt>
                <c:pt idx="7">
                  <c:v>191505.18075864398</c:v>
                </c:pt>
                <c:pt idx="8">
                  <c:v>191184.77493260088</c:v>
                </c:pt>
                <c:pt idx="9">
                  <c:v>192163.08529009947</c:v>
                </c:pt>
                <c:pt idx="10">
                  <c:v>193234.20139208654</c:v>
                </c:pt>
                <c:pt idx="11">
                  <c:v>194403.83753815942</c:v>
                </c:pt>
                <c:pt idx="12">
                  <c:v>195675.24563636855</c:v>
                </c:pt>
                <c:pt idx="13">
                  <c:v>195887.54816533055</c:v>
                </c:pt>
                <c:pt idx="14">
                  <c:v>197109.60421028241</c:v>
                </c:pt>
                <c:pt idx="15">
                  <c:v>198426.23067526729</c:v>
                </c:pt>
                <c:pt idx="16">
                  <c:v>199748.88493322761</c:v>
                </c:pt>
                <c:pt idx="17">
                  <c:v>201265.48865166269</c:v>
                </c:pt>
                <c:pt idx="18">
                  <c:v>198653.97564191621</c:v>
                </c:pt>
                <c:pt idx="19">
                  <c:v>200103.79761947063</c:v>
                </c:pt>
                <c:pt idx="20">
                  <c:v>201705.702443594</c:v>
                </c:pt>
                <c:pt idx="21">
                  <c:v>203122.46609654941</c:v>
                </c:pt>
                <c:pt idx="22">
                  <c:v>204511.28071029152</c:v>
                </c:pt>
                <c:pt idx="23">
                  <c:v>206223.80499503756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B5-4CD8-B55F-95247C8E5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344728"/>
        <c:axId val="926340464"/>
      </c:lineChart>
      <c:catAx>
        <c:axId val="926344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0464"/>
        <c:crosses val="autoZero"/>
        <c:auto val="1"/>
        <c:lblAlgn val="ctr"/>
        <c:lblOffset val="100"/>
        <c:noMultiLvlLbl val="0"/>
      </c:catAx>
      <c:valAx>
        <c:axId val="926340464"/>
        <c:scaling>
          <c:orientation val="minMax"/>
          <c:min val="-3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</a:rPr>
                  <a:t>Tonns (CO2</a:t>
                </a:r>
                <a:r>
                  <a:rPr lang="en-US" sz="1100" baseline="0">
                    <a:solidFill>
                      <a:sysClr val="windowText" lastClr="000000"/>
                    </a:solidFill>
                  </a:rPr>
                  <a:t> Equivalent)</a:t>
                </a:r>
                <a:endParaRPr lang="en-US" sz="11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2612633218698413E-2"/>
              <c:y val="0.38159114072705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472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Total Emissions </a:t>
            </a:r>
            <a:r>
              <a:rPr lang="en-US" sz="2400" baseline="0"/>
              <a:t> 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732995455489575E-2"/>
          <c:y val="9.1736954741686139E-2"/>
          <c:w val="0.89883219282312554"/>
          <c:h val="0.8218334585047377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Quo)'!$G$102:$AI$102</c15:sqref>
                  </c15:fullRef>
                </c:ext>
              </c:extLst>
              <c:f>'Supply Porfolio (Status Quo)'!$G$102:$AD$102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Quo)'!$G$124:$AI$124</c15:sqref>
                  </c15:fullRef>
                </c:ext>
              </c:extLst>
              <c:f>'Supply Porfolio (Status Quo)'!$G$124:$AD$124</c:f>
              <c:numCache>
                <c:formatCode>#,##0</c:formatCode>
                <c:ptCount val="24"/>
                <c:pt idx="0">
                  <c:v>187346.44430513994</c:v>
                </c:pt>
                <c:pt idx="1">
                  <c:v>190325.5860261723</c:v>
                </c:pt>
                <c:pt idx="2">
                  <c:v>191475.30339899307</c:v>
                </c:pt>
                <c:pt idx="3">
                  <c:v>194115.87939825375</c:v>
                </c:pt>
                <c:pt idx="4">
                  <c:v>194991.9994291364</c:v>
                </c:pt>
                <c:pt idx="5">
                  <c:v>195788.59746220859</c:v>
                </c:pt>
                <c:pt idx="6">
                  <c:v>196686.12741385942</c:v>
                </c:pt>
                <c:pt idx="7">
                  <c:v>197673.24543319148</c:v>
                </c:pt>
                <c:pt idx="8">
                  <c:v>198689.77365965297</c:v>
                </c:pt>
                <c:pt idx="9">
                  <c:v>199668.0840171515</c:v>
                </c:pt>
                <c:pt idx="10">
                  <c:v>200739.20011913864</c:v>
                </c:pt>
                <c:pt idx="11">
                  <c:v>201908.83626521146</c:v>
                </c:pt>
                <c:pt idx="12">
                  <c:v>203180.24436342064</c:v>
                </c:pt>
                <c:pt idx="13">
                  <c:v>204434.87336835003</c:v>
                </c:pt>
                <c:pt idx="14">
                  <c:v>205632.64874883794</c:v>
                </c:pt>
                <c:pt idx="15">
                  <c:v>206925.97248914692</c:v>
                </c:pt>
                <c:pt idx="16">
                  <c:v>208226.26257424324</c:v>
                </c:pt>
                <c:pt idx="17">
                  <c:v>209721.40287005954</c:v>
                </c:pt>
                <c:pt idx="18">
                  <c:v>210994.33810888685</c:v>
                </c:pt>
                <c:pt idx="19">
                  <c:v>212424.39078834763</c:v>
                </c:pt>
                <c:pt idx="20">
                  <c:v>214007.32255219104</c:v>
                </c:pt>
                <c:pt idx="21">
                  <c:v>215405.8773130207</c:v>
                </c:pt>
                <c:pt idx="22">
                  <c:v>216777.21642478509</c:v>
                </c:pt>
                <c:pt idx="23">
                  <c:v>218472.96905932494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F-4FE8-A6A1-6D9A26D16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6344728"/>
        <c:axId val="926340464"/>
      </c:lineChart>
      <c:catAx>
        <c:axId val="926344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0464"/>
        <c:crosses val="autoZero"/>
        <c:auto val="1"/>
        <c:lblAlgn val="ctr"/>
        <c:lblOffset val="100"/>
        <c:noMultiLvlLbl val="0"/>
      </c:catAx>
      <c:valAx>
        <c:axId val="9263404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</a:rPr>
                  <a:t>Tonns (CO2</a:t>
                </a:r>
                <a:r>
                  <a:rPr lang="en-US" sz="1100" baseline="0">
                    <a:solidFill>
                      <a:sysClr val="windowText" lastClr="000000"/>
                    </a:solidFill>
                  </a:rPr>
                  <a:t> Equivalent)</a:t>
                </a:r>
                <a:endParaRPr lang="en-US" sz="11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2612633218698413E-2"/>
              <c:y val="0.38159114072705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4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Monthly</a:t>
            </a:r>
            <a:r>
              <a:rPr lang="en-US" baseline="0">
                <a:solidFill>
                  <a:sysClr val="windowText" lastClr="000000"/>
                </a:solidFill>
              </a:rPr>
              <a:t> Bill Impacts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1015568317643336"/>
          <c:y val="1.14801135657428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728380002310782E-2"/>
          <c:y val="0.14558697353622901"/>
          <c:w val="0.90033825713185855"/>
          <c:h val="0.7145978984763236"/>
        </c:manualLayout>
      </c:layout>
      <c:lineChart>
        <c:grouping val="standard"/>
        <c:varyColors val="0"/>
        <c:ser>
          <c:idx val="0"/>
          <c:order val="0"/>
          <c:tx>
            <c:strRef>
              <c:f>'Supply Porfolio (Status Quo)'!$E$137</c:f>
              <c:strCache>
                <c:ptCount val="1"/>
                <c:pt idx="0">
                  <c:v>Rate 20 - -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Quo)'!$G$136:$AD$136</c15:sqref>
                  </c15:fullRef>
                </c:ext>
              </c:extLst>
              <c:f>'Supply Porfolio (Status Quo)'!$H$136:$AD$136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Quo)'!$G$137:$AD$137</c15:sqref>
                  </c15:fullRef>
                </c:ext>
              </c:extLst>
              <c:f>'Supply Porfolio (Status Quo)'!$H$137:$AD$137</c:f>
              <c:numCache>
                <c:formatCode>_("$"* #,##0.00_);_("$"* \(#,##0.00\);_("$"* "-"??_);_(@_)</c:formatCode>
                <c:ptCount val="23"/>
                <c:pt idx="0">
                  <c:v>69.735326759921975</c:v>
                </c:pt>
                <c:pt idx="1">
                  <c:v>65.544236554220049</c:v>
                </c:pt>
                <c:pt idx="2">
                  <c:v>66.578212229075262</c:v>
                </c:pt>
                <c:pt idx="3">
                  <c:v>67.080180019900325</c:v>
                </c:pt>
                <c:pt idx="4">
                  <c:v>67.741103567177547</c:v>
                </c:pt>
                <c:pt idx="5">
                  <c:v>68.411479013333278</c:v>
                </c:pt>
                <c:pt idx="6">
                  <c:v>68.964379507994337</c:v>
                </c:pt>
                <c:pt idx="7">
                  <c:v>69.51671155016021</c:v>
                </c:pt>
                <c:pt idx="8">
                  <c:v>70.166806175139129</c:v>
                </c:pt>
                <c:pt idx="9">
                  <c:v>70.707541703853281</c:v>
                </c:pt>
                <c:pt idx="10">
                  <c:v>71.139420060844301</c:v>
                </c:pt>
                <c:pt idx="11">
                  <c:v>71.439934944360616</c:v>
                </c:pt>
                <c:pt idx="12">
                  <c:v>71.813823562213258</c:v>
                </c:pt>
                <c:pt idx="13">
                  <c:v>72.315514786855289</c:v>
                </c:pt>
                <c:pt idx="14">
                  <c:v>72.717358243915697</c:v>
                </c:pt>
                <c:pt idx="15">
                  <c:v>73.147857572166572</c:v>
                </c:pt>
                <c:pt idx="16">
                  <c:v>73.348610859134183</c:v>
                </c:pt>
                <c:pt idx="17">
                  <c:v>73.893776006054878</c:v>
                </c:pt>
                <c:pt idx="18">
                  <c:v>74.259293401671499</c:v>
                </c:pt>
                <c:pt idx="19">
                  <c:v>74.459667536733193</c:v>
                </c:pt>
                <c:pt idx="20">
                  <c:v>74.945557565292347</c:v>
                </c:pt>
                <c:pt idx="21">
                  <c:v>75.492470491119505</c:v>
                </c:pt>
                <c:pt idx="22">
                  <c:v>75.681944590844552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5-4E67-82EC-94782D9114FF}"/>
            </c:ext>
          </c:extLst>
        </c:ser>
        <c:ser>
          <c:idx val="1"/>
          <c:order val="1"/>
          <c:tx>
            <c:strRef>
              <c:f>'Supply Porfolio (Status Quo)'!$E$138</c:f>
              <c:strCache>
                <c:ptCount val="1"/>
                <c:pt idx="0">
                  <c:v>Rate 30 - - Multi Family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Quo)'!$G$136:$AD$136</c15:sqref>
                  </c15:fullRef>
                </c:ext>
              </c:extLst>
              <c:f>'Supply Porfolio (Status Quo)'!$H$136:$AD$136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Quo)'!$G$138:$AD$138</c15:sqref>
                  </c15:fullRef>
                </c:ext>
              </c:extLst>
              <c:f>'Supply Porfolio (Status Quo)'!$H$138:$AD$138</c:f>
              <c:numCache>
                <c:formatCode>_("$"* #,##0.00_);_("$"* \(#,##0.00\);_("$"* "-"??_);_(@_)</c:formatCode>
                <c:ptCount val="23"/>
                <c:pt idx="0">
                  <c:v>1925.885433023793</c:v>
                </c:pt>
                <c:pt idx="1">
                  <c:v>1736.5453190331089</c:v>
                </c:pt>
                <c:pt idx="2">
                  <c:v>1774.3440942931718</c:v>
                </c:pt>
                <c:pt idx="3">
                  <c:v>1789.9183925747284</c:v>
                </c:pt>
                <c:pt idx="4">
                  <c:v>1813.1183416143065</c:v>
                </c:pt>
                <c:pt idx="5">
                  <c:v>1835.7189060152666</c:v>
                </c:pt>
                <c:pt idx="6">
                  <c:v>1853.5753840066504</c:v>
                </c:pt>
                <c:pt idx="7">
                  <c:v>1871.5503738401173</c:v>
                </c:pt>
                <c:pt idx="8">
                  <c:v>1893.6934820056101</c:v>
                </c:pt>
                <c:pt idx="9">
                  <c:v>1911.451347358427</c:v>
                </c:pt>
                <c:pt idx="10">
                  <c:v>1924.8543754198543</c:v>
                </c:pt>
                <c:pt idx="11">
                  <c:v>1932.9486798045602</c:v>
                </c:pt>
                <c:pt idx="12">
                  <c:v>1944.2086353597706</c:v>
                </c:pt>
                <c:pt idx="13">
                  <c:v>1960.8682095942979</c:v>
                </c:pt>
                <c:pt idx="14">
                  <c:v>1973.551428112982</c:v>
                </c:pt>
                <c:pt idx="15">
                  <c:v>1987.5360345835932</c:v>
                </c:pt>
                <c:pt idx="16">
                  <c:v>1992.2198025236421</c:v>
                </c:pt>
                <c:pt idx="17">
                  <c:v>2011.1537749887711</c:v>
                </c:pt>
                <c:pt idx="18">
                  <c:v>2022.8428486113621</c:v>
                </c:pt>
                <c:pt idx="19">
                  <c:v>2027.8814517632798</c:v>
                </c:pt>
                <c:pt idx="20">
                  <c:v>2044.7338931355166</c:v>
                </c:pt>
                <c:pt idx="21">
                  <c:v>2064.1839756711956</c:v>
                </c:pt>
                <c:pt idx="22">
                  <c:v>2069.1671193937773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45-4E67-82EC-94782D9114FF}"/>
            </c:ext>
          </c:extLst>
        </c:ser>
        <c:ser>
          <c:idx val="2"/>
          <c:order val="2"/>
          <c:tx>
            <c:strRef>
              <c:f>'Supply Porfolio (Status Quo)'!$E$139</c:f>
              <c:strCache>
                <c:ptCount val="1"/>
                <c:pt idx="0">
                  <c:v>Rate 50 - - 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Quo)'!$G$136:$AD$136</c15:sqref>
                  </c15:fullRef>
                </c:ext>
              </c:extLst>
              <c:f>'Supply Porfolio (Status Quo)'!$H$136:$AD$136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Quo)'!$G$139:$AD$139</c15:sqref>
                  </c15:fullRef>
                </c:ext>
              </c:extLst>
              <c:f>'Supply Porfolio (Status Quo)'!$H$139:$AD$139</c:f>
              <c:numCache>
                <c:formatCode>_("$"* #,##0.00_);_("$"* \(#,##0.00\);_("$"* "-"??_);_(@_)</c:formatCode>
                <c:ptCount val="23"/>
                <c:pt idx="0">
                  <c:v>2025.0023190623556</c:v>
                </c:pt>
                <c:pt idx="1">
                  <c:v>1825.7060172313923</c:v>
                </c:pt>
                <c:pt idx="2">
                  <c:v>1865.3948450585906</c:v>
                </c:pt>
                <c:pt idx="3">
                  <c:v>1881.7125234053406</c:v>
                </c:pt>
                <c:pt idx="4">
                  <c:v>1906.0638555430924</c:v>
                </c:pt>
                <c:pt idx="5">
                  <c:v>1929.7707735246722</c:v>
                </c:pt>
                <c:pt idx="6">
                  <c:v>1948.4909148505442</c:v>
                </c:pt>
                <c:pt idx="7">
                  <c:v>1967.3378140949426</c:v>
                </c:pt>
                <c:pt idx="8">
                  <c:v>1990.569577195284</c:v>
                </c:pt>
                <c:pt idx="9">
                  <c:v>2009.1921723189073</c:v>
                </c:pt>
                <c:pt idx="10">
                  <c:v>2023.2376673589952</c:v>
                </c:pt>
                <c:pt idx="11">
                  <c:v>2031.7027190456126</c:v>
                </c:pt>
                <c:pt idx="12">
                  <c:v>2043.4985418372555</c:v>
                </c:pt>
                <c:pt idx="13">
                  <c:v>2060.9740417179464</c:v>
                </c:pt>
                <c:pt idx="14">
                  <c:v>2074.2704741975385</c:v>
                </c:pt>
                <c:pt idx="15">
                  <c:v>2088.9371339744803</c:v>
                </c:pt>
                <c:pt idx="16">
                  <c:v>2093.8263576515737</c:v>
                </c:pt>
                <c:pt idx="17">
                  <c:v>2113.7006807050047</c:v>
                </c:pt>
                <c:pt idx="18">
                  <c:v>2125.9592786696039</c:v>
                </c:pt>
                <c:pt idx="19">
                  <c:v>2131.2271020382814</c:v>
                </c:pt>
                <c:pt idx="20">
                  <c:v>2148.9180784355503</c:v>
                </c:pt>
                <c:pt idx="21">
                  <c:v>2169.3418242054322</c:v>
                </c:pt>
                <c:pt idx="22">
                  <c:v>2174.5570413248738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45-4E67-82EC-94782D911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259928"/>
        <c:axId val="1053261896"/>
      </c:lineChart>
      <c:catAx>
        <c:axId val="105325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61896"/>
        <c:crosses val="autoZero"/>
        <c:auto val="1"/>
        <c:lblAlgn val="ctr"/>
        <c:lblOffset val="100"/>
        <c:noMultiLvlLbl val="0"/>
      </c:catAx>
      <c:valAx>
        <c:axId val="105326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5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91240291572841"/>
          <c:y val="7.6089801003831975E-2"/>
          <c:w val="0.74536721324998489"/>
          <c:h val="4.38520752715792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COSS Fuel 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3255705968496617E-2"/>
          <c:y val="7.5124426431113292E-2"/>
          <c:w val="0.93603939655144253"/>
          <c:h val="0.8778883382925282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Quo)'!$G$102:$AI$102</c15:sqref>
                  </c15:fullRef>
                </c:ext>
              </c:extLst>
              <c:f>'Supply Porfolio (Status Quo)'!$G$102:$AD$102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Quo)'!$G$76:$AI$76</c15:sqref>
                  </c15:fullRef>
                </c:ext>
              </c:extLst>
              <c:f>'Supply Porfolio (Status Quo)'!$G$76:$AD$76</c:f>
              <c:numCache>
                <c:formatCode>#,##0.00</c:formatCode>
                <c:ptCount val="24"/>
                <c:pt idx="0">
                  <c:v>2.866395486343015</c:v>
                </c:pt>
                <c:pt idx="1">
                  <c:v>2.5688336671134255</c:v>
                </c:pt>
                <c:pt idx="2">
                  <c:v>2.1122061440888533</c:v>
                </c:pt>
                <c:pt idx="3">
                  <c:v>2.1882798409434958</c:v>
                </c:pt>
                <c:pt idx="4">
                  <c:v>2.217668220797874</c:v>
                </c:pt>
                <c:pt idx="5">
                  <c:v>2.2641402949706393</c:v>
                </c:pt>
                <c:pt idx="6">
                  <c:v>2.2998769999862461</c:v>
                </c:pt>
                <c:pt idx="7">
                  <c:v>2.326224765868508</c:v>
                </c:pt>
                <c:pt idx="8">
                  <c:v>2.3537262415356497</c:v>
                </c:pt>
                <c:pt idx="9">
                  <c:v>2.3910595632929503</c:v>
                </c:pt>
                <c:pt idx="10">
                  <c:v>2.4198171921047753</c:v>
                </c:pt>
                <c:pt idx="11">
                  <c:v>2.4400758873434025</c:v>
                </c:pt>
                <c:pt idx="12">
                  <c:v>2.4497091722327018</c:v>
                </c:pt>
                <c:pt idx="13">
                  <c:v>2.4669930612080067</c:v>
                </c:pt>
                <c:pt idx="14">
                  <c:v>2.4966976633202149</c:v>
                </c:pt>
                <c:pt idx="15">
                  <c:v>2.5186971225049493</c:v>
                </c:pt>
                <c:pt idx="16">
                  <c:v>2.5442657231094006</c:v>
                </c:pt>
                <c:pt idx="17">
                  <c:v>2.5507352822228686</c:v>
                </c:pt>
                <c:pt idx="18">
                  <c:v>2.588413037523841</c:v>
                </c:pt>
                <c:pt idx="19">
                  <c:v>2.6113705404776733</c:v>
                </c:pt>
                <c:pt idx="20">
                  <c:v>2.6208466216261326</c:v>
                </c:pt>
                <c:pt idx="21">
                  <c:v>2.6562610616853091</c:v>
                </c:pt>
                <c:pt idx="22">
                  <c:v>2.6978954282105141</c:v>
                </c:pt>
                <c:pt idx="23">
                  <c:v>2.7094635433952421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E6-4B23-8D77-95257B6F1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950672"/>
        <c:axId val="1053951000"/>
      </c:lineChart>
      <c:catAx>
        <c:axId val="105395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951000"/>
        <c:crosses val="autoZero"/>
        <c:auto val="1"/>
        <c:lblAlgn val="ctr"/>
        <c:lblOffset val="100"/>
        <c:noMultiLvlLbl val="0"/>
      </c:catAx>
      <c:valAx>
        <c:axId val="1053951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95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>
                <a:solidFill>
                  <a:sysClr val="windowText" lastClr="000000"/>
                </a:solidFill>
              </a:rPr>
              <a:t>Total Direct Emissions (Status Quo) </a:t>
            </a:r>
            <a:r>
              <a:rPr lang="en-US" sz="2400" baseline="0">
                <a:solidFill>
                  <a:sysClr val="windowText" lastClr="000000"/>
                </a:solidFill>
              </a:rPr>
              <a:t> </a:t>
            </a:r>
            <a:endParaRPr lang="en-US" sz="24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7221290202919893"/>
          <c:y val="1.13878995049252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732995455489575E-2"/>
          <c:y val="9.1736954741686139E-2"/>
          <c:w val="0.8662052411502239"/>
          <c:h val="0.7838738077265253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Quo)'!$G$102:$AI$102</c15:sqref>
                  </c15:fullRef>
                </c:ext>
              </c:extLst>
              <c:f>'Supply Porfolio (Status Quo)'!$G$102:$AD$102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Quo)'!$G$124:$AI$124</c15:sqref>
                  </c15:fullRef>
                </c:ext>
              </c:extLst>
              <c:f>'Supply Porfolio (Status Quo)'!$G$124:$AD$124</c:f>
              <c:numCache>
                <c:formatCode>#,##0</c:formatCode>
                <c:ptCount val="24"/>
                <c:pt idx="0">
                  <c:v>187346.44430513994</c:v>
                </c:pt>
                <c:pt idx="1">
                  <c:v>190325.5860261723</c:v>
                </c:pt>
                <c:pt idx="2">
                  <c:v>191475.30339899307</c:v>
                </c:pt>
                <c:pt idx="3">
                  <c:v>194115.87939825375</c:v>
                </c:pt>
                <c:pt idx="4">
                  <c:v>194991.9994291364</c:v>
                </c:pt>
                <c:pt idx="5">
                  <c:v>195788.59746220859</c:v>
                </c:pt>
                <c:pt idx="6">
                  <c:v>196686.12741385942</c:v>
                </c:pt>
                <c:pt idx="7">
                  <c:v>197673.24543319148</c:v>
                </c:pt>
                <c:pt idx="8">
                  <c:v>198689.77365965297</c:v>
                </c:pt>
                <c:pt idx="9">
                  <c:v>199668.0840171515</c:v>
                </c:pt>
                <c:pt idx="10">
                  <c:v>200739.20011913864</c:v>
                </c:pt>
                <c:pt idx="11">
                  <c:v>201908.83626521146</c:v>
                </c:pt>
                <c:pt idx="12">
                  <c:v>203180.24436342064</c:v>
                </c:pt>
                <c:pt idx="13">
                  <c:v>204434.87336835003</c:v>
                </c:pt>
                <c:pt idx="14">
                  <c:v>205632.64874883794</c:v>
                </c:pt>
                <c:pt idx="15">
                  <c:v>206925.97248914692</c:v>
                </c:pt>
                <c:pt idx="16">
                  <c:v>208226.26257424324</c:v>
                </c:pt>
                <c:pt idx="17">
                  <c:v>209721.40287005954</c:v>
                </c:pt>
                <c:pt idx="18">
                  <c:v>210994.33810888685</c:v>
                </c:pt>
                <c:pt idx="19">
                  <c:v>212424.39078834763</c:v>
                </c:pt>
                <c:pt idx="20">
                  <c:v>214007.32255219104</c:v>
                </c:pt>
                <c:pt idx="21">
                  <c:v>215405.8773130207</c:v>
                </c:pt>
                <c:pt idx="22">
                  <c:v>216777.21642478509</c:v>
                </c:pt>
                <c:pt idx="23">
                  <c:v>218472.96905932494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63-4C4F-B8AF-7A2944258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6344728"/>
        <c:axId val="926340464"/>
      </c:lineChart>
      <c:catAx>
        <c:axId val="926344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0464"/>
        <c:crosses val="autoZero"/>
        <c:auto val="1"/>
        <c:lblAlgn val="ctr"/>
        <c:lblOffset val="100"/>
        <c:noMultiLvlLbl val="0"/>
      </c:catAx>
      <c:valAx>
        <c:axId val="926340464"/>
        <c:scaling>
          <c:orientation val="minMax"/>
          <c:max val="4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ysClr val="windowText" lastClr="000000"/>
                    </a:solidFill>
                  </a:rPr>
                  <a:t>Tonns (CO2</a:t>
                </a:r>
                <a:r>
                  <a:rPr lang="en-US" sz="2400" baseline="0">
                    <a:solidFill>
                      <a:sysClr val="windowText" lastClr="000000"/>
                    </a:solidFill>
                  </a:rPr>
                  <a:t> Equivalent)</a:t>
                </a:r>
                <a:endParaRPr lang="en-US" sz="24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3532582538945273E-2"/>
              <c:y val="0.317059745972128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472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Monthly</a:t>
            </a:r>
            <a:r>
              <a:rPr lang="en-US" baseline="0">
                <a:solidFill>
                  <a:sysClr val="windowText" lastClr="000000"/>
                </a:solidFill>
              </a:rPr>
              <a:t> Bill Impacts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1015568317643336"/>
          <c:y val="1.14801135657428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728380002310782E-2"/>
          <c:y val="0.14558697353622901"/>
          <c:w val="0.90033825713185855"/>
          <c:h val="0.7145978984763236"/>
        </c:manualLayout>
      </c:layout>
      <c:lineChart>
        <c:grouping val="standard"/>
        <c:varyColors val="0"/>
        <c:ser>
          <c:idx val="0"/>
          <c:order val="0"/>
          <c:tx>
            <c:strRef>
              <c:f>'Supply Porfolio (Status Quo)'!$E$137</c:f>
              <c:strCache>
                <c:ptCount val="1"/>
                <c:pt idx="0">
                  <c:v>Rate 20 - -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Quo)'!$G$136:$AD$136</c15:sqref>
                  </c15:fullRef>
                </c:ext>
              </c:extLst>
              <c:f>'Supply Porfolio (Status Quo)'!$H$136:$AD$136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Quo)'!$G$137:$AD$137</c15:sqref>
                  </c15:fullRef>
                </c:ext>
              </c:extLst>
              <c:f>'Supply Porfolio (Status Quo)'!$H$137:$AD$137</c:f>
              <c:numCache>
                <c:formatCode>_("$"* #,##0.00_);_("$"* \(#,##0.00\);_("$"* "-"??_);_(@_)</c:formatCode>
                <c:ptCount val="23"/>
                <c:pt idx="0">
                  <c:v>69.735326759921975</c:v>
                </c:pt>
                <c:pt idx="1">
                  <c:v>65.544236554220049</c:v>
                </c:pt>
                <c:pt idx="2">
                  <c:v>66.578212229075262</c:v>
                </c:pt>
                <c:pt idx="3">
                  <c:v>67.080180019900325</c:v>
                </c:pt>
                <c:pt idx="4">
                  <c:v>67.741103567177547</c:v>
                </c:pt>
                <c:pt idx="5">
                  <c:v>68.411479013333278</c:v>
                </c:pt>
                <c:pt idx="6">
                  <c:v>68.964379507994337</c:v>
                </c:pt>
                <c:pt idx="7">
                  <c:v>69.51671155016021</c:v>
                </c:pt>
                <c:pt idx="8">
                  <c:v>70.166806175139129</c:v>
                </c:pt>
                <c:pt idx="9">
                  <c:v>70.707541703853281</c:v>
                </c:pt>
                <c:pt idx="10">
                  <c:v>71.139420060844301</c:v>
                </c:pt>
                <c:pt idx="11">
                  <c:v>71.439934944360616</c:v>
                </c:pt>
                <c:pt idx="12">
                  <c:v>71.813823562213258</c:v>
                </c:pt>
                <c:pt idx="13">
                  <c:v>72.315514786855289</c:v>
                </c:pt>
                <c:pt idx="14">
                  <c:v>72.717358243915697</c:v>
                </c:pt>
                <c:pt idx="15">
                  <c:v>73.147857572166572</c:v>
                </c:pt>
                <c:pt idx="16">
                  <c:v>73.348610859134183</c:v>
                </c:pt>
                <c:pt idx="17">
                  <c:v>73.893776006054878</c:v>
                </c:pt>
                <c:pt idx="18">
                  <c:v>74.259293401671499</c:v>
                </c:pt>
                <c:pt idx="19">
                  <c:v>74.459667536733193</c:v>
                </c:pt>
                <c:pt idx="20">
                  <c:v>74.945557565292347</c:v>
                </c:pt>
                <c:pt idx="21">
                  <c:v>75.492470491119505</c:v>
                </c:pt>
                <c:pt idx="22">
                  <c:v>75.681944590844552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44-449C-9684-BC74ACE5C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259928"/>
        <c:axId val="1053261896"/>
      </c:lineChart>
      <c:catAx>
        <c:axId val="105325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61896"/>
        <c:crosses val="autoZero"/>
        <c:auto val="1"/>
        <c:lblAlgn val="ctr"/>
        <c:lblOffset val="100"/>
        <c:tickLblSkip val="2"/>
        <c:noMultiLvlLbl val="0"/>
      </c:catAx>
      <c:valAx>
        <c:axId val="10532618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5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48720634298512"/>
          <c:y val="9.3309971352446272E-2"/>
          <c:w val="0.74536721324998489"/>
          <c:h val="4.38520752715792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>
                <a:solidFill>
                  <a:sysClr val="windowText" lastClr="000000"/>
                </a:solidFill>
              </a:rPr>
              <a:t>Total Emissions Reduction </a:t>
            </a:r>
            <a:r>
              <a:rPr lang="en-US" sz="2400" baseline="0">
                <a:solidFill>
                  <a:sysClr val="windowText" lastClr="000000"/>
                </a:solidFill>
              </a:rPr>
              <a:t> </a:t>
            </a:r>
            <a:endParaRPr lang="en-US" sz="240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459023982486569E-2"/>
          <c:y val="0.14722417030944332"/>
          <c:w val="0.89883219282312554"/>
          <c:h val="0.7720862997198521"/>
        </c:manualLayout>
      </c:layout>
      <c:barChart>
        <c:barDir val="col"/>
        <c:grouping val="stacked"/>
        <c:varyColors val="0"/>
        <c:ser>
          <c:idx val="1"/>
          <c:order val="0"/>
          <c:tx>
            <c:v>Direct Emission Reductions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'Supply Porfolio (Status Quo)'!$G$102:$AD$102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'Supply Porfolio (Status Quo)'!$G$126:$AD$126</c:f>
              <c:numCache>
                <c:formatCode>_(* #,##0_);_(* \(#,##0\);_(* "-"_);_(@_)</c:formatCode>
                <c:ptCount val="24"/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A9-4BBD-BF57-EAFA0E5C53F8}"/>
            </c:ext>
          </c:extLst>
        </c:ser>
        <c:ser>
          <c:idx val="0"/>
          <c:order val="1"/>
          <c:tx>
            <c:v>Purchased Carbon Offsets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'Supply Porfolio (Status Quo)'!$G$102:$AD$102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'Supply Porfolio (Status Quo)'!$G$127:$AD$127</c:f>
              <c:numCache>
                <c:formatCode>_(* #,##0_);_(* \(#,##0\);_(* "-"_);_(@_)</c:formatCode>
                <c:ptCount val="24"/>
                <c:pt idx="18">
                  <c:v>229746.69935036817</c:v>
                </c:pt>
                <c:pt idx="19">
                  <c:v>231330.30251949368</c:v>
                </c:pt>
                <c:pt idx="20">
                  <c:v>233083.2000132259</c:v>
                </c:pt>
                <c:pt idx="21">
                  <c:v>234631.92320591316</c:v>
                </c:pt>
                <c:pt idx="22">
                  <c:v>236150.50849618012</c:v>
                </c:pt>
                <c:pt idx="23">
                  <c:v>238028.34088982514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A9-4BBD-BF57-EAFA0E5C5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6344728"/>
        <c:axId val="926340464"/>
      </c:barChart>
      <c:catAx>
        <c:axId val="926344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0464"/>
        <c:crosses val="autoZero"/>
        <c:auto val="1"/>
        <c:lblAlgn val="ctr"/>
        <c:lblOffset val="100"/>
        <c:noMultiLvlLbl val="0"/>
      </c:catAx>
      <c:valAx>
        <c:axId val="9263404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</a:rPr>
                  <a:t>Tonns (CO2</a:t>
                </a:r>
                <a:r>
                  <a:rPr lang="en-US" sz="1100" baseline="0">
                    <a:solidFill>
                      <a:sysClr val="windowText" lastClr="000000"/>
                    </a:solidFill>
                  </a:rPr>
                  <a:t> Equivalent)</a:t>
                </a:r>
                <a:endParaRPr lang="en-US" sz="11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2612633218698413E-2"/>
              <c:y val="0.38159114072705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472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Supply Portfolio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8276687482083518E-2"/>
          <c:y val="8.9915444964503266E-2"/>
          <c:w val="0.88237429922829591"/>
          <c:h val="0.60204706810274466"/>
        </c:manualLayout>
      </c:layout>
      <c:areaChart>
        <c:grouping val="stacked"/>
        <c:varyColors val="0"/>
        <c:ser>
          <c:idx val="0"/>
          <c:order val="0"/>
          <c:tx>
            <c:strRef>
              <c:f>'Supply Porfolio (Live)'!$E$8</c:f>
              <c:strCache>
                <c:ptCount val="1"/>
                <c:pt idx="0">
                  <c:v>SNG- Firm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0.39253468390628932"/>
                  <c:y val="-0.17757775284983651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65-4CA7-B0CB-B2B4566337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Quo)'!$G$8:$AI$8</c15:sqref>
                  </c15:fullRef>
                </c:ext>
              </c:extLst>
              <c:f>'Supply Porfolio (Status Quo)'!$G$8:$AD$8</c:f>
              <c:numCache>
                <c:formatCode>#,##0</c:formatCode>
                <c:ptCount val="24"/>
                <c:pt idx="0">
                  <c:v>65185</c:v>
                </c:pt>
                <c:pt idx="1">
                  <c:v>62685.483658376354</c:v>
                </c:pt>
                <c:pt idx="2">
                  <c:v>59185.218745440317</c:v>
                </c:pt>
                <c:pt idx="3">
                  <c:v>52569.616865176067</c:v>
                </c:pt>
                <c:pt idx="4">
                  <c:v>52931.548454358766</c:v>
                </c:pt>
                <c:pt idx="5">
                  <c:v>53260.62892494128</c:v>
                </c:pt>
                <c:pt idx="6">
                  <c:v>53631.405108899533</c:v>
                </c:pt>
                <c:pt idx="7">
                  <c:v>54039.190778504417</c:v>
                </c:pt>
                <c:pt idx="8">
                  <c:v>54459.126019662639</c:v>
                </c:pt>
                <c:pt idx="9">
                  <c:v>54863.273179780212</c:v>
                </c:pt>
                <c:pt idx="10">
                  <c:v>55305.759071354696</c:v>
                </c:pt>
                <c:pt idx="11">
                  <c:v>55788.944313321132</c:v>
                </c:pt>
                <c:pt idx="12">
                  <c:v>56314.172292666597</c:v>
                </c:pt>
                <c:pt idx="13">
                  <c:v>56832.468705923289</c:v>
                </c:pt>
                <c:pt idx="14">
                  <c:v>57327.278471323982</c:v>
                </c:pt>
                <c:pt idx="15">
                  <c:v>57861.559962623927</c:v>
                </c:pt>
                <c:pt idx="16">
                  <c:v>58398.719301879421</c:v>
                </c:pt>
                <c:pt idx="17">
                  <c:v>59016.372687535593</c:v>
                </c:pt>
                <c:pt idx="18">
                  <c:v>59542.231539833818</c:v>
                </c:pt>
                <c:pt idx="19">
                  <c:v>60132.996755383996</c:v>
                </c:pt>
                <c:pt idx="20">
                  <c:v>60786.917438236575</c:v>
                </c:pt>
                <c:pt idx="21">
                  <c:v>61364.670633350892</c:v>
                </c:pt>
                <c:pt idx="22">
                  <c:v>61931.180844890354</c:v>
                </c:pt>
                <c:pt idx="23">
                  <c:v>62631.70865414662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65-4CA7-B0CB-B2B4566337B1}"/>
            </c:ext>
          </c:extLst>
        </c:ser>
        <c:ser>
          <c:idx val="1"/>
          <c:order val="1"/>
          <c:tx>
            <c:strRef>
              <c:f>'Supply Porfolio (Live)'!$E$9</c:f>
              <c:strCache>
                <c:ptCount val="1"/>
                <c:pt idx="0">
                  <c:v>SNG - Interruptible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0.39899627811834221"/>
                  <c:y val="-3.246044944566907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65-4CA7-B0CB-B2B4566337B1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Quo)'!$G$9:$AI$9</c15:sqref>
                  </c15:fullRef>
                </c:ext>
              </c:extLst>
              <c:f>'Supply Porfolio (Status Quo)'!$G$9:$AD$9</c:f>
              <c:numCache>
                <c:formatCode>#,##0</c:formatCode>
                <c:ptCount val="24"/>
                <c:pt idx="0">
                  <c:v>12606</c:v>
                </c:pt>
                <c:pt idx="1">
                  <c:v>12483</c:v>
                </c:pt>
                <c:pt idx="2">
                  <c:v>12605</c:v>
                </c:pt>
                <c:pt idx="3">
                  <c:v>12605</c:v>
                </c:pt>
                <c:pt idx="4">
                  <c:v>12605</c:v>
                </c:pt>
                <c:pt idx="5">
                  <c:v>12605</c:v>
                </c:pt>
                <c:pt idx="6">
                  <c:v>12605</c:v>
                </c:pt>
                <c:pt idx="7">
                  <c:v>12605</c:v>
                </c:pt>
                <c:pt idx="8">
                  <c:v>12605</c:v>
                </c:pt>
                <c:pt idx="9">
                  <c:v>12605</c:v>
                </c:pt>
                <c:pt idx="10">
                  <c:v>12605</c:v>
                </c:pt>
                <c:pt idx="11">
                  <c:v>12605</c:v>
                </c:pt>
                <c:pt idx="12">
                  <c:v>12605</c:v>
                </c:pt>
                <c:pt idx="13">
                  <c:v>12605</c:v>
                </c:pt>
                <c:pt idx="14">
                  <c:v>12605</c:v>
                </c:pt>
                <c:pt idx="15">
                  <c:v>12605</c:v>
                </c:pt>
                <c:pt idx="16">
                  <c:v>12605</c:v>
                </c:pt>
                <c:pt idx="17">
                  <c:v>12605</c:v>
                </c:pt>
                <c:pt idx="18">
                  <c:v>12605</c:v>
                </c:pt>
                <c:pt idx="19">
                  <c:v>12605</c:v>
                </c:pt>
                <c:pt idx="20">
                  <c:v>12605</c:v>
                </c:pt>
                <c:pt idx="21">
                  <c:v>12605</c:v>
                </c:pt>
                <c:pt idx="22">
                  <c:v>12605</c:v>
                </c:pt>
                <c:pt idx="23">
                  <c:v>12605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65-4CA7-B0CB-B2B4566337B1}"/>
            </c:ext>
          </c:extLst>
        </c:ser>
        <c:ser>
          <c:idx val="3"/>
          <c:order val="3"/>
          <c:tx>
            <c:strRef>
              <c:f>'Supply Porfolio (Live)'!$E$11</c:f>
              <c:strCache>
                <c:ptCount val="1"/>
                <c:pt idx="0">
                  <c:v>LNG ISO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0.39316427586987002"/>
                  <c:y val="-3.055101124298266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C0-47F9-96EE-FFC4A5AADFA0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Quo)'!$G$11:$AI$11</c15:sqref>
                  </c15:fullRef>
                </c:ext>
              </c:extLst>
              <c:f>'Supply Porfolio (Status Quo)'!$G$11:$AD$11</c:f>
              <c:numCache>
                <c:formatCode>#,##0</c:formatCode>
                <c:ptCount val="24"/>
                <c:pt idx="0">
                  <c:v>0</c:v>
                </c:pt>
                <c:pt idx="1">
                  <c:v>3500</c:v>
                </c:pt>
                <c:pt idx="2">
                  <c:v>7000</c:v>
                </c:pt>
                <c:pt idx="3">
                  <c:v>14000</c:v>
                </c:pt>
                <c:pt idx="4">
                  <c:v>14000</c:v>
                </c:pt>
                <c:pt idx="5">
                  <c:v>14000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  <c:pt idx="21">
                  <c:v>14000</c:v>
                </c:pt>
                <c:pt idx="22">
                  <c:v>14000</c:v>
                </c:pt>
                <c:pt idx="23">
                  <c:v>14000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65-4CA7-B0CB-B2B4566337B1}"/>
            </c:ext>
          </c:extLst>
        </c:ser>
        <c:ser>
          <c:idx val="4"/>
          <c:order val="4"/>
          <c:tx>
            <c:strRef>
              <c:f>'Supply Porfolio (Live)'!$E$12</c:f>
              <c:strCache>
                <c:ptCount val="1"/>
                <c:pt idx="0">
                  <c:v>Propane Air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Quo)'!$G$12:$AI$12</c15:sqref>
                  </c15:fullRef>
                </c:ext>
              </c:extLst>
              <c:f>'Supply Porfolio (Status Quo)'!$G$12:$AD$12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65-4CA7-B0CB-B2B4566337B1}"/>
            </c:ext>
          </c:extLst>
        </c:ser>
        <c:ser>
          <c:idx val="5"/>
          <c:order val="5"/>
          <c:tx>
            <c:strRef>
              <c:f>'Supply Porfolio (Live)'!$E$13</c:f>
              <c:strCache>
                <c:ptCount val="1"/>
                <c:pt idx="0">
                  <c:v>Exist. WWTP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0.39359290667706265"/>
                  <c:y val="-3.62793258510419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65-4CA7-B0CB-B2B4566337B1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Quo)'!$G$13:$AI$13</c15:sqref>
                  </c15:fullRef>
                </c:ext>
              </c:extLst>
              <c:f>'Supply Porfolio (Status Quo)'!$G$13:$AD$13</c:f>
              <c:numCache>
                <c:formatCode>#,##0</c:formatCode>
                <c:ptCount val="24"/>
                <c:pt idx="0">
                  <c:v>2191.7808219178082</c:v>
                </c:pt>
                <c:pt idx="1">
                  <c:v>2191.7808219178082</c:v>
                </c:pt>
                <c:pt idx="2">
                  <c:v>2191.7808219178082</c:v>
                </c:pt>
                <c:pt idx="3">
                  <c:v>2191.7808219178082</c:v>
                </c:pt>
                <c:pt idx="4">
                  <c:v>2191.7808219178082</c:v>
                </c:pt>
                <c:pt idx="5">
                  <c:v>2191.7808219178082</c:v>
                </c:pt>
                <c:pt idx="6">
                  <c:v>2191.7808219178082</c:v>
                </c:pt>
                <c:pt idx="7">
                  <c:v>2191.7808219178082</c:v>
                </c:pt>
                <c:pt idx="8">
                  <c:v>2191.7808219178082</c:v>
                </c:pt>
                <c:pt idx="9">
                  <c:v>2191.7808219178082</c:v>
                </c:pt>
                <c:pt idx="10">
                  <c:v>2191.7808219178082</c:v>
                </c:pt>
                <c:pt idx="11">
                  <c:v>2191.7808219178082</c:v>
                </c:pt>
                <c:pt idx="12">
                  <c:v>2191.7808219178082</c:v>
                </c:pt>
                <c:pt idx="13">
                  <c:v>2191.7808219178082</c:v>
                </c:pt>
                <c:pt idx="14">
                  <c:v>2191.7808219178082</c:v>
                </c:pt>
                <c:pt idx="15">
                  <c:v>2191.7808219178082</c:v>
                </c:pt>
                <c:pt idx="16">
                  <c:v>2191.7808219178082</c:v>
                </c:pt>
                <c:pt idx="17">
                  <c:v>2191.7808219178082</c:v>
                </c:pt>
                <c:pt idx="18">
                  <c:v>2191.7808219178082</c:v>
                </c:pt>
                <c:pt idx="19">
                  <c:v>2191.7808219178082</c:v>
                </c:pt>
                <c:pt idx="20">
                  <c:v>2191.7808219178082</c:v>
                </c:pt>
                <c:pt idx="21">
                  <c:v>2191.7808219178082</c:v>
                </c:pt>
                <c:pt idx="22">
                  <c:v>2191.7808219178082</c:v>
                </c:pt>
                <c:pt idx="23">
                  <c:v>2191.7808219178082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65-4CA7-B0CB-B2B456633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647104"/>
        <c:axId val="921646448"/>
        <c:extLst>
          <c:ext xmlns:c15="http://schemas.microsoft.com/office/drawing/2012/chart" uri="{02D57815-91ED-43cb-92C2-25804820EDAC}">
            <c15:filteredArea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'Supply Porfolio (Live)'!$E$10</c15:sqref>
                        </c15:formulaRef>
                      </c:ext>
                    </c:extLst>
                    <c:strCache>
                      <c:ptCount val="1"/>
                      <c:pt idx="0">
                        <c:v>SNG Additional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'Supply Porfolio (Live)'!$G$10:$AI$10</c15:sqref>
                        </c15:fullRef>
                        <c15:formulaRef>
                          <c15:sqref>'Supply Porfolio (Live)'!$G$10:$AD$10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2-7565-4CA7-B0CB-B2B4566337B1}"/>
                  </c:ext>
                </c:extLst>
              </c15:ser>
            </c15:filteredAreaSeries>
            <c15:filteredArea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(Live)'!$E$34</c15:sqref>
                        </c15:formulaRef>
                      </c:ext>
                    </c:extLst>
                    <c:strCache>
                      <c:ptCount val="1"/>
                      <c:pt idx="0">
                        <c:v>WWTP Expansion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(Live)'!$G$34:$AI$34</c15:sqref>
                        </c15:fullRef>
                        <c15:formulaRef>
                          <c15:sqref>'Supply Porfolio (Live)'!$G$34:$AD$34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2157.4700878889521</c:v>
                      </c:pt>
                      <c:pt idx="4">
                        <c:v>2157.4700878889521</c:v>
                      </c:pt>
                      <c:pt idx="5">
                        <c:v>2157.4700878889521</c:v>
                      </c:pt>
                      <c:pt idx="6">
                        <c:v>2157.4700878889521</c:v>
                      </c:pt>
                      <c:pt idx="7">
                        <c:v>2157.4700878889521</c:v>
                      </c:pt>
                      <c:pt idx="8">
                        <c:v>2157.4700878889521</c:v>
                      </c:pt>
                      <c:pt idx="9">
                        <c:v>2157.4700878889521</c:v>
                      </c:pt>
                      <c:pt idx="10">
                        <c:v>2157.4700878889521</c:v>
                      </c:pt>
                      <c:pt idx="11">
                        <c:v>2157.4700878889521</c:v>
                      </c:pt>
                      <c:pt idx="12">
                        <c:v>2157.4700878889521</c:v>
                      </c:pt>
                      <c:pt idx="13">
                        <c:v>2157.4700878889521</c:v>
                      </c:pt>
                      <c:pt idx="14">
                        <c:v>2157.4700878889521</c:v>
                      </c:pt>
                      <c:pt idx="15">
                        <c:v>2157.4700878889521</c:v>
                      </c:pt>
                      <c:pt idx="16">
                        <c:v>2157.4700878889521</c:v>
                      </c:pt>
                      <c:pt idx="17">
                        <c:v>2157.4700878889521</c:v>
                      </c:pt>
                      <c:pt idx="18">
                        <c:v>2157.4700878889521</c:v>
                      </c:pt>
                      <c:pt idx="19">
                        <c:v>2157.4700878889521</c:v>
                      </c:pt>
                      <c:pt idx="20">
                        <c:v>2157.4700878889521</c:v>
                      </c:pt>
                      <c:pt idx="21">
                        <c:v>2157.4700878889521</c:v>
                      </c:pt>
                      <c:pt idx="22">
                        <c:v>2157.4700878889521</c:v>
                      </c:pt>
                      <c:pt idx="23">
                        <c:v>2157.4700878889521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565-4CA7-B0CB-B2B4566337B1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(Live)'!$E$35</c15:sqref>
                        </c15:formulaRef>
                      </c:ext>
                    </c:extLst>
                    <c:strCache>
                      <c:ptCount val="1"/>
                      <c:pt idx="0">
                        <c:v>BioCrop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dLbls>
                  <c:dLbl>
                    <c:idx val="0"/>
                    <c:layout>
                      <c:manualLayout>
                        <c:x val="0.40554484322712503"/>
                        <c:y val="8.592471912088867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9-7565-4CA7-B0CB-B2B4566337B1}"/>
                      </c:ext>
                    </c:extLst>
                  </c:dLbl>
                  <c:spPr>
                    <a:solidFill>
                      <a:schemeClr val="bg1"/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5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1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(Live)'!$G$35:$AI$35</c15:sqref>
                        </c15:fullRef>
                        <c15:formulaRef>
                          <c15:sqref>'Supply Porfolio (Live)'!$G$35:$AD$35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3235.7296497163575</c:v>
                      </c:pt>
                      <c:pt idx="9">
                        <c:v>3235.7296497163575</c:v>
                      </c:pt>
                      <c:pt idx="10">
                        <c:v>3235.7296497163575</c:v>
                      </c:pt>
                      <c:pt idx="11">
                        <c:v>3235.7296497163575</c:v>
                      </c:pt>
                      <c:pt idx="12">
                        <c:v>3235.7296497163575</c:v>
                      </c:pt>
                      <c:pt idx="13">
                        <c:v>3235.7296497163575</c:v>
                      </c:pt>
                      <c:pt idx="14">
                        <c:v>3235.7296497163575</c:v>
                      </c:pt>
                      <c:pt idx="15">
                        <c:v>3235.7296497163575</c:v>
                      </c:pt>
                      <c:pt idx="16">
                        <c:v>3235.7296497163575</c:v>
                      </c:pt>
                      <c:pt idx="17">
                        <c:v>3235.7296497163575</c:v>
                      </c:pt>
                      <c:pt idx="18">
                        <c:v>3235.7296497163575</c:v>
                      </c:pt>
                      <c:pt idx="19">
                        <c:v>3235.7296497163575</c:v>
                      </c:pt>
                      <c:pt idx="20">
                        <c:v>3235.7296497163575</c:v>
                      </c:pt>
                      <c:pt idx="21">
                        <c:v>3235.7296497163575</c:v>
                      </c:pt>
                      <c:pt idx="22">
                        <c:v>3235.7296497163575</c:v>
                      </c:pt>
                      <c:pt idx="23">
                        <c:v>3235.7296497163575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7565-4CA7-B0CB-B2B4566337B1}"/>
                  </c:ext>
                </c:extLst>
              </c15:ser>
            </c15:filteredAreaSeries>
            <c15:filteredArea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(Live)'!$E$36</c15:sqref>
                        </c15:formulaRef>
                      </c:ext>
                    </c:extLst>
                    <c:strCache>
                      <c:ptCount val="1"/>
                      <c:pt idx="0">
                        <c:v>LFG Exp. 3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dLbls>
                  <c:dLbl>
                    <c:idx val="0"/>
                    <c:layout>
                      <c:manualLayout>
                        <c:x val="0.40872346828884004"/>
                        <c:y val="4.7735955067160322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B-7565-4CA7-B0CB-B2B4566337B1}"/>
                      </c:ext>
                    </c:extLst>
                  </c:dLbl>
                  <c:spPr>
                    <a:solidFill>
                      <a:schemeClr val="bg1"/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1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(Live)'!$G$36:$AI$36</c15:sqref>
                        </c15:fullRef>
                        <c15:formulaRef>
                          <c15:sqref>'Supply Porfolio (Live)'!$G$36:$AD$36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4168.3048437784746</c:v>
                      </c:pt>
                      <c:pt idx="14">
                        <c:v>4071.2055052998276</c:v>
                      </c:pt>
                      <c:pt idx="15">
                        <c:v>3978.0169867506083</c:v>
                      </c:pt>
                      <c:pt idx="16">
                        <c:v>3888.5817740554357</c:v>
                      </c:pt>
                      <c:pt idx="17">
                        <c:v>3802.7486972520292</c:v>
                      </c:pt>
                      <c:pt idx="18">
                        <c:v>3720.3726749726393</c:v>
                      </c:pt>
                      <c:pt idx="19">
                        <c:v>3641.3144692168717</c:v>
                      </c:pt>
                      <c:pt idx="20">
                        <c:v>3565.4404500013898</c:v>
                      </c:pt>
                      <c:pt idx="21">
                        <c:v>3492.6223694887103</c:v>
                      </c:pt>
                      <c:pt idx="22">
                        <c:v>3422.7371452132993</c:v>
                      </c:pt>
                      <c:pt idx="23">
                        <c:v>3355.6666520385406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7565-4CA7-B0CB-B2B4566337B1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(Live)'!$E$37</c15:sqref>
                        </c15:formulaRef>
                      </c:ext>
                    </c:extLst>
                    <c:strCache>
                      <c:ptCount val="1"/>
                      <c:pt idx="0">
                        <c:v>CDW Exp. 1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dLbls>
                  <c:dLbl>
                    <c:idx val="0"/>
                    <c:layout>
                      <c:manualLayout>
                        <c:x val="0.40546877516567309"/>
                        <c:y val="-3.8188764053728457E-3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7565-4CA7-B0CB-B2B4566337B1}"/>
                      </c:ext>
                    </c:extLst>
                  </c:dLbl>
                  <c:spPr>
                    <a:solidFill>
                      <a:schemeClr val="bg1"/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1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(Live)'!$G$37:$AI$37</c15:sqref>
                        </c15:fullRef>
                        <c15:formulaRef>
                          <c15:sqref>'Supply Porfolio (Live)'!$G$37:$AD$37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15616.438356164384</c:v>
                      </c:pt>
                      <c:pt idx="19">
                        <c:v>15616.438356164384</c:v>
                      </c:pt>
                      <c:pt idx="20">
                        <c:v>15616.438356164384</c:v>
                      </c:pt>
                      <c:pt idx="21">
                        <c:v>15616.438356164384</c:v>
                      </c:pt>
                      <c:pt idx="22">
                        <c:v>15616.438356164384</c:v>
                      </c:pt>
                      <c:pt idx="23">
                        <c:v>15616.438356164384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7565-4CA7-B0CB-B2B4566337B1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(Live)'!$E$38</c15:sqref>
                        </c15:formulaRef>
                      </c:ext>
                    </c:extLst>
                    <c:strCache>
                      <c:ptCount val="1"/>
                      <c:pt idx="0">
                        <c:v>CDW Exp. 2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(Live)'!$G$38:$AI$38</c15:sqref>
                        </c15:fullRef>
                        <c15:formulaRef>
                          <c15:sqref>'Supply Porfolio (Live)'!$G$38:$AD$38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7565-4CA7-B0CB-B2B4566337B1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(Live)'!$E$39</c15:sqref>
                        </c15:formulaRef>
                      </c:ext>
                    </c:extLst>
                    <c:strCache>
                      <c:ptCount val="1"/>
                      <c:pt idx="0">
                        <c:v>CDW Exp. 3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(Live)'!$G$39:$AI$39</c15:sqref>
                        </c15:fullRef>
                        <c15:formulaRef>
                          <c15:sqref>'Supply Porfolio (Live)'!$G$39:$AD$39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7565-4CA7-B0CB-B2B4566337B1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(Live)'!$E$40</c15:sqref>
                        </c15:formulaRef>
                      </c:ext>
                    </c:extLst>
                    <c:strCache>
                      <c:ptCount val="1"/>
                      <c:pt idx="0">
                        <c:v>CDW Exp. 4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(Live)'!$G$40:$AI$40</c15:sqref>
                        </c15:fullRef>
                        <c15:formulaRef>
                          <c15:sqref>'Supply Porfolio (Live)'!$G$40:$AD$40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7565-4CA7-B0CB-B2B4566337B1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(Live)'!$E$41</c15:sqref>
                        </c15:formulaRef>
                      </c:ext>
                    </c:extLst>
                    <c:strCache>
                      <c:ptCount val="1"/>
                      <c:pt idx="0">
                        <c:v>CDW Exp. 5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(Live)'!$G$41:$AI$41</c15:sqref>
                        </c15:fullRef>
                        <c15:formulaRef>
                          <c15:sqref>'Supply Porfolio (Live)'!$G$41:$AD$41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7565-4CA7-B0CB-B2B4566337B1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(Live)'!$E$42</c15:sqref>
                        </c15:formulaRef>
                      </c:ext>
                    </c:extLst>
                    <c:strCache>
                      <c:ptCount val="1"/>
                      <c:pt idx="0">
                        <c:v>LNG ISO Exp 1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(Live)'!$G$42:$AI$42</c15:sqref>
                        </c15:fullRef>
                        <c15:formulaRef>
                          <c15:sqref>'Supply Porfolio (Live)'!$G$42:$AD$42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7565-4CA7-B0CB-B2B4566337B1}"/>
                  </c:ext>
                </c:extLst>
              </c15:ser>
            </c15:filteredAreaSeries>
            <c15:filteredArea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(Live)'!$E$43</c15:sqref>
                        </c15:formulaRef>
                      </c:ext>
                    </c:extLst>
                    <c:strCache>
                      <c:ptCount val="1"/>
                      <c:pt idx="0">
                        <c:v>LNG ISO Exp 2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(Live)'!$G$43:$AI$43</c15:sqref>
                        </c15:fullRef>
                        <c15:formulaRef>
                          <c15:sqref>'Supply Porfolio (Live)'!$G$43:$AD$43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7565-4CA7-B0CB-B2B4566337B1}"/>
                  </c:ext>
                </c:extLst>
              </c15:ser>
            </c15:filteredAreaSeries>
            <c15:filteredArea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(Live)'!$E$44</c15:sqref>
                        </c15:formulaRef>
                      </c:ext>
                    </c:extLst>
                    <c:strCache>
                      <c:ptCount val="1"/>
                      <c:pt idx="0">
                        <c:v>LNG ISO Exp 3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(Live)'!$G$44:$AI$44</c15:sqref>
                        </c15:fullRef>
                        <c15:formulaRef>
                          <c15:sqref>'Supply Porfolio (Live)'!$G$44:$AD$44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7565-4CA7-B0CB-B2B4566337B1}"/>
                  </c:ext>
                </c:extLst>
              </c15:ser>
            </c15:filteredAreaSeries>
            <c15:filteredArea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(Live)'!$E$45</c15:sqref>
                        </c15:formulaRef>
                      </c:ext>
                    </c:extLst>
                    <c:strCache>
                      <c:ptCount val="1"/>
                      <c:pt idx="0">
                        <c:v>LNG ISO Exp 4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(Live)'!$G$45:$AI$45</c15:sqref>
                        </c15:fullRef>
                        <c15:formulaRef>
                          <c15:sqref>'Supply Porfolio (Live)'!$G$45:$AD$45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7565-4CA7-B0CB-B2B4566337B1}"/>
                  </c:ext>
                </c:extLst>
              </c15:ser>
            </c15:filteredAreaSeries>
            <c15:filteredArea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(Live)'!$E$46</c15:sqref>
                        </c15:formulaRef>
                      </c:ext>
                    </c:extLst>
                    <c:strCache>
                      <c:ptCount val="1"/>
                      <c:pt idx="0">
                        <c:v>LNG ISO Exp 5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(Live)'!$G$46:$AI$46</c15:sqref>
                        </c15:fullRef>
                        <c15:formulaRef>
                          <c15:sqref>'Supply Porfolio (Live)'!$G$46:$AD$46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7565-4CA7-B0CB-B2B4566337B1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(Live)'!$E$47</c15:sqref>
                        </c15:formulaRef>
                      </c:ext>
                    </c:extLst>
                    <c:strCache>
                      <c:ptCount val="1"/>
                      <c:pt idx="0">
                        <c:v>Green Hydrogen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(Live)'!$G$47:$AI$47</c15:sqref>
                        </c15:fullRef>
                        <c15:formulaRef>
                          <c15:sqref>'Supply Porfolio (Live)'!$G$47:$AD$47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7565-4CA7-B0CB-B2B4566337B1}"/>
                  </c:ext>
                </c:extLst>
              </c15:ser>
            </c15:filteredAreaSeries>
          </c:ext>
        </c:extLst>
      </c:areaChart>
      <c:catAx>
        <c:axId val="92164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646448"/>
        <c:crosses val="autoZero"/>
        <c:auto val="1"/>
        <c:lblAlgn val="ctr"/>
        <c:lblOffset val="100"/>
        <c:noMultiLvlLbl val="0"/>
      </c:catAx>
      <c:valAx>
        <c:axId val="9216464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>
                    <a:solidFill>
                      <a:sysClr val="windowText" lastClr="000000"/>
                    </a:solidFill>
                  </a:rPr>
                  <a:t>Therms/Day</a:t>
                </a:r>
              </a:p>
            </c:rich>
          </c:tx>
          <c:layout>
            <c:manualLayout>
              <c:xMode val="edge"/>
              <c:yMode val="edge"/>
              <c:x val="2.184698832987417E-3"/>
              <c:y val="0.29756745090450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6471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2649794566074"/>
          <c:y val="0.74613086928602501"/>
          <c:w val="0.79430813574102366"/>
          <c:h val="6.49411960690831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>
                <a:solidFill>
                  <a:sysClr val="windowText" lastClr="000000"/>
                </a:solidFill>
              </a:rPr>
              <a:t>Total Emissions </a:t>
            </a:r>
            <a:r>
              <a:rPr lang="en-US" sz="2400" baseline="0">
                <a:solidFill>
                  <a:sysClr val="windowText" lastClr="000000"/>
                </a:solidFill>
              </a:rPr>
              <a:t> </a:t>
            </a:r>
            <a:endParaRPr lang="en-US" sz="24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6147902248999806"/>
          <c:y val="1.3393465826700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630913656872306"/>
          <c:y val="9.1736954741686139E-2"/>
          <c:w val="0.86525605263609051"/>
          <c:h val="0.8218334585047377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(Live)'!$G$102:$AI$102</c15:sqref>
                  </c15:fullRef>
                </c:ext>
              </c:extLst>
              <c:f>'Supply Porfolio (Live)'!$G$102:$AD$102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Quo)'!$G$124:$AI$124</c15:sqref>
                  </c15:fullRef>
                </c:ext>
              </c:extLst>
              <c:f>'Supply Porfolio (Status Quo)'!$G$124:$AD$124</c:f>
              <c:numCache>
                <c:formatCode>#,##0</c:formatCode>
                <c:ptCount val="24"/>
                <c:pt idx="0">
                  <c:v>187346.44430513994</c:v>
                </c:pt>
                <c:pt idx="1">
                  <c:v>190325.5860261723</c:v>
                </c:pt>
                <c:pt idx="2">
                  <c:v>191475.30339899307</c:v>
                </c:pt>
                <c:pt idx="3">
                  <c:v>194115.87939825375</c:v>
                </c:pt>
                <c:pt idx="4">
                  <c:v>194991.9994291364</c:v>
                </c:pt>
                <c:pt idx="5">
                  <c:v>195788.59746220859</c:v>
                </c:pt>
                <c:pt idx="6">
                  <c:v>196686.12741385942</c:v>
                </c:pt>
                <c:pt idx="7">
                  <c:v>197673.24543319148</c:v>
                </c:pt>
                <c:pt idx="8">
                  <c:v>198689.77365965297</c:v>
                </c:pt>
                <c:pt idx="9">
                  <c:v>199668.0840171515</c:v>
                </c:pt>
                <c:pt idx="10">
                  <c:v>200739.20011913864</c:v>
                </c:pt>
                <c:pt idx="11">
                  <c:v>201908.83626521146</c:v>
                </c:pt>
                <c:pt idx="12">
                  <c:v>203180.24436342064</c:v>
                </c:pt>
                <c:pt idx="13">
                  <c:v>204434.87336835003</c:v>
                </c:pt>
                <c:pt idx="14">
                  <c:v>205632.64874883794</c:v>
                </c:pt>
                <c:pt idx="15">
                  <c:v>206925.97248914692</c:v>
                </c:pt>
                <c:pt idx="16">
                  <c:v>208226.26257424324</c:v>
                </c:pt>
                <c:pt idx="17">
                  <c:v>209721.40287005954</c:v>
                </c:pt>
                <c:pt idx="18">
                  <c:v>210994.33810888685</c:v>
                </c:pt>
                <c:pt idx="19">
                  <c:v>212424.39078834763</c:v>
                </c:pt>
                <c:pt idx="20">
                  <c:v>214007.32255219104</c:v>
                </c:pt>
                <c:pt idx="21">
                  <c:v>215405.8773130207</c:v>
                </c:pt>
                <c:pt idx="22">
                  <c:v>216777.21642478509</c:v>
                </c:pt>
                <c:pt idx="23">
                  <c:v>218472.96905932494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40-480A-8D18-C27780766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6344728"/>
        <c:axId val="926340464"/>
      </c:lineChart>
      <c:catAx>
        <c:axId val="926344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0464"/>
        <c:crosses val="autoZero"/>
        <c:auto val="1"/>
        <c:lblAlgn val="ctr"/>
        <c:lblOffset val="100"/>
        <c:noMultiLvlLbl val="0"/>
      </c:catAx>
      <c:valAx>
        <c:axId val="926340464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>
                    <a:solidFill>
                      <a:sysClr val="windowText" lastClr="000000"/>
                    </a:solidFill>
                  </a:rPr>
                  <a:t>Tonns (CO2</a:t>
                </a:r>
                <a:r>
                  <a:rPr lang="en-US" sz="1800" baseline="0">
                    <a:solidFill>
                      <a:sysClr val="windowText" lastClr="000000"/>
                    </a:solidFill>
                  </a:rPr>
                  <a:t> Equivalent)</a:t>
                </a:r>
                <a:endParaRPr lang="en-US" sz="18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0577722530584241E-2"/>
              <c:y val="0.32419057289834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4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Monthly</a:t>
            </a:r>
            <a:r>
              <a:rPr lang="en-US" baseline="0">
                <a:solidFill>
                  <a:sysClr val="windowText" lastClr="000000"/>
                </a:solidFill>
              </a:rPr>
              <a:t> Bill Impacts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1015568317643336"/>
          <c:y val="1.14801135657428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728380002310782E-2"/>
          <c:y val="0.14558697353622901"/>
          <c:w val="0.90033825713185855"/>
          <c:h val="0.7145978984763236"/>
        </c:manualLayout>
      </c:layout>
      <c:lineChart>
        <c:grouping val="standard"/>
        <c:varyColors val="0"/>
        <c:ser>
          <c:idx val="0"/>
          <c:order val="0"/>
          <c:tx>
            <c:strRef>
              <c:f>'Supply Porfolio (Live)'!$E$137</c:f>
              <c:strCache>
                <c:ptCount val="1"/>
                <c:pt idx="0">
                  <c:v>Rate 20 - -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(Live)'!$G$136:$AD$136</c15:sqref>
                  </c15:fullRef>
                </c:ext>
              </c:extLst>
              <c:f>'Supply Porfolio (Live)'!$H$136:$AD$136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Quo)'!$G$137:$AD$137</c15:sqref>
                  </c15:fullRef>
                </c:ext>
              </c:extLst>
              <c:f>'Supply Porfolio (Status Quo)'!$H$137:$AD$137</c:f>
              <c:numCache>
                <c:formatCode>_("$"* #,##0.00_);_("$"* \(#,##0.00\);_("$"* "-"??_);_(@_)</c:formatCode>
                <c:ptCount val="23"/>
                <c:pt idx="0">
                  <c:v>69.735326759921975</c:v>
                </c:pt>
                <c:pt idx="1">
                  <c:v>65.544236554220049</c:v>
                </c:pt>
                <c:pt idx="2">
                  <c:v>66.578212229075262</c:v>
                </c:pt>
                <c:pt idx="3">
                  <c:v>67.080180019900325</c:v>
                </c:pt>
                <c:pt idx="4">
                  <c:v>67.741103567177547</c:v>
                </c:pt>
                <c:pt idx="5">
                  <c:v>68.411479013333278</c:v>
                </c:pt>
                <c:pt idx="6">
                  <c:v>68.964379507994337</c:v>
                </c:pt>
                <c:pt idx="7">
                  <c:v>69.51671155016021</c:v>
                </c:pt>
                <c:pt idx="8">
                  <c:v>70.166806175139129</c:v>
                </c:pt>
                <c:pt idx="9">
                  <c:v>70.707541703853281</c:v>
                </c:pt>
                <c:pt idx="10">
                  <c:v>71.139420060844301</c:v>
                </c:pt>
                <c:pt idx="11">
                  <c:v>71.439934944360616</c:v>
                </c:pt>
                <c:pt idx="12">
                  <c:v>71.813823562213258</c:v>
                </c:pt>
                <c:pt idx="13">
                  <c:v>72.315514786855289</c:v>
                </c:pt>
                <c:pt idx="14">
                  <c:v>72.717358243915697</c:v>
                </c:pt>
                <c:pt idx="15">
                  <c:v>73.147857572166572</c:v>
                </c:pt>
                <c:pt idx="16">
                  <c:v>73.348610859134183</c:v>
                </c:pt>
                <c:pt idx="17">
                  <c:v>73.893776006054878</c:v>
                </c:pt>
                <c:pt idx="18">
                  <c:v>74.259293401671499</c:v>
                </c:pt>
                <c:pt idx="19">
                  <c:v>74.459667536733193</c:v>
                </c:pt>
                <c:pt idx="20">
                  <c:v>74.945557565292347</c:v>
                </c:pt>
                <c:pt idx="21">
                  <c:v>75.492470491119505</c:v>
                </c:pt>
                <c:pt idx="22">
                  <c:v>75.681944590844552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7D-464D-B91F-17E0193E8A42}"/>
            </c:ext>
          </c:extLst>
        </c:ser>
        <c:ser>
          <c:idx val="1"/>
          <c:order val="1"/>
          <c:tx>
            <c:strRef>
              <c:f>'Supply Porfolio (Live)'!$E$138</c:f>
              <c:strCache>
                <c:ptCount val="1"/>
                <c:pt idx="0">
                  <c:v>Rate 30 - - Multi Family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(Live)'!$G$136:$AD$136</c15:sqref>
                  </c15:fullRef>
                </c:ext>
              </c:extLst>
              <c:f>'Supply Porfolio (Live)'!$H$136:$AD$136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Quo)'!$G$138:$AD$138</c15:sqref>
                  </c15:fullRef>
                </c:ext>
              </c:extLst>
              <c:f>'Supply Porfolio (Status Quo)'!$H$138:$AD$138</c:f>
              <c:numCache>
                <c:formatCode>_("$"* #,##0.00_);_("$"* \(#,##0.00\);_("$"* "-"??_);_(@_)</c:formatCode>
                <c:ptCount val="23"/>
                <c:pt idx="0">
                  <c:v>1925.885433023793</c:v>
                </c:pt>
                <c:pt idx="1">
                  <c:v>1736.5453190331089</c:v>
                </c:pt>
                <c:pt idx="2">
                  <c:v>1774.3440942931718</c:v>
                </c:pt>
                <c:pt idx="3">
                  <c:v>1789.9183925747284</c:v>
                </c:pt>
                <c:pt idx="4">
                  <c:v>1813.1183416143065</c:v>
                </c:pt>
                <c:pt idx="5">
                  <c:v>1835.7189060152666</c:v>
                </c:pt>
                <c:pt idx="6">
                  <c:v>1853.5753840066504</c:v>
                </c:pt>
                <c:pt idx="7">
                  <c:v>1871.5503738401173</c:v>
                </c:pt>
                <c:pt idx="8">
                  <c:v>1893.6934820056101</c:v>
                </c:pt>
                <c:pt idx="9">
                  <c:v>1911.451347358427</c:v>
                </c:pt>
                <c:pt idx="10">
                  <c:v>1924.8543754198543</c:v>
                </c:pt>
                <c:pt idx="11">
                  <c:v>1932.9486798045602</c:v>
                </c:pt>
                <c:pt idx="12">
                  <c:v>1944.2086353597706</c:v>
                </c:pt>
                <c:pt idx="13">
                  <c:v>1960.8682095942979</c:v>
                </c:pt>
                <c:pt idx="14">
                  <c:v>1973.551428112982</c:v>
                </c:pt>
                <c:pt idx="15">
                  <c:v>1987.5360345835932</c:v>
                </c:pt>
                <c:pt idx="16">
                  <c:v>1992.2198025236421</c:v>
                </c:pt>
                <c:pt idx="17">
                  <c:v>2011.1537749887711</c:v>
                </c:pt>
                <c:pt idx="18">
                  <c:v>2022.8428486113621</c:v>
                </c:pt>
                <c:pt idx="19">
                  <c:v>2027.8814517632798</c:v>
                </c:pt>
                <c:pt idx="20">
                  <c:v>2044.7338931355166</c:v>
                </c:pt>
                <c:pt idx="21">
                  <c:v>2064.1839756711956</c:v>
                </c:pt>
                <c:pt idx="22">
                  <c:v>2069.1671193937773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7D-464D-B91F-17E0193E8A42}"/>
            </c:ext>
          </c:extLst>
        </c:ser>
        <c:ser>
          <c:idx val="2"/>
          <c:order val="2"/>
          <c:tx>
            <c:strRef>
              <c:f>'Supply Porfolio (Live)'!$E$139</c:f>
              <c:strCache>
                <c:ptCount val="1"/>
                <c:pt idx="0">
                  <c:v>Rate 50 - - 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(Live)'!$G$136:$AD$136</c15:sqref>
                  </c15:fullRef>
                </c:ext>
              </c:extLst>
              <c:f>'Supply Porfolio (Live)'!$H$136:$AD$136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Quo)'!$G$139:$AD$139</c15:sqref>
                  </c15:fullRef>
                </c:ext>
              </c:extLst>
              <c:f>'Supply Porfolio (Status Quo)'!$H$139:$AD$139</c:f>
              <c:numCache>
                <c:formatCode>_("$"* #,##0.00_);_("$"* \(#,##0.00\);_("$"* "-"??_);_(@_)</c:formatCode>
                <c:ptCount val="23"/>
                <c:pt idx="0">
                  <c:v>2025.0023190623556</c:v>
                </c:pt>
                <c:pt idx="1">
                  <c:v>1825.7060172313923</c:v>
                </c:pt>
                <c:pt idx="2">
                  <c:v>1865.3948450585906</c:v>
                </c:pt>
                <c:pt idx="3">
                  <c:v>1881.7125234053406</c:v>
                </c:pt>
                <c:pt idx="4">
                  <c:v>1906.0638555430924</c:v>
                </c:pt>
                <c:pt idx="5">
                  <c:v>1929.7707735246722</c:v>
                </c:pt>
                <c:pt idx="6">
                  <c:v>1948.4909148505442</c:v>
                </c:pt>
                <c:pt idx="7">
                  <c:v>1967.3378140949426</c:v>
                </c:pt>
                <c:pt idx="8">
                  <c:v>1990.569577195284</c:v>
                </c:pt>
                <c:pt idx="9">
                  <c:v>2009.1921723189073</c:v>
                </c:pt>
                <c:pt idx="10">
                  <c:v>2023.2376673589952</c:v>
                </c:pt>
                <c:pt idx="11">
                  <c:v>2031.7027190456126</c:v>
                </c:pt>
                <c:pt idx="12">
                  <c:v>2043.4985418372555</c:v>
                </c:pt>
                <c:pt idx="13">
                  <c:v>2060.9740417179464</c:v>
                </c:pt>
                <c:pt idx="14">
                  <c:v>2074.2704741975385</c:v>
                </c:pt>
                <c:pt idx="15">
                  <c:v>2088.9371339744803</c:v>
                </c:pt>
                <c:pt idx="16">
                  <c:v>2093.8263576515737</c:v>
                </c:pt>
                <c:pt idx="17">
                  <c:v>2113.7006807050047</c:v>
                </c:pt>
                <c:pt idx="18">
                  <c:v>2125.9592786696039</c:v>
                </c:pt>
                <c:pt idx="19">
                  <c:v>2131.2271020382814</c:v>
                </c:pt>
                <c:pt idx="20">
                  <c:v>2148.9180784355503</c:v>
                </c:pt>
                <c:pt idx="21">
                  <c:v>2169.3418242054322</c:v>
                </c:pt>
                <c:pt idx="22">
                  <c:v>2174.5570413248738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7D-464D-B91F-17E0193E8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259928"/>
        <c:axId val="1053261896"/>
      </c:lineChart>
      <c:catAx>
        <c:axId val="105325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61896"/>
        <c:crosses val="autoZero"/>
        <c:auto val="1"/>
        <c:lblAlgn val="ctr"/>
        <c:lblOffset val="100"/>
        <c:noMultiLvlLbl val="0"/>
      </c:catAx>
      <c:valAx>
        <c:axId val="105326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5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91240291572841"/>
          <c:y val="7.6089801003831975E-2"/>
          <c:w val="0.74536721324998489"/>
          <c:h val="4.38520752715792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COSS Fuel 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3255705968496617E-2"/>
          <c:y val="7.5124426431113292E-2"/>
          <c:w val="0.93603939655144253"/>
          <c:h val="0.8778883382925282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(Live)'!$G$102:$AI$102</c15:sqref>
                  </c15:fullRef>
                </c:ext>
              </c:extLst>
              <c:f>'Supply Porfolio (Live)'!$G$102:$AD$102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Quo)'!$G$76:$AI$76</c15:sqref>
                  </c15:fullRef>
                </c:ext>
              </c:extLst>
              <c:f>'Supply Porfolio (Status Quo)'!$G$76:$AD$76</c:f>
              <c:numCache>
                <c:formatCode>#,##0.00</c:formatCode>
                <c:ptCount val="24"/>
                <c:pt idx="0">
                  <c:v>2.866395486343015</c:v>
                </c:pt>
                <c:pt idx="1">
                  <c:v>2.5688336671134255</c:v>
                </c:pt>
                <c:pt idx="2">
                  <c:v>2.1122061440888533</c:v>
                </c:pt>
                <c:pt idx="3">
                  <c:v>2.1882798409434958</c:v>
                </c:pt>
                <c:pt idx="4">
                  <c:v>2.217668220797874</c:v>
                </c:pt>
                <c:pt idx="5">
                  <c:v>2.2641402949706393</c:v>
                </c:pt>
                <c:pt idx="6">
                  <c:v>2.2998769999862461</c:v>
                </c:pt>
                <c:pt idx="7">
                  <c:v>2.326224765868508</c:v>
                </c:pt>
                <c:pt idx="8">
                  <c:v>2.3537262415356497</c:v>
                </c:pt>
                <c:pt idx="9">
                  <c:v>2.3910595632929503</c:v>
                </c:pt>
                <c:pt idx="10">
                  <c:v>2.4198171921047753</c:v>
                </c:pt>
                <c:pt idx="11">
                  <c:v>2.4400758873434025</c:v>
                </c:pt>
                <c:pt idx="12">
                  <c:v>2.4497091722327018</c:v>
                </c:pt>
                <c:pt idx="13">
                  <c:v>2.4669930612080067</c:v>
                </c:pt>
                <c:pt idx="14">
                  <c:v>2.4966976633202149</c:v>
                </c:pt>
                <c:pt idx="15">
                  <c:v>2.5186971225049493</c:v>
                </c:pt>
                <c:pt idx="16">
                  <c:v>2.5442657231094006</c:v>
                </c:pt>
                <c:pt idx="17">
                  <c:v>2.5507352822228686</c:v>
                </c:pt>
                <c:pt idx="18">
                  <c:v>2.588413037523841</c:v>
                </c:pt>
                <c:pt idx="19">
                  <c:v>2.6113705404776733</c:v>
                </c:pt>
                <c:pt idx="20">
                  <c:v>2.6208466216261326</c:v>
                </c:pt>
                <c:pt idx="21">
                  <c:v>2.6562610616853091</c:v>
                </c:pt>
                <c:pt idx="22">
                  <c:v>2.6978954282105141</c:v>
                </c:pt>
                <c:pt idx="23">
                  <c:v>2.7094635433952421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83-47E9-B492-BE7D3C248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950672"/>
        <c:axId val="1053951000"/>
      </c:lineChart>
      <c:catAx>
        <c:axId val="105395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951000"/>
        <c:crosses val="autoZero"/>
        <c:auto val="1"/>
        <c:lblAlgn val="ctr"/>
        <c:lblOffset val="100"/>
        <c:noMultiLvlLbl val="0"/>
      </c:catAx>
      <c:valAx>
        <c:axId val="1053951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95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Monthly</a:t>
            </a:r>
            <a:r>
              <a:rPr lang="en-US" baseline="0">
                <a:solidFill>
                  <a:sysClr val="windowText" lastClr="000000"/>
                </a:solidFill>
              </a:rPr>
              <a:t> Bill Impacts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1015568317643336"/>
          <c:y val="1.14801135657428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728380002310782E-2"/>
          <c:y val="0.14558697353622901"/>
          <c:w val="0.88841412430516598"/>
          <c:h val="0.7145978984763236"/>
        </c:manualLayout>
      </c:layout>
      <c:lineChart>
        <c:grouping val="standard"/>
        <c:varyColors val="0"/>
        <c:ser>
          <c:idx val="0"/>
          <c:order val="0"/>
          <c:tx>
            <c:strRef>
              <c:f>'Supply Porfolio (Live)'!$E$137</c:f>
              <c:strCache>
                <c:ptCount val="1"/>
                <c:pt idx="0">
                  <c:v>Rate 20 - -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(Live)'!$G$136:$AD$136</c15:sqref>
                  </c15:fullRef>
                </c:ext>
              </c:extLst>
              <c:f>'Supply Porfolio (Live)'!$H$136:$AD$136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Quo)'!$G$137:$AD$137</c15:sqref>
                  </c15:fullRef>
                </c:ext>
              </c:extLst>
              <c:f>'Supply Porfolio (Status Quo)'!$H$137:$AD$137</c:f>
              <c:numCache>
                <c:formatCode>_("$"* #,##0.00_);_("$"* \(#,##0.00\);_("$"* "-"??_);_(@_)</c:formatCode>
                <c:ptCount val="23"/>
                <c:pt idx="0">
                  <c:v>69.735326759921975</c:v>
                </c:pt>
                <c:pt idx="1">
                  <c:v>65.544236554220049</c:v>
                </c:pt>
                <c:pt idx="2">
                  <c:v>66.578212229075262</c:v>
                </c:pt>
                <c:pt idx="3">
                  <c:v>67.080180019900325</c:v>
                </c:pt>
                <c:pt idx="4">
                  <c:v>67.741103567177547</c:v>
                </c:pt>
                <c:pt idx="5">
                  <c:v>68.411479013333278</c:v>
                </c:pt>
                <c:pt idx="6">
                  <c:v>68.964379507994337</c:v>
                </c:pt>
                <c:pt idx="7">
                  <c:v>69.51671155016021</c:v>
                </c:pt>
                <c:pt idx="8">
                  <c:v>70.166806175139129</c:v>
                </c:pt>
                <c:pt idx="9">
                  <c:v>70.707541703853281</c:v>
                </c:pt>
                <c:pt idx="10">
                  <c:v>71.139420060844301</c:v>
                </c:pt>
                <c:pt idx="11">
                  <c:v>71.439934944360616</c:v>
                </c:pt>
                <c:pt idx="12">
                  <c:v>71.813823562213258</c:v>
                </c:pt>
                <c:pt idx="13">
                  <c:v>72.315514786855289</c:v>
                </c:pt>
                <c:pt idx="14">
                  <c:v>72.717358243915697</c:v>
                </c:pt>
                <c:pt idx="15">
                  <c:v>73.147857572166572</c:v>
                </c:pt>
                <c:pt idx="16">
                  <c:v>73.348610859134183</c:v>
                </c:pt>
                <c:pt idx="17">
                  <c:v>73.893776006054878</c:v>
                </c:pt>
                <c:pt idx="18">
                  <c:v>74.259293401671499</c:v>
                </c:pt>
                <c:pt idx="19">
                  <c:v>74.459667536733193</c:v>
                </c:pt>
                <c:pt idx="20">
                  <c:v>74.945557565292347</c:v>
                </c:pt>
                <c:pt idx="21">
                  <c:v>75.492470491119505</c:v>
                </c:pt>
                <c:pt idx="22">
                  <c:v>75.681944590844552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6-4390-AA24-4ED4A1F92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259928"/>
        <c:axId val="1053261896"/>
      </c:lineChart>
      <c:catAx>
        <c:axId val="105325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61896"/>
        <c:crosses val="autoZero"/>
        <c:auto val="1"/>
        <c:lblAlgn val="ctr"/>
        <c:lblOffset val="100"/>
        <c:noMultiLvlLbl val="0"/>
      </c:catAx>
      <c:valAx>
        <c:axId val="10532618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5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48720634298512"/>
          <c:y val="9.3309971352446272E-2"/>
          <c:w val="0.74536721324998489"/>
          <c:h val="4.38520752715792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WTI - Delivered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89190110851011"/>
          <c:y val="0.13597281253860874"/>
          <c:w val="0.87888542939830572"/>
          <c:h val="0.61080772601468025"/>
        </c:manualLayout>
      </c:layout>
      <c:lineChart>
        <c:grouping val="standard"/>
        <c:varyColors val="0"/>
        <c:ser>
          <c:idx val="1"/>
          <c:order val="0"/>
          <c:tx>
            <c:v>WTI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'10. Indices-Forecast'!$N$5:$N$33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'10. Indices-Forecast'!$Q$5:$Q$33</c:f>
              <c:numCache>
                <c:formatCode>#,##0.0</c:formatCode>
                <c:ptCount val="29"/>
                <c:pt idx="0">
                  <c:v>95.265188042430097</c:v>
                </c:pt>
                <c:pt idx="1">
                  <c:v>84.190402575522782</c:v>
                </c:pt>
                <c:pt idx="2">
                  <c:v>66.338410241999995</c:v>
                </c:pt>
                <c:pt idx="3">
                  <c:v>67.125860339999988</c:v>
                </c:pt>
                <c:pt idx="4">
                  <c:v>68.428384189999989</c:v>
                </c:pt>
                <c:pt idx="5">
                  <c:v>70.372870148999993</c:v>
                </c:pt>
                <c:pt idx="6">
                  <c:v>71.794520410999993</c:v>
                </c:pt>
                <c:pt idx="7">
                  <c:v>72.849779906999999</c:v>
                </c:pt>
                <c:pt idx="8">
                  <c:v>73.969844643999991</c:v>
                </c:pt>
                <c:pt idx="9">
                  <c:v>75.517646993</c:v>
                </c:pt>
                <c:pt idx="10">
                  <c:v>76.731425419999994</c:v>
                </c:pt>
                <c:pt idx="11">
                  <c:v>77.552136255999997</c:v>
                </c:pt>
                <c:pt idx="12">
                  <c:v>77.970457908</c:v>
                </c:pt>
                <c:pt idx="13">
                  <c:v>78.711315595999992</c:v>
                </c:pt>
                <c:pt idx="14">
                  <c:v>79.970404700999993</c:v>
                </c:pt>
                <c:pt idx="15">
                  <c:v>80.892155631999998</c:v>
                </c:pt>
                <c:pt idx="16">
                  <c:v>81.961394924999993</c:v>
                </c:pt>
                <c:pt idx="17">
                  <c:v>82.228968923999986</c:v>
                </c:pt>
                <c:pt idx="18">
                  <c:v>83.793598671999987</c:v>
                </c:pt>
                <c:pt idx="19">
                  <c:v>84.750745523999981</c:v>
                </c:pt>
                <c:pt idx="20">
                  <c:v>85.154645617</c:v>
                </c:pt>
                <c:pt idx="21">
                  <c:v>86.632460835999993</c:v>
                </c:pt>
                <c:pt idx="22">
                  <c:v>88.411402188999986</c:v>
                </c:pt>
                <c:pt idx="23">
                  <c:v>88.897733411999994</c:v>
                </c:pt>
                <c:pt idx="24">
                  <c:v>90.187242911999988</c:v>
                </c:pt>
                <c:pt idx="25">
                  <c:v>90.134669085999988</c:v>
                </c:pt>
                <c:pt idx="26">
                  <c:v>90.259325818999997</c:v>
                </c:pt>
                <c:pt idx="27">
                  <c:v>90.576632263999983</c:v>
                </c:pt>
                <c:pt idx="28">
                  <c:v>90.29125712299998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4-4753-8F3A-09D3FEFCC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318264"/>
        <c:axId val="1234319904"/>
      </c:lineChart>
      <c:catAx>
        <c:axId val="12343182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9904"/>
        <c:crosses val="autoZero"/>
        <c:auto val="1"/>
        <c:lblAlgn val="ctr"/>
        <c:lblOffset val="100"/>
        <c:noMultiLvlLbl val="0"/>
      </c:catAx>
      <c:valAx>
        <c:axId val="123431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$/bbl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8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Henry Hub - Delivered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89190110851011"/>
          <c:y val="0.13597281253860874"/>
          <c:w val="0.87888542939830572"/>
          <c:h val="0.61080772601468025"/>
        </c:manualLayout>
      </c:layout>
      <c:lineChart>
        <c:grouping val="standard"/>
        <c:varyColors val="0"/>
        <c:ser>
          <c:idx val="1"/>
          <c:order val="0"/>
          <c:tx>
            <c:v>Henry Hub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'10. Indices-Forecast'!$N$5:$N$33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'10. Indices-Forecast'!$R$5:$R$33</c:f>
              <c:numCache>
                <c:formatCode>#,##0.0</c:formatCode>
                <c:ptCount val="29"/>
                <c:pt idx="0">
                  <c:v>6.0270009643201545</c:v>
                </c:pt>
                <c:pt idx="1">
                  <c:v>4.6339898464967417</c:v>
                </c:pt>
                <c:pt idx="2">
                  <c:v>3.2922727849999998</c:v>
                </c:pt>
                <c:pt idx="3">
                  <c:v>3.1118658949999998</c:v>
                </c:pt>
                <c:pt idx="4">
                  <c:v>3.0883249579999994</c:v>
                </c:pt>
                <c:pt idx="5">
                  <c:v>3.1893370539999997</c:v>
                </c:pt>
                <c:pt idx="6">
                  <c:v>3.366926415</c:v>
                </c:pt>
                <c:pt idx="7">
                  <c:v>3.4891845669999997</c:v>
                </c:pt>
                <c:pt idx="8">
                  <c:v>3.587659124</c:v>
                </c:pt>
                <c:pt idx="9">
                  <c:v>3.6749620799999998</c:v>
                </c:pt>
                <c:pt idx="10">
                  <c:v>3.7097461709999999</c:v>
                </c:pt>
                <c:pt idx="11">
                  <c:v>3.7806769710000001</c:v>
                </c:pt>
                <c:pt idx="12">
                  <c:v>3.7747743669999996</c:v>
                </c:pt>
                <c:pt idx="13">
                  <c:v>3.7725064479999997</c:v>
                </c:pt>
                <c:pt idx="14">
                  <c:v>3.7827603039999995</c:v>
                </c:pt>
                <c:pt idx="15">
                  <c:v>3.800654776</c:v>
                </c:pt>
                <c:pt idx="16">
                  <c:v>3.8202125959999997</c:v>
                </c:pt>
                <c:pt idx="17">
                  <c:v>3.8213678139999998</c:v>
                </c:pt>
                <c:pt idx="18">
                  <c:v>3.8581979059999996</c:v>
                </c:pt>
                <c:pt idx="19">
                  <c:v>3.8644769409999995</c:v>
                </c:pt>
                <c:pt idx="20">
                  <c:v>3.8408717099999996</c:v>
                </c:pt>
                <c:pt idx="21">
                  <c:v>3.8445416529999998</c:v>
                </c:pt>
                <c:pt idx="22">
                  <c:v>3.7800132909999999</c:v>
                </c:pt>
                <c:pt idx="23">
                  <c:v>3.7482696839999998</c:v>
                </c:pt>
                <c:pt idx="24">
                  <c:v>3.7363711459999998</c:v>
                </c:pt>
                <c:pt idx="25">
                  <c:v>3.7299375979999998</c:v>
                </c:pt>
                <c:pt idx="26">
                  <c:v>3.755083811</c:v>
                </c:pt>
                <c:pt idx="27">
                  <c:v>3.7306956449999999</c:v>
                </c:pt>
                <c:pt idx="28">
                  <c:v>3.723197098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37-44D0-8E2E-0C509A818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318264"/>
        <c:axId val="1234319904"/>
      </c:lineChart>
      <c:catAx>
        <c:axId val="12343182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9904"/>
        <c:crosses val="autoZero"/>
        <c:auto val="1"/>
        <c:lblAlgn val="ctr"/>
        <c:lblOffset val="100"/>
        <c:noMultiLvlLbl val="0"/>
      </c:catAx>
      <c:valAx>
        <c:axId val="123431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$/mmbtu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8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SNG Firm - Delivered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89190110851011"/>
          <c:y val="0.13597281253860874"/>
          <c:w val="0.87888542939830572"/>
          <c:h val="0.61080772601468025"/>
        </c:manualLayout>
      </c:layout>
      <c:lineChart>
        <c:grouping val="standard"/>
        <c:varyColors val="0"/>
        <c:ser>
          <c:idx val="0"/>
          <c:order val="0"/>
          <c:tx>
            <c:v>Reference Case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SNG Firm'!$K$15:$K$43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'2. SNG Firm'!$L$15:$L$43</c:f>
              <c:numCache>
                <c:formatCode>#,##0.00</c:formatCode>
                <c:ptCount val="29"/>
                <c:pt idx="0">
                  <c:v>2.9635545750415564</c:v>
                </c:pt>
                <c:pt idx="1">
                  <c:v>2.6310348086233697</c:v>
                </c:pt>
                <c:pt idx="2">
                  <c:v>2.0950298143433348</c:v>
                </c:pt>
                <c:pt idx="3">
                  <c:v>2.1186729560940578</c:v>
                </c:pt>
                <c:pt idx="4">
                  <c:v>2.1577811562167883</c:v>
                </c:pt>
                <c:pt idx="5">
                  <c:v>2.2161642299857727</c:v>
                </c:pt>
                <c:pt idx="6">
                  <c:v>2.2588491934517609</c:v>
                </c:pt>
                <c:pt idx="7">
                  <c:v>2.2905332962426463</c:v>
                </c:pt>
                <c:pt idx="8">
                  <c:v>2.3241631724902168</c:v>
                </c:pt>
                <c:pt idx="9">
                  <c:v>2.37063584476806</c:v>
                </c:pt>
                <c:pt idx="10">
                  <c:v>2.4070794689118853</c:v>
                </c:pt>
                <c:pt idx="11">
                  <c:v>2.4317212623171898</c:v>
                </c:pt>
                <c:pt idx="12">
                  <c:v>2.4442813447157481</c:v>
                </c:pt>
                <c:pt idx="13">
                  <c:v>2.4665255521632869</c:v>
                </c:pt>
                <c:pt idx="14">
                  <c:v>2.5043296266842177</c:v>
                </c:pt>
                <c:pt idx="15">
                  <c:v>2.5320051428545058</c:v>
                </c:pt>
                <c:pt idx="16">
                  <c:v>2.5641089882080719</c:v>
                </c:pt>
                <c:pt idx="17">
                  <c:v>2.5721428814074407</c:v>
                </c:pt>
                <c:pt idx="18">
                  <c:v>2.6191207953264533</c:v>
                </c:pt>
                <c:pt idx="19">
                  <c:v>2.6478590718922588</c:v>
                </c:pt>
                <c:pt idx="20">
                  <c:v>2.6599861478507014</c:v>
                </c:pt>
                <c:pt idx="21">
                  <c:v>2.7043574607668286</c:v>
                </c:pt>
                <c:pt idx="22">
                  <c:v>2.7577700677142754</c:v>
                </c:pt>
                <c:pt idx="23">
                  <c:v>2.7723721333847169</c:v>
                </c:pt>
                <c:pt idx="24">
                  <c:v>2.8110895784327763</c:v>
                </c:pt>
                <c:pt idx="25">
                  <c:v>2.8095110524745559</c:v>
                </c:pt>
                <c:pt idx="26">
                  <c:v>2.813253863372652</c:v>
                </c:pt>
                <c:pt idx="27">
                  <c:v>2.8227809702669266</c:v>
                </c:pt>
                <c:pt idx="28">
                  <c:v>2.8142125988514777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FE-450E-94F8-C78925CEDAD1}"/>
            </c:ext>
          </c:extLst>
        </c:ser>
        <c:ser>
          <c:idx val="2"/>
          <c:order val="1"/>
          <c:tx>
            <c:v>Low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SNG Firm'!$K$15:$K$43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'2. SNG Firm'!$M$15:$M$43</c:f>
              <c:numCache>
                <c:formatCode>#,##0.00</c:formatCode>
                <c:ptCount val="29"/>
                <c:pt idx="0">
                  <c:v>2.9635545750415564</c:v>
                </c:pt>
                <c:pt idx="1">
                  <c:v>2.6310348086233697</c:v>
                </c:pt>
                <c:pt idx="2">
                  <c:v>1.9577355124208136</c:v>
                </c:pt>
                <c:pt idx="3">
                  <c:v>1.9566289127308634</c:v>
                </c:pt>
                <c:pt idx="4">
                  <c:v>1.977592003979008</c:v>
                </c:pt>
                <c:pt idx="5">
                  <c:v>1.9886060351239578</c:v>
                </c:pt>
                <c:pt idx="6">
                  <c:v>1.9728650507382668</c:v>
                </c:pt>
                <c:pt idx="7">
                  <c:v>1.9733704480587495</c:v>
                </c:pt>
                <c:pt idx="8">
                  <c:v>1.9526947408216977</c:v>
                </c:pt>
                <c:pt idx="9">
                  <c:v>1.9754970897408342</c:v>
                </c:pt>
                <c:pt idx="10">
                  <c:v>1.9975032635193806</c:v>
                </c:pt>
                <c:pt idx="11">
                  <c:v>2.0076194920684642</c:v>
                </c:pt>
                <c:pt idx="12">
                  <c:v>2.0199420389718301</c:v>
                </c:pt>
                <c:pt idx="13">
                  <c:v>2.032151874052861</c:v>
                </c:pt>
                <c:pt idx="14">
                  <c:v>2.0466471437148459</c:v>
                </c:pt>
                <c:pt idx="15">
                  <c:v>2.0771240468439673</c:v>
                </c:pt>
                <c:pt idx="16">
                  <c:v>2.1034102496925917</c:v>
                </c:pt>
                <c:pt idx="17">
                  <c:v>2.1147638485542242</c:v>
                </c:pt>
                <c:pt idx="18">
                  <c:v>2.1735429082227826</c:v>
                </c:pt>
                <c:pt idx="19">
                  <c:v>2.1942148168846067</c:v>
                </c:pt>
                <c:pt idx="20">
                  <c:v>2.2032988604551709</c:v>
                </c:pt>
                <c:pt idx="21">
                  <c:v>2.2373185577015371</c:v>
                </c:pt>
                <c:pt idx="22">
                  <c:v>2.2686067057287098</c:v>
                </c:pt>
                <c:pt idx="23">
                  <c:v>2.2918580960571608</c:v>
                </c:pt>
                <c:pt idx="24">
                  <c:v>2.3193870557225513</c:v>
                </c:pt>
                <c:pt idx="25">
                  <c:v>2.3141298587430339</c:v>
                </c:pt>
                <c:pt idx="26">
                  <c:v>2.3265317709599724</c:v>
                </c:pt>
                <c:pt idx="27">
                  <c:v>2.3587643942409353</c:v>
                </c:pt>
                <c:pt idx="28">
                  <c:v>2.3693718532930532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FE-450E-94F8-C78925CEDAD1}"/>
            </c:ext>
          </c:extLst>
        </c:ser>
        <c:ser>
          <c:idx val="3"/>
          <c:order val="2"/>
          <c:tx>
            <c:v>High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'2. SNG Firm'!$K$15:$K$43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'2. SNG Firm'!$N$15:$N$43</c:f>
              <c:numCache>
                <c:formatCode>#,##0.00</c:formatCode>
                <c:ptCount val="29"/>
                <c:pt idx="0">
                  <c:v>2.9635545750415564</c:v>
                </c:pt>
                <c:pt idx="1">
                  <c:v>2.6310348086233697</c:v>
                </c:pt>
                <c:pt idx="2">
                  <c:v>2.2323844575674263</c:v>
                </c:pt>
                <c:pt idx="3">
                  <c:v>2.3084142484595822</c:v>
                </c:pt>
                <c:pt idx="4">
                  <c:v>2.3704878560134852</c:v>
                </c:pt>
                <c:pt idx="5">
                  <c:v>2.4468095767526616</c:v>
                </c:pt>
                <c:pt idx="6">
                  <c:v>2.5073032572345313</c:v>
                </c:pt>
                <c:pt idx="7">
                  <c:v>2.6884811910584725</c:v>
                </c:pt>
                <c:pt idx="8">
                  <c:v>2.7544892818801667</c:v>
                </c:pt>
                <c:pt idx="9">
                  <c:v>2.8208268835349477</c:v>
                </c:pt>
                <c:pt idx="10">
                  <c:v>2.8860237605944525</c:v>
                </c:pt>
                <c:pt idx="11">
                  <c:v>2.9304554148121502</c:v>
                </c:pt>
                <c:pt idx="12">
                  <c:v>2.9676005299386321</c:v>
                </c:pt>
                <c:pt idx="13">
                  <c:v>2.9810224530118425</c:v>
                </c:pt>
                <c:pt idx="14">
                  <c:v>3.0276716033584692</c:v>
                </c:pt>
                <c:pt idx="15">
                  <c:v>3.0410928414427039</c:v>
                </c:pt>
                <c:pt idx="16">
                  <c:v>3.0842410131354558</c:v>
                </c:pt>
                <c:pt idx="17">
                  <c:v>3.107263648281946</c:v>
                </c:pt>
                <c:pt idx="18">
                  <c:v>3.0636361088497823</c:v>
                </c:pt>
                <c:pt idx="19">
                  <c:v>3.0725933360522877</c:v>
                </c:pt>
                <c:pt idx="20">
                  <c:v>3.0954038425674062</c:v>
                </c:pt>
                <c:pt idx="21">
                  <c:v>3.1436048977097943</c:v>
                </c:pt>
                <c:pt idx="22">
                  <c:v>3.1821610589899825</c:v>
                </c:pt>
                <c:pt idx="23">
                  <c:v>3.2327361613780683</c:v>
                </c:pt>
                <c:pt idx="24">
                  <c:v>3.2759907554489249</c:v>
                </c:pt>
                <c:pt idx="25">
                  <c:v>3.3077870096166202</c:v>
                </c:pt>
                <c:pt idx="26">
                  <c:v>3.3644428525479713</c:v>
                </c:pt>
                <c:pt idx="27">
                  <c:v>3.3797015112873101</c:v>
                </c:pt>
                <c:pt idx="28">
                  <c:v>3.4056158273939525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FE-450E-94F8-C78925CED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318264"/>
        <c:axId val="1234319904"/>
      </c:lineChart>
      <c:catAx>
        <c:axId val="12343182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9904"/>
        <c:crosses val="autoZero"/>
        <c:auto val="1"/>
        <c:lblAlgn val="ctr"/>
        <c:lblOffset val="100"/>
        <c:noMultiLvlLbl val="0"/>
      </c:catAx>
      <c:valAx>
        <c:axId val="123431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$/therm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8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>
                <a:solidFill>
                  <a:sysClr val="windowText" lastClr="000000"/>
                </a:solidFill>
              </a:rPr>
              <a:t>COSS Fuel Rate (Status</a:t>
            </a:r>
            <a:r>
              <a:rPr lang="en-US" sz="2800" baseline="0">
                <a:solidFill>
                  <a:sysClr val="windowText" lastClr="000000"/>
                </a:solidFill>
              </a:rPr>
              <a:t> Quo)</a:t>
            </a:r>
            <a:endParaRPr lang="en-US" sz="280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306005644299569E-2"/>
          <c:y val="9.5494750656167984E-2"/>
          <c:w val="0.87990218634362405"/>
          <c:h val="0.8056660834062409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'Supply Porfolio (Status Quo)'!$G$76:$AI$76</c:f>
              <c:numCache>
                <c:formatCode>#,##0.00</c:formatCode>
                <c:ptCount val="29"/>
                <c:pt idx="0">
                  <c:v>2.866395486343015</c:v>
                </c:pt>
                <c:pt idx="1">
                  <c:v>2.5688336671134255</c:v>
                </c:pt>
                <c:pt idx="2">
                  <c:v>2.1122061440888533</c:v>
                </c:pt>
                <c:pt idx="3">
                  <c:v>2.1882798409434958</c:v>
                </c:pt>
                <c:pt idx="4">
                  <c:v>2.217668220797874</c:v>
                </c:pt>
                <c:pt idx="5">
                  <c:v>2.2641402949706393</c:v>
                </c:pt>
                <c:pt idx="6">
                  <c:v>2.2998769999862461</c:v>
                </c:pt>
                <c:pt idx="7">
                  <c:v>2.326224765868508</c:v>
                </c:pt>
                <c:pt idx="8">
                  <c:v>2.3537262415356497</c:v>
                </c:pt>
                <c:pt idx="9">
                  <c:v>2.3910595632929503</c:v>
                </c:pt>
                <c:pt idx="10">
                  <c:v>2.4198171921047753</c:v>
                </c:pt>
                <c:pt idx="11">
                  <c:v>2.4400758873434025</c:v>
                </c:pt>
                <c:pt idx="12">
                  <c:v>2.4497091722327018</c:v>
                </c:pt>
                <c:pt idx="13">
                  <c:v>2.4669930612080067</c:v>
                </c:pt>
                <c:pt idx="14">
                  <c:v>2.4966976633202149</c:v>
                </c:pt>
                <c:pt idx="15">
                  <c:v>2.5186971225049493</c:v>
                </c:pt>
                <c:pt idx="16">
                  <c:v>2.5442657231094006</c:v>
                </c:pt>
                <c:pt idx="17">
                  <c:v>2.5507352822228686</c:v>
                </c:pt>
                <c:pt idx="18">
                  <c:v>2.588413037523841</c:v>
                </c:pt>
                <c:pt idx="19">
                  <c:v>2.6113705404776733</c:v>
                </c:pt>
                <c:pt idx="20">
                  <c:v>2.6208466216261326</c:v>
                </c:pt>
                <c:pt idx="21">
                  <c:v>2.6562610616853091</c:v>
                </c:pt>
                <c:pt idx="22">
                  <c:v>2.6978954282105141</c:v>
                </c:pt>
                <c:pt idx="23">
                  <c:v>2.7094635433952421</c:v>
                </c:pt>
                <c:pt idx="24">
                  <c:v>2.7400266790271832</c:v>
                </c:pt>
                <c:pt idx="25">
                  <c:v>2.7386746655569909</c:v>
                </c:pt>
                <c:pt idx="26">
                  <c:v>2.7420318649633466</c:v>
                </c:pt>
                <c:pt idx="27">
                  <c:v>2.7492238494338226</c:v>
                </c:pt>
                <c:pt idx="28">
                  <c:v>2.7423049263481296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19B-416D-8275-C6ED8071E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950672"/>
        <c:axId val="1053951000"/>
      </c:lineChart>
      <c:catAx>
        <c:axId val="105395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951000"/>
        <c:crosses val="autoZero"/>
        <c:auto val="1"/>
        <c:lblAlgn val="ctr"/>
        <c:lblOffset val="100"/>
        <c:noMultiLvlLbl val="0"/>
      </c:catAx>
      <c:valAx>
        <c:axId val="1053951000"/>
        <c:scaling>
          <c:orientation val="minMax"/>
          <c:max val="4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>
                    <a:solidFill>
                      <a:sysClr val="windowText" lastClr="000000"/>
                    </a:solidFill>
                  </a:rPr>
                  <a:t>2022$/Therm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95067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SNG Interruptible - Delivered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89190110851011"/>
          <c:y val="0.13597281253860874"/>
          <c:w val="0.87888542939830572"/>
          <c:h val="0.61080772601468025"/>
        </c:manualLayout>
      </c:layout>
      <c:lineChart>
        <c:grouping val="standard"/>
        <c:varyColors val="0"/>
        <c:ser>
          <c:idx val="3"/>
          <c:order val="0"/>
          <c:tx>
            <c:v>SNG Interruptible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'3. SNG Interruptible'!$L$15:$L$43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'3. SNG Interruptible'!$M$15:$M$43</c:f>
              <c:numCache>
                <c:formatCode>#,##0.00</c:formatCode>
                <c:ptCount val="29"/>
                <c:pt idx="0">
                  <c:v>2.4223354076111954</c:v>
                </c:pt>
                <c:pt idx="1">
                  <c:v>2.1592951540339209</c:v>
                </c:pt>
                <c:pt idx="2">
                  <c:v>1.7352876096619838</c:v>
                </c:pt>
                <c:pt idx="3">
                  <c:v>1.7539905519515926</c:v>
                </c:pt>
                <c:pt idx="4">
                  <c:v>1.784927151565032</c:v>
                </c:pt>
                <c:pt idx="5">
                  <c:v>1.8311111685160746</c:v>
                </c:pt>
                <c:pt idx="6">
                  <c:v>1.8648771720682054</c:v>
                </c:pt>
                <c:pt idx="7">
                  <c:v>1.889940928494648</c:v>
                </c:pt>
                <c:pt idx="8">
                  <c:v>1.9165438918950499</c:v>
                </c:pt>
                <c:pt idx="9">
                  <c:v>1.953306168111147</c:v>
                </c:pt>
                <c:pt idx="10">
                  <c:v>1.9821349509511148</c:v>
                </c:pt>
                <c:pt idx="11">
                  <c:v>2.0016278781107548</c:v>
                </c:pt>
                <c:pt idx="12">
                  <c:v>2.0115635498894755</c:v>
                </c:pt>
                <c:pt idx="13">
                  <c:v>2.0291598631271905</c:v>
                </c:pt>
                <c:pt idx="14">
                  <c:v>2.0590648322523459</c:v>
                </c:pt>
                <c:pt idx="15">
                  <c:v>2.0809575902971691</c:v>
                </c:pt>
                <c:pt idx="16">
                  <c:v>2.1063533846993203</c:v>
                </c:pt>
                <c:pt idx="17">
                  <c:v>2.1127086078102284</c:v>
                </c:pt>
                <c:pt idx="18">
                  <c:v>2.1498705561746694</c:v>
                </c:pt>
                <c:pt idx="19">
                  <c:v>2.1726040124039643</c:v>
                </c:pt>
                <c:pt idx="20">
                  <c:v>2.1821971537970932</c:v>
                </c:pt>
                <c:pt idx="21">
                  <c:v>2.2172971465786837</c:v>
                </c:pt>
                <c:pt idx="22">
                  <c:v>2.2595492683909257</c:v>
                </c:pt>
                <c:pt idx="23">
                  <c:v>2.2711002540603751</c:v>
                </c:pt>
                <c:pt idx="24">
                  <c:v>2.3017277462934165</c:v>
                </c:pt>
                <c:pt idx="25">
                  <c:v>2.30047905099689</c:v>
                </c:pt>
                <c:pt idx="26">
                  <c:v>2.3034398070996982</c:v>
                </c:pt>
                <c:pt idx="27">
                  <c:v>2.3109762391149187</c:v>
                </c:pt>
                <c:pt idx="28">
                  <c:v>2.304198216219794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C0-4A7C-851F-08F24A9A8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318264"/>
        <c:axId val="1234319904"/>
      </c:lineChart>
      <c:catAx>
        <c:axId val="12343182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9904"/>
        <c:crosses val="autoZero"/>
        <c:auto val="1"/>
        <c:lblAlgn val="ctr"/>
        <c:lblOffset val="100"/>
        <c:noMultiLvlLbl val="0"/>
      </c:catAx>
      <c:valAx>
        <c:axId val="123431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$/therm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8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LNG</a:t>
            </a:r>
            <a:r>
              <a:rPr lang="en-US" baseline="0"/>
              <a:t> ISO - Delivered Cost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89190110851011"/>
          <c:y val="0.13597281253860874"/>
          <c:w val="0.87888542939830572"/>
          <c:h val="0.61080772601468025"/>
        </c:manualLayout>
      </c:layout>
      <c:lineChart>
        <c:grouping val="standard"/>
        <c:varyColors val="0"/>
        <c:ser>
          <c:idx val="3"/>
          <c:order val="0"/>
          <c:tx>
            <c:v>LNG - ISO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'6. LNG- ISO'!$M$14:$M$42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'6. LNG- ISO'!$P$14:$P$42</c:f>
              <c:numCache>
                <c:formatCode>0.00</c:formatCode>
                <c:ptCount val="29"/>
                <c:pt idx="0">
                  <c:v>3.0884701060752171</c:v>
                </c:pt>
                <c:pt idx="1">
                  <c:v>2.939252002746624</c:v>
                </c:pt>
                <c:pt idx="2">
                  <c:v>2.8050802965969499</c:v>
                </c:pt>
                <c:pt idx="3">
                  <c:v>2.7870396075969497</c:v>
                </c:pt>
                <c:pt idx="4">
                  <c:v>2.78468551389695</c:v>
                </c:pt>
                <c:pt idx="5">
                  <c:v>2.7947867234969497</c:v>
                </c:pt>
                <c:pt idx="6">
                  <c:v>2.81254565959695</c:v>
                </c:pt>
                <c:pt idx="7">
                  <c:v>2.8247714747969499</c:v>
                </c:pt>
                <c:pt idx="8">
                  <c:v>2.83461893049695</c:v>
                </c:pt>
                <c:pt idx="9">
                  <c:v>2.84334922609695</c:v>
                </c:pt>
                <c:pt idx="10">
                  <c:v>2.8468276351969499</c:v>
                </c:pt>
                <c:pt idx="11">
                  <c:v>2.8539207151969501</c:v>
                </c:pt>
                <c:pt idx="12">
                  <c:v>2.85333045479695</c:v>
                </c:pt>
                <c:pt idx="13">
                  <c:v>2.8531036628969497</c:v>
                </c:pt>
                <c:pt idx="14">
                  <c:v>2.8541290484969499</c:v>
                </c:pt>
                <c:pt idx="15">
                  <c:v>2.8559184956969501</c:v>
                </c:pt>
                <c:pt idx="16">
                  <c:v>2.8578742776969497</c:v>
                </c:pt>
                <c:pt idx="17">
                  <c:v>2.8579897994969499</c:v>
                </c:pt>
                <c:pt idx="18">
                  <c:v>2.8616728086969498</c:v>
                </c:pt>
                <c:pt idx="19">
                  <c:v>2.8623007121969497</c:v>
                </c:pt>
                <c:pt idx="20">
                  <c:v>2.85994018909695</c:v>
                </c:pt>
                <c:pt idx="21">
                  <c:v>2.8603071833969498</c:v>
                </c:pt>
                <c:pt idx="22">
                  <c:v>2.85385434719695</c:v>
                </c:pt>
                <c:pt idx="23">
                  <c:v>2.8506799864969499</c:v>
                </c:pt>
                <c:pt idx="24">
                  <c:v>2.8494901326969497</c:v>
                </c:pt>
                <c:pt idx="25">
                  <c:v>2.84884677789695</c:v>
                </c:pt>
                <c:pt idx="26">
                  <c:v>2.85136139919695</c:v>
                </c:pt>
                <c:pt idx="27">
                  <c:v>2.8489225825969497</c:v>
                </c:pt>
                <c:pt idx="28">
                  <c:v>2.8481727278969498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58-41E9-B5A4-B199DDB63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318264"/>
        <c:axId val="1234319904"/>
      </c:lineChart>
      <c:catAx>
        <c:axId val="12343182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9904"/>
        <c:crosses val="autoZero"/>
        <c:auto val="1"/>
        <c:lblAlgn val="ctr"/>
        <c:lblOffset val="100"/>
        <c:noMultiLvlLbl val="0"/>
      </c:catAx>
      <c:valAx>
        <c:axId val="123431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$/therm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8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LNG</a:t>
            </a:r>
            <a:r>
              <a:rPr lang="en-US" baseline="0"/>
              <a:t> ISO - Expansion Delivered Cost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89190110851011"/>
          <c:y val="0.13597281253860874"/>
          <c:w val="0.87888542939830572"/>
          <c:h val="0.6108077260146802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'5. LNG- ISO_Expansion'!$X$12</c:f>
              <c:strCache>
                <c:ptCount val="1"/>
                <c:pt idx="0">
                  <c:v>LNG ISO Exp 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'5. LNG- ISO_Expansion'!$W$14:$W$42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'5. LNG- ISO_Expansion'!$X$14:$X$42</c:f>
              <c:numCache>
                <c:formatCode>_("$"* #,##0.00_);_("$"* \(#,##0.00\);_("$"* "-"??_);_(@_)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B-4E62-8838-56DDBD6B31EB}"/>
            </c:ext>
          </c:extLst>
        </c:ser>
        <c:ser>
          <c:idx val="0"/>
          <c:order val="1"/>
          <c:tx>
            <c:strRef>
              <c:f>'5. LNG- ISO_Expansion'!$Y$12</c:f>
              <c:strCache>
                <c:ptCount val="1"/>
                <c:pt idx="0">
                  <c:v>LNG ISO Exp 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'5. LNG- ISO_Expansion'!$W$14:$W$42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'5. LNG- ISO_Expansion'!$Y$14:$Y$42</c:f>
              <c:numCache>
                <c:formatCode>_("$"* #,##0.00_);_("$"* \(#,##0.00\);_("$"* "-"??_);_(@_)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B-4E62-8838-56DDBD6B31EB}"/>
            </c:ext>
          </c:extLst>
        </c:ser>
        <c:ser>
          <c:idx val="1"/>
          <c:order val="2"/>
          <c:tx>
            <c:strRef>
              <c:f>'5. LNG- ISO_Expansion'!$Z$12</c:f>
              <c:strCache>
                <c:ptCount val="1"/>
                <c:pt idx="0">
                  <c:v>LNG ISO Exp 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'5. LNG- ISO_Expansion'!$W$14:$W$42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'5. LNG- ISO_Expansion'!$Z$14:$Z$42</c:f>
              <c:numCache>
                <c:formatCode>_("$"* #,##0.00_);_("$"* \(#,##0.00\);_("$"* "-"??_);_(@_)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4B-4E62-8838-56DDBD6B31EB}"/>
            </c:ext>
          </c:extLst>
        </c:ser>
        <c:ser>
          <c:idx val="2"/>
          <c:order val="3"/>
          <c:tx>
            <c:strRef>
              <c:f>'5. LNG- ISO_Expansion'!$AA$12</c:f>
              <c:strCache>
                <c:ptCount val="1"/>
                <c:pt idx="0">
                  <c:v>LNG ISO Exp 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'5. LNG- ISO_Expansion'!$W$14:$W$42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'5. LNG- ISO_Expansion'!$AA$14:$AA$42</c:f>
              <c:numCache>
                <c:formatCode>_("$"* #,##0.00_);_("$"* \(#,##0.00\);_("$"* "-"??_);_(@_)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4B-4E62-8838-56DDBD6B31EB}"/>
            </c:ext>
          </c:extLst>
        </c:ser>
        <c:ser>
          <c:idx val="4"/>
          <c:order val="4"/>
          <c:tx>
            <c:strRef>
              <c:f>'5. LNG- ISO_Expansion'!$AB$12</c:f>
              <c:strCache>
                <c:ptCount val="1"/>
                <c:pt idx="0">
                  <c:v>LNG ISO Exp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'5. LNG- ISO_Expansion'!$W$14:$W$42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'5. LNG- ISO_Expansion'!$AB$14:$AB$42</c:f>
              <c:numCache>
                <c:formatCode>_("$"* #,##0.00_);_("$"* \(#,##0.00\);_("$"* "-"??_);_(@_)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4B-4E62-8838-56DDBD6B3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4318264"/>
        <c:axId val="1234319904"/>
      </c:barChart>
      <c:catAx>
        <c:axId val="12343182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9904"/>
        <c:crosses val="autoZero"/>
        <c:auto val="1"/>
        <c:lblAlgn val="ctr"/>
        <c:lblOffset val="100"/>
        <c:noMultiLvlLbl val="0"/>
      </c:catAx>
      <c:valAx>
        <c:axId val="123431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$/therm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8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LFG Supply</a:t>
            </a:r>
            <a:r>
              <a:rPr lang="en-US" baseline="0"/>
              <a:t> Curve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14063998250218723"/>
                  <c:y val="-7.91203703703703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'8b. RNG S.C.'!$E$4:$E$41</c:f>
              <c:numCache>
                <c:formatCode>#,##0.00</c:formatCode>
                <c:ptCount val="38"/>
                <c:pt idx="0">
                  <c:v>29.007633587786199</c:v>
                </c:pt>
                <c:pt idx="1">
                  <c:v>74.045801526717497</c:v>
                </c:pt>
                <c:pt idx="2">
                  <c:v>87.786259541984705</c:v>
                </c:pt>
                <c:pt idx="3">
                  <c:v>168.702290076335</c:v>
                </c:pt>
                <c:pt idx="4">
                  <c:v>176.335877862595</c:v>
                </c:pt>
                <c:pt idx="5">
                  <c:v>182.44274809160299</c:v>
                </c:pt>
                <c:pt idx="6">
                  <c:v>193.12977099236599</c:v>
                </c:pt>
                <c:pt idx="7">
                  <c:v>209.92366412213701</c:v>
                </c:pt>
                <c:pt idx="8">
                  <c:v>253.43511450381601</c:v>
                </c:pt>
                <c:pt idx="9">
                  <c:v>290.07633587786199</c:v>
                </c:pt>
                <c:pt idx="10">
                  <c:v>291.60305343511402</c:v>
                </c:pt>
                <c:pt idx="11">
                  <c:v>319.84732824427402</c:v>
                </c:pt>
                <c:pt idx="12">
                  <c:v>320.61068702289998</c:v>
                </c:pt>
                <c:pt idx="13">
                  <c:v>364.88549618320599</c:v>
                </c:pt>
                <c:pt idx="14">
                  <c:v>369.46564885496099</c:v>
                </c:pt>
                <c:pt idx="15">
                  <c:v>393.893129770992</c:v>
                </c:pt>
                <c:pt idx="16">
                  <c:v>396.18320610686999</c:v>
                </c:pt>
                <c:pt idx="17">
                  <c:v>440.45801526717503</c:v>
                </c:pt>
                <c:pt idx="18">
                  <c:v>449.61832061068702</c:v>
                </c:pt>
                <c:pt idx="19">
                  <c:v>461.06870229007598</c:v>
                </c:pt>
                <c:pt idx="20">
                  <c:v>474.80916030534303</c:v>
                </c:pt>
                <c:pt idx="21">
                  <c:v>480.91603053435102</c:v>
                </c:pt>
                <c:pt idx="22">
                  <c:v>489.31297709923598</c:v>
                </c:pt>
                <c:pt idx="23">
                  <c:v>513.740458015267</c:v>
                </c:pt>
                <c:pt idx="24">
                  <c:v>525.95419847328196</c:v>
                </c:pt>
                <c:pt idx="25">
                  <c:v>665.64885496183194</c:v>
                </c:pt>
                <c:pt idx="26">
                  <c:v>668.70229007633498</c:v>
                </c:pt>
                <c:pt idx="27">
                  <c:v>674.80916030534297</c:v>
                </c:pt>
                <c:pt idx="28">
                  <c:v>700</c:v>
                </c:pt>
                <c:pt idx="29">
                  <c:v>729.77099236641197</c:v>
                </c:pt>
                <c:pt idx="30">
                  <c:v>742.74809160305301</c:v>
                </c:pt>
                <c:pt idx="31">
                  <c:v>758.77862595419799</c:v>
                </c:pt>
                <c:pt idx="32">
                  <c:v>764.12213740458003</c:v>
                </c:pt>
                <c:pt idx="33">
                  <c:v>766.41221374045801</c:v>
                </c:pt>
                <c:pt idx="34">
                  <c:v>790.83969465648795</c:v>
                </c:pt>
                <c:pt idx="35">
                  <c:v>801.526717557251</c:v>
                </c:pt>
                <c:pt idx="36">
                  <c:v>829.77099236641197</c:v>
                </c:pt>
                <c:pt idx="37">
                  <c:v>851.90839694656495</c:v>
                </c:pt>
              </c:numCache>
            </c:numRef>
          </c:xVal>
          <c:yVal>
            <c:numRef>
              <c:f>'8b. RNG S.C.'!$F$4:$F$41</c:f>
              <c:numCache>
                <c:formatCode>#,##0.00</c:formatCode>
                <c:ptCount val="38"/>
                <c:pt idx="0">
                  <c:v>7.0699000463919699</c:v>
                </c:pt>
                <c:pt idx="1">
                  <c:v>9.2216102231032</c:v>
                </c:pt>
                <c:pt idx="2">
                  <c:v>9.4195942811353301</c:v>
                </c:pt>
                <c:pt idx="3">
                  <c:v>11.3037324448568</c:v>
                </c:pt>
                <c:pt idx="4">
                  <c:v>11.701016405887501</c:v>
                </c:pt>
                <c:pt idx="5">
                  <c:v>12.363594955927599</c:v>
                </c:pt>
                <c:pt idx="6">
                  <c:v>12.760676479271201</c:v>
                </c:pt>
                <c:pt idx="7">
                  <c:v>12.8258614145333</c:v>
                </c:pt>
                <c:pt idx="8">
                  <c:v>12.8892750200328</c:v>
                </c:pt>
                <c:pt idx="9">
                  <c:v>12.9531441103285</c:v>
                </c:pt>
                <c:pt idx="10">
                  <c:v>13.0856395765678</c:v>
                </c:pt>
                <c:pt idx="11">
                  <c:v>13.547855425751701</c:v>
                </c:pt>
                <c:pt idx="12">
                  <c:v>13.779849015224899</c:v>
                </c:pt>
                <c:pt idx="13">
                  <c:v>13.975808696385601</c:v>
                </c:pt>
                <c:pt idx="14">
                  <c:v>14.141250896208501</c:v>
                </c:pt>
                <c:pt idx="15">
                  <c:v>14.437973936147699</c:v>
                </c:pt>
                <c:pt idx="16">
                  <c:v>14.6367171355067</c:v>
                </c:pt>
                <c:pt idx="17">
                  <c:v>14.865825987938001</c:v>
                </c:pt>
                <c:pt idx="18">
                  <c:v>15.0972628737716</c:v>
                </c:pt>
                <c:pt idx="19">
                  <c:v>15.2953987600691</c:v>
                </c:pt>
                <c:pt idx="20">
                  <c:v>15.3939353042891</c:v>
                </c:pt>
                <c:pt idx="21">
                  <c:v>15.758171312892699</c:v>
                </c:pt>
                <c:pt idx="22">
                  <c:v>15.757614609253</c:v>
                </c:pt>
                <c:pt idx="23">
                  <c:v>16.220083505545901</c:v>
                </c:pt>
                <c:pt idx="24">
                  <c:v>16.418168782421599</c:v>
                </c:pt>
                <c:pt idx="25">
                  <c:v>16.740398970941701</c:v>
                </c:pt>
                <c:pt idx="26">
                  <c:v>17.038539074690998</c:v>
                </c:pt>
                <c:pt idx="27">
                  <c:v>17.4027750832946</c:v>
                </c:pt>
                <c:pt idx="28">
                  <c:v>17.434254143646399</c:v>
                </c:pt>
                <c:pt idx="29">
                  <c:v>17.5648770612795</c:v>
                </c:pt>
                <c:pt idx="30">
                  <c:v>17.5971658723799</c:v>
                </c:pt>
                <c:pt idx="31">
                  <c:v>17.596103074522301</c:v>
                </c:pt>
                <c:pt idx="32">
                  <c:v>18.026688035089101</c:v>
                </c:pt>
                <c:pt idx="33">
                  <c:v>18.5569229471553</c:v>
                </c:pt>
                <c:pt idx="34">
                  <c:v>18.621601788199499</c:v>
                </c:pt>
                <c:pt idx="35">
                  <c:v>18.852937455189501</c:v>
                </c:pt>
                <c:pt idx="36">
                  <c:v>18.950512420395501</c:v>
                </c:pt>
                <c:pt idx="37">
                  <c:v>18.9490447471637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85-4058-9ED2-8960CBCB9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301584"/>
        <c:axId val="982302240"/>
      </c:scatterChart>
      <c:valAx>
        <c:axId val="982301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2302240"/>
        <c:crosses val="autoZero"/>
        <c:crossBetween val="midCat"/>
      </c:valAx>
      <c:valAx>
        <c:axId val="98230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2301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Supply</a:t>
            </a:r>
            <a:r>
              <a:rPr lang="en-US" baseline="0"/>
              <a:t> Curve CDW (% of Volume)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'8b. RNG S.C.'!$AA$6:$AA$10</c:f>
              <c:numCache>
                <c:formatCode>0%</c:formatCode>
                <c:ptCount val="5"/>
                <c:pt idx="0">
                  <c:v>0.2</c:v>
                </c:pt>
                <c:pt idx="1">
                  <c:v>0.4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</c:numCache>
            </c:numRef>
          </c:xVal>
          <c:yVal>
            <c:numRef>
              <c:f>'8b. RNG S.C.'!$AC$6:$AC$10</c:f>
              <c:numCache>
                <c:formatCode>#,##0.0</c:formatCode>
                <c:ptCount val="5"/>
                <c:pt idx="0">
                  <c:v>32.232490479396986</c:v>
                </c:pt>
                <c:pt idx="1">
                  <c:v>44.762172472110556</c:v>
                </c:pt>
                <c:pt idx="2">
                  <c:v>57.291854464824119</c:v>
                </c:pt>
                <c:pt idx="3">
                  <c:v>69.82153645753769</c:v>
                </c:pt>
                <c:pt idx="4">
                  <c:v>82.351218450251238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61-4F1B-9E29-9371B179D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833144"/>
        <c:axId val="959831176"/>
      </c:scatterChart>
      <c:valAx>
        <c:axId val="95983314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831176"/>
        <c:crosses val="autoZero"/>
        <c:crossBetween val="midCat"/>
      </c:valAx>
      <c:valAx>
        <c:axId val="959831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$/mmbtu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833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Supply</a:t>
            </a:r>
            <a:r>
              <a:rPr lang="en-US" baseline="0"/>
              <a:t> Curve LFG &amp; WWT (% of Volume)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'8b. RNG S.C.'!$P$6:$P$9</c:f>
              <c:numCache>
                <c:formatCode>0%</c:formatCode>
                <c:ptCount val="4"/>
                <c:pt idx="0">
                  <c:v>0.2</c:v>
                </c:pt>
                <c:pt idx="1">
                  <c:v>0.4</c:v>
                </c:pt>
                <c:pt idx="2">
                  <c:v>1</c:v>
                </c:pt>
              </c:numCache>
            </c:numRef>
          </c:xVal>
          <c:yVal>
            <c:numRef>
              <c:f>'8b. RNG S.C.'!$R$6:$R$9</c:f>
              <c:numCache>
                <c:formatCode>#,##0.0</c:formatCode>
                <c:ptCount val="4"/>
                <c:pt idx="0">
                  <c:v>23.090994019293959</c:v>
                </c:pt>
                <c:pt idx="1">
                  <c:v>27.418993415691112</c:v>
                </c:pt>
                <c:pt idx="2">
                  <c:v>33.506390421256924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D5-4986-B605-D24904620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833144"/>
        <c:axId val="959831176"/>
      </c:scatterChart>
      <c:valAx>
        <c:axId val="95983314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831176"/>
        <c:crosses val="autoZero"/>
        <c:crossBetween val="midCat"/>
      </c:valAx>
      <c:valAx>
        <c:axId val="959831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$/mmbtu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833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US"/>
              <a:t>COSS Fuel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7213804798245665E-2"/>
          <c:y val="0.1285582177848939"/>
          <c:w val="0.88238961810898409"/>
          <c:h val="0.71489252535765402"/>
        </c:manualLayout>
      </c:layout>
      <c:lineChart>
        <c:grouping val="standard"/>
        <c:varyColors val="0"/>
        <c:ser>
          <c:idx val="1"/>
          <c:order val="0"/>
          <c:tx>
            <c:strRef>
              <c:f>'Summary Dashboard'!$C$29</c:f>
              <c:strCache>
                <c:ptCount val="1"/>
                <c:pt idx="0">
                  <c:v>Technically Feasible with Par (Without Offsets)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Quo)'!$G$54:$AI$54</c15:sqref>
                  </c15:fullRef>
                </c:ext>
              </c:extLst>
              <c:f>'Supply Porfolio (Status Quo)'!$G$54:$AD$54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(Live)'!$G$76:$AI$76</c15:sqref>
                  </c15:fullRef>
                </c:ext>
              </c:extLst>
              <c:f>'Supply Porfolio (Live)'!$G$76:$AD$76</c:f>
              <c:numCache>
                <c:formatCode>#,##0.00</c:formatCode>
                <c:ptCount val="24"/>
                <c:pt idx="0">
                  <c:v>2.866395486343015</c:v>
                </c:pt>
                <c:pt idx="1">
                  <c:v>2.5688336671134255</c:v>
                </c:pt>
                <c:pt idx="2">
                  <c:v>2.1122061440888533</c:v>
                </c:pt>
                <c:pt idx="3">
                  <c:v>2.1992082929211691</c:v>
                </c:pt>
                <c:pt idx="4">
                  <c:v>2.2275158954645495</c:v>
                </c:pt>
                <c:pt idx="5">
                  <c:v>2.2724134571940438</c:v>
                </c:pt>
                <c:pt idx="6">
                  <c:v>2.3069957145856441</c:v>
                </c:pt>
                <c:pt idx="7">
                  <c:v>2.3324832211813211</c:v>
                </c:pt>
                <c:pt idx="8">
                  <c:v>2.3834296842647058</c:v>
                </c:pt>
                <c:pt idx="9">
                  <c:v>2.417623622846925</c:v>
                </c:pt>
                <c:pt idx="10">
                  <c:v>2.4439044897677324</c:v>
                </c:pt>
                <c:pt idx="11">
                  <c:v>2.4624544245713564</c:v>
                </c:pt>
                <c:pt idx="12">
                  <c:v>2.4711537184280541</c:v>
                </c:pt>
                <c:pt idx="13">
                  <c:v>2.5392164550816676</c:v>
                </c:pt>
                <c:pt idx="14">
                  <c:v>2.5631401833794909</c:v>
                </c:pt>
                <c:pt idx="15">
                  <c:v>2.5806222561009</c:v>
                </c:pt>
                <c:pt idx="16">
                  <c:v>2.6013569497739559</c:v>
                </c:pt>
                <c:pt idx="17">
                  <c:v>2.6056286410345071</c:v>
                </c:pt>
                <c:pt idx="18">
                  <c:v>2.7970599816523833</c:v>
                </c:pt>
                <c:pt idx="19">
                  <c:v>2.809845651654967</c:v>
                </c:pt>
                <c:pt idx="20">
                  <c:v>2.8137896313043176</c:v>
                </c:pt>
                <c:pt idx="21">
                  <c:v>2.8351977155153363</c:v>
                </c:pt>
                <c:pt idx="22">
                  <c:v>2.8606866336161625</c:v>
                </c:pt>
                <c:pt idx="23">
                  <c:v>2.8665413961349269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41-4242-9006-544543BC1EE3}"/>
            </c:ext>
          </c:extLst>
        </c:ser>
        <c:ser>
          <c:idx val="0"/>
          <c:order val="1"/>
          <c:tx>
            <c:v>Status Quo</c:v>
          </c:tx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Quo)'!$G$54:$AI$54</c15:sqref>
                  </c15:fullRef>
                </c:ext>
              </c:extLst>
              <c:f>'Supply Porfolio (Status Quo)'!$G$54:$AD$54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Quo)'!$G$76:$AI$76</c15:sqref>
                  </c15:fullRef>
                </c:ext>
              </c:extLst>
              <c:f>'Supply Porfolio (Status Quo)'!$G$76:$AD$76</c:f>
              <c:numCache>
                <c:formatCode>#,##0.00</c:formatCode>
                <c:ptCount val="24"/>
                <c:pt idx="0">
                  <c:v>2.866395486343015</c:v>
                </c:pt>
                <c:pt idx="1">
                  <c:v>2.5688336671134255</c:v>
                </c:pt>
                <c:pt idx="2">
                  <c:v>2.1122061440888533</c:v>
                </c:pt>
                <c:pt idx="3">
                  <c:v>2.1882798409434958</c:v>
                </c:pt>
                <c:pt idx="4">
                  <c:v>2.217668220797874</c:v>
                </c:pt>
                <c:pt idx="5">
                  <c:v>2.2641402949706393</c:v>
                </c:pt>
                <c:pt idx="6">
                  <c:v>2.2998769999862461</c:v>
                </c:pt>
                <c:pt idx="7">
                  <c:v>2.326224765868508</c:v>
                </c:pt>
                <c:pt idx="8">
                  <c:v>2.3537262415356497</c:v>
                </c:pt>
                <c:pt idx="9">
                  <c:v>2.3910595632929503</c:v>
                </c:pt>
                <c:pt idx="10">
                  <c:v>2.4198171921047753</c:v>
                </c:pt>
                <c:pt idx="11">
                  <c:v>2.4400758873434025</c:v>
                </c:pt>
                <c:pt idx="12">
                  <c:v>2.4497091722327018</c:v>
                </c:pt>
                <c:pt idx="13">
                  <c:v>2.4669930612080067</c:v>
                </c:pt>
                <c:pt idx="14">
                  <c:v>2.4966976633202149</c:v>
                </c:pt>
                <c:pt idx="15">
                  <c:v>2.5186971225049493</c:v>
                </c:pt>
                <c:pt idx="16">
                  <c:v>2.5442657231094006</c:v>
                </c:pt>
                <c:pt idx="17">
                  <c:v>2.5507352822228686</c:v>
                </c:pt>
                <c:pt idx="18">
                  <c:v>2.588413037523841</c:v>
                </c:pt>
                <c:pt idx="19">
                  <c:v>2.6113705404776733</c:v>
                </c:pt>
                <c:pt idx="20">
                  <c:v>2.6208466216261326</c:v>
                </c:pt>
                <c:pt idx="21">
                  <c:v>2.6562610616853091</c:v>
                </c:pt>
                <c:pt idx="22">
                  <c:v>2.6978954282105141</c:v>
                </c:pt>
                <c:pt idx="23">
                  <c:v>2.7094635433952421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41-4242-9006-544543BC1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950672"/>
        <c:axId val="1053951000"/>
      </c:lineChart>
      <c:catAx>
        <c:axId val="105395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 algn="ctr">
              <a:defRPr lang="en-US"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951000"/>
        <c:crosses val="autoZero"/>
        <c:auto val="1"/>
        <c:lblAlgn val="ctr"/>
        <c:lblOffset val="100"/>
        <c:noMultiLvlLbl val="0"/>
      </c:catAx>
      <c:valAx>
        <c:axId val="1053951000"/>
        <c:scaling>
          <c:orientation val="minMax"/>
          <c:max val="4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2400">
                    <a:solidFill>
                      <a:sysClr val="windowText" lastClr="000000"/>
                    </a:solidFill>
                  </a:defRPr>
                </a:pPr>
                <a:r>
                  <a:rPr lang="en-US" sz="2400">
                    <a:solidFill>
                      <a:sysClr val="windowText" lastClr="000000"/>
                    </a:solidFill>
                  </a:rPr>
                  <a:t>2022$/Therm</a:t>
                </a:r>
              </a:p>
            </c:rich>
          </c:tx>
          <c:overlay val="0"/>
        </c:title>
        <c:numFmt formatCode="&quot;$&quot;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 algn="ctr">
              <a:defRPr lang="en-US"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950672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t"/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 algn="ctr">
        <a:defRPr lang="en-US" sz="18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>
                <a:solidFill>
                  <a:sysClr val="windowText" lastClr="000000"/>
                </a:solidFill>
              </a:rPr>
              <a:t>Residential Bill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4844462146632558E-2"/>
          <c:y val="0.18263308442284726"/>
          <c:w val="0.89592354257286277"/>
          <c:h val="0.69900716216424819"/>
        </c:manualLayout>
      </c:layout>
      <c:lineChart>
        <c:grouping val="standard"/>
        <c:varyColors val="0"/>
        <c:ser>
          <c:idx val="0"/>
          <c:order val="0"/>
          <c:tx>
            <c:strRef>
              <c:f>'Summary Dashboard'!$B$12</c:f>
              <c:strCache>
                <c:ptCount val="1"/>
                <c:pt idx="0">
                  <c:v>Status Quo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'Summary Dashboard'!$D$22:$AA$22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'Summary Dashboard'!$D$14:$AA$14</c:f>
              <c:numCache>
                <c:formatCode>_("$"* #,##0_);_("$"* \(#,##0\);_("$"* "-"??_);_(@_)</c:formatCode>
                <c:ptCount val="24"/>
                <c:pt idx="0">
                  <c:v>869.92710338857182</c:v>
                </c:pt>
                <c:pt idx="1">
                  <c:v>836.8239211190637</c:v>
                </c:pt>
                <c:pt idx="2">
                  <c:v>786.53083865064059</c:v>
                </c:pt>
                <c:pt idx="3">
                  <c:v>798.93854674890315</c:v>
                </c:pt>
                <c:pt idx="4">
                  <c:v>804.9621602388039</c:v>
                </c:pt>
                <c:pt idx="5">
                  <c:v>812.8932428061305</c:v>
                </c:pt>
                <c:pt idx="6">
                  <c:v>820.93774815999927</c:v>
                </c:pt>
                <c:pt idx="7">
                  <c:v>827.57255409593199</c:v>
                </c:pt>
                <c:pt idx="8">
                  <c:v>834.20053860192252</c:v>
                </c:pt>
                <c:pt idx="9">
                  <c:v>842.00167410166955</c:v>
                </c:pt>
                <c:pt idx="10">
                  <c:v>848.49050044623937</c:v>
                </c:pt>
                <c:pt idx="11">
                  <c:v>853.67304073013156</c:v>
                </c:pt>
                <c:pt idx="12">
                  <c:v>857.27921933232733</c:v>
                </c:pt>
                <c:pt idx="13">
                  <c:v>861.7658827465591</c:v>
                </c:pt>
                <c:pt idx="14">
                  <c:v>867.78617744226347</c:v>
                </c:pt>
                <c:pt idx="15">
                  <c:v>872.60829892698837</c:v>
                </c:pt>
                <c:pt idx="16">
                  <c:v>877.77429086599886</c:v>
                </c:pt>
                <c:pt idx="17">
                  <c:v>880.18333030961026</c:v>
                </c:pt>
                <c:pt idx="18">
                  <c:v>886.72531207265854</c:v>
                </c:pt>
                <c:pt idx="19">
                  <c:v>891.11152082005799</c:v>
                </c:pt>
                <c:pt idx="20">
                  <c:v>893.51601044079825</c:v>
                </c:pt>
                <c:pt idx="21">
                  <c:v>899.34669078350817</c:v>
                </c:pt>
                <c:pt idx="22">
                  <c:v>905.90964589343412</c:v>
                </c:pt>
                <c:pt idx="23">
                  <c:v>908.18333509013462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6-4E80-96E2-790F8D82DAC1}"/>
            </c:ext>
          </c:extLst>
        </c:ser>
        <c:ser>
          <c:idx val="1"/>
          <c:order val="1"/>
          <c:tx>
            <c:strRef>
              <c:f>'Summary Dashboard'!$C$29</c:f>
              <c:strCache>
                <c:ptCount val="1"/>
                <c:pt idx="0">
                  <c:v>Technically Feasible with Par (Without Offsets)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'Summary Dashboard'!$D$22:$AA$22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'Summary Dashboard'!$D$23:$AA$23</c:f>
              <c:numCache>
                <c:formatCode>_("$"* #,##0_);_("$"* \(#,##0\);_("$"* "-"??_);_(@_)</c:formatCode>
                <c:ptCount val="24"/>
                <c:pt idx="0">
                  <c:v>869.92710338857182</c:v>
                </c:pt>
                <c:pt idx="1">
                  <c:v>836.8239211190637</c:v>
                </c:pt>
                <c:pt idx="2">
                  <c:v>786.53083865064059</c:v>
                </c:pt>
                <c:pt idx="3">
                  <c:v>801.5913986533983</c:v>
                </c:pt>
                <c:pt idx="4">
                  <c:v>810.97028342172393</c:v>
                </c:pt>
                <c:pt idx="5">
                  <c:v>818.63654731241229</c:v>
                </c:pt>
                <c:pt idx="6">
                  <c:v>827.16330631822882</c:v>
                </c:pt>
                <c:pt idx="7">
                  <c:v>834.29977597987067</c:v>
                </c:pt>
                <c:pt idx="8">
                  <c:v>846.34143469403818</c:v>
                </c:pt>
                <c:pt idx="9">
                  <c:v>857.73370040070586</c:v>
                </c:pt>
                <c:pt idx="10">
                  <c:v>864.39764810665974</c:v>
                </c:pt>
                <c:pt idx="11">
                  <c:v>869.8310895014198</c:v>
                </c:pt>
                <c:pt idx="12">
                  <c:v>873.76427321974575</c:v>
                </c:pt>
                <c:pt idx="13">
                  <c:v>887.40664402412835</c:v>
                </c:pt>
                <c:pt idx="14">
                  <c:v>896.36969049228037</c:v>
                </c:pt>
                <c:pt idx="15">
                  <c:v>900.89201525459339</c:v>
                </c:pt>
                <c:pt idx="16">
                  <c:v>905.70771788310776</c:v>
                </c:pt>
                <c:pt idx="17">
                  <c:v>908.06787607547653</c:v>
                </c:pt>
                <c:pt idx="18">
                  <c:v>942.68224044922249</c:v>
                </c:pt>
                <c:pt idx="19">
                  <c:v>949.15724483196141</c:v>
                </c:pt>
                <c:pt idx="20">
                  <c:v>950.92531929160975</c:v>
                </c:pt>
                <c:pt idx="21">
                  <c:v>955.07612071660628</c:v>
                </c:pt>
                <c:pt idx="22">
                  <c:v>959.68591820561642</c:v>
                </c:pt>
                <c:pt idx="23">
                  <c:v>961.25882138128554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6-4E80-96E2-790F8D82D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6269904"/>
        <c:axId val="896261704"/>
      </c:lineChart>
      <c:catAx>
        <c:axId val="89626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261704"/>
        <c:crosses val="autoZero"/>
        <c:auto val="1"/>
        <c:lblAlgn val="ctr"/>
        <c:lblOffset val="100"/>
        <c:noMultiLvlLbl val="0"/>
      </c:catAx>
      <c:valAx>
        <c:axId val="896261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ysClr val="windowText" lastClr="000000"/>
                    </a:solidFill>
                  </a:rPr>
                  <a:t>2022$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26990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3384351946709117"/>
          <c:y val="9.9717203187129594E-2"/>
          <c:w val="0.78751036325185131"/>
          <c:h val="4.95884687457152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>
                <a:solidFill>
                  <a:sysClr val="windowText" lastClr="000000"/>
                </a:solidFill>
              </a:rPr>
              <a:t>Residential Bill</a:t>
            </a:r>
          </a:p>
        </c:rich>
      </c:tx>
      <c:layout>
        <c:manualLayout>
          <c:xMode val="edge"/>
          <c:yMode val="edge"/>
          <c:x val="0.43630643480214959"/>
          <c:y val="9.674126662502476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008397886175833E-2"/>
          <c:y val="0.18049006688097013"/>
          <c:w val="0.89713302698875541"/>
          <c:h val="0.69900716216424819"/>
        </c:manualLayout>
      </c:layout>
      <c:lineChart>
        <c:grouping val="standard"/>
        <c:varyColors val="0"/>
        <c:ser>
          <c:idx val="0"/>
          <c:order val="0"/>
          <c:tx>
            <c:strRef>
              <c:f>'Summary Dashboard'!$B$12</c:f>
              <c:strCache>
                <c:ptCount val="1"/>
                <c:pt idx="0">
                  <c:v>Status Quo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'Summary Dashboard'!$D$22:$AA$22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'Summary Dashboard'!$D$14:$AA$14</c:f>
              <c:numCache>
                <c:formatCode>_("$"* #,##0_);_("$"* \(#,##0\);_("$"* "-"??_);_(@_)</c:formatCode>
                <c:ptCount val="24"/>
                <c:pt idx="0">
                  <c:v>869.92710338857182</c:v>
                </c:pt>
                <c:pt idx="1">
                  <c:v>836.8239211190637</c:v>
                </c:pt>
                <c:pt idx="2">
                  <c:v>786.53083865064059</c:v>
                </c:pt>
                <c:pt idx="3">
                  <c:v>798.93854674890315</c:v>
                </c:pt>
                <c:pt idx="4">
                  <c:v>804.9621602388039</c:v>
                </c:pt>
                <c:pt idx="5">
                  <c:v>812.8932428061305</c:v>
                </c:pt>
                <c:pt idx="6">
                  <c:v>820.93774815999927</c:v>
                </c:pt>
                <c:pt idx="7">
                  <c:v>827.57255409593199</c:v>
                </c:pt>
                <c:pt idx="8">
                  <c:v>834.20053860192252</c:v>
                </c:pt>
                <c:pt idx="9">
                  <c:v>842.00167410166955</c:v>
                </c:pt>
                <c:pt idx="10">
                  <c:v>848.49050044623937</c:v>
                </c:pt>
                <c:pt idx="11">
                  <c:v>853.67304073013156</c:v>
                </c:pt>
                <c:pt idx="12">
                  <c:v>857.27921933232733</c:v>
                </c:pt>
                <c:pt idx="13">
                  <c:v>861.7658827465591</c:v>
                </c:pt>
                <c:pt idx="14">
                  <c:v>867.78617744226347</c:v>
                </c:pt>
                <c:pt idx="15">
                  <c:v>872.60829892698837</c:v>
                </c:pt>
                <c:pt idx="16">
                  <c:v>877.77429086599886</c:v>
                </c:pt>
                <c:pt idx="17">
                  <c:v>880.18333030961026</c:v>
                </c:pt>
                <c:pt idx="18">
                  <c:v>886.72531207265854</c:v>
                </c:pt>
                <c:pt idx="19">
                  <c:v>891.11152082005799</c:v>
                </c:pt>
                <c:pt idx="20">
                  <c:v>893.51601044079825</c:v>
                </c:pt>
                <c:pt idx="21">
                  <c:v>899.34669078350817</c:v>
                </c:pt>
                <c:pt idx="22">
                  <c:v>905.90964589343412</c:v>
                </c:pt>
                <c:pt idx="23">
                  <c:v>908.18333509013462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7-4D07-ADEF-A82293B44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6269904"/>
        <c:axId val="896261704"/>
      </c:lineChart>
      <c:catAx>
        <c:axId val="89626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261704"/>
        <c:crosses val="autoZero"/>
        <c:auto val="1"/>
        <c:lblAlgn val="ctr"/>
        <c:lblOffset val="100"/>
        <c:noMultiLvlLbl val="0"/>
      </c:catAx>
      <c:valAx>
        <c:axId val="896261704"/>
        <c:scaling>
          <c:orientation val="minMax"/>
          <c:max val="1200"/>
          <c:min val="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>
                    <a:solidFill>
                      <a:sysClr val="windowText" lastClr="000000"/>
                    </a:solidFill>
                  </a:rPr>
                  <a:t>2022$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26990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27185491842334"/>
          <c:y val="9.9717203187129594E-2"/>
          <c:w val="0.33002188980054237"/>
          <c:h val="4.95884687457152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>
                <a:solidFill>
                  <a:sysClr val="windowText" lastClr="000000"/>
                </a:solidFill>
              </a:rPr>
              <a:t>Projected Oahu Demand</a:t>
            </a:r>
            <a:r>
              <a:rPr lang="en-US" sz="1800" baseline="0">
                <a:solidFill>
                  <a:sysClr val="windowText" lastClr="000000"/>
                </a:solidFill>
              </a:rPr>
              <a:t> by Rate Schedule</a:t>
            </a:r>
            <a:endParaRPr lang="en-US" sz="18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4801936940693962"/>
          <c:y val="2.173426490701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40650601767771"/>
          <c:y val="0.15217347502886927"/>
          <c:w val="0.88450984562028956"/>
          <c:h val="0.709024842053300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 Summary Data'!$C$4</c:f>
              <c:strCache>
                <c:ptCount val="1"/>
                <c:pt idx="0">
                  <c:v>Oahu 10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 Summary Data'!$B$5:$B$28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Data'!$C$5:$C$28</c:f>
              <c:numCache>
                <c:formatCode>_(* #,##0_);_(* \(#,##0\);_(* "-"??_);_(@_)</c:formatCode>
                <c:ptCount val="24"/>
                <c:pt idx="0">
                  <c:v>277728.23960919119</c:v>
                </c:pt>
                <c:pt idx="1">
                  <c:v>280789.2755542263</c:v>
                </c:pt>
                <c:pt idx="2">
                  <c:v>281225.35810925928</c:v>
                </c:pt>
                <c:pt idx="3">
                  <c:v>282574.08930833265</c:v>
                </c:pt>
                <c:pt idx="4">
                  <c:v>283845.46729933581</c:v>
                </c:pt>
                <c:pt idx="5">
                  <c:v>285003.46535570815</c:v>
                </c:pt>
                <c:pt idx="6">
                  <c:v>286306.95838565374</c:v>
                </c:pt>
                <c:pt idx="7">
                  <c:v>287739.70855991531</c:v>
                </c:pt>
                <c:pt idx="8">
                  <c:v>289215.43225033622</c:v>
                </c:pt>
                <c:pt idx="9">
                  <c:v>290637.16091817158</c:v>
                </c:pt>
                <c:pt idx="10">
                  <c:v>292192.87326515862</c:v>
                </c:pt>
                <c:pt idx="11">
                  <c:v>293890.80643652868</c:v>
                </c:pt>
                <c:pt idx="12">
                  <c:v>295735.66743391211</c:v>
                </c:pt>
                <c:pt idx="13">
                  <c:v>297557.45139161154</c:v>
                </c:pt>
                <c:pt idx="14">
                  <c:v>299298.72205316339</c:v>
                </c:pt>
                <c:pt idx="15">
                  <c:v>301178.13319446467</c:v>
                </c:pt>
                <c:pt idx="16">
                  <c:v>303068.67401384504</c:v>
                </c:pt>
                <c:pt idx="17">
                  <c:v>305239.89809358079</c:v>
                </c:pt>
                <c:pt idx="18">
                  <c:v>307093.63829434832</c:v>
                </c:pt>
                <c:pt idx="19">
                  <c:v>309174.05243711302</c:v>
                </c:pt>
                <c:pt idx="20">
                  <c:v>311475.12232909229</c:v>
                </c:pt>
                <c:pt idx="21">
                  <c:v>313513.15282481734</c:v>
                </c:pt>
                <c:pt idx="22">
                  <c:v>315513.64296707092</c:v>
                </c:pt>
                <c:pt idx="23">
                  <c:v>317981.03911420453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23-49AA-B83E-6BA41D2C03BE}"/>
            </c:ext>
          </c:extLst>
        </c:ser>
        <c:ser>
          <c:idx val="1"/>
          <c:order val="1"/>
          <c:tx>
            <c:strRef>
              <c:f>' Summary Data'!$D$4</c:f>
              <c:strCache>
                <c:ptCount val="1"/>
                <c:pt idx="0">
                  <c:v>Oahu 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 Summary Data'!$B$5:$B$28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Data'!$D$5:$D$28</c:f>
              <c:numCache>
                <c:formatCode>_(* #,##0_);_(* \(#,##0\);_(* "-"??_);_(@_)</c:formatCode>
                <c:ptCount val="24"/>
                <c:pt idx="0">
                  <c:v>3912909.1844666936</c:v>
                </c:pt>
                <c:pt idx="1">
                  <c:v>3956036.075992614</c:v>
                </c:pt>
                <c:pt idx="2">
                  <c:v>3962180.0368558499</c:v>
                </c:pt>
                <c:pt idx="3">
                  <c:v>3981182.2913750773</c:v>
                </c:pt>
                <c:pt idx="4">
                  <c:v>3999094.7176552624</c:v>
                </c:pt>
                <c:pt idx="5">
                  <c:v>4015409.7356626131</c:v>
                </c:pt>
                <c:pt idx="6">
                  <c:v>4033774.6302658399</c:v>
                </c:pt>
                <c:pt idx="7">
                  <c:v>4053960.6269214312</c:v>
                </c:pt>
                <c:pt idx="8">
                  <c:v>4074752.0768298325</c:v>
                </c:pt>
                <c:pt idx="9">
                  <c:v>4094782.7916394635</c:v>
                </c:pt>
                <c:pt idx="10">
                  <c:v>4116701.2005829676</c:v>
                </c:pt>
                <c:pt idx="11">
                  <c:v>4140623.3566813665</c:v>
                </c:pt>
                <c:pt idx="12">
                  <c:v>4166615.5768131185</c:v>
                </c:pt>
                <c:pt idx="13">
                  <c:v>4192282.6648637508</c:v>
                </c:pt>
                <c:pt idx="14">
                  <c:v>4216815.4022397418</c:v>
                </c:pt>
                <c:pt idx="15">
                  <c:v>4243294.3988536084</c:v>
                </c:pt>
                <c:pt idx="16">
                  <c:v>4269930.2013423005</c:v>
                </c:pt>
                <c:pt idx="17">
                  <c:v>4300520.5462603699</c:v>
                </c:pt>
                <c:pt idx="18">
                  <c:v>4326637.8653612481</c:v>
                </c:pt>
                <c:pt idx="19">
                  <c:v>4355948.7903797962</c:v>
                </c:pt>
                <c:pt idx="20">
                  <c:v>4388368.5310842181</c:v>
                </c:pt>
                <c:pt idx="21">
                  <c:v>4417082.3135075225</c:v>
                </c:pt>
                <c:pt idx="22">
                  <c:v>4445267.1904291995</c:v>
                </c:pt>
                <c:pt idx="23">
                  <c:v>4480030.2993569141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23-49AA-B83E-6BA41D2C03BE}"/>
            </c:ext>
          </c:extLst>
        </c:ser>
        <c:ser>
          <c:idx val="2"/>
          <c:order val="2"/>
          <c:tx>
            <c:strRef>
              <c:f>' Summary Data'!$E$4</c:f>
              <c:strCache>
                <c:ptCount val="1"/>
                <c:pt idx="0">
                  <c:v>Oahu 30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 Summary Data'!$B$5:$B$28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Data'!$E$5:$E$28</c:f>
              <c:numCache>
                <c:formatCode>_(* #,##0_);_(* \(#,##0\);_(* "-"??_);_(@_)</c:formatCode>
                <c:ptCount val="24"/>
                <c:pt idx="0">
                  <c:v>2647170.0431633117</c:v>
                </c:pt>
                <c:pt idx="1">
                  <c:v>2676346.3439462115</c:v>
                </c:pt>
                <c:pt idx="2">
                  <c:v>2680502.8700440032</c:v>
                </c:pt>
                <c:pt idx="3">
                  <c:v>2693358.3176264698</c:v>
                </c:pt>
                <c:pt idx="4">
                  <c:v>2705476.4721794846</c:v>
                </c:pt>
                <c:pt idx="5">
                  <c:v>2716513.9445272144</c:v>
                </c:pt>
                <c:pt idx="6">
                  <c:v>2728938.2039586632</c:v>
                </c:pt>
                <c:pt idx="7">
                  <c:v>2742594.4794097273</c:v>
                </c:pt>
                <c:pt idx="8">
                  <c:v>2756660.3574449089</c:v>
                </c:pt>
                <c:pt idx="9">
                  <c:v>2770211.5812754282</c:v>
                </c:pt>
                <c:pt idx="10">
                  <c:v>2785039.8721489757</c:v>
                </c:pt>
                <c:pt idx="11">
                  <c:v>2801223.7425140091</c:v>
                </c:pt>
                <c:pt idx="12">
                  <c:v>2818808.0572129609</c:v>
                </c:pt>
                <c:pt idx="13">
                  <c:v>2836172.4128316892</c:v>
                </c:pt>
                <c:pt idx="14">
                  <c:v>2852769.3550035963</c:v>
                </c:pt>
                <c:pt idx="15">
                  <c:v>2870682.9848132292</c:v>
                </c:pt>
                <c:pt idx="16">
                  <c:v>2888702.6972828121</c:v>
                </c:pt>
                <c:pt idx="17">
                  <c:v>2909397.7456112038</c:v>
                </c:pt>
                <c:pt idx="18">
                  <c:v>2927066.6925435881</c:v>
                </c:pt>
                <c:pt idx="19">
                  <c:v>2946896.1848697904</c:v>
                </c:pt>
                <c:pt idx="20">
                  <c:v>2968828.8601132012</c:v>
                </c:pt>
                <c:pt idx="21">
                  <c:v>2988254.372199866</c:v>
                </c:pt>
                <c:pt idx="22">
                  <c:v>3007322.0679576648</c:v>
                </c:pt>
                <c:pt idx="23">
                  <c:v>3030840.0838947543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23-49AA-B83E-6BA41D2C03BE}"/>
            </c:ext>
          </c:extLst>
        </c:ser>
        <c:ser>
          <c:idx val="3"/>
          <c:order val="3"/>
          <c:tx>
            <c:strRef>
              <c:f>' Summary Data'!$F$4</c:f>
              <c:strCache>
                <c:ptCount val="1"/>
                <c:pt idx="0">
                  <c:v>Oahu 50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 Summary Data'!$B$5:$B$28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Data'!$F$5:$F$28</c:f>
              <c:numCache>
                <c:formatCode>_(* #,##0_);_(* \(#,##0\);_(* "-"??_);_(@_)</c:formatCode>
                <c:ptCount val="24"/>
                <c:pt idx="0">
                  <c:v>12064765.297137449</c:v>
                </c:pt>
                <c:pt idx="1">
                  <c:v>12197739.460279509</c:v>
                </c:pt>
                <c:pt idx="2">
                  <c:v>12216683.279907113</c:v>
                </c:pt>
                <c:pt idx="3">
                  <c:v>12275273.380030328</c:v>
                </c:pt>
                <c:pt idx="4">
                  <c:v>12330503.187006326</c:v>
                </c:pt>
                <c:pt idx="5">
                  <c:v>12380807.667329729</c:v>
                </c:pt>
                <c:pt idx="6">
                  <c:v>12437432.580571815</c:v>
                </c:pt>
                <c:pt idx="7">
                  <c:v>12499672.540779762</c:v>
                </c:pt>
                <c:pt idx="8">
                  <c:v>12563779.309300698</c:v>
                </c:pt>
                <c:pt idx="9">
                  <c:v>12625540.4853258</c:v>
                </c:pt>
                <c:pt idx="10">
                  <c:v>12693122.03325434</c:v>
                </c:pt>
                <c:pt idx="11">
                  <c:v>12766881.78210678</c:v>
                </c:pt>
                <c:pt idx="12">
                  <c:v>12847024.208280634</c:v>
                </c:pt>
                <c:pt idx="13">
                  <c:v>12926164.147030335</c:v>
                </c:pt>
                <c:pt idx="14">
                  <c:v>13001806.515555684</c:v>
                </c:pt>
                <c:pt idx="15">
                  <c:v>13083449.83115273</c:v>
                </c:pt>
                <c:pt idx="16">
                  <c:v>13165576.630006809</c:v>
                </c:pt>
                <c:pt idx="17">
                  <c:v>13259896.562925287</c:v>
                </c:pt>
                <c:pt idx="18">
                  <c:v>13340424.709705029</c:v>
                </c:pt>
                <c:pt idx="19">
                  <c:v>13430799.777032072</c:v>
                </c:pt>
                <c:pt idx="20">
                  <c:v>13530760.329182277</c:v>
                </c:pt>
                <c:pt idx="21">
                  <c:v>13619294.21264307</c:v>
                </c:pt>
                <c:pt idx="22">
                  <c:v>13706197.30927987</c:v>
                </c:pt>
                <c:pt idx="23">
                  <c:v>13813383.224014785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23-49AA-B83E-6BA41D2C03BE}"/>
            </c:ext>
          </c:extLst>
        </c:ser>
        <c:ser>
          <c:idx val="4"/>
          <c:order val="4"/>
          <c:tx>
            <c:strRef>
              <c:f>' Summary Data'!$G$4</c:f>
              <c:strCache>
                <c:ptCount val="1"/>
                <c:pt idx="0">
                  <c:v>Oahu 55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 Summary Data'!$B$5:$B$28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Data'!$G$5:$G$28</c:f>
              <c:numCache>
                <c:formatCode>_(* #,##0_);_(* \(#,##0\);_(* "-"??_);_(@_)</c:formatCode>
                <c:ptCount val="24"/>
                <c:pt idx="0">
                  <c:v>387843.83550842426</c:v>
                </c:pt>
                <c:pt idx="1">
                  <c:v>392118.53196429118</c:v>
                </c:pt>
                <c:pt idx="2">
                  <c:v>392727.51551951154</c:v>
                </c:pt>
                <c:pt idx="3">
                  <c:v>394611.0009081582</c:v>
                </c:pt>
                <c:pt idx="4">
                  <c:v>396386.4635586454</c:v>
                </c:pt>
                <c:pt idx="5">
                  <c:v>398003.59262095008</c:v>
                </c:pt>
                <c:pt idx="6">
                  <c:v>399823.90350112558</c:v>
                </c:pt>
                <c:pt idx="7">
                  <c:v>401824.72028408188</c:v>
                </c:pt>
                <c:pt idx="8">
                  <c:v>403885.54901741084</c:v>
                </c:pt>
                <c:pt idx="9">
                  <c:v>405870.97441153519</c:v>
                </c:pt>
                <c:pt idx="10">
                  <c:v>408043.5062522018</c:v>
                </c:pt>
                <c:pt idx="11">
                  <c:v>410414.64760443813</c:v>
                </c:pt>
                <c:pt idx="12">
                  <c:v>412990.97173414112</c:v>
                </c:pt>
                <c:pt idx="13">
                  <c:v>415535.06908130366</c:v>
                </c:pt>
                <c:pt idx="14">
                  <c:v>417966.73066885013</c:v>
                </c:pt>
                <c:pt idx="15">
                  <c:v>420591.30362032691</c:v>
                </c:pt>
                <c:pt idx="16">
                  <c:v>423231.41902092675</c:v>
                </c:pt>
                <c:pt idx="17">
                  <c:v>426263.50490465952</c:v>
                </c:pt>
                <c:pt idx="18">
                  <c:v>428852.22872515948</c:v>
                </c:pt>
                <c:pt idx="19">
                  <c:v>431757.49972572911</c:v>
                </c:pt>
                <c:pt idx="20">
                  <c:v>434970.9135792646</c:v>
                </c:pt>
                <c:pt idx="21">
                  <c:v>437816.99637393252</c:v>
                </c:pt>
                <c:pt idx="22">
                  <c:v>440610.65455849521</c:v>
                </c:pt>
                <c:pt idx="23">
                  <c:v>444056.3408407747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23-49AA-B83E-6BA41D2C03BE}"/>
            </c:ext>
          </c:extLst>
        </c:ser>
        <c:ser>
          <c:idx val="5"/>
          <c:order val="5"/>
          <c:tx>
            <c:strRef>
              <c:f>' Summary Data'!$H$4</c:f>
              <c:strCache>
                <c:ptCount val="1"/>
                <c:pt idx="0">
                  <c:v>Oahu 60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 Summary Data'!$B$5:$B$28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Data'!$H$5:$H$28</c:f>
              <c:numCache>
                <c:formatCode>_(* #,##0_);_(* \(#,##0\);_(* "-"??_);_(@_)</c:formatCode>
                <c:ptCount val="24"/>
                <c:pt idx="0">
                  <c:v>6011029.4485654626</c:v>
                </c:pt>
                <c:pt idx="1">
                  <c:v>6077281.1816791538</c:v>
                </c:pt>
                <c:pt idx="2">
                  <c:v>6086719.5631847484</c:v>
                </c:pt>
                <c:pt idx="3">
                  <c:v>6115910.9157358501</c:v>
                </c:pt>
                <c:pt idx="4">
                  <c:v>6143428.069032656</c:v>
                </c:pt>
                <c:pt idx="5">
                  <c:v>6168491.2762456881</c:v>
                </c:pt>
                <c:pt idx="6">
                  <c:v>6196703.5135033336</c:v>
                </c:pt>
                <c:pt idx="7">
                  <c:v>6227713.3362784414</c:v>
                </c:pt>
                <c:pt idx="8">
                  <c:v>6259653.2591813058</c:v>
                </c:pt>
                <c:pt idx="9">
                  <c:v>6290424.5372560658</c:v>
                </c:pt>
                <c:pt idx="10">
                  <c:v>6324095.6999163516</c:v>
                </c:pt>
                <c:pt idx="11">
                  <c:v>6360845.0283575775</c:v>
                </c:pt>
                <c:pt idx="12">
                  <c:v>6400774.3988795904</c:v>
                </c:pt>
                <c:pt idx="13">
                  <c:v>6440204.299973065</c:v>
                </c:pt>
                <c:pt idx="14">
                  <c:v>6477891.6062377784</c:v>
                </c:pt>
                <c:pt idx="15">
                  <c:v>6518568.7650755728</c:v>
                </c:pt>
                <c:pt idx="16">
                  <c:v>6559486.8098340081</c:v>
                </c:pt>
                <c:pt idx="17">
                  <c:v>6606479.841227184</c:v>
                </c:pt>
                <c:pt idx="18">
                  <c:v>6646601.3893725332</c:v>
                </c:pt>
                <c:pt idx="19">
                  <c:v>6691628.9699130207</c:v>
                </c:pt>
                <c:pt idx="20">
                  <c:v>6741432.3276967248</c:v>
                </c:pt>
                <c:pt idx="21">
                  <c:v>6785542.5749806035</c:v>
                </c:pt>
                <c:pt idx="22">
                  <c:v>6828840.3151512537</c:v>
                </c:pt>
                <c:pt idx="23">
                  <c:v>6882243.5661946759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23-49AA-B83E-6BA41D2C03BE}"/>
            </c:ext>
          </c:extLst>
        </c:ser>
        <c:ser>
          <c:idx val="6"/>
          <c:order val="6"/>
          <c:tx>
            <c:strRef>
              <c:f>' Summary Data'!$I$4</c:f>
              <c:strCache>
                <c:ptCount val="1"/>
                <c:pt idx="0">
                  <c:v>Oahu 65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 Summary Data'!$B$5:$B$28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Data'!$I$5:$I$28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23-49AA-B83E-6BA41D2C03BE}"/>
            </c:ext>
          </c:extLst>
        </c:ser>
        <c:ser>
          <c:idx val="7"/>
          <c:order val="7"/>
          <c:tx>
            <c:strRef>
              <c:f>' Summary Data'!$J$4</c:f>
              <c:strCache>
                <c:ptCount val="1"/>
                <c:pt idx="0">
                  <c:v>Oahu 70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 Summary Data'!$B$5:$B$28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Data'!$J$5:$J$28</c:f>
              <c:numCache>
                <c:formatCode>_(* #,##0_);_(* \(#,##0\);_(* "-"??_);_(@_)</c:formatCode>
                <c:ptCount val="24"/>
                <c:pt idx="0">
                  <c:v>1831.0541836364946</c:v>
                </c:pt>
                <c:pt idx="1">
                  <c:v>1851.2355043452035</c:v>
                </c:pt>
                <c:pt idx="2">
                  <c:v>1854.1105839119325</c:v>
                </c:pt>
                <c:pt idx="3">
                  <c:v>1863.002729370887</c:v>
                </c:pt>
                <c:pt idx="4">
                  <c:v>1871.3848873850866</c:v>
                </c:pt>
                <c:pt idx="5">
                  <c:v>1879.0195347970573</c:v>
                </c:pt>
                <c:pt idx="6">
                  <c:v>1887.6134263263505</c:v>
                </c:pt>
                <c:pt idx="7">
                  <c:v>1897.0595064382583</c:v>
                </c:pt>
                <c:pt idx="8">
                  <c:v>1906.7889096888568</c:v>
                </c:pt>
                <c:pt idx="9">
                  <c:v>1916.1623253303453</c:v>
                </c:pt>
                <c:pt idx="10">
                  <c:v>1926.4190914607684</c:v>
                </c:pt>
                <c:pt idx="11">
                  <c:v>1937.613515338395</c:v>
                </c:pt>
                <c:pt idx="12">
                  <c:v>1949.7766300876915</c:v>
                </c:pt>
                <c:pt idx="13">
                  <c:v>1961.7875985874068</c:v>
                </c:pt>
                <c:pt idx="14">
                  <c:v>1973.267745273839</c:v>
                </c:pt>
                <c:pt idx="15">
                  <c:v>1985.6586481143106</c:v>
                </c:pt>
                <c:pt idx="16">
                  <c:v>1998.122928597754</c:v>
                </c:pt>
                <c:pt idx="17">
                  <c:v>2012.4377456304292</c:v>
                </c:pt>
                <c:pt idx="18">
                  <c:v>2024.6594007086699</c:v>
                </c:pt>
                <c:pt idx="19">
                  <c:v>2038.3755104754196</c:v>
                </c:pt>
                <c:pt idx="20">
                  <c:v>2053.5463971611866</c:v>
                </c:pt>
                <c:pt idx="21">
                  <c:v>2066.9830727791477</c:v>
                </c:pt>
                <c:pt idx="22">
                  <c:v>2080.1722459415578</c:v>
                </c:pt>
                <c:pt idx="23">
                  <c:v>2096.4397167765551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F23-49AA-B83E-6BA41D2C03BE}"/>
            </c:ext>
          </c:extLst>
        </c:ser>
        <c:ser>
          <c:idx val="8"/>
          <c:order val="8"/>
          <c:tx>
            <c:strRef>
              <c:f>' Summary Data'!$K$4</c:f>
              <c:strCache>
                <c:ptCount val="1"/>
                <c:pt idx="0">
                  <c:v>Oahu 80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 Summary Data'!$B$5:$B$28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Data'!$K$5:$K$28</c:f>
              <c:numCache>
                <c:formatCode>_(* #,##0_);_(* \(#,##0\);_(* "-"??_);_(@_)</c:formatCode>
                <c:ptCount val="24"/>
                <c:pt idx="0">
                  <c:v>53522.846903979109</c:v>
                </c:pt>
                <c:pt idx="1">
                  <c:v>54112.759397156733</c:v>
                </c:pt>
                <c:pt idx="2">
                  <c:v>54196.799752085601</c:v>
                </c:pt>
                <c:pt idx="3">
                  <c:v>54456.722666601614</c:v>
                </c:pt>
                <c:pt idx="4">
                  <c:v>54701.738332510511</c:v>
                </c:pt>
                <c:pt idx="5">
                  <c:v>54924.903800932218</c:v>
                </c:pt>
                <c:pt idx="6">
                  <c:v>55176.10856851493</c:v>
                </c:pt>
                <c:pt idx="7">
                  <c:v>55452.223335729672</c:v>
                </c:pt>
                <c:pt idx="8">
                  <c:v>55736.619813617974</c:v>
                </c:pt>
                <c:pt idx="9">
                  <c:v>56010.6105533952</c:v>
                </c:pt>
                <c:pt idx="10">
                  <c:v>56310.42217461019</c:v>
                </c:pt>
                <c:pt idx="11">
                  <c:v>56637.642112029265</c:v>
                </c:pt>
                <c:pt idx="12">
                  <c:v>56993.177483084874</c:v>
                </c:pt>
                <c:pt idx="13">
                  <c:v>57344.265525112147</c:v>
                </c:pt>
                <c:pt idx="14">
                  <c:v>57679.837317047226</c:v>
                </c:pt>
                <c:pt idx="15">
                  <c:v>58042.031074970619</c:v>
                </c:pt>
                <c:pt idx="16">
                  <c:v>58406.369706806559</c:v>
                </c:pt>
                <c:pt idx="17">
                  <c:v>58824.800667149153</c:v>
                </c:pt>
                <c:pt idx="18">
                  <c:v>59182.047208246469</c:v>
                </c:pt>
                <c:pt idx="19">
                  <c:v>59582.977584706408</c:v>
                </c:pt>
                <c:pt idx="20">
                  <c:v>60026.431990772813</c:v>
                </c:pt>
                <c:pt idx="21">
                  <c:v>60419.194334140659</c:v>
                </c:pt>
                <c:pt idx="22">
                  <c:v>60804.722027570118</c:v>
                </c:pt>
                <c:pt idx="23">
                  <c:v>61280.230266920698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F23-49AA-B83E-6BA41D2C03BE}"/>
            </c:ext>
          </c:extLst>
        </c:ser>
        <c:ser>
          <c:idx val="9"/>
          <c:order val="9"/>
          <c:tx>
            <c:strRef>
              <c:f>' Summary Data'!$L$4</c:f>
              <c:strCache>
                <c:ptCount val="1"/>
                <c:pt idx="0">
                  <c:v>Oahu 91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 Summary Data'!$B$5:$B$28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Data'!$L$5:$L$28</c:f>
              <c:numCache>
                <c:formatCode>_(* #,##0_);_(* \(#,##0\);_(* "-"??_);_(@_)</c:formatCode>
                <c:ptCount val="24"/>
                <c:pt idx="0">
                  <c:v>3635051.0139102656</c:v>
                </c:pt>
                <c:pt idx="1">
                  <c:v>3675115.4374318821</c:v>
                </c:pt>
                <c:pt idx="2">
                  <c:v>3680823.1117254714</c:v>
                </c:pt>
                <c:pt idx="3">
                  <c:v>3698476.0040621771</c:v>
                </c:pt>
                <c:pt idx="4">
                  <c:v>3715116.4575564368</c:v>
                </c:pt>
                <c:pt idx="5">
                  <c:v>3730272.9357555774</c:v>
                </c:pt>
                <c:pt idx="6">
                  <c:v>3747333.7275094022</c:v>
                </c:pt>
                <c:pt idx="7">
                  <c:v>3766086.3037002794</c:v>
                </c:pt>
                <c:pt idx="8">
                  <c:v>3785401.3395233001</c:v>
                </c:pt>
                <c:pt idx="9">
                  <c:v>3804009.6605308875</c:v>
                </c:pt>
                <c:pt idx="10">
                  <c:v>3824371.6293109641</c:v>
                </c:pt>
                <c:pt idx="11">
                  <c:v>3846595.0578856952</c:v>
                </c:pt>
                <c:pt idx="12">
                  <c:v>3870741.5539298095</c:v>
                </c:pt>
                <c:pt idx="13">
                  <c:v>3894586.0057287314</c:v>
                </c:pt>
                <c:pt idx="14">
                  <c:v>3917376.657816085</c:v>
                </c:pt>
                <c:pt idx="15">
                  <c:v>3941975.364034635</c:v>
                </c:pt>
                <c:pt idx="16">
                  <c:v>3966719.7412430798</c:v>
                </c:pt>
                <c:pt idx="17">
                  <c:v>3995137.8463071384</c:v>
                </c:pt>
                <c:pt idx="18">
                  <c:v>4019400.5579629941</c:v>
                </c:pt>
                <c:pt idx="19">
                  <c:v>4046630.0955485548</c:v>
                </c:pt>
                <c:pt idx="20">
                  <c:v>4076747.6898403266</c:v>
                </c:pt>
                <c:pt idx="21">
                  <c:v>4103422.4883062304</c:v>
                </c:pt>
                <c:pt idx="22">
                  <c:v>4129605.9391866629</c:v>
                </c:pt>
                <c:pt idx="23">
                  <c:v>4161900.4976333566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F23-49AA-B83E-6BA41D2C03BE}"/>
            </c:ext>
          </c:extLst>
        </c:ser>
        <c:ser>
          <c:idx val="10"/>
          <c:order val="10"/>
          <c:tx>
            <c:strRef>
              <c:f>' Summary Data'!$M$4</c:f>
              <c:strCache>
                <c:ptCount val="1"/>
                <c:pt idx="0">
                  <c:v>Oahu 92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 Summary Data'!$B$5:$B$28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Data'!$M$5:$M$28</c:f>
              <c:numCache>
                <c:formatCode>_(* #,##0_);_(* \(#,##0\);_(* "-"??_);_(@_)</c:formatCode>
                <c:ptCount val="24"/>
                <c:pt idx="0">
                  <c:v>202998.6694776316</c:v>
                </c:pt>
                <c:pt idx="1">
                  <c:v>205236.05889449365</c:v>
                </c:pt>
                <c:pt idx="2">
                  <c:v>205554.80278088656</c:v>
                </c:pt>
                <c:pt idx="3">
                  <c:v>206540.62488986665</c:v>
                </c:pt>
                <c:pt idx="4">
                  <c:v>207469.9075618051</c:v>
                </c:pt>
                <c:pt idx="5">
                  <c:v>208316.31794136192</c:v>
                </c:pt>
                <c:pt idx="6">
                  <c:v>209269.07431617161</c:v>
                </c:pt>
                <c:pt idx="7">
                  <c:v>210316.30804176687</c:v>
                </c:pt>
                <c:pt idx="8">
                  <c:v>211394.95220879003</c:v>
                </c:pt>
                <c:pt idx="9">
                  <c:v>212434.13003361222</c:v>
                </c:pt>
                <c:pt idx="10">
                  <c:v>213571.23995434871</c:v>
                </c:pt>
                <c:pt idx="11">
                  <c:v>214812.30271100276</c:v>
                </c:pt>
                <c:pt idx="12">
                  <c:v>216160.75877138396</c:v>
                </c:pt>
                <c:pt idx="13">
                  <c:v>217492.34723357661</c:v>
                </c:pt>
                <c:pt idx="14">
                  <c:v>218765.0864695753</c:v>
                </c:pt>
                <c:pt idx="15">
                  <c:v>220138.79611329918</c:v>
                </c:pt>
                <c:pt idx="16">
                  <c:v>221520.64072322214</c:v>
                </c:pt>
                <c:pt idx="17">
                  <c:v>223107.64390282094</c:v>
                </c:pt>
                <c:pt idx="18">
                  <c:v>224462.58999992121</c:v>
                </c:pt>
                <c:pt idx="19">
                  <c:v>225983.21787535065</c:v>
                </c:pt>
                <c:pt idx="20">
                  <c:v>227665.12867817047</c:v>
                </c:pt>
                <c:pt idx="21">
                  <c:v>229154.77726258952</c:v>
                </c:pt>
                <c:pt idx="22">
                  <c:v>230616.9866430689</c:v>
                </c:pt>
                <c:pt idx="23">
                  <c:v>232420.46955732774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F23-49AA-B83E-6BA41D2C0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8768599"/>
        <c:axId val="978777783"/>
      </c:barChart>
      <c:catAx>
        <c:axId val="978768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77783"/>
        <c:crosses val="autoZero"/>
        <c:auto val="1"/>
        <c:lblAlgn val="ctr"/>
        <c:lblOffset val="100"/>
        <c:noMultiLvlLbl val="0"/>
      </c:catAx>
      <c:valAx>
        <c:axId val="978777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68599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236899431482297"/>
          <c:y val="7.0505878684629264E-2"/>
          <c:w val="0.80507176625369192"/>
          <c:h val="6.2729154055054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11" Type="http://schemas.openxmlformats.org/officeDocument/2006/relationships/chart" Target="../charts/chart30.xml"/><Relationship Id="rId5" Type="http://schemas.openxmlformats.org/officeDocument/2006/relationships/chart" Target="../charts/chart24.xml"/><Relationship Id="rId10" Type="http://schemas.openxmlformats.org/officeDocument/2006/relationships/chart" Target="../charts/chart29.xml"/><Relationship Id="rId4" Type="http://schemas.openxmlformats.org/officeDocument/2006/relationships/chart" Target="../charts/chart23.xml"/><Relationship Id="rId9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3811</xdr:rowOff>
    </xdr:from>
    <xdr:to>
      <xdr:col>4</xdr:col>
      <xdr:colOff>524781</xdr:colOff>
      <xdr:row>3</xdr:row>
      <xdr:rowOff>76201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1FAF9D-24EB-40E6-85E3-EEFCBF6E7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94311"/>
          <a:ext cx="2601231" cy="453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217713</xdr:colOff>
      <xdr:row>32</xdr:row>
      <xdr:rowOff>81643</xdr:rowOff>
    </xdr:from>
    <xdr:to>
      <xdr:col>15</xdr:col>
      <xdr:colOff>717098</xdr:colOff>
      <xdr:row>67</xdr:row>
      <xdr:rowOff>65314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4A0191-578C-4D40-94C2-7915259A4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403032</xdr:colOff>
      <xdr:row>33</xdr:row>
      <xdr:rowOff>74257</xdr:rowOff>
    </xdr:from>
    <xdr:to>
      <xdr:col>34</xdr:col>
      <xdr:colOff>199215</xdr:colOff>
      <xdr:row>68</xdr:row>
      <xdr:rowOff>57928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7EC59D6-9E16-4BFD-B534-D37FC22C6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235961</xdr:colOff>
      <xdr:row>64</xdr:row>
      <xdr:rowOff>73911</xdr:rowOff>
    </xdr:from>
    <xdr:to>
      <xdr:col>35</xdr:col>
      <xdr:colOff>550780</xdr:colOff>
      <xdr:row>99</xdr:row>
      <xdr:rowOff>185860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EFD065-8747-4704-BF3B-01DB1E4C1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552016</xdr:colOff>
      <xdr:row>64</xdr:row>
      <xdr:rowOff>149369</xdr:rowOff>
    </xdr:from>
    <xdr:to>
      <xdr:col>16</xdr:col>
      <xdr:colOff>311727</xdr:colOff>
      <xdr:row>99</xdr:row>
      <xdr:rowOff>173182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C28738C-629F-442C-BA8B-CF7E37D7C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533151</xdr:colOff>
      <xdr:row>99</xdr:row>
      <xdr:rowOff>176893</xdr:rowOff>
    </xdr:from>
    <xdr:to>
      <xdr:col>16</xdr:col>
      <xdr:colOff>288224</xdr:colOff>
      <xdr:row>135</xdr:row>
      <xdr:rowOff>176893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4083B5E-98E4-4CC5-B179-18A2EE2D7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55667</xdr:colOff>
      <xdr:row>100</xdr:row>
      <xdr:rowOff>3713</xdr:rowOff>
    </xdr:from>
    <xdr:to>
      <xdr:col>35</xdr:col>
      <xdr:colOff>334922</xdr:colOff>
      <xdr:row>136</xdr:row>
      <xdr:rowOff>103291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B2007EB-299B-406F-BA19-5D48241EF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402958</xdr:colOff>
      <xdr:row>134</xdr:row>
      <xdr:rowOff>185241</xdr:rowOff>
    </xdr:from>
    <xdr:to>
      <xdr:col>35</xdr:col>
      <xdr:colOff>23812</xdr:colOff>
      <xdr:row>163</xdr:row>
      <xdr:rowOff>119062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9AF8623-1D0E-4A30-AC8A-104171B1EE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54429</xdr:colOff>
      <xdr:row>136</xdr:row>
      <xdr:rowOff>27214</xdr:rowOff>
    </xdr:from>
    <xdr:to>
      <xdr:col>15</xdr:col>
      <xdr:colOff>436666</xdr:colOff>
      <xdr:row>163</xdr:row>
      <xdr:rowOff>134834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DC10EFF-C99A-4FE8-BF47-CC8C4FA80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82038</xdr:colOff>
      <xdr:row>4</xdr:row>
      <xdr:rowOff>114777</xdr:rowOff>
    </xdr:from>
    <xdr:to>
      <xdr:col>18</xdr:col>
      <xdr:colOff>571499</xdr:colOff>
      <xdr:row>33</xdr:row>
      <xdr:rowOff>68034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80DB36-9360-48B4-82E0-F25BD7A04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589109</xdr:colOff>
      <xdr:row>35</xdr:row>
      <xdr:rowOff>68357</xdr:rowOff>
    </xdr:from>
    <xdr:to>
      <xdr:col>8</xdr:col>
      <xdr:colOff>140874</xdr:colOff>
      <xdr:row>49</xdr:row>
      <xdr:rowOff>144557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AFF7414-68BA-4940-8C0E-53972EC90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71747</xdr:colOff>
      <xdr:row>35</xdr:row>
      <xdr:rowOff>100938</xdr:rowOff>
    </xdr:from>
    <xdr:to>
      <xdr:col>31</xdr:col>
      <xdr:colOff>399119</xdr:colOff>
      <xdr:row>49</xdr:row>
      <xdr:rowOff>177138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CA0AA8E2-305D-4914-A339-34C722EC2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157394</xdr:colOff>
      <xdr:row>35</xdr:row>
      <xdr:rowOff>85062</xdr:rowOff>
    </xdr:from>
    <xdr:to>
      <xdr:col>15</xdr:col>
      <xdr:colOff>478580</xdr:colOff>
      <xdr:row>49</xdr:row>
      <xdr:rowOff>161262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D1D85859-F5A5-426C-9A49-A5E3A88FC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561967</xdr:colOff>
      <xdr:row>35</xdr:row>
      <xdr:rowOff>93867</xdr:rowOff>
    </xdr:from>
    <xdr:to>
      <xdr:col>24</xdr:col>
      <xdr:colOff>65489</xdr:colOff>
      <xdr:row>49</xdr:row>
      <xdr:rowOff>170067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851E962D-9F5B-4CCC-B3F1-F02ECD282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489856</xdr:colOff>
      <xdr:row>4</xdr:row>
      <xdr:rowOff>13608</xdr:rowOff>
    </xdr:from>
    <xdr:to>
      <xdr:col>37</xdr:col>
      <xdr:colOff>305764</xdr:colOff>
      <xdr:row>32</xdr:row>
      <xdr:rowOff>157364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64A97D3-96B4-47F3-BD13-D7A3FE61F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1030</xdr:colOff>
      <xdr:row>75</xdr:row>
      <xdr:rowOff>40821</xdr:rowOff>
    </xdr:from>
    <xdr:to>
      <xdr:col>14</xdr:col>
      <xdr:colOff>190500</xdr:colOff>
      <xdr:row>101</xdr:row>
      <xdr:rowOff>0</xdr:rowOff>
    </xdr:to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19C1C0BA-452A-46AC-B7BB-A5DABB160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571500</xdr:colOff>
      <xdr:row>53</xdr:row>
      <xdr:rowOff>68035</xdr:rowOff>
    </xdr:from>
    <xdr:to>
      <xdr:col>13</xdr:col>
      <xdr:colOff>441836</xdr:colOff>
      <xdr:row>72</xdr:row>
      <xdr:rowOff>106336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CA2A69C-CFE2-4031-ACD5-2A7E78F4A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440994</xdr:colOff>
      <xdr:row>53</xdr:row>
      <xdr:rowOff>74221</xdr:rowOff>
    </xdr:from>
    <xdr:to>
      <xdr:col>27</xdr:col>
      <xdr:colOff>263705</xdr:colOff>
      <xdr:row>72</xdr:row>
      <xdr:rowOff>112522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2006851-521A-40E1-89F3-CBD16640A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178129</xdr:colOff>
      <xdr:row>4</xdr:row>
      <xdr:rowOff>51954</xdr:rowOff>
    </xdr:from>
    <xdr:to>
      <xdr:col>55</xdr:col>
      <xdr:colOff>606358</xdr:colOff>
      <xdr:row>33</xdr:row>
      <xdr:rowOff>5210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D1F1E73-F8D1-4FDF-8B12-1BC6BD8EE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55</xdr:col>
      <xdr:colOff>547687</xdr:colOff>
      <xdr:row>4</xdr:row>
      <xdr:rowOff>173180</xdr:rowOff>
    </xdr:from>
    <xdr:to>
      <xdr:col>73</xdr:col>
      <xdr:colOff>401015</xdr:colOff>
      <xdr:row>32</xdr:row>
      <xdr:rowOff>85615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A90D49C-508D-48A7-81B7-B8BB8E092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125184</xdr:rowOff>
    </xdr:from>
    <xdr:to>
      <xdr:col>8</xdr:col>
      <xdr:colOff>340178</xdr:colOff>
      <xdr:row>41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B6CB3F2-86EC-4AA4-8400-AA836A59AA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1428751</xdr:colOff>
      <xdr:row>13</xdr:row>
      <xdr:rowOff>125447</xdr:rowOff>
    </xdr:from>
    <xdr:to>
      <xdr:col>23</xdr:col>
      <xdr:colOff>173490</xdr:colOff>
      <xdr:row>48</xdr:row>
      <xdr:rowOff>136071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32B684E-8E51-486C-B361-75C1B35AB8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558693</xdr:colOff>
      <xdr:row>79</xdr:row>
      <xdr:rowOff>149998</xdr:rowOff>
    </xdr:from>
    <xdr:to>
      <xdr:col>3</xdr:col>
      <xdr:colOff>531479</xdr:colOff>
      <xdr:row>94</xdr:row>
      <xdr:rowOff>35698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F83C581-121B-4184-9E0A-4259EA5CD8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571499</xdr:colOff>
      <xdr:row>80</xdr:row>
      <xdr:rowOff>54427</xdr:rowOff>
    </xdr:from>
    <xdr:to>
      <xdr:col>8</xdr:col>
      <xdr:colOff>802821</xdr:colOff>
      <xdr:row>94</xdr:row>
      <xdr:rowOff>130627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02133A-AAE7-45AC-A316-09423F4F2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567644</xdr:colOff>
      <xdr:row>94</xdr:row>
      <xdr:rowOff>77496</xdr:rowOff>
    </xdr:from>
    <xdr:to>
      <xdr:col>8</xdr:col>
      <xdr:colOff>769348</xdr:colOff>
      <xdr:row>109</xdr:row>
      <xdr:rowOff>66290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5964505-EB78-499C-BD61-E433D4E58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562695</xdr:colOff>
      <xdr:row>94</xdr:row>
      <xdr:rowOff>120063</xdr:rowOff>
    </xdr:from>
    <xdr:to>
      <xdr:col>3</xdr:col>
      <xdr:colOff>535481</xdr:colOff>
      <xdr:row>109</xdr:row>
      <xdr:rowOff>5763</xdr:rowOff>
    </xdr:to>
    <xdr:graphicFrame macro="">
      <xdr:nvGraphicFramePr>
        <xdr:cNvPr id="8" name="Chart 4">
          <a:extLst>
            <a:ext uri="{FF2B5EF4-FFF2-40B4-BE49-F238E27FC236}">
              <a16:creationId xmlns:a16="http://schemas.microsoft.com/office/drawing/2014/main" id="{BCB8E39D-5AE7-4A15-B0A4-0CA0B1D72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207818</xdr:colOff>
      <xdr:row>113</xdr:row>
      <xdr:rowOff>42493</xdr:rowOff>
    </xdr:from>
    <xdr:to>
      <xdr:col>11</xdr:col>
      <xdr:colOff>440375</xdr:colOff>
      <xdr:row>149</xdr:row>
      <xdr:rowOff>98961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4A2595-B950-42E4-B6AB-425ECA75A8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389657</xdr:colOff>
      <xdr:row>80</xdr:row>
      <xdr:rowOff>67355</xdr:rowOff>
    </xdr:from>
    <xdr:to>
      <xdr:col>19</xdr:col>
      <xdr:colOff>545523</xdr:colOff>
      <xdr:row>109</xdr:row>
      <xdr:rowOff>6495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5012CE9D-DA0D-41C5-8EA6-8D847D4C10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214312</xdr:colOff>
      <xdr:row>45</xdr:row>
      <xdr:rowOff>71438</xdr:rowOff>
    </xdr:from>
    <xdr:to>
      <xdr:col>8</xdr:col>
      <xdr:colOff>175345</xdr:colOff>
      <xdr:row>70</xdr:row>
      <xdr:rowOff>15526</xdr:rowOff>
    </xdr:to>
    <xdr:graphicFrame macro="">
      <xdr:nvGraphicFramePr>
        <xdr:cNvPr id="10" name="Chart 2">
          <a:extLst>
            <a:ext uri="{FF2B5EF4-FFF2-40B4-BE49-F238E27FC236}">
              <a16:creationId xmlns:a16="http://schemas.microsoft.com/office/drawing/2014/main" id="{D66901CF-3359-432C-86F2-95350444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127413</xdr:colOff>
      <xdr:row>45</xdr:row>
      <xdr:rowOff>81643</xdr:rowOff>
    </xdr:from>
    <xdr:to>
      <xdr:col>24</xdr:col>
      <xdr:colOff>58142</xdr:colOff>
      <xdr:row>80</xdr:row>
      <xdr:rowOff>156901</xdr:rowOff>
    </xdr:to>
    <xdr:graphicFrame macro="">
      <xdr:nvGraphicFramePr>
        <xdr:cNvPr id="12" name="Chart 3">
          <a:extLst>
            <a:ext uri="{FF2B5EF4-FFF2-40B4-BE49-F238E27FC236}">
              <a16:creationId xmlns:a16="http://schemas.microsoft.com/office/drawing/2014/main" id="{666E4877-AE12-4413-A190-1B13FCC05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265230</xdr:colOff>
      <xdr:row>115</xdr:row>
      <xdr:rowOff>26197</xdr:rowOff>
    </xdr:from>
    <xdr:to>
      <xdr:col>34</xdr:col>
      <xdr:colOff>337195</xdr:colOff>
      <xdr:row>151</xdr:row>
      <xdr:rowOff>4224</xdr:rowOff>
    </xdr:to>
    <xdr:graphicFrame macro="">
      <xdr:nvGraphicFramePr>
        <xdr:cNvPr id="13" name="Chart 1">
          <a:extLst>
            <a:ext uri="{FF2B5EF4-FFF2-40B4-BE49-F238E27FC236}">
              <a16:creationId xmlns:a16="http://schemas.microsoft.com/office/drawing/2014/main" id="{74DC14CB-B89D-4975-9D3F-B1BFB37CD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255439</xdr:colOff>
      <xdr:row>159</xdr:row>
      <xdr:rowOff>100447</xdr:rowOff>
    </xdr:from>
    <xdr:to>
      <xdr:col>8</xdr:col>
      <xdr:colOff>792924</xdr:colOff>
      <xdr:row>194</xdr:row>
      <xdr:rowOff>84118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2941D3-7319-4CDD-8922-0632656392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793612</xdr:colOff>
      <xdr:row>159</xdr:row>
      <xdr:rowOff>90768</xdr:rowOff>
    </xdr:from>
    <xdr:to>
      <xdr:col>21</xdr:col>
      <xdr:colOff>653140</xdr:colOff>
      <xdr:row>194</xdr:row>
      <xdr:rowOff>60833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96C231B-1DD1-4B99-B4E1-8E6064934B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290949</xdr:colOff>
      <xdr:row>194</xdr:row>
      <xdr:rowOff>181413</xdr:rowOff>
    </xdr:from>
    <xdr:to>
      <xdr:col>8</xdr:col>
      <xdr:colOff>730782</xdr:colOff>
      <xdr:row>234</xdr:row>
      <xdr:rowOff>134470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BA5B61-A42F-4E3E-98E6-17EE95EBB0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399</xdr:colOff>
      <xdr:row>190</xdr:row>
      <xdr:rowOff>79561</xdr:rowOff>
    </xdr:from>
    <xdr:to>
      <xdr:col>21</xdr:col>
      <xdr:colOff>850848</xdr:colOff>
      <xdr:row>228</xdr:row>
      <xdr:rowOff>63234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457F7DD-3004-46B2-BB73-E4F06FC79F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485855</xdr:colOff>
      <xdr:row>229</xdr:row>
      <xdr:rowOff>164086</xdr:rowOff>
    </xdr:from>
    <xdr:to>
      <xdr:col>8</xdr:col>
      <xdr:colOff>959702</xdr:colOff>
      <xdr:row>268</xdr:row>
      <xdr:rowOff>136872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F6D1BAA-DFE1-480B-BA60-45897A470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27213</xdr:colOff>
      <xdr:row>228</xdr:row>
      <xdr:rowOff>81643</xdr:rowOff>
    </xdr:from>
    <xdr:to>
      <xdr:col>21</xdr:col>
      <xdr:colOff>850447</xdr:colOff>
      <xdr:row>263</xdr:row>
      <xdr:rowOff>51708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3FC2378-F60D-43C9-AD22-A0448F578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792302</xdr:colOff>
      <xdr:row>168</xdr:row>
      <xdr:rowOff>15091</xdr:rowOff>
    </xdr:from>
    <xdr:to>
      <xdr:col>21</xdr:col>
      <xdr:colOff>649429</xdr:colOff>
      <xdr:row>202</xdr:row>
      <xdr:rowOff>175656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1CFC62A-877F-401F-9203-8526BB35B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537479</xdr:colOff>
      <xdr:row>202</xdr:row>
      <xdr:rowOff>46943</xdr:rowOff>
    </xdr:from>
    <xdr:to>
      <xdr:col>9</xdr:col>
      <xdr:colOff>13606</xdr:colOff>
      <xdr:row>242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CE976CA-F22F-43F5-8A99-58699DAAD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34016</xdr:colOff>
      <xdr:row>202</xdr:row>
      <xdr:rowOff>57149</xdr:rowOff>
    </xdr:from>
    <xdr:to>
      <xdr:col>21</xdr:col>
      <xdr:colOff>884465</xdr:colOff>
      <xdr:row>240</xdr:row>
      <xdr:rowOff>40822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332676-1281-48F3-88ED-1D6157C99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530679</xdr:colOff>
      <xdr:row>242</xdr:row>
      <xdr:rowOff>40821</xdr:rowOff>
    </xdr:from>
    <xdr:to>
      <xdr:col>9</xdr:col>
      <xdr:colOff>40820</xdr:colOff>
      <xdr:row>281</xdr:row>
      <xdr:rowOff>13607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0A725B0-D128-4FB9-A251-5D50ADB1F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27213</xdr:colOff>
      <xdr:row>240</xdr:row>
      <xdr:rowOff>81643</xdr:rowOff>
    </xdr:from>
    <xdr:to>
      <xdr:col>21</xdr:col>
      <xdr:colOff>850447</xdr:colOff>
      <xdr:row>275</xdr:row>
      <xdr:rowOff>51708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215F7E4-2471-48FC-8822-7BE833AD0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255439</xdr:colOff>
      <xdr:row>159</xdr:row>
      <xdr:rowOff>100447</xdr:rowOff>
    </xdr:from>
    <xdr:to>
      <xdr:col>8</xdr:col>
      <xdr:colOff>792924</xdr:colOff>
      <xdr:row>194</xdr:row>
      <xdr:rowOff>84118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1686B29-D9FA-4642-B9F7-3DF62F507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757665</xdr:colOff>
      <xdr:row>160</xdr:row>
      <xdr:rowOff>32410</xdr:rowOff>
    </xdr:from>
    <xdr:to>
      <xdr:col>21</xdr:col>
      <xdr:colOff>614792</xdr:colOff>
      <xdr:row>195</xdr:row>
      <xdr:rowOff>2475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7BA6620-BA8A-4430-98F0-292A9CA32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329660</xdr:colOff>
      <xdr:row>188</xdr:row>
      <xdr:rowOff>150853</xdr:rowOff>
    </xdr:from>
    <xdr:to>
      <xdr:col>8</xdr:col>
      <xdr:colOff>775605</xdr:colOff>
      <xdr:row>228</xdr:row>
      <xdr:rowOff>103910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5575426-3E57-437F-BC79-018E64591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34016</xdr:colOff>
      <xdr:row>190</xdr:row>
      <xdr:rowOff>57149</xdr:rowOff>
    </xdr:from>
    <xdr:to>
      <xdr:col>21</xdr:col>
      <xdr:colOff>884465</xdr:colOff>
      <xdr:row>228</xdr:row>
      <xdr:rowOff>40822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F5230DC-B3FD-43A8-AA82-EACAD4284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530679</xdr:colOff>
      <xdr:row>230</xdr:row>
      <xdr:rowOff>40821</xdr:rowOff>
    </xdr:from>
    <xdr:to>
      <xdr:col>9</xdr:col>
      <xdr:colOff>40820</xdr:colOff>
      <xdr:row>269</xdr:row>
      <xdr:rowOff>13607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63ED905-5ED8-4E5B-A747-7BDDA14F1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</xdr:row>
      <xdr:rowOff>76200</xdr:rowOff>
    </xdr:from>
    <xdr:to>
      <xdr:col>8</xdr:col>
      <xdr:colOff>581024</xdr:colOff>
      <xdr:row>20</xdr:row>
      <xdr:rowOff>111444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11EA8A-7438-40E7-87C5-499C95ED9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20</xdr:row>
      <xdr:rowOff>161925</xdr:rowOff>
    </xdr:from>
    <xdr:to>
      <xdr:col>8</xdr:col>
      <xdr:colOff>581024</xdr:colOff>
      <xdr:row>39</xdr:row>
      <xdr:rowOff>6669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DBE8AB-E7A5-4E0D-8FF8-F3876058B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57150</xdr:colOff>
      <xdr:row>39</xdr:row>
      <xdr:rowOff>38100</xdr:rowOff>
    </xdr:from>
    <xdr:to>
      <xdr:col>8</xdr:col>
      <xdr:colOff>561974</xdr:colOff>
      <xdr:row>57</xdr:row>
      <xdr:rowOff>73344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4ABA617-197D-4C0A-A633-C00875887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47625</xdr:colOff>
      <xdr:row>57</xdr:row>
      <xdr:rowOff>104775</xdr:rowOff>
    </xdr:from>
    <xdr:to>
      <xdr:col>8</xdr:col>
      <xdr:colOff>561974</xdr:colOff>
      <xdr:row>75</xdr:row>
      <xdr:rowOff>140019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CD8F42D-AD2F-40A6-A272-D2826E408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76</xdr:row>
      <xdr:rowOff>0</xdr:rowOff>
    </xdr:from>
    <xdr:to>
      <xdr:col>8</xdr:col>
      <xdr:colOff>514349</xdr:colOff>
      <xdr:row>94</xdr:row>
      <xdr:rowOff>35244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F02C81B-C708-4EEB-8C79-60944DFB7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38100</xdr:colOff>
      <xdr:row>94</xdr:row>
      <xdr:rowOff>85725</xdr:rowOff>
    </xdr:from>
    <xdr:to>
      <xdr:col>8</xdr:col>
      <xdr:colOff>552449</xdr:colOff>
      <xdr:row>112</xdr:row>
      <xdr:rowOff>120969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4584EA5-B0D3-4641-9857-4D309AD37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800100</xdr:colOff>
      <xdr:row>13</xdr:row>
      <xdr:rowOff>23812</xdr:rowOff>
    </xdr:from>
    <xdr:to>
      <xdr:col>14</xdr:col>
      <xdr:colOff>66675</xdr:colOff>
      <xdr:row>27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EA99BA-4268-49EA-A29B-6A7C2171B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576262</xdr:colOff>
      <xdr:row>14</xdr:row>
      <xdr:rowOff>109537</xdr:rowOff>
    </xdr:from>
    <xdr:to>
      <xdr:col>32</xdr:col>
      <xdr:colOff>100012</xdr:colOff>
      <xdr:row>28</xdr:row>
      <xdr:rowOff>185737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A022A93-56C5-4971-940F-74DF42343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200025</xdr:colOff>
      <xdr:row>13</xdr:row>
      <xdr:rowOff>38100</xdr:rowOff>
    </xdr:from>
    <xdr:to>
      <xdr:col>21</xdr:col>
      <xdr:colOff>400050</xdr:colOff>
      <xdr:row>27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A01B64A-3476-4244-8901-160FF8E6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xia79730\OneDrive%20-%20Black%20&amp;%20Veatch\Desktop\406313.0200%20-%20SoCalGas\SCG%202020TCAP%20LRMC%20Distribution%20Cos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KTSRV\RTE_DSGN\03BCAP\02DM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Owner\Local%20Settings\Temporary%20Internet%20Files\Content.IE5\01Q3GHUJ\03ST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yeungdk_bv_com/Documents/Current%20Projects/SoCal%20LT%20Planning%20OII/SCG%20Cost%20Allocation%20Modeling%20v35%20071822%20MK%20Scenario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KTSRV\RTE_DSGN\03BCAP\02TRAN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Owner\Local%20Settings\Temporary%20Internet%20Files\Content.IE5\01Q3GHUJ\03rec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Summary"/>
      <sheetName val="HPD Peak Month Demand"/>
      <sheetName val="MPD Peak Day Demand"/>
      <sheetName val="In_Investment_History"/>
      <sheetName val="Out_Investment_History"/>
      <sheetName val="Out_Investment_Forecast"/>
      <sheetName val="Out_MP_LRMC"/>
      <sheetName val="Testimony Tables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AP Summary"/>
      <sheetName val="UEG + COGEN"/>
      <sheetName val="Core Customers"/>
      <sheetName val="Distribution - No. of Customers"/>
      <sheetName val="In_customers"/>
      <sheetName val="Sheet1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inal Cost Calculation"/>
      <sheetName val="Misc Inputs"/>
      <sheetName val="Rate Base Calculation"/>
      <sheetName val="Project Inputs"/>
      <sheetName val="Project  Data Sheet"/>
      <sheetName val="Injection Maintenance Costs"/>
      <sheetName val="Module1"/>
    </sheetNames>
    <sheetDataSet>
      <sheetData sheetId="0"/>
      <sheetData sheetId="1">
        <row r="67">
          <cell r="K67">
            <v>1.03218989531293</v>
          </cell>
        </row>
        <row r="70">
          <cell r="I70">
            <v>1.0195000000000001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ashboard - BM"/>
      <sheetName val="EC - Rate Base"/>
      <sheetName val="Graph Data"/>
      <sheetName val="Projected CapEx"/>
      <sheetName val="BM Forecast"/>
      <sheetName val="Forecast Factor"/>
      <sheetName val="Allocation Factor"/>
      <sheetName val="McKenzie Scenario Data"/>
      <sheetName val="Dashboard - Cost Allocation"/>
      <sheetName val="Back engine"/>
      <sheetName val="EC - T&amp;S O&amp;M"/>
      <sheetName val="EC - Misc Rev and Taxes"/>
      <sheetName val="LRMC"/>
      <sheetName val="BM"/>
      <sheetName val="FERC FORM 2 O&amp;M"/>
      <sheetName val="Customer and Mcf"/>
      <sheetName val="Notes"/>
    </sheetNames>
    <sheetDataSet>
      <sheetData sheetId="0"/>
      <sheetData sheetId="1">
        <row r="5">
          <cell r="C5">
            <v>2045</v>
          </cell>
        </row>
      </sheetData>
      <sheetData sheetId="2"/>
      <sheetData sheetId="3"/>
      <sheetData sheetId="4"/>
      <sheetData sheetId="5">
        <row r="15">
          <cell r="AI15">
            <v>2.0187987072265681E-2</v>
          </cell>
          <cell r="AJ15">
            <v>2.9273503621203192E-2</v>
          </cell>
          <cell r="AK15">
            <v>3.5515425238788353E-2</v>
          </cell>
          <cell r="AL15">
            <v>2.2609383031490553E-2</v>
          </cell>
        </row>
      </sheetData>
      <sheetData sheetId="6"/>
      <sheetData sheetId="7"/>
      <sheetData sheetId="8"/>
      <sheetData sheetId="9">
        <row r="36">
          <cell r="Z36">
            <v>1.3400484661116099</v>
          </cell>
          <cell r="AA36">
            <v>0.51381373183979817</v>
          </cell>
        </row>
      </sheetData>
      <sheetData sheetId="10">
        <row r="3">
          <cell r="B3" t="str">
            <v>Resilient Electrification</v>
          </cell>
        </row>
        <row r="4">
          <cell r="B4" t="str">
            <v>High Carbon Sequestration</v>
          </cell>
        </row>
        <row r="5">
          <cell r="B5" t="str">
            <v>High Clean Fuels - Low Cost</v>
          </cell>
        </row>
        <row r="6">
          <cell r="B6" t="str">
            <v>High Clean Fuels - High Cost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inal Cost Derivation"/>
      <sheetName val="Rate Base"/>
      <sheetName val="Project Input"/>
      <sheetName val="Macros"/>
      <sheetName val="Module1"/>
    </sheetNames>
    <sheetDataSet>
      <sheetData sheetId="0"/>
      <sheetData sheetId="1">
        <row r="1">
          <cell r="A1" t="str">
            <v>Sheet B</v>
          </cell>
        </row>
        <row r="2">
          <cell r="A2" t="str">
            <v>Convert Direct Investment to Rate Base</v>
          </cell>
        </row>
        <row r="3">
          <cell r="A3" t="str">
            <v>Print With PRINT_INV_CALC Macro</v>
          </cell>
        </row>
        <row r="5">
          <cell r="A5" t="str">
            <v>Projects 1 - 16</v>
          </cell>
        </row>
        <row r="6">
          <cell r="A6">
            <v>0</v>
          </cell>
        </row>
        <row r="7">
          <cell r="A7" t="str">
            <v>Project 01</v>
          </cell>
        </row>
        <row r="8">
          <cell r="C8" t="str">
            <v>SOUTHERN CALIFORNIA GAS COMPANY</v>
          </cell>
          <cell r="H8">
            <v>37154.589386111111</v>
          </cell>
        </row>
        <row r="9">
          <cell r="D9" t="str">
            <v xml:space="preserve">    TABLE IV</v>
          </cell>
          <cell r="H9">
            <v>37154.589386111111</v>
          </cell>
        </row>
        <row r="10">
          <cell r="A10" t="str">
            <v>$000's</v>
          </cell>
        </row>
        <row r="11">
          <cell r="A11" t="str">
            <v>YEAR(S):</v>
          </cell>
          <cell r="E11" t="str">
            <v xml:space="preserve"> </v>
          </cell>
          <cell r="F11" t="str">
            <v xml:space="preserve"> </v>
          </cell>
          <cell r="G11">
            <v>2003</v>
          </cell>
          <cell r="H11">
            <v>2004</v>
          </cell>
        </row>
        <row r="12">
          <cell r="A12" t="str">
            <v xml:space="preserve"> PROJECT:Line 7000 Local T</v>
          </cell>
          <cell r="H12" t="str">
            <v>TOTAL</v>
          </cell>
        </row>
        <row r="13">
          <cell r="A13" t="str">
            <v>RATE BASE YEAR:</v>
          </cell>
          <cell r="C13">
            <v>2004</v>
          </cell>
          <cell r="E13" t="str">
            <v>TRANS-</v>
          </cell>
          <cell r="F13" t="str">
            <v>TRANS-</v>
          </cell>
          <cell r="G13" t="str">
            <v>TRANS-</v>
          </cell>
          <cell r="H13" t="str">
            <v>CAPITALIZED</v>
          </cell>
        </row>
        <row r="14">
          <cell r="A14" t="str">
            <v>INCREMENTAL THROUGHPUT (MMCFD):</v>
          </cell>
          <cell r="C14">
            <v>30</v>
          </cell>
          <cell r="E14" t="str">
            <v>ACTIONS</v>
          </cell>
          <cell r="F14" t="str">
            <v>ACTIONS</v>
          </cell>
          <cell r="G14" t="str">
            <v>ACTIONS</v>
          </cell>
          <cell r="H14" t="str">
            <v>AMOUNT</v>
          </cell>
        </row>
        <row r="15">
          <cell r="A15" t="str">
            <v>SYSTEM:  EASTERN</v>
          </cell>
          <cell r="E15" t="str">
            <v>(A)</v>
          </cell>
          <cell r="F15" t="str">
            <v>(B)</v>
          </cell>
          <cell r="G15" t="str">
            <v>(C)</v>
          </cell>
          <cell r="H15" t="str">
            <v>(D)</v>
          </cell>
        </row>
        <row r="16">
          <cell r="A16" t="str">
            <v>LINE</v>
          </cell>
        </row>
        <row r="17">
          <cell r="A17">
            <v>1</v>
          </cell>
          <cell r="B17" t="str">
            <v>TOTAL ESTIMATED DIRECT COST</v>
          </cell>
          <cell r="E17" t="str">
            <v xml:space="preserve"> </v>
          </cell>
          <cell r="F17" t="str">
            <v xml:space="preserve"> </v>
          </cell>
          <cell r="G17">
            <v>7000</v>
          </cell>
          <cell r="H17">
            <v>7000</v>
          </cell>
        </row>
        <row r="18">
          <cell r="A18">
            <v>2</v>
          </cell>
          <cell r="B18" t="str">
            <v>DIRECT LABOR</v>
          </cell>
          <cell r="C18">
            <v>0</v>
          </cell>
          <cell r="E18" t="str">
            <v xml:space="preserve"> </v>
          </cell>
          <cell r="F18" t="str">
            <v xml:space="preserve"> </v>
          </cell>
          <cell r="G18">
            <v>0</v>
          </cell>
          <cell r="H18">
            <v>0</v>
          </cell>
        </row>
        <row r="19">
          <cell r="A19">
            <v>3</v>
          </cell>
          <cell r="B19" t="str">
            <v>NONLABOR</v>
          </cell>
          <cell r="E19" t="str">
            <v xml:space="preserve"> </v>
          </cell>
          <cell r="F19" t="str">
            <v xml:space="preserve"> </v>
          </cell>
          <cell r="G19">
            <v>7000</v>
          </cell>
          <cell r="H19">
            <v>7000</v>
          </cell>
        </row>
        <row r="20">
          <cell r="A20">
            <v>4</v>
          </cell>
        </row>
        <row r="21">
          <cell r="A21">
            <v>5</v>
          </cell>
        </row>
        <row r="22">
          <cell r="A22">
            <v>6</v>
          </cell>
          <cell r="B22" t="str">
            <v>ANNUAL INVESTMENT</v>
          </cell>
          <cell r="E22" t="str">
            <v xml:space="preserve"> </v>
          </cell>
          <cell r="F22" t="str">
            <v xml:space="preserve"> </v>
          </cell>
          <cell r="G22">
            <v>7000</v>
          </cell>
        </row>
        <row r="23">
          <cell r="A23">
            <v>7</v>
          </cell>
          <cell r="B23" t="str">
            <v>REASSIGNMENTS</v>
          </cell>
          <cell r="C23">
            <v>0.4955</v>
          </cell>
          <cell r="E23" t="str">
            <v xml:space="preserve"> </v>
          </cell>
          <cell r="F23" t="str">
            <v xml:space="preserve"> </v>
          </cell>
          <cell r="G23">
            <v>0</v>
          </cell>
        </row>
        <row r="24">
          <cell r="A24">
            <v>8</v>
          </cell>
          <cell r="B24" t="str">
            <v>SUBTOTAL</v>
          </cell>
          <cell r="E24" t="str">
            <v xml:space="preserve"> </v>
          </cell>
          <cell r="F24" t="str">
            <v xml:space="preserve"> </v>
          </cell>
          <cell r="G24">
            <v>7000</v>
          </cell>
        </row>
        <row r="25">
          <cell r="A25">
            <v>9</v>
          </cell>
        </row>
        <row r="26">
          <cell r="A26">
            <v>10</v>
          </cell>
          <cell r="B26" t="str">
            <v>SUBTOTAL</v>
          </cell>
          <cell r="E26" t="str">
            <v xml:space="preserve"> </v>
          </cell>
          <cell r="F26" t="str">
            <v xml:space="preserve"> </v>
          </cell>
          <cell r="G26">
            <v>7000</v>
          </cell>
        </row>
        <row r="27">
          <cell r="A27">
            <v>11</v>
          </cell>
        </row>
        <row r="28">
          <cell r="A28">
            <v>12</v>
          </cell>
          <cell r="B28" t="str">
            <v>SUBTOTAL</v>
          </cell>
          <cell r="E28" t="str">
            <v xml:space="preserve"> </v>
          </cell>
          <cell r="F28" t="str">
            <v xml:space="preserve"> </v>
          </cell>
          <cell r="G28">
            <v>7000</v>
          </cell>
        </row>
        <row r="29">
          <cell r="A29">
            <v>13</v>
          </cell>
          <cell r="B29" t="str">
            <v>AFUDC (50% FIRST YR)</v>
          </cell>
          <cell r="C29">
            <v>8.6800000000000002E-2</v>
          </cell>
          <cell r="E29" t="str">
            <v xml:space="preserve"> </v>
          </cell>
          <cell r="F29" t="str">
            <v xml:space="preserve"> </v>
          </cell>
          <cell r="G29">
            <v>303.8</v>
          </cell>
        </row>
        <row r="30">
          <cell r="A30">
            <v>14</v>
          </cell>
          <cell r="B30" t="str">
            <v>TOTAL</v>
          </cell>
          <cell r="E30" t="str">
            <v xml:space="preserve"> </v>
          </cell>
          <cell r="F30" t="str">
            <v xml:space="preserve"> </v>
          </cell>
          <cell r="G30">
            <v>7303.8</v>
          </cell>
          <cell r="H30">
            <v>7303.8</v>
          </cell>
        </row>
        <row r="33">
          <cell r="A33" t="str">
            <v>Project 02</v>
          </cell>
        </row>
        <row r="34">
          <cell r="C34" t="str">
            <v>SOUTHERN CALIFORNIA GAS COMPANY</v>
          </cell>
          <cell r="H34">
            <v>37154.589386111111</v>
          </cell>
        </row>
        <row r="35">
          <cell r="D35" t="str">
            <v xml:space="preserve">    TABLE IV</v>
          </cell>
          <cell r="H35">
            <v>37154.589386111111</v>
          </cell>
        </row>
        <row r="36">
          <cell r="A36" t="str">
            <v>$000's</v>
          </cell>
        </row>
        <row r="37">
          <cell r="A37" t="str">
            <v>YEAR(S):</v>
          </cell>
          <cell r="E37" t="str">
            <v xml:space="preserve"> </v>
          </cell>
          <cell r="F37" t="str">
            <v xml:space="preserve"> </v>
          </cell>
          <cell r="G37" t="str">
            <v xml:space="preserve"> </v>
          </cell>
          <cell r="H37" t="str">
            <v xml:space="preserve"> </v>
          </cell>
        </row>
        <row r="38">
          <cell r="A38" t="e">
            <v>#VALUE!</v>
          </cell>
          <cell r="H38" t="str">
            <v>TOTAL</v>
          </cell>
        </row>
        <row r="39">
          <cell r="A39" t="str">
            <v>RATE BASE YEAR:</v>
          </cell>
          <cell r="C39">
            <v>0</v>
          </cell>
          <cell r="E39" t="str">
            <v>TRANS-</v>
          </cell>
          <cell r="F39" t="str">
            <v>TRANS-</v>
          </cell>
          <cell r="G39" t="str">
            <v>TRANS-</v>
          </cell>
          <cell r="H39" t="str">
            <v>CAPITALIZED</v>
          </cell>
        </row>
        <row r="40">
          <cell r="A40" t="str">
            <v>INCREMENTAL THROUGHPUT (MMCFD):</v>
          </cell>
          <cell r="C40">
            <v>0</v>
          </cell>
          <cell r="E40" t="str">
            <v>ACTIONS</v>
          </cell>
          <cell r="F40" t="str">
            <v>ACTIONS</v>
          </cell>
          <cell r="G40" t="str">
            <v>ACTIONS</v>
          </cell>
          <cell r="H40" t="str">
            <v>AMOUNT</v>
          </cell>
        </row>
        <row r="41">
          <cell r="A41" t="str">
            <v>SYSTEM:  EASTERN</v>
          </cell>
          <cell r="E41" t="str">
            <v>(A)</v>
          </cell>
          <cell r="F41" t="str">
            <v>(B)</v>
          </cell>
          <cell r="G41" t="str">
            <v>(C)</v>
          </cell>
          <cell r="H41" t="str">
            <v>(D)</v>
          </cell>
        </row>
        <row r="42">
          <cell r="A42" t="str">
            <v>LINE</v>
          </cell>
        </row>
        <row r="43">
          <cell r="A43">
            <v>1</v>
          </cell>
          <cell r="B43" t="str">
            <v>TOTAL ESTIMATED DIRECT COST</v>
          </cell>
          <cell r="E43" t="str">
            <v xml:space="preserve"> </v>
          </cell>
          <cell r="F43" t="str">
            <v xml:space="preserve"> </v>
          </cell>
          <cell r="G43" t="str">
            <v xml:space="preserve"> </v>
          </cell>
          <cell r="H43">
            <v>0</v>
          </cell>
        </row>
        <row r="44">
          <cell r="A44">
            <v>2</v>
          </cell>
          <cell r="B44" t="str">
            <v>DIRECT LABOR</v>
          </cell>
          <cell r="C44">
            <v>0</v>
          </cell>
          <cell r="E44" t="str">
            <v xml:space="preserve"> </v>
          </cell>
          <cell r="F44" t="str">
            <v xml:space="preserve"> </v>
          </cell>
          <cell r="G44" t="str">
            <v xml:space="preserve"> </v>
          </cell>
          <cell r="H44">
            <v>0</v>
          </cell>
        </row>
        <row r="45">
          <cell r="A45">
            <v>3</v>
          </cell>
          <cell r="B45" t="str">
            <v>NONLABOR</v>
          </cell>
          <cell r="E45" t="str">
            <v xml:space="preserve"> </v>
          </cell>
          <cell r="F45" t="str">
            <v xml:space="preserve"> </v>
          </cell>
          <cell r="G45" t="str">
            <v xml:space="preserve"> </v>
          </cell>
          <cell r="H45">
            <v>0</v>
          </cell>
        </row>
        <row r="46">
          <cell r="A46">
            <v>4</v>
          </cell>
        </row>
        <row r="47">
          <cell r="A47">
            <v>5</v>
          </cell>
        </row>
        <row r="48">
          <cell r="A48">
            <v>6</v>
          </cell>
          <cell r="B48" t="str">
            <v>ANNUAL INVESTMENT</v>
          </cell>
          <cell r="E48" t="str">
            <v xml:space="preserve"> </v>
          </cell>
          <cell r="F48" t="str">
            <v xml:space="preserve"> </v>
          </cell>
          <cell r="G48" t="str">
            <v xml:space="preserve"> </v>
          </cell>
        </row>
        <row r="49">
          <cell r="A49">
            <v>7</v>
          </cell>
          <cell r="B49" t="str">
            <v>REASSIGNMENTS</v>
          </cell>
          <cell r="C49">
            <v>0.4955</v>
          </cell>
          <cell r="E49" t="str">
            <v xml:space="preserve"> </v>
          </cell>
          <cell r="F49" t="str">
            <v xml:space="preserve"> </v>
          </cell>
          <cell r="G49" t="str">
            <v xml:space="preserve"> </v>
          </cell>
        </row>
        <row r="50">
          <cell r="A50">
            <v>8</v>
          </cell>
          <cell r="B50" t="str">
            <v>SUBTOTAL</v>
          </cell>
          <cell r="E50" t="str">
            <v xml:space="preserve"> </v>
          </cell>
          <cell r="F50" t="str">
            <v xml:space="preserve"> </v>
          </cell>
          <cell r="G50" t="str">
            <v xml:space="preserve"> </v>
          </cell>
        </row>
        <row r="51">
          <cell r="A51">
            <v>9</v>
          </cell>
        </row>
        <row r="52">
          <cell r="A52">
            <v>10</v>
          </cell>
          <cell r="B52" t="str">
            <v>SUBTOTAL</v>
          </cell>
          <cell r="E52" t="str">
            <v xml:space="preserve"> </v>
          </cell>
          <cell r="F52" t="str">
            <v xml:space="preserve"> </v>
          </cell>
          <cell r="G52" t="str">
            <v xml:space="preserve"> </v>
          </cell>
        </row>
        <row r="53">
          <cell r="A53">
            <v>11</v>
          </cell>
        </row>
        <row r="54">
          <cell r="A54">
            <v>12</v>
          </cell>
          <cell r="B54" t="str">
            <v>SUBTOTAL</v>
          </cell>
          <cell r="E54" t="str">
            <v xml:space="preserve"> </v>
          </cell>
          <cell r="F54" t="str">
            <v xml:space="preserve"> </v>
          </cell>
          <cell r="G54" t="str">
            <v xml:space="preserve"> </v>
          </cell>
        </row>
        <row r="55">
          <cell r="A55">
            <v>13</v>
          </cell>
          <cell r="B55" t="str">
            <v>AFUDC (50% FIRST YR)</v>
          </cell>
          <cell r="C55">
            <v>8.6800000000000002E-2</v>
          </cell>
          <cell r="E55" t="str">
            <v xml:space="preserve"> </v>
          </cell>
          <cell r="F55" t="str">
            <v xml:space="preserve"> </v>
          </cell>
          <cell r="G55" t="str">
            <v xml:space="preserve"> </v>
          </cell>
        </row>
        <row r="56">
          <cell r="A56">
            <v>14</v>
          </cell>
          <cell r="B56" t="str">
            <v>TOTAL</v>
          </cell>
          <cell r="E56" t="str">
            <v xml:space="preserve"> </v>
          </cell>
          <cell r="F56" t="str">
            <v xml:space="preserve"> </v>
          </cell>
          <cell r="G56" t="str">
            <v xml:space="preserve"> </v>
          </cell>
          <cell r="H56">
            <v>0</v>
          </cell>
        </row>
        <row r="59">
          <cell r="A59" t="str">
            <v>Project 03</v>
          </cell>
        </row>
        <row r="60">
          <cell r="C60" t="str">
            <v>SOUTHERN CALIFORNIA GAS COMPANY</v>
          </cell>
        </row>
        <row r="61">
          <cell r="D61" t="str">
            <v xml:space="preserve">    TABLE IV</v>
          </cell>
        </row>
        <row r="62">
          <cell r="A62" t="str">
            <v>$000's</v>
          </cell>
        </row>
        <row r="63">
          <cell r="A63" t="str">
            <v>YEAR(S):</v>
          </cell>
          <cell r="E63" t="str">
            <v xml:space="preserve"> </v>
          </cell>
          <cell r="F63" t="str">
            <v xml:space="preserve"> </v>
          </cell>
          <cell r="G63" t="str">
            <v xml:space="preserve"> </v>
          </cell>
          <cell r="H63" t="str">
            <v xml:space="preserve"> </v>
          </cell>
        </row>
        <row r="64">
          <cell r="A64" t="str">
            <v xml:space="preserve"> PROJECT: </v>
          </cell>
          <cell r="H64" t="str">
            <v>TOTAL</v>
          </cell>
        </row>
        <row r="65">
          <cell r="A65" t="str">
            <v>RATE BASE YEAR:</v>
          </cell>
          <cell r="C65">
            <v>0</v>
          </cell>
          <cell r="E65" t="str">
            <v>TRANS-</v>
          </cell>
          <cell r="F65" t="str">
            <v>TRANS-</v>
          </cell>
          <cell r="G65" t="str">
            <v>TRANS-</v>
          </cell>
          <cell r="H65" t="str">
            <v>CAPITALIZED</v>
          </cell>
        </row>
        <row r="66">
          <cell r="A66" t="str">
            <v>INCREMENTAL THROUGHPUT (MMCFD):</v>
          </cell>
          <cell r="C66">
            <v>0</v>
          </cell>
          <cell r="E66" t="str">
            <v>ACTIONS</v>
          </cell>
          <cell r="F66" t="str">
            <v>ACTIONS</v>
          </cell>
          <cell r="G66" t="str">
            <v>ACTIONS</v>
          </cell>
          <cell r="H66" t="str">
            <v>AMOUNT</v>
          </cell>
        </row>
        <row r="67">
          <cell r="A67" t="str">
            <v>SYSTEM:  EASTERN</v>
          </cell>
          <cell r="E67" t="str">
            <v>(A)</v>
          </cell>
          <cell r="F67" t="str">
            <v>(B)</v>
          </cell>
          <cell r="G67" t="str">
            <v>(C)</v>
          </cell>
          <cell r="H67" t="str">
            <v>(D)</v>
          </cell>
        </row>
        <row r="68">
          <cell r="A68" t="str">
            <v>LINE</v>
          </cell>
        </row>
        <row r="69">
          <cell r="A69">
            <v>1</v>
          </cell>
          <cell r="B69" t="str">
            <v>TOTAL ESTIMATED DIRECT COST</v>
          </cell>
          <cell r="E69" t="str">
            <v xml:space="preserve"> </v>
          </cell>
          <cell r="F69" t="str">
            <v xml:space="preserve"> </v>
          </cell>
          <cell r="G69" t="str">
            <v xml:space="preserve"> </v>
          </cell>
          <cell r="H69">
            <v>0</v>
          </cell>
        </row>
        <row r="70">
          <cell r="A70">
            <v>2</v>
          </cell>
          <cell r="B70" t="str">
            <v>DIRECT LABOR</v>
          </cell>
          <cell r="C70">
            <v>0</v>
          </cell>
          <cell r="E70" t="str">
            <v xml:space="preserve"> </v>
          </cell>
          <cell r="F70" t="str">
            <v xml:space="preserve"> </v>
          </cell>
          <cell r="G70" t="str">
            <v xml:space="preserve"> </v>
          </cell>
          <cell r="H70">
            <v>0</v>
          </cell>
        </row>
        <row r="71">
          <cell r="A71">
            <v>3</v>
          </cell>
          <cell r="B71" t="str">
            <v>NONLABOR</v>
          </cell>
          <cell r="E71" t="str">
            <v xml:space="preserve"> </v>
          </cell>
          <cell r="F71" t="str">
            <v xml:space="preserve"> </v>
          </cell>
          <cell r="G71" t="str">
            <v xml:space="preserve"> </v>
          </cell>
          <cell r="H71">
            <v>0</v>
          </cell>
        </row>
        <row r="72">
          <cell r="A72">
            <v>4</v>
          </cell>
        </row>
        <row r="73">
          <cell r="A73">
            <v>5</v>
          </cell>
        </row>
        <row r="74">
          <cell r="A74">
            <v>6</v>
          </cell>
          <cell r="B74" t="str">
            <v>ANNUAL INVESTMENT</v>
          </cell>
          <cell r="E74" t="str">
            <v xml:space="preserve"> </v>
          </cell>
          <cell r="F74" t="str">
            <v xml:space="preserve"> </v>
          </cell>
          <cell r="G74" t="str">
            <v xml:space="preserve"> </v>
          </cell>
        </row>
        <row r="75">
          <cell r="A75">
            <v>7</v>
          </cell>
          <cell r="B75" t="str">
            <v>REASSIGNMENTS</v>
          </cell>
          <cell r="C75">
            <v>0.4955</v>
          </cell>
          <cell r="E75" t="str">
            <v xml:space="preserve"> </v>
          </cell>
          <cell r="F75" t="str">
            <v xml:space="preserve"> </v>
          </cell>
          <cell r="G75" t="str">
            <v xml:space="preserve"> </v>
          </cell>
        </row>
        <row r="76">
          <cell r="A76">
            <v>8</v>
          </cell>
          <cell r="B76" t="str">
            <v>SUBTOTAL</v>
          </cell>
          <cell r="E76" t="str">
            <v xml:space="preserve"> </v>
          </cell>
          <cell r="F76" t="str">
            <v xml:space="preserve"> </v>
          </cell>
          <cell r="G76" t="str">
            <v xml:space="preserve"> </v>
          </cell>
        </row>
        <row r="77">
          <cell r="A77">
            <v>9</v>
          </cell>
        </row>
        <row r="78">
          <cell r="A78">
            <v>10</v>
          </cell>
          <cell r="B78" t="str">
            <v>SUBTOTAL</v>
          </cell>
          <cell r="E78" t="str">
            <v xml:space="preserve"> </v>
          </cell>
          <cell r="F78" t="str">
            <v xml:space="preserve"> </v>
          </cell>
          <cell r="G78" t="str">
            <v xml:space="preserve"> </v>
          </cell>
        </row>
        <row r="79">
          <cell r="A79">
            <v>11</v>
          </cell>
        </row>
        <row r="80">
          <cell r="A80">
            <v>12</v>
          </cell>
          <cell r="B80" t="str">
            <v>SUBTOTAL</v>
          </cell>
          <cell r="E80" t="str">
            <v xml:space="preserve"> </v>
          </cell>
          <cell r="F80" t="str">
            <v xml:space="preserve"> </v>
          </cell>
          <cell r="G80" t="str">
            <v xml:space="preserve"> </v>
          </cell>
        </row>
        <row r="81">
          <cell r="A81">
            <v>13</v>
          </cell>
          <cell r="B81" t="str">
            <v>AFUDC (50% FIRST YR)</v>
          </cell>
          <cell r="C81">
            <v>8.6800000000000002E-2</v>
          </cell>
          <cell r="E81" t="str">
            <v xml:space="preserve"> </v>
          </cell>
          <cell r="F81" t="str">
            <v xml:space="preserve"> </v>
          </cell>
          <cell r="G81" t="str">
            <v xml:space="preserve"> </v>
          </cell>
        </row>
        <row r="82">
          <cell r="A82">
            <v>14</v>
          </cell>
          <cell r="B82" t="str">
            <v>TOTAL</v>
          </cell>
          <cell r="E82" t="str">
            <v xml:space="preserve"> </v>
          </cell>
          <cell r="F82" t="str">
            <v xml:space="preserve"> </v>
          </cell>
          <cell r="G82" t="str">
            <v xml:space="preserve"> </v>
          </cell>
          <cell r="H82">
            <v>0</v>
          </cell>
        </row>
        <row r="85">
          <cell r="A85" t="str">
            <v>Project 04</v>
          </cell>
        </row>
        <row r="86">
          <cell r="C86" t="str">
            <v>SOUTHERN CALIFORNIA GAS COMPANY</v>
          </cell>
        </row>
        <row r="87">
          <cell r="D87" t="str">
            <v xml:space="preserve">    TABLE IV</v>
          </cell>
        </row>
        <row r="88">
          <cell r="A88" t="str">
            <v>$000's</v>
          </cell>
        </row>
        <row r="89">
          <cell r="A89" t="str">
            <v>YEAR(S):</v>
          </cell>
          <cell r="E89" t="str">
            <v xml:space="preserve"> </v>
          </cell>
          <cell r="F89" t="str">
            <v xml:space="preserve"> </v>
          </cell>
          <cell r="G89" t="str">
            <v xml:space="preserve"> </v>
          </cell>
          <cell r="H89" t="str">
            <v xml:space="preserve"> </v>
          </cell>
        </row>
        <row r="90">
          <cell r="A90" t="str">
            <v xml:space="preserve"> PROJECT: </v>
          </cell>
          <cell r="H90" t="str">
            <v>TOTAL</v>
          </cell>
        </row>
        <row r="91">
          <cell r="A91" t="str">
            <v>RATE BASE YEAR:</v>
          </cell>
          <cell r="C91">
            <v>0</v>
          </cell>
          <cell r="E91" t="str">
            <v>TRANS-</v>
          </cell>
          <cell r="F91" t="str">
            <v>TRANS-</v>
          </cell>
          <cell r="G91" t="str">
            <v>TRANS-</v>
          </cell>
          <cell r="H91" t="str">
            <v>CAPITALIZED</v>
          </cell>
        </row>
        <row r="92">
          <cell r="A92" t="str">
            <v>INCREMENTAL THROUGHPUT (MMCFD):</v>
          </cell>
          <cell r="C92">
            <v>0</v>
          </cell>
          <cell r="E92" t="str">
            <v>ACTIONS</v>
          </cell>
          <cell r="F92" t="str">
            <v>ACTIONS</v>
          </cell>
          <cell r="G92" t="str">
            <v>ACTIONS</v>
          </cell>
          <cell r="H92" t="str">
            <v>AMOUNT</v>
          </cell>
        </row>
        <row r="93">
          <cell r="A93" t="str">
            <v>SYSTEM:  EASTERN</v>
          </cell>
          <cell r="E93" t="str">
            <v>(A)</v>
          </cell>
          <cell r="F93" t="str">
            <v>(B)</v>
          </cell>
          <cell r="G93" t="str">
            <v>(C)</v>
          </cell>
          <cell r="H93" t="str">
            <v>(D)</v>
          </cell>
        </row>
        <row r="94">
          <cell r="A94" t="str">
            <v>LINE</v>
          </cell>
        </row>
        <row r="95">
          <cell r="A95">
            <v>1</v>
          </cell>
          <cell r="B95" t="str">
            <v>TOTAL ESTIMATED DIRECT COST</v>
          </cell>
          <cell r="E95" t="str">
            <v xml:space="preserve"> </v>
          </cell>
          <cell r="F95" t="str">
            <v xml:space="preserve"> </v>
          </cell>
          <cell r="G95" t="str">
            <v xml:space="preserve"> </v>
          </cell>
          <cell r="H95">
            <v>0</v>
          </cell>
        </row>
        <row r="96">
          <cell r="A96">
            <v>2</v>
          </cell>
          <cell r="B96" t="str">
            <v>DIRECT LABOR</v>
          </cell>
          <cell r="C96">
            <v>0</v>
          </cell>
          <cell r="E96" t="str">
            <v xml:space="preserve"> </v>
          </cell>
          <cell r="F96" t="str">
            <v xml:space="preserve"> </v>
          </cell>
          <cell r="G96" t="str">
            <v xml:space="preserve"> </v>
          </cell>
          <cell r="H96">
            <v>0</v>
          </cell>
        </row>
        <row r="97">
          <cell r="A97">
            <v>3</v>
          </cell>
          <cell r="B97" t="str">
            <v>NONLABOR</v>
          </cell>
          <cell r="E97" t="str">
            <v xml:space="preserve"> </v>
          </cell>
          <cell r="F97" t="str">
            <v xml:space="preserve"> </v>
          </cell>
          <cell r="G97" t="str">
            <v xml:space="preserve"> </v>
          </cell>
          <cell r="H97">
            <v>0</v>
          </cell>
        </row>
        <row r="98">
          <cell r="A98">
            <v>4</v>
          </cell>
        </row>
        <row r="99">
          <cell r="A99">
            <v>5</v>
          </cell>
        </row>
        <row r="100">
          <cell r="A100">
            <v>6</v>
          </cell>
          <cell r="B100" t="str">
            <v>ANNUAL INVESTMENT</v>
          </cell>
          <cell r="E100" t="str">
            <v xml:space="preserve"> </v>
          </cell>
          <cell r="F100" t="str">
            <v xml:space="preserve"> </v>
          </cell>
          <cell r="G100" t="str">
            <v xml:space="preserve"> </v>
          </cell>
        </row>
        <row r="101">
          <cell r="A101">
            <v>7</v>
          </cell>
          <cell r="B101" t="str">
            <v>REASSIGNMENTS</v>
          </cell>
          <cell r="C101">
            <v>0.4955</v>
          </cell>
          <cell r="E101" t="str">
            <v xml:space="preserve"> </v>
          </cell>
          <cell r="F101" t="str">
            <v xml:space="preserve"> </v>
          </cell>
          <cell r="G101" t="str">
            <v xml:space="preserve"> </v>
          </cell>
        </row>
        <row r="102">
          <cell r="A102">
            <v>8</v>
          </cell>
          <cell r="B102" t="str">
            <v>SUBTOTAL</v>
          </cell>
          <cell r="E102" t="str">
            <v xml:space="preserve"> </v>
          </cell>
          <cell r="F102" t="str">
            <v xml:space="preserve"> </v>
          </cell>
          <cell r="G102" t="str">
            <v xml:space="preserve"> </v>
          </cell>
        </row>
        <row r="103">
          <cell r="A103">
            <v>9</v>
          </cell>
        </row>
        <row r="104">
          <cell r="A104">
            <v>10</v>
          </cell>
          <cell r="B104" t="str">
            <v>SUBTOTAL</v>
          </cell>
          <cell r="E104" t="str">
            <v xml:space="preserve"> </v>
          </cell>
          <cell r="F104" t="str">
            <v xml:space="preserve"> </v>
          </cell>
          <cell r="G104" t="str">
            <v xml:space="preserve"> </v>
          </cell>
        </row>
        <row r="105">
          <cell r="A105">
            <v>11</v>
          </cell>
        </row>
        <row r="106">
          <cell r="A106">
            <v>12</v>
          </cell>
          <cell r="B106" t="str">
            <v>SUBTOTAL</v>
          </cell>
          <cell r="E106" t="str">
            <v xml:space="preserve"> </v>
          </cell>
          <cell r="F106" t="str">
            <v xml:space="preserve"> </v>
          </cell>
          <cell r="G106" t="str">
            <v xml:space="preserve"> </v>
          </cell>
        </row>
        <row r="107">
          <cell r="A107">
            <v>13</v>
          </cell>
          <cell r="B107" t="str">
            <v>AFUDC (50% FIRST YR)</v>
          </cell>
          <cell r="C107">
            <v>8.6800000000000002E-2</v>
          </cell>
          <cell r="E107" t="str">
            <v xml:space="preserve"> </v>
          </cell>
          <cell r="F107" t="str">
            <v xml:space="preserve"> </v>
          </cell>
          <cell r="G107" t="str">
            <v xml:space="preserve"> </v>
          </cell>
        </row>
        <row r="108">
          <cell r="A108">
            <v>14</v>
          </cell>
          <cell r="B108" t="str">
            <v>TOTAL</v>
          </cell>
          <cell r="E108" t="str">
            <v xml:space="preserve"> </v>
          </cell>
          <cell r="F108" t="str">
            <v xml:space="preserve"> </v>
          </cell>
          <cell r="G108" t="str">
            <v xml:space="preserve"> </v>
          </cell>
          <cell r="H108">
            <v>0</v>
          </cell>
        </row>
        <row r="111">
          <cell r="A111" t="str">
            <v>Project 05</v>
          </cell>
        </row>
        <row r="112">
          <cell r="C112" t="str">
            <v>SOUTHERN CALIFORNIA GAS COMPANY</v>
          </cell>
        </row>
        <row r="113">
          <cell r="D113" t="str">
            <v xml:space="preserve">    TABLE IV</v>
          </cell>
        </row>
        <row r="114">
          <cell r="A114" t="str">
            <v>$000's</v>
          </cell>
        </row>
        <row r="115">
          <cell r="A115" t="str">
            <v>YEAR(S):</v>
          </cell>
          <cell r="E115" t="str">
            <v xml:space="preserve"> </v>
          </cell>
          <cell r="F115" t="str">
            <v xml:space="preserve"> </v>
          </cell>
          <cell r="G115" t="str">
            <v xml:space="preserve"> </v>
          </cell>
          <cell r="H115" t="str">
            <v xml:space="preserve"> </v>
          </cell>
        </row>
        <row r="116">
          <cell r="A116" t="str">
            <v xml:space="preserve"> PROJECT: </v>
          </cell>
          <cell r="H116" t="str">
            <v>TOTAL</v>
          </cell>
        </row>
        <row r="117">
          <cell r="A117" t="str">
            <v>RATE BASE YEAR:</v>
          </cell>
          <cell r="C117">
            <v>0</v>
          </cell>
          <cell r="E117" t="str">
            <v>TRANS-</v>
          </cell>
          <cell r="F117" t="str">
            <v>TRANS-</v>
          </cell>
          <cell r="G117" t="str">
            <v>TRANS-</v>
          </cell>
          <cell r="H117" t="str">
            <v>CAPITALIZED</v>
          </cell>
        </row>
        <row r="118">
          <cell r="A118" t="str">
            <v>INCREMENTAL THROUGHPUT (MMCFD):</v>
          </cell>
          <cell r="C118">
            <v>0</v>
          </cell>
          <cell r="E118" t="str">
            <v>ACTIONS</v>
          </cell>
          <cell r="F118" t="str">
            <v>ACTIONS</v>
          </cell>
          <cell r="G118" t="str">
            <v>ACTIONS</v>
          </cell>
          <cell r="H118" t="str">
            <v>AMOUNT</v>
          </cell>
        </row>
        <row r="119">
          <cell r="A119" t="str">
            <v>SYSTEM:  EASTERN</v>
          </cell>
          <cell r="E119" t="str">
            <v>(A)</v>
          </cell>
          <cell r="F119" t="str">
            <v>(B)</v>
          </cell>
          <cell r="G119" t="str">
            <v>(C)</v>
          </cell>
          <cell r="H119" t="str">
            <v>(D)</v>
          </cell>
        </row>
        <row r="120">
          <cell r="A120" t="str">
            <v>LINE</v>
          </cell>
        </row>
        <row r="121">
          <cell r="A121">
            <v>1</v>
          </cell>
          <cell r="B121" t="str">
            <v>TOTAL ESTIMATED DIRECT COST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>
            <v>0</v>
          </cell>
        </row>
        <row r="122">
          <cell r="A122">
            <v>2</v>
          </cell>
          <cell r="B122" t="str">
            <v>DIRECT LABOR</v>
          </cell>
          <cell r="C122">
            <v>0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>
            <v>0</v>
          </cell>
        </row>
        <row r="123">
          <cell r="A123">
            <v>3</v>
          </cell>
          <cell r="B123" t="str">
            <v>NONLABOR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>
            <v>0</v>
          </cell>
        </row>
        <row r="124">
          <cell r="A124">
            <v>4</v>
          </cell>
        </row>
        <row r="125">
          <cell r="A125">
            <v>5</v>
          </cell>
        </row>
        <row r="126">
          <cell r="A126">
            <v>6</v>
          </cell>
          <cell r="B126" t="str">
            <v>ANNUAL INVESTMENT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</row>
        <row r="127">
          <cell r="A127">
            <v>7</v>
          </cell>
          <cell r="B127" t="str">
            <v>REASSIGNMENTS</v>
          </cell>
          <cell r="C127">
            <v>0.4955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</row>
        <row r="128">
          <cell r="A128">
            <v>8</v>
          </cell>
          <cell r="B128" t="str">
            <v>SUBTOTAL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</row>
        <row r="129">
          <cell r="A129">
            <v>9</v>
          </cell>
        </row>
        <row r="130">
          <cell r="A130">
            <v>10</v>
          </cell>
          <cell r="B130" t="str">
            <v>SUBTOTAL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</row>
        <row r="131">
          <cell r="A131">
            <v>11</v>
          </cell>
        </row>
        <row r="132">
          <cell r="A132">
            <v>12</v>
          </cell>
          <cell r="B132" t="str">
            <v>SUBTOTAL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</row>
        <row r="133">
          <cell r="A133">
            <v>13</v>
          </cell>
          <cell r="B133" t="str">
            <v>AFUDC (50% FIRST YR)</v>
          </cell>
          <cell r="C133">
            <v>8.6800000000000002E-2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</row>
        <row r="134">
          <cell r="A134">
            <v>14</v>
          </cell>
          <cell r="B134" t="str">
            <v>TOTAL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>
            <v>0</v>
          </cell>
        </row>
        <row r="137">
          <cell r="A137" t="str">
            <v>Project 06</v>
          </cell>
        </row>
        <row r="138">
          <cell r="C138" t="str">
            <v>SOUTHERN CALIFORNIA GAS COMPANY</v>
          </cell>
        </row>
        <row r="139">
          <cell r="D139" t="str">
            <v xml:space="preserve">    TABLE IV</v>
          </cell>
        </row>
        <row r="140">
          <cell r="A140" t="str">
            <v>$000's</v>
          </cell>
        </row>
        <row r="141">
          <cell r="A141" t="str">
            <v>YEAR(S):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</row>
        <row r="142">
          <cell r="A142" t="str">
            <v xml:space="preserve"> PROJECT: </v>
          </cell>
          <cell r="H142" t="str">
            <v>TOTAL</v>
          </cell>
        </row>
        <row r="143">
          <cell r="A143" t="str">
            <v>RATE BASE YEAR:</v>
          </cell>
          <cell r="C143">
            <v>0</v>
          </cell>
          <cell r="E143" t="str">
            <v>TRANS-</v>
          </cell>
          <cell r="F143" t="str">
            <v>TRANS-</v>
          </cell>
          <cell r="G143" t="str">
            <v>TRANS-</v>
          </cell>
          <cell r="H143" t="str">
            <v>CAPITALIZED</v>
          </cell>
        </row>
        <row r="144">
          <cell r="A144" t="str">
            <v>INCREMENTAL THROUGHPUT (MMCFD):</v>
          </cell>
          <cell r="C144">
            <v>0</v>
          </cell>
          <cell r="E144" t="str">
            <v>ACTIONS</v>
          </cell>
          <cell r="F144" t="str">
            <v>ACTIONS</v>
          </cell>
          <cell r="G144" t="str">
            <v>ACTIONS</v>
          </cell>
          <cell r="H144" t="str">
            <v>AMOUNT</v>
          </cell>
        </row>
        <row r="145">
          <cell r="A145" t="str">
            <v>SYSTEM:  EASTERN</v>
          </cell>
          <cell r="E145" t="str">
            <v>(A)</v>
          </cell>
          <cell r="F145" t="str">
            <v>(B)</v>
          </cell>
          <cell r="G145" t="str">
            <v>(C)</v>
          </cell>
          <cell r="H145" t="str">
            <v>(D)</v>
          </cell>
        </row>
        <row r="146">
          <cell r="A146" t="str">
            <v>LINE</v>
          </cell>
        </row>
        <row r="147">
          <cell r="A147">
            <v>1</v>
          </cell>
          <cell r="B147" t="str">
            <v>TOTAL ESTIMATED DIRECT COST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>
            <v>0</v>
          </cell>
        </row>
        <row r="148">
          <cell r="A148">
            <v>2</v>
          </cell>
          <cell r="B148" t="str">
            <v>DIRECT LABOR</v>
          </cell>
          <cell r="C148">
            <v>0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>
            <v>0</v>
          </cell>
        </row>
        <row r="149">
          <cell r="A149">
            <v>3</v>
          </cell>
          <cell r="B149" t="str">
            <v>NONLABOR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>
            <v>0</v>
          </cell>
        </row>
        <row r="150">
          <cell r="A150">
            <v>4</v>
          </cell>
        </row>
        <row r="151">
          <cell r="A151">
            <v>5</v>
          </cell>
        </row>
        <row r="152">
          <cell r="A152">
            <v>6</v>
          </cell>
          <cell r="B152" t="str">
            <v>ANNUAL INVESTMENT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</row>
        <row r="153">
          <cell r="A153">
            <v>7</v>
          </cell>
          <cell r="B153" t="str">
            <v>REASSIGNMENTS</v>
          </cell>
          <cell r="C153">
            <v>0.4955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</row>
        <row r="154">
          <cell r="A154">
            <v>8</v>
          </cell>
          <cell r="B154" t="str">
            <v>SUBTOTAL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</row>
        <row r="155">
          <cell r="A155">
            <v>9</v>
          </cell>
        </row>
        <row r="156">
          <cell r="A156">
            <v>10</v>
          </cell>
          <cell r="B156" t="str">
            <v>SUBTOTAL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</row>
        <row r="157">
          <cell r="A157">
            <v>11</v>
          </cell>
        </row>
        <row r="158">
          <cell r="A158">
            <v>12</v>
          </cell>
          <cell r="B158" t="str">
            <v>SUBTOTAL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</row>
        <row r="159">
          <cell r="A159">
            <v>13</v>
          </cell>
          <cell r="B159" t="str">
            <v>AFUDC (50% FIRST YR)</v>
          </cell>
          <cell r="C159">
            <v>8.6800000000000002E-2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</row>
        <row r="160">
          <cell r="A160">
            <v>14</v>
          </cell>
          <cell r="B160" t="str">
            <v>TOTAL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>
            <v>0</v>
          </cell>
        </row>
        <row r="163">
          <cell r="A163" t="str">
            <v>Project 07</v>
          </cell>
        </row>
        <row r="164">
          <cell r="C164" t="str">
            <v>SOUTHERN CALIFORNIA GAS COMPANY</v>
          </cell>
        </row>
        <row r="165">
          <cell r="D165" t="str">
            <v xml:space="preserve">    TABLE IV</v>
          </cell>
        </row>
        <row r="166">
          <cell r="A166" t="str">
            <v>$000's</v>
          </cell>
        </row>
        <row r="167">
          <cell r="A167" t="str">
            <v>YEAR(S):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</row>
        <row r="168">
          <cell r="A168" t="str">
            <v xml:space="preserve"> PROJECT: </v>
          </cell>
          <cell r="H168" t="str">
            <v>TOTAL</v>
          </cell>
        </row>
        <row r="169">
          <cell r="A169" t="str">
            <v>RATE BASE YEAR:</v>
          </cell>
          <cell r="C169">
            <v>0</v>
          </cell>
          <cell r="E169" t="str">
            <v>TRANS-</v>
          </cell>
          <cell r="F169" t="str">
            <v>TRANS-</v>
          </cell>
          <cell r="G169" t="str">
            <v>TRANS-</v>
          </cell>
          <cell r="H169" t="str">
            <v>CAPITALIZED</v>
          </cell>
        </row>
        <row r="170">
          <cell r="A170" t="str">
            <v>INCREMENTAL THROUGHPUT (MMCFD):</v>
          </cell>
          <cell r="C170">
            <v>0</v>
          </cell>
          <cell r="E170" t="str">
            <v>ACTIONS</v>
          </cell>
          <cell r="F170" t="str">
            <v>ACTIONS</v>
          </cell>
          <cell r="G170" t="str">
            <v>ACTIONS</v>
          </cell>
          <cell r="H170" t="str">
            <v>AMOUNT</v>
          </cell>
        </row>
        <row r="171">
          <cell r="A171" t="str">
            <v>SYSTEM:  EASTERN</v>
          </cell>
          <cell r="E171" t="str">
            <v>(A)</v>
          </cell>
          <cell r="F171" t="str">
            <v>(B)</v>
          </cell>
          <cell r="G171" t="str">
            <v>(C)</v>
          </cell>
          <cell r="H171" t="str">
            <v>(D)</v>
          </cell>
        </row>
        <row r="172">
          <cell r="A172" t="str">
            <v>LINE</v>
          </cell>
        </row>
        <row r="173">
          <cell r="A173">
            <v>1</v>
          </cell>
          <cell r="B173" t="str">
            <v>TOTAL ESTIMATED DIRECT COST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>
            <v>0</v>
          </cell>
        </row>
        <row r="174">
          <cell r="A174">
            <v>2</v>
          </cell>
          <cell r="B174" t="str">
            <v>DIRECT LABOR</v>
          </cell>
          <cell r="C174">
            <v>0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>
            <v>0</v>
          </cell>
        </row>
        <row r="175">
          <cell r="A175">
            <v>3</v>
          </cell>
          <cell r="B175" t="str">
            <v>NONLABOR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>
            <v>0</v>
          </cell>
        </row>
        <row r="176">
          <cell r="A176">
            <v>4</v>
          </cell>
        </row>
        <row r="177">
          <cell r="A177">
            <v>5</v>
          </cell>
        </row>
        <row r="178">
          <cell r="A178">
            <v>6</v>
          </cell>
          <cell r="B178" t="str">
            <v>ANNUAL INVESTMENT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</row>
        <row r="179">
          <cell r="A179">
            <v>7</v>
          </cell>
          <cell r="B179" t="str">
            <v>REASSIGNMENTS</v>
          </cell>
          <cell r="C179">
            <v>0.4955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</row>
        <row r="180">
          <cell r="A180">
            <v>8</v>
          </cell>
          <cell r="B180" t="str">
            <v>SUBTOTAL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</row>
        <row r="181">
          <cell r="A181">
            <v>9</v>
          </cell>
        </row>
        <row r="182">
          <cell r="A182">
            <v>10</v>
          </cell>
          <cell r="B182" t="str">
            <v>SUBTOTAL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</row>
        <row r="183">
          <cell r="A183">
            <v>11</v>
          </cell>
        </row>
        <row r="184">
          <cell r="A184">
            <v>12</v>
          </cell>
          <cell r="B184" t="str">
            <v>SUBTOTAL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</row>
        <row r="185">
          <cell r="A185">
            <v>13</v>
          </cell>
          <cell r="B185" t="str">
            <v>AFUDC (50% FIRST YR)</v>
          </cell>
          <cell r="C185">
            <v>8.6800000000000002E-2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</row>
        <row r="186">
          <cell r="A186">
            <v>14</v>
          </cell>
          <cell r="B186" t="str">
            <v>TOTAL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>
            <v>0</v>
          </cell>
        </row>
        <row r="189">
          <cell r="A189" t="str">
            <v>Project 08</v>
          </cell>
        </row>
        <row r="190">
          <cell r="C190" t="str">
            <v>SOUTHERN CALIFORNIA GAS COMPANY</v>
          </cell>
        </row>
        <row r="191">
          <cell r="D191" t="str">
            <v xml:space="preserve">    TABLE IV</v>
          </cell>
        </row>
        <row r="192">
          <cell r="A192" t="str">
            <v>$000's</v>
          </cell>
        </row>
        <row r="193">
          <cell r="A193" t="str">
            <v>YEAR(S):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</row>
        <row r="194">
          <cell r="A194" t="str">
            <v xml:space="preserve"> PROJECT: </v>
          </cell>
          <cell r="H194" t="str">
            <v>TOTAL</v>
          </cell>
        </row>
        <row r="195">
          <cell r="A195" t="str">
            <v>RATE BASE YEAR:</v>
          </cell>
          <cell r="C195">
            <v>0</v>
          </cell>
          <cell r="E195" t="str">
            <v>TRANS-</v>
          </cell>
          <cell r="F195" t="str">
            <v>TRANS-</v>
          </cell>
          <cell r="G195" t="str">
            <v>TRANS-</v>
          </cell>
          <cell r="H195" t="str">
            <v>CAPITALIZED</v>
          </cell>
        </row>
        <row r="196">
          <cell r="A196" t="str">
            <v>INCREMENTAL THROUGHPUT (MMCFD):</v>
          </cell>
          <cell r="C196">
            <v>0</v>
          </cell>
          <cell r="E196" t="str">
            <v>ACTIONS</v>
          </cell>
          <cell r="F196" t="str">
            <v>ACTIONS</v>
          </cell>
          <cell r="G196" t="str">
            <v>ACTIONS</v>
          </cell>
          <cell r="H196" t="str">
            <v>AMOUNT</v>
          </cell>
        </row>
        <row r="197">
          <cell r="A197" t="str">
            <v>SYSTEM:  EASTERN</v>
          </cell>
          <cell r="E197" t="str">
            <v>(A)</v>
          </cell>
          <cell r="F197" t="str">
            <v>(B)</v>
          </cell>
          <cell r="G197" t="str">
            <v>(C)</v>
          </cell>
          <cell r="H197" t="str">
            <v>(D)</v>
          </cell>
        </row>
        <row r="198">
          <cell r="A198" t="str">
            <v>LINE</v>
          </cell>
        </row>
        <row r="199">
          <cell r="A199">
            <v>1</v>
          </cell>
          <cell r="B199" t="str">
            <v>TOTAL ESTIMATED DIRECT COST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>
            <v>0</v>
          </cell>
        </row>
        <row r="200">
          <cell r="A200">
            <v>2</v>
          </cell>
          <cell r="B200" t="str">
            <v>DIRECT LABOR</v>
          </cell>
          <cell r="C200">
            <v>0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>
            <v>0</v>
          </cell>
        </row>
        <row r="201">
          <cell r="A201">
            <v>3</v>
          </cell>
          <cell r="B201" t="str">
            <v>NONLABOR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>
            <v>0</v>
          </cell>
        </row>
        <row r="202">
          <cell r="A202">
            <v>4</v>
          </cell>
        </row>
        <row r="203">
          <cell r="A203">
            <v>5</v>
          </cell>
        </row>
        <row r="204">
          <cell r="A204">
            <v>6</v>
          </cell>
          <cell r="B204" t="str">
            <v>ANNUAL INVESTMENT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</row>
        <row r="205">
          <cell r="A205">
            <v>7</v>
          </cell>
          <cell r="B205" t="str">
            <v>REASSIGNMENTS</v>
          </cell>
          <cell r="C205">
            <v>0.4955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</row>
        <row r="206">
          <cell r="A206">
            <v>8</v>
          </cell>
          <cell r="B206" t="str">
            <v>SUBTOTAL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</row>
        <row r="207">
          <cell r="A207">
            <v>9</v>
          </cell>
        </row>
        <row r="208">
          <cell r="A208">
            <v>10</v>
          </cell>
          <cell r="B208" t="str">
            <v>SUBTOTAL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</row>
        <row r="209">
          <cell r="A209">
            <v>11</v>
          </cell>
        </row>
        <row r="210">
          <cell r="A210">
            <v>12</v>
          </cell>
          <cell r="B210" t="str">
            <v>SUBTOTAL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</row>
        <row r="211">
          <cell r="A211">
            <v>13</v>
          </cell>
          <cell r="B211" t="str">
            <v>AFUDC (50% FIRST YR)</v>
          </cell>
          <cell r="C211">
            <v>8.6800000000000002E-2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</row>
        <row r="212">
          <cell r="A212">
            <v>14</v>
          </cell>
          <cell r="B212" t="str">
            <v>TOTAL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>
            <v>0</v>
          </cell>
        </row>
        <row r="215">
          <cell r="A215" t="str">
            <v>Project 09</v>
          </cell>
        </row>
        <row r="216">
          <cell r="C216" t="str">
            <v>SOUTHERN CALIFORNIA GAS COMPANY</v>
          </cell>
        </row>
        <row r="217">
          <cell r="D217" t="str">
            <v xml:space="preserve">    TABLE IV</v>
          </cell>
        </row>
        <row r="218">
          <cell r="A218" t="str">
            <v>$000's</v>
          </cell>
        </row>
        <row r="219">
          <cell r="A219" t="str">
            <v>YEAR(S):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</row>
        <row r="220">
          <cell r="A220" t="str">
            <v xml:space="preserve"> PROJECT: </v>
          </cell>
          <cell r="H220" t="str">
            <v>TOTAL</v>
          </cell>
        </row>
        <row r="221">
          <cell r="A221" t="str">
            <v>RATE BASE YEAR:</v>
          </cell>
          <cell r="C221">
            <v>0</v>
          </cell>
          <cell r="E221" t="str">
            <v>TRANS-</v>
          </cell>
          <cell r="F221" t="str">
            <v>TRANS-</v>
          </cell>
          <cell r="G221" t="str">
            <v>TRANS-</v>
          </cell>
          <cell r="H221" t="str">
            <v>CAPITALIZED</v>
          </cell>
        </row>
        <row r="222">
          <cell r="A222" t="str">
            <v>INCREMENTAL THROUGHPUT (MMCFD):</v>
          </cell>
          <cell r="C222">
            <v>0</v>
          </cell>
          <cell r="E222" t="str">
            <v>ACTIONS</v>
          </cell>
          <cell r="F222" t="str">
            <v>ACTIONS</v>
          </cell>
          <cell r="G222" t="str">
            <v>ACTIONS</v>
          </cell>
          <cell r="H222" t="str">
            <v>AMOUNT</v>
          </cell>
        </row>
        <row r="223">
          <cell r="A223" t="str">
            <v>SYSTEM:  EASTERN</v>
          </cell>
          <cell r="E223" t="str">
            <v>(A)</v>
          </cell>
          <cell r="F223" t="str">
            <v>(B)</v>
          </cell>
          <cell r="G223" t="str">
            <v>(C)</v>
          </cell>
          <cell r="H223" t="str">
            <v>(D)</v>
          </cell>
        </row>
        <row r="224">
          <cell r="A224" t="str">
            <v>LINE</v>
          </cell>
        </row>
        <row r="225">
          <cell r="A225">
            <v>1</v>
          </cell>
          <cell r="B225" t="str">
            <v>TOTAL ESTIMATED DIRECT COST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>
            <v>0</v>
          </cell>
        </row>
        <row r="226">
          <cell r="A226">
            <v>2</v>
          </cell>
          <cell r="B226" t="str">
            <v>DIRECT LABOR</v>
          </cell>
          <cell r="C226">
            <v>0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>
            <v>0</v>
          </cell>
        </row>
        <row r="227">
          <cell r="A227">
            <v>3</v>
          </cell>
          <cell r="B227" t="str">
            <v>NONLABOR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>
            <v>0</v>
          </cell>
        </row>
        <row r="228">
          <cell r="A228">
            <v>4</v>
          </cell>
        </row>
        <row r="229">
          <cell r="A229">
            <v>5</v>
          </cell>
        </row>
        <row r="230">
          <cell r="A230">
            <v>6</v>
          </cell>
          <cell r="B230" t="str">
            <v>ANNUAL INVESTMENT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</row>
        <row r="231">
          <cell r="A231">
            <v>7</v>
          </cell>
          <cell r="B231" t="str">
            <v>REASSIGNMENTS</v>
          </cell>
          <cell r="C231">
            <v>0.4955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</row>
        <row r="232">
          <cell r="A232">
            <v>8</v>
          </cell>
          <cell r="B232" t="str">
            <v>SUBTOTAL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</row>
        <row r="233">
          <cell r="A233">
            <v>9</v>
          </cell>
        </row>
        <row r="234">
          <cell r="A234">
            <v>10</v>
          </cell>
          <cell r="B234" t="str">
            <v>SUBTOTAL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</row>
        <row r="235">
          <cell r="A235">
            <v>11</v>
          </cell>
        </row>
        <row r="236">
          <cell r="A236">
            <v>12</v>
          </cell>
          <cell r="B236" t="str">
            <v>SUBTOTAL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</row>
        <row r="237">
          <cell r="A237">
            <v>13</v>
          </cell>
          <cell r="B237" t="str">
            <v>AFUDC (50% FIRST YR)</v>
          </cell>
          <cell r="C237">
            <v>8.6800000000000002E-2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</row>
        <row r="238">
          <cell r="A238">
            <v>14</v>
          </cell>
          <cell r="B238" t="str">
            <v>TOTAL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>
            <v>0</v>
          </cell>
        </row>
        <row r="241">
          <cell r="A241" t="str">
            <v>Project 10</v>
          </cell>
        </row>
        <row r="242">
          <cell r="C242" t="str">
            <v>SOUTHERN CALIFORNIA GAS COMPANY</v>
          </cell>
        </row>
        <row r="243">
          <cell r="D243" t="str">
            <v xml:space="preserve">    TABLE IV</v>
          </cell>
        </row>
        <row r="244">
          <cell r="A244" t="str">
            <v>$000's</v>
          </cell>
        </row>
        <row r="245">
          <cell r="A245" t="str">
            <v>YEAR(S):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</row>
        <row r="246">
          <cell r="A246" t="str">
            <v xml:space="preserve"> PROJECT: </v>
          </cell>
          <cell r="H246" t="str">
            <v>TOTAL</v>
          </cell>
        </row>
        <row r="247">
          <cell r="A247" t="str">
            <v>RATE BASE YEAR:</v>
          </cell>
          <cell r="C247">
            <v>0</v>
          </cell>
          <cell r="E247" t="str">
            <v>TRANS-</v>
          </cell>
          <cell r="F247" t="str">
            <v>TRANS-</v>
          </cell>
          <cell r="G247" t="str">
            <v>TRANS-</v>
          </cell>
          <cell r="H247" t="str">
            <v>CAPITALIZED</v>
          </cell>
        </row>
        <row r="248">
          <cell r="A248" t="str">
            <v>INCREMENTAL THROUGHPUT (MMCFD):</v>
          </cell>
          <cell r="C248">
            <v>0</v>
          </cell>
          <cell r="E248" t="str">
            <v>ACTIONS</v>
          </cell>
          <cell r="F248" t="str">
            <v>ACTIONS</v>
          </cell>
          <cell r="G248" t="str">
            <v>ACTIONS</v>
          </cell>
          <cell r="H248" t="str">
            <v>AMOUNT</v>
          </cell>
        </row>
        <row r="249">
          <cell r="A249" t="str">
            <v>SYSTEM:  EASTERN</v>
          </cell>
          <cell r="E249" t="str">
            <v>(A)</v>
          </cell>
          <cell r="F249" t="str">
            <v>(B)</v>
          </cell>
          <cell r="G249" t="str">
            <v>(C)</v>
          </cell>
          <cell r="H249" t="str">
            <v>(D)</v>
          </cell>
        </row>
        <row r="250">
          <cell r="A250" t="str">
            <v>LINE</v>
          </cell>
        </row>
        <row r="251">
          <cell r="A251">
            <v>1</v>
          </cell>
          <cell r="B251" t="str">
            <v>TOTAL ESTIMATED DIRECT COST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>
            <v>0</v>
          </cell>
        </row>
        <row r="252">
          <cell r="A252">
            <v>2</v>
          </cell>
          <cell r="B252" t="str">
            <v>DIRECT LABOR</v>
          </cell>
          <cell r="C252">
            <v>0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>
            <v>0</v>
          </cell>
        </row>
        <row r="253">
          <cell r="A253">
            <v>3</v>
          </cell>
          <cell r="B253" t="str">
            <v>NONLABOR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>
            <v>0</v>
          </cell>
        </row>
        <row r="254">
          <cell r="A254">
            <v>4</v>
          </cell>
        </row>
        <row r="255">
          <cell r="A255">
            <v>5</v>
          </cell>
        </row>
        <row r="256">
          <cell r="A256">
            <v>6</v>
          </cell>
          <cell r="B256" t="str">
            <v>ANNUAL INVESTMENT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</row>
        <row r="257">
          <cell r="A257">
            <v>7</v>
          </cell>
          <cell r="B257" t="str">
            <v>REASSIGNMENTS</v>
          </cell>
          <cell r="C257">
            <v>0.4955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</row>
        <row r="258">
          <cell r="A258">
            <v>8</v>
          </cell>
          <cell r="B258" t="str">
            <v>SUBTOTAL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</row>
        <row r="259">
          <cell r="A259">
            <v>9</v>
          </cell>
        </row>
        <row r="260">
          <cell r="A260">
            <v>10</v>
          </cell>
          <cell r="B260" t="str">
            <v>SUBTOTAL</v>
          </cell>
          <cell r="E260" t="str">
            <v xml:space="preserve"> </v>
          </cell>
          <cell r="F260" t="str">
            <v xml:space="preserve"> </v>
          </cell>
          <cell r="G260" t="str">
            <v xml:space="preserve"> </v>
          </cell>
        </row>
        <row r="261">
          <cell r="A261">
            <v>11</v>
          </cell>
        </row>
        <row r="262">
          <cell r="A262">
            <v>12</v>
          </cell>
          <cell r="B262" t="str">
            <v>SUBTOTAL</v>
          </cell>
          <cell r="E262" t="str">
            <v xml:space="preserve"> </v>
          </cell>
          <cell r="F262" t="str">
            <v xml:space="preserve"> </v>
          </cell>
          <cell r="G262" t="str">
            <v xml:space="preserve"> </v>
          </cell>
        </row>
        <row r="263">
          <cell r="A263">
            <v>13</v>
          </cell>
          <cell r="B263" t="str">
            <v>AFUDC (50% FIRST YR)</v>
          </cell>
          <cell r="C263">
            <v>8.6800000000000002E-2</v>
          </cell>
          <cell r="E263" t="str">
            <v xml:space="preserve"> </v>
          </cell>
          <cell r="F263" t="str">
            <v xml:space="preserve"> </v>
          </cell>
          <cell r="G263" t="str">
            <v xml:space="preserve"> </v>
          </cell>
        </row>
        <row r="264">
          <cell r="A264">
            <v>14</v>
          </cell>
          <cell r="B264" t="str">
            <v>TOTAL</v>
          </cell>
          <cell r="E264" t="str">
            <v xml:space="preserve"> </v>
          </cell>
          <cell r="F264" t="str">
            <v xml:space="preserve"> </v>
          </cell>
          <cell r="G264" t="str">
            <v xml:space="preserve"> </v>
          </cell>
          <cell r="H264">
            <v>0</v>
          </cell>
        </row>
        <row r="267">
          <cell r="A267" t="str">
            <v>Project 11</v>
          </cell>
        </row>
        <row r="268">
          <cell r="C268" t="str">
            <v>SOUTHERN CALIFORNIA GAS COMPANY</v>
          </cell>
        </row>
        <row r="269">
          <cell r="D269" t="str">
            <v xml:space="preserve">    TABLE IV</v>
          </cell>
        </row>
        <row r="270">
          <cell r="A270" t="str">
            <v>$000's</v>
          </cell>
        </row>
        <row r="271">
          <cell r="A271" t="str">
            <v>YEAR(S):</v>
          </cell>
          <cell r="E271" t="str">
            <v xml:space="preserve"> </v>
          </cell>
          <cell r="F271" t="str">
            <v xml:space="preserve"> </v>
          </cell>
          <cell r="G271" t="str">
            <v xml:space="preserve"> </v>
          </cell>
          <cell r="H271" t="str">
            <v xml:space="preserve"> </v>
          </cell>
        </row>
        <row r="272">
          <cell r="A272" t="str">
            <v xml:space="preserve"> PROJECT: </v>
          </cell>
          <cell r="H272" t="str">
            <v>TOTAL</v>
          </cell>
        </row>
        <row r="273">
          <cell r="A273" t="str">
            <v>RATE BASE YEAR:</v>
          </cell>
          <cell r="C273">
            <v>0</v>
          </cell>
          <cell r="E273" t="str">
            <v>TRANS-</v>
          </cell>
          <cell r="F273" t="str">
            <v>TRANS-</v>
          </cell>
          <cell r="G273" t="str">
            <v>TRANS-</v>
          </cell>
          <cell r="H273" t="str">
            <v>CAPITALIZED</v>
          </cell>
        </row>
        <row r="274">
          <cell r="A274" t="str">
            <v>INCREMENTAL THROUGHPUT (MMCFD):</v>
          </cell>
          <cell r="C274">
            <v>0</v>
          </cell>
          <cell r="E274" t="str">
            <v>ACTIONS</v>
          </cell>
          <cell r="F274" t="str">
            <v>ACTIONS</v>
          </cell>
          <cell r="G274" t="str">
            <v>ACTIONS</v>
          </cell>
          <cell r="H274" t="str">
            <v>AMOUNT</v>
          </cell>
        </row>
        <row r="275">
          <cell r="A275" t="str">
            <v>SYSTEM:  EASTERN</v>
          </cell>
          <cell r="E275" t="str">
            <v>(A)</v>
          </cell>
          <cell r="F275" t="str">
            <v>(B)</v>
          </cell>
          <cell r="G275" t="str">
            <v>(C)</v>
          </cell>
          <cell r="H275" t="str">
            <v>(D)</v>
          </cell>
        </row>
        <row r="276">
          <cell r="A276" t="str">
            <v>LINE</v>
          </cell>
        </row>
        <row r="277">
          <cell r="A277">
            <v>1</v>
          </cell>
          <cell r="B277" t="str">
            <v>TOTAL ESTIMATED DIRECT COST</v>
          </cell>
          <cell r="E277" t="str">
            <v xml:space="preserve"> </v>
          </cell>
          <cell r="F277" t="str">
            <v xml:space="preserve"> </v>
          </cell>
          <cell r="G277" t="str">
            <v xml:space="preserve"> </v>
          </cell>
          <cell r="H277">
            <v>0</v>
          </cell>
        </row>
        <row r="278">
          <cell r="A278">
            <v>2</v>
          </cell>
          <cell r="B278" t="str">
            <v>DIRECT LABOR</v>
          </cell>
          <cell r="C278">
            <v>0</v>
          </cell>
          <cell r="E278" t="str">
            <v xml:space="preserve"> </v>
          </cell>
          <cell r="F278" t="str">
            <v xml:space="preserve"> </v>
          </cell>
          <cell r="G278" t="str">
            <v xml:space="preserve"> </v>
          </cell>
          <cell r="H278">
            <v>0</v>
          </cell>
        </row>
        <row r="279">
          <cell r="A279">
            <v>3</v>
          </cell>
          <cell r="B279" t="str">
            <v>NONLABOR</v>
          </cell>
          <cell r="E279" t="str">
            <v xml:space="preserve"> </v>
          </cell>
          <cell r="F279" t="str">
            <v xml:space="preserve"> </v>
          </cell>
          <cell r="G279" t="str">
            <v xml:space="preserve"> </v>
          </cell>
          <cell r="H279">
            <v>0</v>
          </cell>
        </row>
        <row r="280">
          <cell r="A280">
            <v>4</v>
          </cell>
        </row>
        <row r="281">
          <cell r="A281">
            <v>5</v>
          </cell>
        </row>
        <row r="282">
          <cell r="A282">
            <v>6</v>
          </cell>
          <cell r="B282" t="str">
            <v>ANNUAL INVESTMENT</v>
          </cell>
          <cell r="E282" t="str">
            <v xml:space="preserve"> </v>
          </cell>
          <cell r="F282" t="str">
            <v xml:space="preserve"> </v>
          </cell>
          <cell r="G282" t="str">
            <v xml:space="preserve"> </v>
          </cell>
        </row>
        <row r="283">
          <cell r="A283">
            <v>7</v>
          </cell>
          <cell r="B283" t="str">
            <v>REASSIGNMENTS</v>
          </cell>
          <cell r="C283">
            <v>0.4955</v>
          </cell>
          <cell r="E283" t="str">
            <v xml:space="preserve"> </v>
          </cell>
          <cell r="F283" t="str">
            <v xml:space="preserve"> </v>
          </cell>
          <cell r="G283" t="str">
            <v xml:space="preserve"> </v>
          </cell>
        </row>
        <row r="284">
          <cell r="A284">
            <v>8</v>
          </cell>
          <cell r="B284" t="str">
            <v>SUBTOTAL</v>
          </cell>
          <cell r="E284" t="str">
            <v xml:space="preserve"> </v>
          </cell>
          <cell r="F284" t="str">
            <v xml:space="preserve"> </v>
          </cell>
          <cell r="G284" t="str">
            <v xml:space="preserve"> </v>
          </cell>
        </row>
        <row r="285">
          <cell r="A285">
            <v>9</v>
          </cell>
        </row>
        <row r="286">
          <cell r="A286">
            <v>10</v>
          </cell>
          <cell r="B286" t="str">
            <v>SUBTOTAL</v>
          </cell>
          <cell r="E286" t="str">
            <v xml:space="preserve"> </v>
          </cell>
          <cell r="F286" t="str">
            <v xml:space="preserve"> </v>
          </cell>
          <cell r="G286" t="str">
            <v xml:space="preserve"> </v>
          </cell>
        </row>
        <row r="287">
          <cell r="A287">
            <v>11</v>
          </cell>
        </row>
        <row r="288">
          <cell r="A288">
            <v>12</v>
          </cell>
          <cell r="B288" t="str">
            <v>SUBTOTAL</v>
          </cell>
          <cell r="E288" t="str">
            <v xml:space="preserve"> </v>
          </cell>
          <cell r="F288" t="str">
            <v xml:space="preserve"> </v>
          </cell>
          <cell r="G288" t="str">
            <v xml:space="preserve"> </v>
          </cell>
        </row>
        <row r="289">
          <cell r="A289">
            <v>13</v>
          </cell>
          <cell r="B289" t="str">
            <v>AFUDC (50% FIRST YR)</v>
          </cell>
          <cell r="C289">
            <v>8.6800000000000002E-2</v>
          </cell>
          <cell r="E289" t="str">
            <v xml:space="preserve"> </v>
          </cell>
          <cell r="F289" t="str">
            <v xml:space="preserve"> </v>
          </cell>
          <cell r="G289" t="str">
            <v xml:space="preserve"> </v>
          </cell>
        </row>
        <row r="290">
          <cell r="A290">
            <v>14</v>
          </cell>
          <cell r="B290" t="str">
            <v>TOTAL</v>
          </cell>
          <cell r="E290" t="str">
            <v xml:space="preserve"> </v>
          </cell>
          <cell r="F290" t="str">
            <v xml:space="preserve"> </v>
          </cell>
          <cell r="G290" t="str">
            <v xml:space="preserve"> </v>
          </cell>
          <cell r="H290">
            <v>0</v>
          </cell>
        </row>
        <row r="293">
          <cell r="A293" t="str">
            <v>Project 12</v>
          </cell>
        </row>
        <row r="294">
          <cell r="C294" t="str">
            <v>SOUTHERN CALIFORNIA GAS COMPANY</v>
          </cell>
        </row>
        <row r="295">
          <cell r="D295" t="str">
            <v xml:space="preserve">    TABLE IV</v>
          </cell>
        </row>
        <row r="296">
          <cell r="A296" t="str">
            <v>$000's</v>
          </cell>
        </row>
        <row r="297">
          <cell r="A297" t="str">
            <v>YEAR(S):</v>
          </cell>
          <cell r="E297" t="str">
            <v xml:space="preserve"> </v>
          </cell>
          <cell r="F297" t="str">
            <v xml:space="preserve"> </v>
          </cell>
          <cell r="G297" t="str">
            <v xml:space="preserve"> </v>
          </cell>
          <cell r="H297" t="str">
            <v xml:space="preserve"> </v>
          </cell>
        </row>
        <row r="298">
          <cell r="A298" t="str">
            <v xml:space="preserve"> PROJECT: </v>
          </cell>
          <cell r="H298" t="str">
            <v>TOTAL</v>
          </cell>
        </row>
        <row r="299">
          <cell r="A299" t="str">
            <v>RATE BASE YEAR:</v>
          </cell>
          <cell r="C299">
            <v>0</v>
          </cell>
          <cell r="E299" t="str">
            <v>TRANS-</v>
          </cell>
          <cell r="F299" t="str">
            <v>TRANS-</v>
          </cell>
          <cell r="G299" t="str">
            <v>TRANS-</v>
          </cell>
          <cell r="H299" t="str">
            <v>CAPITALIZED</v>
          </cell>
        </row>
        <row r="300">
          <cell r="A300" t="str">
            <v>INCREMENTAL THROUGHPUT (MMCFD):</v>
          </cell>
          <cell r="C300">
            <v>0</v>
          </cell>
          <cell r="E300" t="str">
            <v>ACTIONS</v>
          </cell>
          <cell r="F300" t="str">
            <v>ACTIONS</v>
          </cell>
          <cell r="G300" t="str">
            <v>ACTIONS</v>
          </cell>
          <cell r="H300" t="str">
            <v>AMOUNT</v>
          </cell>
        </row>
        <row r="301">
          <cell r="A301" t="str">
            <v>SYSTEM:  EASTERN</v>
          </cell>
          <cell r="E301" t="str">
            <v>(A)</v>
          </cell>
          <cell r="F301" t="str">
            <v>(B)</v>
          </cell>
          <cell r="G301" t="str">
            <v>(C)</v>
          </cell>
          <cell r="H301" t="str">
            <v>(D)</v>
          </cell>
        </row>
        <row r="302">
          <cell r="A302" t="str">
            <v>LINE</v>
          </cell>
        </row>
        <row r="303">
          <cell r="A303">
            <v>1</v>
          </cell>
          <cell r="B303" t="str">
            <v>TOTAL ESTIMATED DIRECT COST</v>
          </cell>
          <cell r="E303" t="str">
            <v xml:space="preserve"> </v>
          </cell>
          <cell r="F303" t="str">
            <v xml:space="preserve"> </v>
          </cell>
          <cell r="G303" t="str">
            <v xml:space="preserve"> </v>
          </cell>
          <cell r="H303">
            <v>0</v>
          </cell>
        </row>
        <row r="304">
          <cell r="A304">
            <v>2</v>
          </cell>
          <cell r="B304" t="str">
            <v>DIRECT LABOR</v>
          </cell>
          <cell r="C304">
            <v>0</v>
          </cell>
          <cell r="E304" t="str">
            <v xml:space="preserve"> </v>
          </cell>
          <cell r="F304" t="str">
            <v xml:space="preserve"> </v>
          </cell>
          <cell r="G304" t="str">
            <v xml:space="preserve"> </v>
          </cell>
          <cell r="H304">
            <v>0</v>
          </cell>
        </row>
        <row r="305">
          <cell r="A305">
            <v>3</v>
          </cell>
          <cell r="B305" t="str">
            <v>NONLABOR</v>
          </cell>
          <cell r="E305" t="str">
            <v xml:space="preserve"> </v>
          </cell>
          <cell r="F305" t="str">
            <v xml:space="preserve"> </v>
          </cell>
          <cell r="G305" t="str">
            <v xml:space="preserve"> </v>
          </cell>
          <cell r="H305">
            <v>0</v>
          </cell>
        </row>
        <row r="306">
          <cell r="A306">
            <v>4</v>
          </cell>
        </row>
        <row r="307">
          <cell r="A307">
            <v>5</v>
          </cell>
        </row>
        <row r="308">
          <cell r="A308">
            <v>6</v>
          </cell>
          <cell r="B308" t="str">
            <v>ANNUAL INVESTMENT</v>
          </cell>
          <cell r="E308" t="str">
            <v xml:space="preserve"> </v>
          </cell>
          <cell r="F308" t="str">
            <v xml:space="preserve"> </v>
          </cell>
          <cell r="G308" t="str">
            <v xml:space="preserve"> </v>
          </cell>
        </row>
        <row r="309">
          <cell r="A309">
            <v>7</v>
          </cell>
          <cell r="B309" t="str">
            <v>REASSIGNMENTS</v>
          </cell>
          <cell r="C309">
            <v>0.4955</v>
          </cell>
          <cell r="E309" t="str">
            <v xml:space="preserve"> </v>
          </cell>
          <cell r="F309" t="str">
            <v xml:space="preserve"> </v>
          </cell>
          <cell r="G309" t="str">
            <v xml:space="preserve"> </v>
          </cell>
        </row>
        <row r="310">
          <cell r="A310">
            <v>8</v>
          </cell>
          <cell r="B310" t="str">
            <v>SUBTOTAL</v>
          </cell>
          <cell r="E310" t="str">
            <v xml:space="preserve"> </v>
          </cell>
          <cell r="F310" t="str">
            <v xml:space="preserve"> </v>
          </cell>
          <cell r="G310" t="str">
            <v xml:space="preserve"> </v>
          </cell>
        </row>
        <row r="311">
          <cell r="A311">
            <v>9</v>
          </cell>
        </row>
        <row r="312">
          <cell r="A312">
            <v>10</v>
          </cell>
          <cell r="B312" t="str">
            <v>SUBTOTAL</v>
          </cell>
          <cell r="E312" t="str">
            <v xml:space="preserve"> </v>
          </cell>
          <cell r="F312" t="str">
            <v xml:space="preserve"> </v>
          </cell>
          <cell r="G312" t="str">
            <v xml:space="preserve"> </v>
          </cell>
        </row>
        <row r="313">
          <cell r="A313">
            <v>11</v>
          </cell>
        </row>
        <row r="314">
          <cell r="A314">
            <v>12</v>
          </cell>
          <cell r="B314" t="str">
            <v>SUBTOTAL</v>
          </cell>
          <cell r="E314" t="str">
            <v xml:space="preserve"> </v>
          </cell>
          <cell r="F314" t="str">
            <v xml:space="preserve"> </v>
          </cell>
          <cell r="G314" t="str">
            <v xml:space="preserve"> </v>
          </cell>
        </row>
        <row r="315">
          <cell r="A315">
            <v>13</v>
          </cell>
          <cell r="B315" t="str">
            <v>AFUDC (50% FIRST YR)</v>
          </cell>
          <cell r="C315">
            <v>8.6800000000000002E-2</v>
          </cell>
          <cell r="E315" t="str">
            <v xml:space="preserve"> </v>
          </cell>
          <cell r="F315" t="str">
            <v xml:space="preserve"> </v>
          </cell>
          <cell r="G315" t="str">
            <v xml:space="preserve"> </v>
          </cell>
        </row>
        <row r="316">
          <cell r="A316">
            <v>14</v>
          </cell>
          <cell r="B316" t="str">
            <v>TOTAL</v>
          </cell>
          <cell r="E316" t="str">
            <v xml:space="preserve"> </v>
          </cell>
          <cell r="F316" t="str">
            <v xml:space="preserve"> </v>
          </cell>
          <cell r="G316" t="str">
            <v xml:space="preserve"> </v>
          </cell>
          <cell r="H316">
            <v>0</v>
          </cell>
        </row>
        <row r="319">
          <cell r="A319" t="str">
            <v>Project 13</v>
          </cell>
        </row>
        <row r="320">
          <cell r="C320" t="str">
            <v>SOUTHERN CALIFORNIA GAS COMPANY</v>
          </cell>
          <cell r="H320">
            <v>37154.589386111111</v>
          </cell>
        </row>
        <row r="321">
          <cell r="D321" t="str">
            <v xml:space="preserve">    TABLE IV</v>
          </cell>
          <cell r="H321">
            <v>37154.589386111111</v>
          </cell>
        </row>
        <row r="322">
          <cell r="A322" t="str">
            <v>$000's</v>
          </cell>
          <cell r="H322" t="str">
            <v xml:space="preserve">             PAGE 1</v>
          </cell>
        </row>
        <row r="323">
          <cell r="A323" t="str">
            <v>YEAR(S):</v>
          </cell>
          <cell r="E323" t="str">
            <v xml:space="preserve"> </v>
          </cell>
          <cell r="F323" t="str">
            <v xml:space="preserve"> </v>
          </cell>
          <cell r="G323" t="str">
            <v xml:space="preserve"> </v>
          </cell>
          <cell r="H323" t="str">
            <v xml:space="preserve"> </v>
          </cell>
        </row>
        <row r="324">
          <cell r="A324" t="str">
            <v xml:space="preserve"> PROJECT: </v>
          </cell>
          <cell r="H324" t="str">
            <v>TOTAL</v>
          </cell>
        </row>
        <row r="325">
          <cell r="A325" t="str">
            <v>RATE BASE YEAR:</v>
          </cell>
          <cell r="C325">
            <v>0</v>
          </cell>
          <cell r="E325" t="str">
            <v>TRANS-</v>
          </cell>
          <cell r="F325" t="str">
            <v>TRANS-</v>
          </cell>
          <cell r="G325" t="str">
            <v>TRANS-</v>
          </cell>
          <cell r="H325" t="str">
            <v>CAPITALIZED</v>
          </cell>
        </row>
        <row r="326">
          <cell r="A326" t="str">
            <v>INCREMENTAL THROUGHPUT (MMCFD):</v>
          </cell>
          <cell r="C326">
            <v>0</v>
          </cell>
          <cell r="E326" t="str">
            <v>ACTIONS</v>
          </cell>
          <cell r="F326" t="str">
            <v>ACTIONS</v>
          </cell>
          <cell r="G326" t="str">
            <v>ACTIONS</v>
          </cell>
          <cell r="H326" t="str">
            <v>AMOUNT</v>
          </cell>
        </row>
        <row r="327">
          <cell r="A327" t="str">
            <v>SYSTEM:  EASTERN</v>
          </cell>
          <cell r="E327" t="str">
            <v>(A)</v>
          </cell>
          <cell r="F327" t="str">
            <v>(B)</v>
          </cell>
          <cell r="G327" t="str">
            <v>(C)</v>
          </cell>
          <cell r="H327" t="str">
            <v>(D)</v>
          </cell>
        </row>
        <row r="328">
          <cell r="A328" t="str">
            <v>LINE</v>
          </cell>
        </row>
        <row r="329">
          <cell r="A329">
            <v>1</v>
          </cell>
          <cell r="B329" t="str">
            <v>TOTAL ESTIMATED DIRECT COST</v>
          </cell>
          <cell r="E329" t="str">
            <v xml:space="preserve"> </v>
          </cell>
          <cell r="F329" t="str">
            <v xml:space="preserve"> </v>
          </cell>
          <cell r="G329" t="str">
            <v xml:space="preserve"> </v>
          </cell>
          <cell r="H329">
            <v>0</v>
          </cell>
        </row>
        <row r="330">
          <cell r="A330">
            <v>2</v>
          </cell>
          <cell r="B330" t="str">
            <v>DIRECT LABOR</v>
          </cell>
          <cell r="C330">
            <v>0</v>
          </cell>
          <cell r="E330" t="str">
            <v xml:space="preserve"> </v>
          </cell>
          <cell r="F330" t="str">
            <v xml:space="preserve"> </v>
          </cell>
          <cell r="G330" t="str">
            <v xml:space="preserve"> </v>
          </cell>
          <cell r="H330">
            <v>0</v>
          </cell>
        </row>
        <row r="331">
          <cell r="A331">
            <v>3</v>
          </cell>
          <cell r="B331" t="str">
            <v>NONLABOR</v>
          </cell>
          <cell r="E331" t="str">
            <v xml:space="preserve"> </v>
          </cell>
          <cell r="F331" t="str">
            <v xml:space="preserve"> </v>
          </cell>
          <cell r="G331" t="str">
            <v xml:space="preserve"> </v>
          </cell>
          <cell r="H331">
            <v>0</v>
          </cell>
        </row>
        <row r="332">
          <cell r="A332">
            <v>4</v>
          </cell>
        </row>
        <row r="333">
          <cell r="A333">
            <v>5</v>
          </cell>
        </row>
        <row r="334">
          <cell r="A334">
            <v>6</v>
          </cell>
          <cell r="B334" t="str">
            <v>ANNUAL INVESTMENT</v>
          </cell>
          <cell r="E334" t="str">
            <v xml:space="preserve"> </v>
          </cell>
          <cell r="F334" t="str">
            <v xml:space="preserve"> </v>
          </cell>
          <cell r="G334" t="str">
            <v xml:space="preserve"> </v>
          </cell>
        </row>
        <row r="335">
          <cell r="A335">
            <v>7</v>
          </cell>
          <cell r="B335" t="str">
            <v>REASSIGNMENTS</v>
          </cell>
          <cell r="C335">
            <v>0.4955</v>
          </cell>
          <cell r="E335" t="str">
            <v xml:space="preserve"> </v>
          </cell>
          <cell r="F335" t="str">
            <v xml:space="preserve"> </v>
          </cell>
          <cell r="G335" t="str">
            <v xml:space="preserve"> </v>
          </cell>
        </row>
        <row r="336">
          <cell r="A336">
            <v>8</v>
          </cell>
          <cell r="B336" t="str">
            <v>SUBTOTAL</v>
          </cell>
          <cell r="E336" t="str">
            <v xml:space="preserve"> </v>
          </cell>
          <cell r="F336" t="str">
            <v xml:space="preserve"> </v>
          </cell>
          <cell r="G336" t="str">
            <v xml:space="preserve"> </v>
          </cell>
        </row>
        <row r="337">
          <cell r="A337">
            <v>9</v>
          </cell>
        </row>
        <row r="338">
          <cell r="A338">
            <v>10</v>
          </cell>
          <cell r="B338" t="str">
            <v>SUBTOTAL</v>
          </cell>
          <cell r="E338" t="str">
            <v xml:space="preserve"> </v>
          </cell>
          <cell r="F338" t="str">
            <v xml:space="preserve"> </v>
          </cell>
          <cell r="G338" t="str">
            <v xml:space="preserve"> </v>
          </cell>
        </row>
        <row r="339">
          <cell r="A339">
            <v>11</v>
          </cell>
        </row>
        <row r="340">
          <cell r="A340">
            <v>12</v>
          </cell>
          <cell r="B340" t="str">
            <v>SUBTOTAL</v>
          </cell>
          <cell r="E340" t="str">
            <v xml:space="preserve"> </v>
          </cell>
          <cell r="F340" t="str">
            <v xml:space="preserve"> </v>
          </cell>
          <cell r="G340" t="str">
            <v xml:space="preserve"> </v>
          </cell>
        </row>
        <row r="341">
          <cell r="A341">
            <v>13</v>
          </cell>
          <cell r="B341" t="str">
            <v>AFUDC (50% FIRST YR)</v>
          </cell>
          <cell r="C341">
            <v>8.6800000000000002E-2</v>
          </cell>
          <cell r="E341" t="str">
            <v xml:space="preserve"> </v>
          </cell>
          <cell r="F341" t="str">
            <v xml:space="preserve"> </v>
          </cell>
          <cell r="G341" t="str">
            <v xml:space="preserve"> </v>
          </cell>
        </row>
        <row r="342">
          <cell r="A342">
            <v>14</v>
          </cell>
          <cell r="B342" t="str">
            <v>TOTAL</v>
          </cell>
          <cell r="E342" t="str">
            <v xml:space="preserve"> </v>
          </cell>
          <cell r="F342" t="str">
            <v xml:space="preserve"> </v>
          </cell>
          <cell r="G342" t="str">
            <v xml:space="preserve"> </v>
          </cell>
          <cell r="H342">
            <v>0</v>
          </cell>
        </row>
        <row r="345">
          <cell r="A345" t="str">
            <v>Project 14</v>
          </cell>
        </row>
        <row r="346">
          <cell r="C346" t="str">
            <v>SOUTHERN CALIFORNIA GAS COMPANY</v>
          </cell>
          <cell r="H346">
            <v>37154.589386111111</v>
          </cell>
        </row>
        <row r="347">
          <cell r="D347" t="str">
            <v xml:space="preserve">    TABLE IV</v>
          </cell>
          <cell r="H347">
            <v>37154.589386111111</v>
          </cell>
        </row>
        <row r="348">
          <cell r="A348" t="str">
            <v>$000's</v>
          </cell>
          <cell r="H348" t="str">
            <v xml:space="preserve">             PAGE 1</v>
          </cell>
        </row>
        <row r="349">
          <cell r="A349" t="str">
            <v>YEAR(S):</v>
          </cell>
          <cell r="E349" t="str">
            <v xml:space="preserve"> </v>
          </cell>
          <cell r="F349" t="str">
            <v xml:space="preserve"> </v>
          </cell>
          <cell r="G349" t="str">
            <v xml:space="preserve"> </v>
          </cell>
          <cell r="H349" t="str">
            <v xml:space="preserve"> </v>
          </cell>
        </row>
        <row r="350">
          <cell r="A350" t="str">
            <v xml:space="preserve"> PROJECT: </v>
          </cell>
          <cell r="H350" t="str">
            <v>TOTAL</v>
          </cell>
        </row>
        <row r="351">
          <cell r="A351" t="str">
            <v>RATE BASE YEAR:</v>
          </cell>
          <cell r="C351">
            <v>0</v>
          </cell>
          <cell r="E351" t="str">
            <v>TRANS-</v>
          </cell>
          <cell r="F351" t="str">
            <v>TRANS-</v>
          </cell>
          <cell r="G351" t="str">
            <v>TRANS-</v>
          </cell>
          <cell r="H351" t="str">
            <v>CAPITALIZED</v>
          </cell>
        </row>
        <row r="352">
          <cell r="A352" t="str">
            <v>INCREMENTAL THROUGHPUT (MMCFD):</v>
          </cell>
          <cell r="C352">
            <v>0</v>
          </cell>
          <cell r="E352" t="str">
            <v>ACTIONS</v>
          </cell>
          <cell r="F352" t="str">
            <v>ACTIONS</v>
          </cell>
          <cell r="G352" t="str">
            <v>ACTIONS</v>
          </cell>
          <cell r="H352" t="str">
            <v>AMOUNT</v>
          </cell>
        </row>
        <row r="353">
          <cell r="A353" t="str">
            <v>SYSTEM:  EASTERN</v>
          </cell>
          <cell r="E353" t="str">
            <v>(A)</v>
          </cell>
          <cell r="F353" t="str">
            <v>(B)</v>
          </cell>
          <cell r="G353" t="str">
            <v>(C)</v>
          </cell>
          <cell r="H353" t="str">
            <v>(D)</v>
          </cell>
        </row>
        <row r="354">
          <cell r="A354" t="str">
            <v>LINE</v>
          </cell>
        </row>
        <row r="355">
          <cell r="A355">
            <v>1</v>
          </cell>
          <cell r="B355" t="str">
            <v>TOTAL ESTIMATED DIRECT COST</v>
          </cell>
          <cell r="E355" t="str">
            <v xml:space="preserve"> </v>
          </cell>
          <cell r="F355" t="str">
            <v xml:space="preserve"> </v>
          </cell>
          <cell r="G355" t="str">
            <v xml:space="preserve"> </v>
          </cell>
          <cell r="H355">
            <v>0</v>
          </cell>
        </row>
        <row r="356">
          <cell r="A356">
            <v>2</v>
          </cell>
          <cell r="B356" t="str">
            <v>DIRECT LABOR</v>
          </cell>
          <cell r="C356">
            <v>0</v>
          </cell>
          <cell r="E356" t="str">
            <v xml:space="preserve"> </v>
          </cell>
          <cell r="F356" t="str">
            <v xml:space="preserve"> </v>
          </cell>
          <cell r="G356" t="str">
            <v xml:space="preserve"> </v>
          </cell>
          <cell r="H356">
            <v>0</v>
          </cell>
        </row>
        <row r="357">
          <cell r="A357">
            <v>3</v>
          </cell>
          <cell r="B357" t="str">
            <v>NONLABOR</v>
          </cell>
          <cell r="E357" t="str">
            <v xml:space="preserve"> </v>
          </cell>
          <cell r="F357" t="str">
            <v xml:space="preserve"> </v>
          </cell>
          <cell r="G357" t="str">
            <v xml:space="preserve"> </v>
          </cell>
          <cell r="H357">
            <v>0</v>
          </cell>
        </row>
        <row r="358">
          <cell r="A358">
            <v>4</v>
          </cell>
        </row>
        <row r="359">
          <cell r="A359">
            <v>5</v>
          </cell>
        </row>
        <row r="360">
          <cell r="A360">
            <v>6</v>
          </cell>
          <cell r="B360" t="str">
            <v>ANNUAL INVESTMENT</v>
          </cell>
          <cell r="E360" t="str">
            <v xml:space="preserve"> </v>
          </cell>
          <cell r="F360" t="str">
            <v xml:space="preserve"> </v>
          </cell>
          <cell r="G360" t="str">
            <v xml:space="preserve"> </v>
          </cell>
        </row>
        <row r="361">
          <cell r="A361">
            <v>7</v>
          </cell>
          <cell r="B361" t="str">
            <v>REASSIGNMENTS</v>
          </cell>
          <cell r="C361">
            <v>0.4955</v>
          </cell>
          <cell r="E361" t="str">
            <v xml:space="preserve"> </v>
          </cell>
          <cell r="F361" t="str">
            <v xml:space="preserve"> </v>
          </cell>
          <cell r="G361" t="str">
            <v xml:space="preserve"> </v>
          </cell>
        </row>
        <row r="362">
          <cell r="A362">
            <v>8</v>
          </cell>
          <cell r="B362" t="str">
            <v>SUBTOTAL</v>
          </cell>
          <cell r="E362" t="str">
            <v xml:space="preserve"> </v>
          </cell>
          <cell r="F362" t="str">
            <v xml:space="preserve"> </v>
          </cell>
          <cell r="G362" t="str">
            <v xml:space="preserve"> </v>
          </cell>
        </row>
        <row r="363">
          <cell r="A363">
            <v>9</v>
          </cell>
        </row>
        <row r="364">
          <cell r="A364">
            <v>10</v>
          </cell>
          <cell r="B364" t="str">
            <v>SUBTOTAL</v>
          </cell>
          <cell r="E364" t="str">
            <v xml:space="preserve"> </v>
          </cell>
          <cell r="F364" t="str">
            <v xml:space="preserve"> </v>
          </cell>
          <cell r="G364" t="str">
            <v xml:space="preserve"> </v>
          </cell>
        </row>
        <row r="365">
          <cell r="A365">
            <v>11</v>
          </cell>
        </row>
        <row r="366">
          <cell r="A366">
            <v>12</v>
          </cell>
          <cell r="B366" t="str">
            <v>SUBTOTAL</v>
          </cell>
          <cell r="E366" t="str">
            <v xml:space="preserve"> </v>
          </cell>
          <cell r="F366" t="str">
            <v xml:space="preserve"> </v>
          </cell>
          <cell r="G366" t="str">
            <v xml:space="preserve"> </v>
          </cell>
        </row>
        <row r="367">
          <cell r="A367">
            <v>13</v>
          </cell>
          <cell r="B367" t="str">
            <v>AFUDC (50% FIRST YR)</v>
          </cell>
          <cell r="C367">
            <v>8.6800000000000002E-2</v>
          </cell>
          <cell r="E367" t="str">
            <v xml:space="preserve"> </v>
          </cell>
          <cell r="F367" t="str">
            <v xml:space="preserve"> </v>
          </cell>
          <cell r="G367" t="str">
            <v xml:space="preserve"> </v>
          </cell>
        </row>
        <row r="368">
          <cell r="A368">
            <v>14</v>
          </cell>
          <cell r="B368" t="str">
            <v>TOTAL</v>
          </cell>
          <cell r="E368" t="str">
            <v xml:space="preserve"> </v>
          </cell>
          <cell r="F368" t="str">
            <v xml:space="preserve"> </v>
          </cell>
          <cell r="G368" t="str">
            <v xml:space="preserve"> </v>
          </cell>
          <cell r="H368">
            <v>0</v>
          </cell>
        </row>
        <row r="371">
          <cell r="A371" t="str">
            <v>Project 15</v>
          </cell>
        </row>
        <row r="372">
          <cell r="C372" t="str">
            <v>SOUTHERN CALIFORNIA GAS COMPANY</v>
          </cell>
        </row>
        <row r="373">
          <cell r="D373" t="str">
            <v xml:space="preserve">    TABLE IV</v>
          </cell>
        </row>
        <row r="374">
          <cell r="A374" t="str">
            <v>$000's</v>
          </cell>
        </row>
        <row r="375">
          <cell r="A375" t="str">
            <v>YEAR(S):</v>
          </cell>
          <cell r="E375" t="str">
            <v xml:space="preserve"> </v>
          </cell>
          <cell r="F375" t="str">
            <v xml:space="preserve"> </v>
          </cell>
          <cell r="G375" t="str">
            <v xml:space="preserve"> </v>
          </cell>
          <cell r="H375" t="str">
            <v xml:space="preserve"> </v>
          </cell>
        </row>
        <row r="376">
          <cell r="A376" t="str">
            <v xml:space="preserve"> PROJECT: </v>
          </cell>
          <cell r="H376" t="str">
            <v>TOTAL</v>
          </cell>
        </row>
        <row r="377">
          <cell r="A377" t="str">
            <v>RATE BASE YEAR:</v>
          </cell>
          <cell r="C377">
            <v>0</v>
          </cell>
          <cell r="E377" t="str">
            <v>TRANS-</v>
          </cell>
          <cell r="F377" t="str">
            <v>TRANS-</v>
          </cell>
          <cell r="G377" t="str">
            <v>TRANS-</v>
          </cell>
          <cell r="H377" t="str">
            <v>CAPITALIZED</v>
          </cell>
        </row>
        <row r="378">
          <cell r="A378" t="str">
            <v>INCREMENTAL THROUGHPUT (MMCFD):</v>
          </cell>
          <cell r="C378">
            <v>0</v>
          </cell>
          <cell r="E378" t="str">
            <v>ACTIONS</v>
          </cell>
          <cell r="F378" t="str">
            <v>ACTIONS</v>
          </cell>
          <cell r="G378" t="str">
            <v>ACTIONS</v>
          </cell>
          <cell r="H378" t="str">
            <v>AMOUNT</v>
          </cell>
        </row>
        <row r="379">
          <cell r="A379" t="str">
            <v>SYSTEM:  EASTERN</v>
          </cell>
          <cell r="E379" t="str">
            <v>(A)</v>
          </cell>
          <cell r="F379" t="str">
            <v>(B)</v>
          </cell>
          <cell r="G379" t="str">
            <v>(C)</v>
          </cell>
          <cell r="H379" t="str">
            <v>(D)</v>
          </cell>
        </row>
        <row r="380">
          <cell r="A380" t="str">
            <v>LINE</v>
          </cell>
        </row>
        <row r="381">
          <cell r="A381">
            <v>1</v>
          </cell>
          <cell r="B381" t="str">
            <v>TOTAL ESTIMATED DIRECT COST</v>
          </cell>
          <cell r="E381" t="str">
            <v xml:space="preserve"> </v>
          </cell>
          <cell r="F381" t="str">
            <v xml:space="preserve"> </v>
          </cell>
          <cell r="G381" t="str">
            <v xml:space="preserve"> </v>
          </cell>
          <cell r="H381">
            <v>0</v>
          </cell>
        </row>
        <row r="382">
          <cell r="A382">
            <v>2</v>
          </cell>
          <cell r="B382" t="str">
            <v>DIRECT LABOR</v>
          </cell>
          <cell r="C382">
            <v>0</v>
          </cell>
          <cell r="E382" t="str">
            <v xml:space="preserve"> </v>
          </cell>
          <cell r="F382" t="str">
            <v xml:space="preserve"> </v>
          </cell>
          <cell r="G382" t="str">
            <v xml:space="preserve"> </v>
          </cell>
          <cell r="H382">
            <v>0</v>
          </cell>
        </row>
        <row r="383">
          <cell r="A383">
            <v>3</v>
          </cell>
          <cell r="B383" t="str">
            <v>NONLABOR</v>
          </cell>
          <cell r="E383" t="str">
            <v xml:space="preserve"> </v>
          </cell>
          <cell r="F383" t="str">
            <v xml:space="preserve"> </v>
          </cell>
          <cell r="G383" t="str">
            <v xml:space="preserve"> </v>
          </cell>
          <cell r="H383">
            <v>0</v>
          </cell>
        </row>
        <row r="384">
          <cell r="A384">
            <v>4</v>
          </cell>
        </row>
        <row r="385">
          <cell r="A385">
            <v>5</v>
          </cell>
        </row>
        <row r="386">
          <cell r="A386">
            <v>6</v>
          </cell>
          <cell r="B386" t="str">
            <v>ANNUAL INVESTMENT</v>
          </cell>
          <cell r="E386" t="str">
            <v xml:space="preserve"> </v>
          </cell>
          <cell r="F386" t="str">
            <v xml:space="preserve"> </v>
          </cell>
          <cell r="G386" t="str">
            <v xml:space="preserve"> </v>
          </cell>
        </row>
        <row r="387">
          <cell r="A387">
            <v>7</v>
          </cell>
          <cell r="B387" t="str">
            <v>REASSIGNMENTS</v>
          </cell>
          <cell r="C387">
            <v>0.4955</v>
          </cell>
          <cell r="E387" t="str">
            <v xml:space="preserve"> </v>
          </cell>
          <cell r="F387" t="str">
            <v xml:space="preserve"> </v>
          </cell>
          <cell r="G387" t="str">
            <v xml:space="preserve"> </v>
          </cell>
        </row>
        <row r="388">
          <cell r="A388">
            <v>8</v>
          </cell>
          <cell r="B388" t="str">
            <v>SUBTOTAL</v>
          </cell>
          <cell r="E388" t="str">
            <v xml:space="preserve"> </v>
          </cell>
          <cell r="F388" t="str">
            <v xml:space="preserve"> </v>
          </cell>
          <cell r="G388" t="str">
            <v xml:space="preserve"> </v>
          </cell>
        </row>
        <row r="389">
          <cell r="A389">
            <v>9</v>
          </cell>
        </row>
        <row r="390">
          <cell r="A390">
            <v>10</v>
          </cell>
          <cell r="B390" t="str">
            <v>SUBTOTAL</v>
          </cell>
          <cell r="E390" t="str">
            <v xml:space="preserve"> </v>
          </cell>
          <cell r="F390" t="str">
            <v xml:space="preserve"> </v>
          </cell>
          <cell r="G390" t="str">
            <v xml:space="preserve"> </v>
          </cell>
        </row>
        <row r="391">
          <cell r="A391">
            <v>11</v>
          </cell>
        </row>
        <row r="392">
          <cell r="A392">
            <v>12</v>
          </cell>
          <cell r="B392" t="str">
            <v>SUBTOTAL</v>
          </cell>
          <cell r="E392" t="str">
            <v xml:space="preserve"> </v>
          </cell>
          <cell r="F392" t="str">
            <v xml:space="preserve"> </v>
          </cell>
          <cell r="G392" t="str">
            <v xml:space="preserve"> </v>
          </cell>
        </row>
        <row r="393">
          <cell r="A393">
            <v>13</v>
          </cell>
          <cell r="B393" t="str">
            <v>AFUDC (50% FIRST YR)</v>
          </cell>
          <cell r="C393">
            <v>8.6800000000000002E-2</v>
          </cell>
          <cell r="E393" t="str">
            <v xml:space="preserve"> </v>
          </cell>
          <cell r="F393" t="str">
            <v xml:space="preserve"> </v>
          </cell>
          <cell r="G393" t="str">
            <v xml:space="preserve"> </v>
          </cell>
        </row>
        <row r="394">
          <cell r="A394">
            <v>14</v>
          </cell>
          <cell r="B394" t="str">
            <v>TOTAL</v>
          </cell>
          <cell r="E394" t="str">
            <v xml:space="preserve"> </v>
          </cell>
          <cell r="F394" t="str">
            <v xml:space="preserve"> </v>
          </cell>
          <cell r="G394" t="str">
            <v xml:space="preserve"> </v>
          </cell>
          <cell r="H394">
            <v>0</v>
          </cell>
        </row>
        <row r="397">
          <cell r="A397" t="str">
            <v>Project 16</v>
          </cell>
        </row>
        <row r="398">
          <cell r="C398" t="str">
            <v>SOUTHERN CALIFORNIA GAS COMPANY</v>
          </cell>
        </row>
        <row r="399">
          <cell r="D399" t="str">
            <v xml:space="preserve">    TABLE IV</v>
          </cell>
        </row>
        <row r="400">
          <cell r="A400" t="str">
            <v>$000's</v>
          </cell>
        </row>
        <row r="401">
          <cell r="A401" t="str">
            <v>YEAR(S):</v>
          </cell>
          <cell r="E401" t="str">
            <v xml:space="preserve"> </v>
          </cell>
          <cell r="F401" t="str">
            <v xml:space="preserve"> </v>
          </cell>
          <cell r="G401" t="str">
            <v xml:space="preserve"> </v>
          </cell>
          <cell r="H401" t="str">
            <v xml:space="preserve"> </v>
          </cell>
        </row>
        <row r="402">
          <cell r="A402" t="str">
            <v xml:space="preserve"> PROJECT: </v>
          </cell>
          <cell r="H402" t="str">
            <v>TOTAL</v>
          </cell>
        </row>
        <row r="403">
          <cell r="A403" t="str">
            <v>RATE BASE YEAR:</v>
          </cell>
          <cell r="C403">
            <v>0</v>
          </cell>
          <cell r="E403" t="str">
            <v>TRANS-</v>
          </cell>
          <cell r="F403" t="str">
            <v>TRANS-</v>
          </cell>
          <cell r="G403" t="str">
            <v>TRANS-</v>
          </cell>
          <cell r="H403" t="str">
            <v>CAPITALIZED</v>
          </cell>
        </row>
        <row r="404">
          <cell r="A404" t="str">
            <v>INCREMENTAL THROUGHPUT (MMCFD):</v>
          </cell>
          <cell r="C404">
            <v>0</v>
          </cell>
          <cell r="E404" t="str">
            <v>ACTIONS</v>
          </cell>
          <cell r="F404" t="str">
            <v>ACTIONS</v>
          </cell>
          <cell r="G404" t="str">
            <v>ACTIONS</v>
          </cell>
          <cell r="H404" t="str">
            <v>AMOUNT</v>
          </cell>
        </row>
        <row r="405">
          <cell r="A405" t="str">
            <v>SYSTEM:  EASTERN</v>
          </cell>
          <cell r="E405" t="str">
            <v>(A)</v>
          </cell>
          <cell r="F405" t="str">
            <v>(B)</v>
          </cell>
          <cell r="G405" t="str">
            <v>(C)</v>
          </cell>
          <cell r="H405" t="str">
            <v>(D)</v>
          </cell>
        </row>
        <row r="406">
          <cell r="A406" t="str">
            <v>LINE</v>
          </cell>
        </row>
        <row r="407">
          <cell r="A407">
            <v>1</v>
          </cell>
          <cell r="B407" t="str">
            <v>TOTAL ESTIMATED DIRECT COST</v>
          </cell>
          <cell r="E407" t="str">
            <v xml:space="preserve"> </v>
          </cell>
          <cell r="F407" t="str">
            <v xml:space="preserve"> </v>
          </cell>
          <cell r="G407" t="str">
            <v xml:space="preserve"> </v>
          </cell>
          <cell r="H407">
            <v>0</v>
          </cell>
        </row>
        <row r="408">
          <cell r="A408">
            <v>2</v>
          </cell>
          <cell r="B408" t="str">
            <v>DIRECT LABOR</v>
          </cell>
          <cell r="C408">
            <v>0</v>
          </cell>
          <cell r="E408" t="str">
            <v xml:space="preserve"> </v>
          </cell>
          <cell r="F408" t="str">
            <v xml:space="preserve"> </v>
          </cell>
          <cell r="G408" t="str">
            <v xml:space="preserve"> </v>
          </cell>
          <cell r="H408">
            <v>0</v>
          </cell>
        </row>
        <row r="409">
          <cell r="A409">
            <v>3</v>
          </cell>
          <cell r="B409" t="str">
            <v>NONLABOR</v>
          </cell>
          <cell r="E409" t="str">
            <v xml:space="preserve"> </v>
          </cell>
          <cell r="F409" t="str">
            <v xml:space="preserve"> </v>
          </cell>
          <cell r="G409" t="str">
            <v xml:space="preserve"> </v>
          </cell>
          <cell r="H409">
            <v>0</v>
          </cell>
        </row>
        <row r="410">
          <cell r="A410">
            <v>4</v>
          </cell>
        </row>
        <row r="411">
          <cell r="A411">
            <v>5</v>
          </cell>
        </row>
        <row r="412">
          <cell r="A412">
            <v>6</v>
          </cell>
          <cell r="B412" t="str">
            <v>ANNUAL INVESTMENT</v>
          </cell>
          <cell r="E412" t="str">
            <v xml:space="preserve"> </v>
          </cell>
          <cell r="F412" t="str">
            <v xml:space="preserve"> </v>
          </cell>
          <cell r="G412" t="str">
            <v xml:space="preserve"> </v>
          </cell>
        </row>
        <row r="413">
          <cell r="A413">
            <v>7</v>
          </cell>
          <cell r="B413" t="str">
            <v>REASSIGNMENTS</v>
          </cell>
          <cell r="C413">
            <v>0.4955</v>
          </cell>
          <cell r="E413" t="str">
            <v xml:space="preserve"> </v>
          </cell>
          <cell r="F413" t="str">
            <v xml:space="preserve"> </v>
          </cell>
          <cell r="G413" t="str">
            <v xml:space="preserve"> </v>
          </cell>
        </row>
        <row r="414">
          <cell r="A414">
            <v>8</v>
          </cell>
          <cell r="B414" t="str">
            <v>SUBTOTAL</v>
          </cell>
          <cell r="E414" t="str">
            <v xml:space="preserve"> </v>
          </cell>
          <cell r="F414" t="str">
            <v xml:space="preserve"> </v>
          </cell>
          <cell r="G414" t="str">
            <v xml:space="preserve"> </v>
          </cell>
        </row>
        <row r="415">
          <cell r="A415">
            <v>9</v>
          </cell>
        </row>
        <row r="416">
          <cell r="A416">
            <v>10</v>
          </cell>
          <cell r="B416" t="str">
            <v>SUBTOTAL</v>
          </cell>
          <cell r="E416" t="str">
            <v xml:space="preserve"> </v>
          </cell>
          <cell r="F416" t="str">
            <v xml:space="preserve"> </v>
          </cell>
          <cell r="G416" t="str">
            <v xml:space="preserve"> </v>
          </cell>
        </row>
        <row r="417">
          <cell r="A417">
            <v>11</v>
          </cell>
        </row>
        <row r="418">
          <cell r="A418">
            <v>12</v>
          </cell>
          <cell r="B418" t="str">
            <v>SUBTOTAL</v>
          </cell>
          <cell r="E418" t="str">
            <v xml:space="preserve"> </v>
          </cell>
          <cell r="F418" t="str">
            <v xml:space="preserve"> </v>
          </cell>
          <cell r="G418" t="str">
            <v xml:space="preserve"> </v>
          </cell>
        </row>
        <row r="419">
          <cell r="A419">
            <v>13</v>
          </cell>
          <cell r="B419" t="str">
            <v>AFUDC (50% FIRST YR)</v>
          </cell>
          <cell r="C419">
            <v>8.6800000000000002E-2</v>
          </cell>
          <cell r="E419" t="str">
            <v xml:space="preserve"> </v>
          </cell>
          <cell r="F419" t="str">
            <v xml:space="preserve"> </v>
          </cell>
          <cell r="G419" t="str">
            <v xml:space="preserve"> </v>
          </cell>
        </row>
        <row r="420">
          <cell r="A420">
            <v>14</v>
          </cell>
          <cell r="B420" t="str">
            <v>TOTAL</v>
          </cell>
          <cell r="E420" t="str">
            <v xml:space="preserve"> </v>
          </cell>
          <cell r="F420" t="str">
            <v xml:space="preserve"> </v>
          </cell>
          <cell r="G420" t="str">
            <v xml:space="preserve"> </v>
          </cell>
          <cell r="H420">
            <v>0</v>
          </cell>
        </row>
      </sheetData>
      <sheetData sheetId="2">
        <row r="8">
          <cell r="A8">
            <v>0</v>
          </cell>
          <cell r="N8" t="str">
            <v>Capacity</v>
          </cell>
        </row>
        <row r="9">
          <cell r="A9">
            <v>1</v>
          </cell>
          <cell r="B9" t="str">
            <v>Project</v>
          </cell>
          <cell r="J9" t="str">
            <v>Direct Labor</v>
          </cell>
          <cell r="L9" t="str">
            <v>Rate Base</v>
          </cell>
          <cell r="N9" t="str">
            <v>Increase</v>
          </cell>
          <cell r="T9" t="str">
            <v xml:space="preserve">  Plant Direct Investment</v>
          </cell>
        </row>
        <row r="10">
          <cell r="A10">
            <v>2</v>
          </cell>
          <cell r="B10" t="str">
            <v>Number</v>
          </cell>
          <cell r="D10" t="str">
            <v>Project Name</v>
          </cell>
          <cell r="J10" t="str">
            <v>O&amp;M %</v>
          </cell>
          <cell r="L10" t="str">
            <v>Date</v>
          </cell>
          <cell r="N10" t="str">
            <v>Amount</v>
          </cell>
          <cell r="V10" t="str">
            <v>1st Year</v>
          </cell>
          <cell r="X10" t="str">
            <v>2nd Year</v>
          </cell>
          <cell r="Z10" t="str">
            <v>3rd Year</v>
          </cell>
          <cell r="AB10" t="str">
            <v>Total</v>
          </cell>
        </row>
        <row r="11">
          <cell r="A11">
            <v>3</v>
          </cell>
        </row>
        <row r="12">
          <cell r="A12">
            <v>4</v>
          </cell>
          <cell r="B12" t="str">
            <v>(1)</v>
          </cell>
          <cell r="D12" t="str">
            <v xml:space="preserve"> PROJECT:</v>
          </cell>
          <cell r="E12" t="str">
            <v>Line 7000 Local T</v>
          </cell>
          <cell r="J12">
            <v>0</v>
          </cell>
          <cell r="L12">
            <v>2004</v>
          </cell>
          <cell r="N12">
            <v>30</v>
          </cell>
          <cell r="T12" t="str">
            <v>Year</v>
          </cell>
          <cell r="V12">
            <v>2001</v>
          </cell>
          <cell r="X12">
            <v>2002</v>
          </cell>
          <cell r="Z12">
            <v>2003</v>
          </cell>
          <cell r="AB12">
            <v>2004</v>
          </cell>
        </row>
        <row r="13">
          <cell r="A13">
            <v>5</v>
          </cell>
          <cell r="N13" t="str">
            <v>Units</v>
          </cell>
          <cell r="X13" t="str">
            <v xml:space="preserve">         Investments</v>
          </cell>
        </row>
        <row r="14">
          <cell r="A14">
            <v>6</v>
          </cell>
          <cell r="D14" t="str">
            <v>Project Description:</v>
          </cell>
          <cell r="N14" t="str">
            <v>MMcfd</v>
          </cell>
          <cell r="Q14" t="str">
            <v>Mains</v>
          </cell>
          <cell r="T14" t="str">
            <v>Acct No. 367</v>
          </cell>
          <cell r="AB14">
            <v>0</v>
          </cell>
        </row>
        <row r="15">
          <cell r="A15">
            <v>7</v>
          </cell>
          <cell r="M15" t="str">
            <v>Zone (A, B or C)</v>
          </cell>
          <cell r="Q15" t="str">
            <v>Compressor Station Equipment</v>
          </cell>
          <cell r="T15" t="str">
            <v>Acct No. 368</v>
          </cell>
          <cell r="Z15">
            <v>7000</v>
          </cell>
          <cell r="AB15">
            <v>7000</v>
          </cell>
        </row>
        <row r="16">
          <cell r="A16">
            <v>8</v>
          </cell>
          <cell r="N16" t="str">
            <v>C</v>
          </cell>
          <cell r="Q16" t="str">
            <v>Meas &amp; Reg Equipment</v>
          </cell>
          <cell r="T16" t="str">
            <v>Acct No. 369</v>
          </cell>
          <cell r="AB16">
            <v>0</v>
          </cell>
        </row>
        <row r="17">
          <cell r="A17">
            <v>9</v>
          </cell>
          <cell r="M17" t="str">
            <v>Where:</v>
          </cell>
          <cell r="Q17" t="str">
            <v>Other Equipment</v>
          </cell>
          <cell r="T17" t="str">
            <v>Acct No. 371</v>
          </cell>
          <cell r="AB17">
            <v>0</v>
          </cell>
        </row>
        <row r="18">
          <cell r="A18">
            <v>10</v>
          </cell>
          <cell r="M18" t="str">
            <v>A = Eastern Zone</v>
          </cell>
          <cell r="T18" t="str">
            <v>Total</v>
          </cell>
          <cell r="V18">
            <v>0</v>
          </cell>
          <cell r="X18">
            <v>0</v>
          </cell>
          <cell r="Z18">
            <v>7000</v>
          </cell>
          <cell r="AB18">
            <v>7000</v>
          </cell>
        </row>
        <row r="19">
          <cell r="A19">
            <v>11</v>
          </cell>
          <cell r="M19" t="str">
            <v>B = Northern Zone</v>
          </cell>
          <cell r="T19" t="str">
            <v>Rate Base</v>
          </cell>
        </row>
        <row r="20">
          <cell r="A20">
            <v>12</v>
          </cell>
          <cell r="M20" t="str">
            <v>C = Common Zone</v>
          </cell>
        </row>
        <row r="25">
          <cell r="N25" t="str">
            <v>Capacity</v>
          </cell>
        </row>
        <row r="26">
          <cell r="B26" t="str">
            <v>Project</v>
          </cell>
          <cell r="J26" t="str">
            <v>Direct Labor</v>
          </cell>
          <cell r="L26" t="str">
            <v>Rate Base</v>
          </cell>
          <cell r="N26" t="str">
            <v>Increase</v>
          </cell>
          <cell r="T26" t="str">
            <v xml:space="preserve">  Plant Direct Investment</v>
          </cell>
        </row>
        <row r="27">
          <cell r="B27" t="str">
            <v>Number</v>
          </cell>
          <cell r="D27" t="str">
            <v>Project Name</v>
          </cell>
          <cell r="J27" t="str">
            <v>O&amp;M %</v>
          </cell>
          <cell r="L27" t="str">
            <v>Date</v>
          </cell>
          <cell r="N27" t="str">
            <v>Amount</v>
          </cell>
          <cell r="V27" t="str">
            <v>1st Year</v>
          </cell>
          <cell r="X27" t="str">
            <v>2nd Year</v>
          </cell>
          <cell r="Z27" t="str">
            <v>3rd Year</v>
          </cell>
          <cell r="AB27" t="str">
            <v>Total</v>
          </cell>
        </row>
        <row r="29">
          <cell r="B29" t="str">
            <v>(2)</v>
          </cell>
          <cell r="D29" t="str">
            <v xml:space="preserve"> PROJECT:</v>
          </cell>
          <cell r="T29" t="str">
            <v>Year</v>
          </cell>
          <cell r="V29">
            <v>-3</v>
          </cell>
          <cell r="X29">
            <v>-2</v>
          </cell>
          <cell r="Z29">
            <v>-1</v>
          </cell>
          <cell r="AB29">
            <v>0</v>
          </cell>
        </row>
        <row r="30">
          <cell r="N30" t="str">
            <v>Units</v>
          </cell>
          <cell r="X30" t="str">
            <v xml:space="preserve">         Investments</v>
          </cell>
        </row>
        <row r="31">
          <cell r="D31" t="str">
            <v>Project Description:</v>
          </cell>
          <cell r="Q31" t="str">
            <v>Mains</v>
          </cell>
          <cell r="T31" t="str">
            <v>Acct No. 367</v>
          </cell>
          <cell r="AB31">
            <v>0</v>
          </cell>
        </row>
        <row r="32">
          <cell r="M32" t="str">
            <v>Zone (A, B or C)</v>
          </cell>
          <cell r="Q32" t="str">
            <v>Compressor Station Equipment</v>
          </cell>
          <cell r="T32" t="str">
            <v>Acct No. 368</v>
          </cell>
          <cell r="AB32">
            <v>0</v>
          </cell>
        </row>
        <row r="33">
          <cell r="Q33" t="str">
            <v>Meas &amp; Reg Equipment</v>
          </cell>
          <cell r="T33" t="str">
            <v>Acct No. 369</v>
          </cell>
          <cell r="AB33">
            <v>0</v>
          </cell>
        </row>
        <row r="34">
          <cell r="M34" t="str">
            <v>Where:</v>
          </cell>
          <cell r="Q34" t="str">
            <v>Other Equipment</v>
          </cell>
          <cell r="T34" t="str">
            <v>Acct No. 371</v>
          </cell>
          <cell r="AB34">
            <v>0</v>
          </cell>
        </row>
        <row r="35">
          <cell r="M35" t="str">
            <v>A = Eastern Zone</v>
          </cell>
          <cell r="T35" t="str">
            <v>Total</v>
          </cell>
          <cell r="V35">
            <v>0</v>
          </cell>
          <cell r="X35">
            <v>0</v>
          </cell>
          <cell r="Z35">
            <v>0</v>
          </cell>
          <cell r="AB35">
            <v>0</v>
          </cell>
        </row>
        <row r="36">
          <cell r="M36" t="str">
            <v>B = Northern Zone</v>
          </cell>
          <cell r="T36" t="str">
            <v>Rate Base</v>
          </cell>
        </row>
        <row r="37">
          <cell r="M37" t="str">
            <v>C = Common Zone</v>
          </cell>
        </row>
        <row r="42">
          <cell r="N42" t="str">
            <v>Capacity</v>
          </cell>
        </row>
        <row r="43">
          <cell r="B43" t="str">
            <v>Project</v>
          </cell>
          <cell r="J43" t="str">
            <v>Direct Labor</v>
          </cell>
          <cell r="L43" t="str">
            <v>Rate Base</v>
          </cell>
          <cell r="N43" t="str">
            <v>Increase</v>
          </cell>
          <cell r="T43" t="str">
            <v xml:space="preserve">  Plant Direct Investment</v>
          </cell>
        </row>
        <row r="44">
          <cell r="B44" t="str">
            <v>Number</v>
          </cell>
          <cell r="D44" t="str">
            <v>Project Name</v>
          </cell>
          <cell r="J44" t="str">
            <v>O&amp;M %</v>
          </cell>
          <cell r="L44" t="str">
            <v>Date</v>
          </cell>
          <cell r="N44" t="str">
            <v>Amount</v>
          </cell>
          <cell r="V44" t="str">
            <v>1st Year</v>
          </cell>
          <cell r="X44" t="str">
            <v>2nd Year</v>
          </cell>
          <cell r="Z44" t="str">
            <v>3rd Year</v>
          </cell>
          <cell r="AB44" t="str">
            <v>Total</v>
          </cell>
        </row>
        <row r="46">
          <cell r="B46" t="str">
            <v>(3)</v>
          </cell>
          <cell r="D46" t="str">
            <v xml:space="preserve"> PROJECT:</v>
          </cell>
          <cell r="E46" t="str">
            <v xml:space="preserve"> </v>
          </cell>
          <cell r="T46" t="str">
            <v>Year</v>
          </cell>
          <cell r="V46">
            <v>-3</v>
          </cell>
          <cell r="X46">
            <v>-2</v>
          </cell>
          <cell r="Z46">
            <v>-1</v>
          </cell>
          <cell r="AB46">
            <v>0</v>
          </cell>
        </row>
        <row r="47">
          <cell r="N47" t="str">
            <v>Units</v>
          </cell>
          <cell r="X47" t="str">
            <v xml:space="preserve">         Investments</v>
          </cell>
        </row>
        <row r="48">
          <cell r="D48" t="str">
            <v>Project Description:</v>
          </cell>
          <cell r="Q48" t="str">
            <v>Mains</v>
          </cell>
          <cell r="T48" t="str">
            <v>Acct No. 367</v>
          </cell>
          <cell r="AB48">
            <v>0</v>
          </cell>
        </row>
        <row r="49">
          <cell r="M49" t="str">
            <v>Zone (A, B or C)</v>
          </cell>
          <cell r="Q49" t="str">
            <v>Compressor Station Equipment</v>
          </cell>
          <cell r="T49" t="str">
            <v>Acct No. 368</v>
          </cell>
          <cell r="AB49">
            <v>0</v>
          </cell>
        </row>
        <row r="50">
          <cell r="Q50" t="str">
            <v>Meas &amp; Reg Equipment</v>
          </cell>
          <cell r="T50" t="str">
            <v>Acct No. 369</v>
          </cell>
          <cell r="AB50">
            <v>0</v>
          </cell>
        </row>
        <row r="51">
          <cell r="M51" t="str">
            <v>Where:</v>
          </cell>
          <cell r="Q51" t="str">
            <v>Other Equipment</v>
          </cell>
          <cell r="T51" t="str">
            <v>Acct No. 371</v>
          </cell>
          <cell r="AB51">
            <v>0</v>
          </cell>
        </row>
        <row r="52">
          <cell r="M52" t="str">
            <v>A = Eastern Zone</v>
          </cell>
          <cell r="T52" t="str">
            <v>Total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</row>
        <row r="53">
          <cell r="M53" t="str">
            <v>B = Northern Zone</v>
          </cell>
          <cell r="T53" t="str">
            <v>Rate Base</v>
          </cell>
        </row>
        <row r="54">
          <cell r="M54" t="str">
            <v>C = Common Zone</v>
          </cell>
        </row>
        <row r="59">
          <cell r="N59" t="str">
            <v>Capacity</v>
          </cell>
        </row>
        <row r="60">
          <cell r="B60" t="str">
            <v>Project</v>
          </cell>
          <cell r="J60" t="str">
            <v>Direct Labor</v>
          </cell>
          <cell r="L60" t="str">
            <v>Rate Base</v>
          </cell>
          <cell r="N60" t="str">
            <v>Increase</v>
          </cell>
          <cell r="T60" t="str">
            <v xml:space="preserve">  Plant Direct Investment</v>
          </cell>
        </row>
        <row r="61">
          <cell r="B61" t="str">
            <v>Number</v>
          </cell>
          <cell r="D61" t="str">
            <v>Project Name</v>
          </cell>
          <cell r="J61" t="str">
            <v>O&amp;M %</v>
          </cell>
          <cell r="L61" t="str">
            <v>Date</v>
          </cell>
          <cell r="N61" t="str">
            <v>Amount</v>
          </cell>
          <cell r="V61" t="str">
            <v>1st Year</v>
          </cell>
          <cell r="X61" t="str">
            <v>2nd Year</v>
          </cell>
          <cell r="Z61" t="str">
            <v>3rd Year</v>
          </cell>
          <cell r="AB61" t="str">
            <v>Total</v>
          </cell>
        </row>
        <row r="63">
          <cell r="B63" t="str">
            <v>(4)</v>
          </cell>
          <cell r="D63" t="str">
            <v xml:space="preserve"> PROJECT:</v>
          </cell>
          <cell r="E63" t="str">
            <v xml:space="preserve"> </v>
          </cell>
          <cell r="T63" t="str">
            <v>Year</v>
          </cell>
          <cell r="V63">
            <v>-3</v>
          </cell>
          <cell r="X63">
            <v>-2</v>
          </cell>
          <cell r="Z63">
            <v>-1</v>
          </cell>
          <cell r="AB63">
            <v>0</v>
          </cell>
        </row>
        <row r="64">
          <cell r="N64" t="str">
            <v>Units</v>
          </cell>
          <cell r="X64" t="str">
            <v xml:space="preserve">         Investments</v>
          </cell>
        </row>
        <row r="65">
          <cell r="D65" t="str">
            <v>Project Description:</v>
          </cell>
          <cell r="Q65" t="str">
            <v>Mains</v>
          </cell>
          <cell r="T65" t="str">
            <v>Acct No. 367</v>
          </cell>
          <cell r="AB65">
            <v>0</v>
          </cell>
        </row>
        <row r="66">
          <cell r="M66" t="str">
            <v>Zone (A, B or C)</v>
          </cell>
          <cell r="Q66" t="str">
            <v>Compressor Station Equipment</v>
          </cell>
          <cell r="T66" t="str">
            <v>Acct No. 368</v>
          </cell>
          <cell r="AB66">
            <v>0</v>
          </cell>
        </row>
        <row r="67">
          <cell r="Q67" t="str">
            <v>Meas &amp; Reg Equipment</v>
          </cell>
          <cell r="T67" t="str">
            <v>Acct No. 369</v>
          </cell>
          <cell r="AB67">
            <v>0</v>
          </cell>
        </row>
        <row r="68">
          <cell r="M68" t="str">
            <v>Where:</v>
          </cell>
          <cell r="Q68" t="str">
            <v>Other Equipment</v>
          </cell>
          <cell r="T68" t="str">
            <v>Acct No. 371</v>
          </cell>
          <cell r="AB68">
            <v>0</v>
          </cell>
        </row>
        <row r="69">
          <cell r="M69" t="str">
            <v>A = Eastern Zone</v>
          </cell>
          <cell r="T69" t="str">
            <v>Total</v>
          </cell>
          <cell r="V69">
            <v>0</v>
          </cell>
          <cell r="X69">
            <v>0</v>
          </cell>
          <cell r="Z69">
            <v>0</v>
          </cell>
          <cell r="AB69">
            <v>0</v>
          </cell>
        </row>
        <row r="70">
          <cell r="M70" t="str">
            <v>B = Northern Zone</v>
          </cell>
          <cell r="T70" t="str">
            <v>Rate Base</v>
          </cell>
        </row>
        <row r="71">
          <cell r="M71" t="str">
            <v>C = Common Zone</v>
          </cell>
        </row>
        <row r="76">
          <cell r="N76" t="str">
            <v>Capacity</v>
          </cell>
        </row>
        <row r="77">
          <cell r="B77" t="str">
            <v>Project</v>
          </cell>
          <cell r="J77" t="str">
            <v>Direct Labor</v>
          </cell>
          <cell r="L77" t="str">
            <v>Rate Base</v>
          </cell>
          <cell r="N77" t="str">
            <v>Increase</v>
          </cell>
          <cell r="T77" t="str">
            <v xml:space="preserve">  Plant Direct Investment</v>
          </cell>
        </row>
        <row r="78">
          <cell r="B78" t="str">
            <v>Number</v>
          </cell>
          <cell r="D78" t="str">
            <v>Project Name</v>
          </cell>
          <cell r="J78" t="str">
            <v>O&amp;M %</v>
          </cell>
          <cell r="L78" t="str">
            <v>Date</v>
          </cell>
          <cell r="N78" t="str">
            <v>Amount</v>
          </cell>
          <cell r="V78" t="str">
            <v>1st Year</v>
          </cell>
          <cell r="X78" t="str">
            <v>2nd Year</v>
          </cell>
          <cell r="Z78" t="str">
            <v>3rd Year</v>
          </cell>
          <cell r="AB78" t="str">
            <v>Total</v>
          </cell>
        </row>
        <row r="80">
          <cell r="B80" t="str">
            <v>(5)</v>
          </cell>
          <cell r="D80" t="str">
            <v xml:space="preserve"> PROJECT:</v>
          </cell>
          <cell r="E80" t="str">
            <v xml:space="preserve"> </v>
          </cell>
          <cell r="T80" t="str">
            <v>Year</v>
          </cell>
          <cell r="V80">
            <v>-3</v>
          </cell>
          <cell r="X80">
            <v>-2</v>
          </cell>
          <cell r="Z80">
            <v>-1</v>
          </cell>
          <cell r="AB80">
            <v>0</v>
          </cell>
        </row>
        <row r="81">
          <cell r="N81" t="str">
            <v>Units</v>
          </cell>
          <cell r="X81" t="str">
            <v xml:space="preserve">         Investments</v>
          </cell>
        </row>
        <row r="82">
          <cell r="D82" t="str">
            <v>Project Description:</v>
          </cell>
          <cell r="Q82" t="str">
            <v>Mains</v>
          </cell>
          <cell r="T82" t="str">
            <v>Acct No. 367</v>
          </cell>
          <cell r="AB82">
            <v>0</v>
          </cell>
        </row>
        <row r="83">
          <cell r="M83" t="str">
            <v>Zone (A, B or C)</v>
          </cell>
          <cell r="Q83" t="str">
            <v>Compressor Station Equipment</v>
          </cell>
          <cell r="T83" t="str">
            <v>Acct No. 368</v>
          </cell>
          <cell r="AB83">
            <v>0</v>
          </cell>
        </row>
        <row r="84">
          <cell r="Q84" t="str">
            <v>Meas &amp; Reg Equipment</v>
          </cell>
          <cell r="T84" t="str">
            <v>Acct No. 369</v>
          </cell>
          <cell r="AB84">
            <v>0</v>
          </cell>
        </row>
        <row r="85">
          <cell r="M85" t="str">
            <v>Where:</v>
          </cell>
          <cell r="Q85" t="str">
            <v>Other Equipment</v>
          </cell>
          <cell r="T85" t="str">
            <v>Acct No. 371</v>
          </cell>
          <cell r="AB85">
            <v>0</v>
          </cell>
        </row>
        <row r="86">
          <cell r="M86" t="str">
            <v>A = Eastern Zone</v>
          </cell>
          <cell r="T86" t="str">
            <v>Total</v>
          </cell>
          <cell r="V86">
            <v>0</v>
          </cell>
          <cell r="X86">
            <v>0</v>
          </cell>
          <cell r="Z86">
            <v>0</v>
          </cell>
          <cell r="AB86">
            <v>0</v>
          </cell>
        </row>
        <row r="87">
          <cell r="M87" t="str">
            <v>B = Northern Zone</v>
          </cell>
          <cell r="T87" t="str">
            <v>Rate Base</v>
          </cell>
        </row>
        <row r="88">
          <cell r="M88" t="str">
            <v>C = Common Zone</v>
          </cell>
        </row>
        <row r="93">
          <cell r="N93" t="str">
            <v>Capacity</v>
          </cell>
        </row>
        <row r="94">
          <cell r="B94" t="str">
            <v>Project</v>
          </cell>
          <cell r="J94" t="str">
            <v>Direct Labor</v>
          </cell>
          <cell r="L94" t="str">
            <v>Rate Base</v>
          </cell>
          <cell r="N94" t="str">
            <v>Increase</v>
          </cell>
          <cell r="T94" t="str">
            <v xml:space="preserve">  Plant Direct Investment</v>
          </cell>
        </row>
        <row r="95">
          <cell r="B95" t="str">
            <v>Number</v>
          </cell>
          <cell r="D95" t="str">
            <v>Project Name</v>
          </cell>
          <cell r="J95" t="str">
            <v>O&amp;M %</v>
          </cell>
          <cell r="L95" t="str">
            <v>Date</v>
          </cell>
          <cell r="N95" t="str">
            <v>Amount</v>
          </cell>
          <cell r="V95" t="str">
            <v>1st Year</v>
          </cell>
          <cell r="X95" t="str">
            <v>2nd Year</v>
          </cell>
          <cell r="Z95" t="str">
            <v>3rd Year</v>
          </cell>
          <cell r="AB95" t="str">
            <v>Total</v>
          </cell>
        </row>
        <row r="97">
          <cell r="B97" t="str">
            <v>(6)</v>
          </cell>
          <cell r="D97" t="str">
            <v xml:space="preserve"> PROJECT:</v>
          </cell>
          <cell r="E97" t="str">
            <v xml:space="preserve"> </v>
          </cell>
          <cell r="T97" t="str">
            <v>Year</v>
          </cell>
          <cell r="V97">
            <v>-3</v>
          </cell>
          <cell r="X97">
            <v>-2</v>
          </cell>
          <cell r="Z97">
            <v>-1</v>
          </cell>
          <cell r="AB97">
            <v>0</v>
          </cell>
        </row>
        <row r="98">
          <cell r="N98" t="str">
            <v>Units</v>
          </cell>
          <cell r="X98" t="str">
            <v xml:space="preserve">         Investments</v>
          </cell>
        </row>
        <row r="99">
          <cell r="D99" t="str">
            <v>Project Description:</v>
          </cell>
          <cell r="Q99" t="str">
            <v>Mains</v>
          </cell>
          <cell r="T99" t="str">
            <v>Acct No. 367</v>
          </cell>
          <cell r="AB99">
            <v>0</v>
          </cell>
        </row>
        <row r="100">
          <cell r="M100" t="str">
            <v>Zone (A, B or C)</v>
          </cell>
          <cell r="Q100" t="str">
            <v>Compressor Station Equipment</v>
          </cell>
          <cell r="T100" t="str">
            <v>Acct No. 368</v>
          </cell>
          <cell r="AB100">
            <v>0</v>
          </cell>
        </row>
        <row r="101">
          <cell r="Q101" t="str">
            <v>Meas &amp; Reg Equipment</v>
          </cell>
          <cell r="T101" t="str">
            <v>Acct No. 369</v>
          </cell>
          <cell r="AB101">
            <v>0</v>
          </cell>
        </row>
        <row r="102">
          <cell r="M102" t="str">
            <v>Where:</v>
          </cell>
          <cell r="Q102" t="str">
            <v>Other Equipment</v>
          </cell>
          <cell r="T102" t="str">
            <v>Acct No. 371</v>
          </cell>
          <cell r="AB102">
            <v>0</v>
          </cell>
        </row>
        <row r="103">
          <cell r="M103" t="str">
            <v>A = Eastern Zone</v>
          </cell>
          <cell r="T103" t="str">
            <v>Total</v>
          </cell>
          <cell r="V103">
            <v>0</v>
          </cell>
          <cell r="X103">
            <v>0</v>
          </cell>
          <cell r="Z103">
            <v>0</v>
          </cell>
          <cell r="AB103">
            <v>0</v>
          </cell>
        </row>
        <row r="104">
          <cell r="M104" t="str">
            <v>B = Northern Zone</v>
          </cell>
          <cell r="T104" t="str">
            <v>Rate Base</v>
          </cell>
        </row>
        <row r="105">
          <cell r="M105" t="str">
            <v>C = Common Zone</v>
          </cell>
        </row>
        <row r="110">
          <cell r="N110" t="str">
            <v>Capacity</v>
          </cell>
        </row>
        <row r="111">
          <cell r="B111" t="str">
            <v>Project</v>
          </cell>
          <cell r="J111" t="str">
            <v>Direct Labor</v>
          </cell>
          <cell r="L111" t="str">
            <v>Rate Base</v>
          </cell>
          <cell r="N111" t="str">
            <v>Increase</v>
          </cell>
          <cell r="T111" t="str">
            <v xml:space="preserve">  Plant Direct Investment</v>
          </cell>
        </row>
        <row r="112">
          <cell r="B112" t="str">
            <v>Number</v>
          </cell>
          <cell r="D112" t="str">
            <v>Project Name</v>
          </cell>
          <cell r="J112" t="str">
            <v>O&amp;M %</v>
          </cell>
          <cell r="L112" t="str">
            <v>Date</v>
          </cell>
          <cell r="N112" t="str">
            <v>Amount</v>
          </cell>
          <cell r="V112" t="str">
            <v>1st Year</v>
          </cell>
          <cell r="X112" t="str">
            <v>2nd Year</v>
          </cell>
          <cell r="Z112" t="str">
            <v>3rd Year</v>
          </cell>
          <cell r="AB112" t="str">
            <v>Total</v>
          </cell>
        </row>
        <row r="114">
          <cell r="B114" t="str">
            <v>(7)</v>
          </cell>
          <cell r="D114" t="str">
            <v xml:space="preserve"> PROJECT:</v>
          </cell>
          <cell r="E114" t="str">
            <v xml:space="preserve"> </v>
          </cell>
          <cell r="T114" t="str">
            <v>Year</v>
          </cell>
          <cell r="V114">
            <v>-3</v>
          </cell>
          <cell r="X114">
            <v>-2</v>
          </cell>
          <cell r="Z114">
            <v>-1</v>
          </cell>
          <cell r="AB114">
            <v>0</v>
          </cell>
        </row>
        <row r="115">
          <cell r="N115" t="str">
            <v>Units</v>
          </cell>
          <cell r="X115" t="str">
            <v xml:space="preserve">         Investments</v>
          </cell>
        </row>
        <row r="116">
          <cell r="D116" t="str">
            <v>Project Description:</v>
          </cell>
          <cell r="Q116" t="str">
            <v>Mains</v>
          </cell>
          <cell r="T116" t="str">
            <v>Acct No. 367</v>
          </cell>
          <cell r="AB116">
            <v>0</v>
          </cell>
        </row>
        <row r="117">
          <cell r="M117" t="str">
            <v>Zone (A, B or C)</v>
          </cell>
          <cell r="Q117" t="str">
            <v>Compressor Station Equipment</v>
          </cell>
          <cell r="T117" t="str">
            <v>Acct No. 368</v>
          </cell>
          <cell r="AB117">
            <v>0</v>
          </cell>
        </row>
        <row r="118">
          <cell r="Q118" t="str">
            <v>Meas &amp; Reg Equipment</v>
          </cell>
          <cell r="T118" t="str">
            <v>Acct No. 369</v>
          </cell>
          <cell r="AB118">
            <v>0</v>
          </cell>
        </row>
        <row r="119">
          <cell r="M119" t="str">
            <v>Where:</v>
          </cell>
          <cell r="Q119" t="str">
            <v>Other Equipment</v>
          </cell>
          <cell r="T119" t="str">
            <v>Acct No. 371</v>
          </cell>
          <cell r="AB119">
            <v>0</v>
          </cell>
        </row>
        <row r="120">
          <cell r="M120" t="str">
            <v>A = Eastern Zone</v>
          </cell>
          <cell r="T120" t="str">
            <v>Total</v>
          </cell>
          <cell r="V120">
            <v>0</v>
          </cell>
          <cell r="X120">
            <v>0</v>
          </cell>
          <cell r="Z120">
            <v>0</v>
          </cell>
          <cell r="AB120">
            <v>0</v>
          </cell>
        </row>
        <row r="121">
          <cell r="M121" t="str">
            <v>B = Northern Zone</v>
          </cell>
          <cell r="T121" t="str">
            <v>Rate Base</v>
          </cell>
        </row>
        <row r="122">
          <cell r="M122" t="str">
            <v>C = Common Zone</v>
          </cell>
        </row>
        <row r="127">
          <cell r="N127" t="str">
            <v>Capacity</v>
          </cell>
        </row>
        <row r="128">
          <cell r="B128" t="str">
            <v>Project</v>
          </cell>
          <cell r="J128" t="str">
            <v>Direct Labor</v>
          </cell>
          <cell r="L128" t="str">
            <v>Rate Base</v>
          </cell>
          <cell r="N128" t="str">
            <v>Increase</v>
          </cell>
          <cell r="T128" t="str">
            <v xml:space="preserve">  Plant Direct Investment</v>
          </cell>
        </row>
        <row r="129">
          <cell r="B129" t="str">
            <v>Number</v>
          </cell>
          <cell r="D129" t="str">
            <v>Project Name</v>
          </cell>
          <cell r="J129" t="str">
            <v>O&amp;M %</v>
          </cell>
          <cell r="L129" t="str">
            <v>Date</v>
          </cell>
          <cell r="N129" t="str">
            <v>Amount</v>
          </cell>
          <cell r="V129" t="str">
            <v>1st Year</v>
          </cell>
          <cell r="X129" t="str">
            <v>2nd Year</v>
          </cell>
          <cell r="Z129" t="str">
            <v>3rd Year</v>
          </cell>
          <cell r="AB129" t="str">
            <v>Total</v>
          </cell>
        </row>
        <row r="131">
          <cell r="B131" t="str">
            <v>(8)</v>
          </cell>
          <cell r="D131" t="str">
            <v xml:space="preserve"> PROJECT:</v>
          </cell>
          <cell r="E131" t="str">
            <v xml:space="preserve"> </v>
          </cell>
          <cell r="T131" t="str">
            <v>Year</v>
          </cell>
          <cell r="V131">
            <v>-3</v>
          </cell>
          <cell r="X131">
            <v>-2</v>
          </cell>
          <cell r="Z131">
            <v>-1</v>
          </cell>
          <cell r="AB131">
            <v>0</v>
          </cell>
        </row>
        <row r="132">
          <cell r="N132" t="str">
            <v>Units</v>
          </cell>
          <cell r="X132" t="str">
            <v xml:space="preserve">         Investments</v>
          </cell>
        </row>
        <row r="133">
          <cell r="D133" t="str">
            <v>Project Description:</v>
          </cell>
          <cell r="Q133" t="str">
            <v>Mains</v>
          </cell>
          <cell r="T133" t="str">
            <v>Acct No. 367</v>
          </cell>
          <cell r="AB133">
            <v>0</v>
          </cell>
        </row>
        <row r="134">
          <cell r="M134" t="str">
            <v>Zone (A, B or C)</v>
          </cell>
          <cell r="Q134" t="str">
            <v>Compressor Station Equipment</v>
          </cell>
          <cell r="T134" t="str">
            <v>Acct No. 368</v>
          </cell>
          <cell r="AB134">
            <v>0</v>
          </cell>
        </row>
        <row r="135">
          <cell r="Q135" t="str">
            <v>Meas &amp; Reg Equipment</v>
          </cell>
          <cell r="T135" t="str">
            <v>Acct No. 369</v>
          </cell>
          <cell r="AB135">
            <v>0</v>
          </cell>
        </row>
        <row r="136">
          <cell r="M136" t="str">
            <v>Where:</v>
          </cell>
          <cell r="Q136" t="str">
            <v>Other Equipment</v>
          </cell>
          <cell r="T136" t="str">
            <v>Acct No. 371</v>
          </cell>
          <cell r="AB136">
            <v>0</v>
          </cell>
        </row>
        <row r="137">
          <cell r="M137" t="str">
            <v>A = Eastern Zone</v>
          </cell>
          <cell r="T137" t="str">
            <v>Total</v>
          </cell>
          <cell r="V137">
            <v>0</v>
          </cell>
          <cell r="X137">
            <v>0</v>
          </cell>
          <cell r="Z137">
            <v>0</v>
          </cell>
          <cell r="AB137">
            <v>0</v>
          </cell>
        </row>
        <row r="138">
          <cell r="M138" t="str">
            <v>B = Northern Zone</v>
          </cell>
          <cell r="T138" t="str">
            <v>Rate Base</v>
          </cell>
        </row>
        <row r="139">
          <cell r="M139" t="str">
            <v>C = Common Zone</v>
          </cell>
        </row>
        <row r="144">
          <cell r="N144" t="str">
            <v>Capacity</v>
          </cell>
        </row>
        <row r="145">
          <cell r="B145" t="str">
            <v>Project</v>
          </cell>
          <cell r="J145" t="str">
            <v>Direct Labor</v>
          </cell>
          <cell r="L145" t="str">
            <v>Rate Base</v>
          </cell>
          <cell r="N145" t="str">
            <v>Increase</v>
          </cell>
          <cell r="T145" t="str">
            <v xml:space="preserve">  Plant Direct Investment</v>
          </cell>
        </row>
        <row r="146">
          <cell r="B146" t="str">
            <v>Number</v>
          </cell>
          <cell r="D146" t="str">
            <v>Project Name</v>
          </cell>
          <cell r="J146" t="str">
            <v>O&amp;M %</v>
          </cell>
          <cell r="L146" t="str">
            <v>Date</v>
          </cell>
          <cell r="N146" t="str">
            <v>Amount</v>
          </cell>
          <cell r="V146" t="str">
            <v>1st Year</v>
          </cell>
          <cell r="X146" t="str">
            <v>2nd Year</v>
          </cell>
          <cell r="Z146" t="str">
            <v>3rd Year</v>
          </cell>
          <cell r="AB146" t="str">
            <v>Total</v>
          </cell>
        </row>
        <row r="148">
          <cell r="B148" t="str">
            <v>(9)</v>
          </cell>
          <cell r="D148" t="str">
            <v xml:space="preserve"> PROJECT:</v>
          </cell>
          <cell r="E148" t="str">
            <v xml:space="preserve"> </v>
          </cell>
          <cell r="T148" t="str">
            <v>Year</v>
          </cell>
          <cell r="V148">
            <v>-3</v>
          </cell>
          <cell r="X148">
            <v>-2</v>
          </cell>
          <cell r="Z148">
            <v>-1</v>
          </cell>
          <cell r="AB148">
            <v>0</v>
          </cell>
        </row>
        <row r="149">
          <cell r="N149" t="str">
            <v>Units</v>
          </cell>
          <cell r="X149" t="str">
            <v xml:space="preserve">         Investments</v>
          </cell>
        </row>
        <row r="150">
          <cell r="D150" t="str">
            <v>Project Description:</v>
          </cell>
          <cell r="Q150" t="str">
            <v>Mains</v>
          </cell>
          <cell r="T150" t="str">
            <v>Acct No. 367</v>
          </cell>
          <cell r="AB150">
            <v>0</v>
          </cell>
        </row>
        <row r="151">
          <cell r="M151" t="str">
            <v>Zone (A, B or C)</v>
          </cell>
          <cell r="Q151" t="str">
            <v>Compressor Station Equipment</v>
          </cell>
          <cell r="T151" t="str">
            <v>Acct No. 368</v>
          </cell>
          <cell r="AB151">
            <v>0</v>
          </cell>
        </row>
        <row r="152">
          <cell r="Q152" t="str">
            <v>Meas &amp; Reg Equipment</v>
          </cell>
          <cell r="T152" t="str">
            <v>Acct No. 369</v>
          </cell>
          <cell r="AB152">
            <v>0</v>
          </cell>
        </row>
        <row r="153">
          <cell r="M153" t="str">
            <v>Where:</v>
          </cell>
          <cell r="Q153" t="str">
            <v>Other Equipment</v>
          </cell>
          <cell r="T153" t="str">
            <v>Acct No. 371</v>
          </cell>
          <cell r="AB153">
            <v>0</v>
          </cell>
        </row>
        <row r="154">
          <cell r="M154" t="str">
            <v>A = Eastern Zone</v>
          </cell>
          <cell r="T154" t="str">
            <v>Total</v>
          </cell>
          <cell r="V154">
            <v>0</v>
          </cell>
          <cell r="X154">
            <v>0</v>
          </cell>
          <cell r="Z154">
            <v>0</v>
          </cell>
          <cell r="AB154">
            <v>0</v>
          </cell>
        </row>
        <row r="155">
          <cell r="M155" t="str">
            <v>B = Northern Zone</v>
          </cell>
          <cell r="T155" t="str">
            <v>Rate Base</v>
          </cell>
        </row>
        <row r="156">
          <cell r="M156" t="str">
            <v>C = Common Zone</v>
          </cell>
        </row>
        <row r="161">
          <cell r="N161" t="str">
            <v>Capacity</v>
          </cell>
        </row>
        <row r="162">
          <cell r="B162" t="str">
            <v>Project</v>
          </cell>
          <cell r="J162" t="str">
            <v>Direct Labor</v>
          </cell>
          <cell r="L162" t="str">
            <v>Rate Base</v>
          </cell>
          <cell r="N162" t="str">
            <v>Increase</v>
          </cell>
          <cell r="T162" t="str">
            <v xml:space="preserve">  Plant Direct Investment</v>
          </cell>
        </row>
        <row r="163">
          <cell r="B163" t="str">
            <v>Number</v>
          </cell>
          <cell r="D163" t="str">
            <v>Project Name</v>
          </cell>
          <cell r="J163" t="str">
            <v>O&amp;M %</v>
          </cell>
          <cell r="L163" t="str">
            <v>Date</v>
          </cell>
          <cell r="N163" t="str">
            <v>Amount</v>
          </cell>
          <cell r="V163" t="str">
            <v>1st Year</v>
          </cell>
          <cell r="X163" t="str">
            <v>2nd Year</v>
          </cell>
          <cell r="Z163" t="str">
            <v>3rd Year</v>
          </cell>
          <cell r="AB163" t="str">
            <v>Total</v>
          </cell>
        </row>
        <row r="165">
          <cell r="B165" t="str">
            <v>(10)</v>
          </cell>
          <cell r="D165" t="str">
            <v xml:space="preserve"> PROJECT:</v>
          </cell>
          <cell r="E165" t="str">
            <v xml:space="preserve"> </v>
          </cell>
          <cell r="T165" t="str">
            <v>Year</v>
          </cell>
          <cell r="V165">
            <v>-3</v>
          </cell>
          <cell r="X165">
            <v>-2</v>
          </cell>
          <cell r="Z165">
            <v>-1</v>
          </cell>
          <cell r="AB165">
            <v>0</v>
          </cell>
        </row>
        <row r="166">
          <cell r="N166" t="str">
            <v>Units</v>
          </cell>
          <cell r="X166" t="str">
            <v xml:space="preserve">         Investments</v>
          </cell>
        </row>
        <row r="167">
          <cell r="D167" t="str">
            <v>Project Description:</v>
          </cell>
          <cell r="Q167" t="str">
            <v>Mains</v>
          </cell>
          <cell r="T167" t="str">
            <v>Acct No. 367</v>
          </cell>
          <cell r="AB167">
            <v>0</v>
          </cell>
        </row>
        <row r="168">
          <cell r="M168" t="str">
            <v>Zone (A, B or C)</v>
          </cell>
          <cell r="Q168" t="str">
            <v>Compressor Station Equipment</v>
          </cell>
          <cell r="T168" t="str">
            <v>Acct No. 368</v>
          </cell>
          <cell r="AB168">
            <v>0</v>
          </cell>
        </row>
        <row r="169">
          <cell r="Q169" t="str">
            <v>Meas &amp; Reg Equipment</v>
          </cell>
          <cell r="T169" t="str">
            <v>Acct No. 369</v>
          </cell>
          <cell r="AB169">
            <v>0</v>
          </cell>
        </row>
        <row r="170">
          <cell r="M170" t="str">
            <v>Where:</v>
          </cell>
          <cell r="Q170" t="str">
            <v>Other Equipment</v>
          </cell>
          <cell r="T170" t="str">
            <v>Acct No. 371</v>
          </cell>
          <cell r="AB170">
            <v>0</v>
          </cell>
        </row>
        <row r="171">
          <cell r="M171" t="str">
            <v>A = Eastern Zone</v>
          </cell>
          <cell r="T171" t="str">
            <v>Total</v>
          </cell>
          <cell r="V171">
            <v>0</v>
          </cell>
          <cell r="X171">
            <v>0</v>
          </cell>
          <cell r="Z171">
            <v>0</v>
          </cell>
          <cell r="AB171">
            <v>0</v>
          </cell>
        </row>
        <row r="172">
          <cell r="M172" t="str">
            <v>B = Northern Zone</v>
          </cell>
          <cell r="T172" t="str">
            <v>Rate Base</v>
          </cell>
        </row>
        <row r="173">
          <cell r="M173" t="str">
            <v>C = Common Zone</v>
          </cell>
        </row>
        <row r="178">
          <cell r="N178" t="str">
            <v>Capacity</v>
          </cell>
        </row>
        <row r="179">
          <cell r="B179" t="str">
            <v>Project</v>
          </cell>
          <cell r="J179" t="str">
            <v>Direct Labor</v>
          </cell>
          <cell r="L179" t="str">
            <v>Rate Base</v>
          </cell>
          <cell r="N179" t="str">
            <v>Increase</v>
          </cell>
          <cell r="T179" t="str">
            <v xml:space="preserve">  Plant Direct Investment</v>
          </cell>
        </row>
        <row r="180">
          <cell r="B180" t="str">
            <v>Number</v>
          </cell>
          <cell r="D180" t="str">
            <v>Project Name</v>
          </cell>
          <cell r="J180" t="str">
            <v>O&amp;M %</v>
          </cell>
          <cell r="L180" t="str">
            <v>Date</v>
          </cell>
          <cell r="N180" t="str">
            <v>Amount</v>
          </cell>
          <cell r="V180" t="str">
            <v>1st Year</v>
          </cell>
          <cell r="X180" t="str">
            <v>2nd Year</v>
          </cell>
          <cell r="Z180" t="str">
            <v>3rd Year</v>
          </cell>
          <cell r="AB180" t="str">
            <v>Total</v>
          </cell>
        </row>
        <row r="182">
          <cell r="B182" t="str">
            <v>(11)</v>
          </cell>
          <cell r="D182" t="str">
            <v xml:space="preserve"> PROJECT:</v>
          </cell>
          <cell r="E182" t="str">
            <v xml:space="preserve"> </v>
          </cell>
          <cell r="T182" t="str">
            <v>Year</v>
          </cell>
          <cell r="V182">
            <v>-3</v>
          </cell>
          <cell r="X182">
            <v>-2</v>
          </cell>
          <cell r="Z182">
            <v>-1</v>
          </cell>
          <cell r="AB182">
            <v>0</v>
          </cell>
        </row>
        <row r="183">
          <cell r="N183" t="str">
            <v>Units</v>
          </cell>
          <cell r="X183" t="str">
            <v xml:space="preserve">         Investments</v>
          </cell>
        </row>
        <row r="184">
          <cell r="D184" t="str">
            <v>Project Description:</v>
          </cell>
          <cell r="Q184" t="str">
            <v>Mains</v>
          </cell>
          <cell r="T184" t="str">
            <v>Acct No. 367</v>
          </cell>
          <cell r="AB184">
            <v>0</v>
          </cell>
        </row>
        <row r="185">
          <cell r="M185" t="str">
            <v>Zone (A, B or C)</v>
          </cell>
          <cell r="Q185" t="str">
            <v>Compressor Station Equipment</v>
          </cell>
          <cell r="T185" t="str">
            <v>Acct No. 368</v>
          </cell>
          <cell r="AB185">
            <v>0</v>
          </cell>
        </row>
        <row r="186">
          <cell r="Q186" t="str">
            <v>Meas &amp; Reg Equipment</v>
          </cell>
          <cell r="T186" t="str">
            <v>Acct No. 369</v>
          </cell>
          <cell r="AB186">
            <v>0</v>
          </cell>
        </row>
        <row r="187">
          <cell r="M187" t="str">
            <v>Where:</v>
          </cell>
          <cell r="Q187" t="str">
            <v>Other Equipment</v>
          </cell>
          <cell r="T187" t="str">
            <v>Acct No. 371</v>
          </cell>
          <cell r="AB187">
            <v>0</v>
          </cell>
        </row>
        <row r="188">
          <cell r="M188" t="str">
            <v>A = Eastern Zone</v>
          </cell>
          <cell r="T188" t="str">
            <v>Total</v>
          </cell>
          <cell r="V188">
            <v>0</v>
          </cell>
          <cell r="X188">
            <v>0</v>
          </cell>
          <cell r="Z188">
            <v>0</v>
          </cell>
          <cell r="AB188">
            <v>0</v>
          </cell>
        </row>
        <row r="189">
          <cell r="M189" t="str">
            <v>B = Northern Zone</v>
          </cell>
          <cell r="T189" t="str">
            <v>Rate Base</v>
          </cell>
        </row>
        <row r="190">
          <cell r="M190" t="str">
            <v>C = Common Zone</v>
          </cell>
        </row>
        <row r="195">
          <cell r="N195" t="str">
            <v>Capacity</v>
          </cell>
        </row>
        <row r="196">
          <cell r="B196" t="str">
            <v>Project</v>
          </cell>
          <cell r="J196" t="str">
            <v>Direct Labor</v>
          </cell>
          <cell r="L196" t="str">
            <v>Rate Base</v>
          </cell>
          <cell r="N196" t="str">
            <v>Increase</v>
          </cell>
          <cell r="T196" t="str">
            <v xml:space="preserve">  Plant Direct Investment</v>
          </cell>
        </row>
        <row r="197">
          <cell r="B197" t="str">
            <v>Number</v>
          </cell>
          <cell r="D197" t="str">
            <v>Project Name</v>
          </cell>
          <cell r="J197" t="str">
            <v>O&amp;M %</v>
          </cell>
          <cell r="L197" t="str">
            <v>Date</v>
          </cell>
          <cell r="N197" t="str">
            <v>Amount</v>
          </cell>
          <cell r="V197" t="str">
            <v>1st Year</v>
          </cell>
          <cell r="X197" t="str">
            <v>2nd Year</v>
          </cell>
          <cell r="Z197" t="str">
            <v>3rd Year</v>
          </cell>
          <cell r="AB197" t="str">
            <v>Total</v>
          </cell>
        </row>
        <row r="199">
          <cell r="B199" t="str">
            <v>(12)</v>
          </cell>
          <cell r="D199" t="str">
            <v xml:space="preserve"> PROJECT:</v>
          </cell>
          <cell r="E199" t="str">
            <v xml:space="preserve"> </v>
          </cell>
          <cell r="T199" t="str">
            <v>Year</v>
          </cell>
          <cell r="V199">
            <v>-3</v>
          </cell>
          <cell r="X199">
            <v>-2</v>
          </cell>
          <cell r="Z199">
            <v>-1</v>
          </cell>
          <cell r="AB199">
            <v>0</v>
          </cell>
        </row>
        <row r="200">
          <cell r="N200" t="str">
            <v>Units</v>
          </cell>
          <cell r="X200" t="str">
            <v xml:space="preserve">         Investments</v>
          </cell>
        </row>
        <row r="201">
          <cell r="D201" t="str">
            <v>Project Description:</v>
          </cell>
          <cell r="Q201" t="str">
            <v>Mains</v>
          </cell>
          <cell r="T201" t="str">
            <v>Acct No. 367</v>
          </cell>
          <cell r="AB201">
            <v>0</v>
          </cell>
        </row>
        <row r="202">
          <cell r="M202" t="str">
            <v>Zone (A, B or C)</v>
          </cell>
          <cell r="Q202" t="str">
            <v>Compressor Station Equipment</v>
          </cell>
          <cell r="T202" t="str">
            <v>Acct No. 368</v>
          </cell>
          <cell r="AB202">
            <v>0</v>
          </cell>
        </row>
        <row r="203">
          <cell r="Q203" t="str">
            <v>Meas &amp; Reg Equipment</v>
          </cell>
          <cell r="T203" t="str">
            <v>Acct No. 369</v>
          </cell>
          <cell r="AB203">
            <v>0</v>
          </cell>
        </row>
        <row r="204">
          <cell r="M204" t="str">
            <v>Where:</v>
          </cell>
          <cell r="Q204" t="str">
            <v>Other Equipment</v>
          </cell>
          <cell r="T204" t="str">
            <v>Acct No. 371</v>
          </cell>
          <cell r="AB204">
            <v>0</v>
          </cell>
        </row>
        <row r="205">
          <cell r="M205" t="str">
            <v>A = Eastern Zone</v>
          </cell>
          <cell r="T205" t="str">
            <v>Total</v>
          </cell>
          <cell r="V205">
            <v>0</v>
          </cell>
          <cell r="X205">
            <v>0</v>
          </cell>
          <cell r="Z205">
            <v>0</v>
          </cell>
          <cell r="AB205">
            <v>0</v>
          </cell>
        </row>
        <row r="206">
          <cell r="M206" t="str">
            <v>B = Northern Zone</v>
          </cell>
          <cell r="T206" t="str">
            <v>Rate Base</v>
          </cell>
        </row>
        <row r="207">
          <cell r="M207" t="str">
            <v>C = Common Zone</v>
          </cell>
        </row>
        <row r="213">
          <cell r="B213" t="str">
            <v>Project</v>
          </cell>
          <cell r="J213" t="str">
            <v>Direct Labor</v>
          </cell>
          <cell r="L213" t="str">
            <v>Rate Base</v>
          </cell>
          <cell r="N213" t="str">
            <v>Increase</v>
          </cell>
          <cell r="T213" t="str">
            <v xml:space="preserve">  Plant Direct Investment</v>
          </cell>
        </row>
        <row r="214">
          <cell r="B214" t="str">
            <v>Number</v>
          </cell>
          <cell r="D214" t="str">
            <v>Project Name</v>
          </cell>
          <cell r="J214" t="str">
            <v>O&amp;M %</v>
          </cell>
          <cell r="L214" t="str">
            <v>Date</v>
          </cell>
          <cell r="N214" t="str">
            <v>Amount</v>
          </cell>
          <cell r="V214" t="str">
            <v>1st Year</v>
          </cell>
          <cell r="X214" t="str">
            <v>2nd Year</v>
          </cell>
          <cell r="Z214" t="str">
            <v>3rd Year</v>
          </cell>
          <cell r="AB214" t="str">
            <v>Total</v>
          </cell>
        </row>
        <row r="216">
          <cell r="B216" t="str">
            <v>(13)</v>
          </cell>
          <cell r="D216" t="str">
            <v xml:space="preserve"> PROJECT:</v>
          </cell>
          <cell r="E216" t="str">
            <v xml:space="preserve"> </v>
          </cell>
          <cell r="T216" t="str">
            <v>Year</v>
          </cell>
          <cell r="V216">
            <v>-3</v>
          </cell>
          <cell r="X216">
            <v>-2</v>
          </cell>
          <cell r="Z216">
            <v>-1</v>
          </cell>
          <cell r="AB216">
            <v>0</v>
          </cell>
        </row>
        <row r="217">
          <cell r="N217" t="str">
            <v>Units</v>
          </cell>
          <cell r="X217" t="str">
            <v xml:space="preserve">         Investments</v>
          </cell>
        </row>
        <row r="218">
          <cell r="D218" t="str">
            <v>Project Description:</v>
          </cell>
          <cell r="Q218" t="str">
            <v>Mains</v>
          </cell>
          <cell r="T218" t="str">
            <v>Acct No. 367</v>
          </cell>
          <cell r="AB218">
            <v>0</v>
          </cell>
        </row>
        <row r="219">
          <cell r="M219" t="str">
            <v>Zone (A, B or C)</v>
          </cell>
          <cell r="Q219" t="str">
            <v>Compressor Station Equipment</v>
          </cell>
          <cell r="T219" t="str">
            <v>Acct No. 368</v>
          </cell>
          <cell r="AB219">
            <v>0</v>
          </cell>
        </row>
        <row r="220">
          <cell r="Q220" t="str">
            <v>Meas &amp; Reg Equipment</v>
          </cell>
          <cell r="T220" t="str">
            <v>Acct No. 369</v>
          </cell>
          <cell r="AB220">
            <v>0</v>
          </cell>
        </row>
        <row r="221">
          <cell r="M221" t="str">
            <v>Where:</v>
          </cell>
          <cell r="Q221" t="str">
            <v>Other Equipment</v>
          </cell>
          <cell r="T221" t="str">
            <v>Acct No. 371</v>
          </cell>
          <cell r="AB221">
            <v>0</v>
          </cell>
        </row>
        <row r="222">
          <cell r="M222" t="str">
            <v>A = Eastern Zone</v>
          </cell>
          <cell r="T222" t="str">
            <v>Total</v>
          </cell>
          <cell r="V222">
            <v>0</v>
          </cell>
          <cell r="X222">
            <v>0</v>
          </cell>
          <cell r="Z222">
            <v>0</v>
          </cell>
          <cell r="AB222">
            <v>0</v>
          </cell>
        </row>
        <row r="223">
          <cell r="M223" t="str">
            <v>B = Northern Zone</v>
          </cell>
          <cell r="T223" t="str">
            <v>Rate Base</v>
          </cell>
        </row>
        <row r="224">
          <cell r="M224" t="str">
            <v>C = Common Zone</v>
          </cell>
        </row>
        <row r="229">
          <cell r="N229" t="str">
            <v>Capacity</v>
          </cell>
        </row>
        <row r="230">
          <cell r="B230" t="str">
            <v>Project</v>
          </cell>
          <cell r="J230" t="str">
            <v>Direct Labor</v>
          </cell>
          <cell r="L230" t="str">
            <v>Rate Base</v>
          </cell>
          <cell r="N230" t="str">
            <v>Increase</v>
          </cell>
          <cell r="T230" t="str">
            <v xml:space="preserve">  Plant Direct Investment</v>
          </cell>
        </row>
        <row r="231">
          <cell r="B231" t="str">
            <v>Number</v>
          </cell>
          <cell r="D231" t="str">
            <v>Project Name</v>
          </cell>
          <cell r="J231" t="str">
            <v>O&amp;M %</v>
          </cell>
          <cell r="L231" t="str">
            <v>Date</v>
          </cell>
          <cell r="N231" t="str">
            <v>Amount</v>
          </cell>
          <cell r="V231" t="str">
            <v>1st Year</v>
          </cell>
          <cell r="X231" t="str">
            <v>2nd Year</v>
          </cell>
          <cell r="Z231" t="str">
            <v>3rd Year</v>
          </cell>
          <cell r="AB231" t="str">
            <v>Total</v>
          </cell>
        </row>
        <row r="233">
          <cell r="B233" t="str">
            <v>(14)</v>
          </cell>
          <cell r="D233" t="str">
            <v xml:space="preserve"> PROJECT:</v>
          </cell>
          <cell r="E233" t="str">
            <v xml:space="preserve"> </v>
          </cell>
          <cell r="T233" t="str">
            <v>Year</v>
          </cell>
          <cell r="V233">
            <v>-3</v>
          </cell>
          <cell r="X233">
            <v>-2</v>
          </cell>
          <cell r="Z233">
            <v>-1</v>
          </cell>
          <cell r="AB233">
            <v>0</v>
          </cell>
        </row>
        <row r="234">
          <cell r="N234" t="str">
            <v>Units</v>
          </cell>
          <cell r="X234" t="str">
            <v xml:space="preserve">         Investments</v>
          </cell>
        </row>
        <row r="235">
          <cell r="D235" t="str">
            <v>Project Description:</v>
          </cell>
          <cell r="Q235" t="str">
            <v>Mains</v>
          </cell>
          <cell r="T235" t="str">
            <v>Acct No. 365</v>
          </cell>
          <cell r="AB235">
            <v>0</v>
          </cell>
        </row>
        <row r="236">
          <cell r="M236" t="str">
            <v>Zone (A, B or C)</v>
          </cell>
          <cell r="Q236" t="str">
            <v>Compressor Station Equipment</v>
          </cell>
          <cell r="T236" t="str">
            <v>Acct No. 367</v>
          </cell>
          <cell r="AB236">
            <v>0</v>
          </cell>
        </row>
        <row r="237">
          <cell r="Q237" t="str">
            <v>Meas &amp; Reg Equipment</v>
          </cell>
          <cell r="T237" t="str">
            <v>Acct No. 368</v>
          </cell>
          <cell r="AB237">
            <v>0</v>
          </cell>
        </row>
        <row r="238">
          <cell r="M238" t="str">
            <v>Where:</v>
          </cell>
          <cell r="Q238" t="str">
            <v>Other Equipment</v>
          </cell>
          <cell r="T238" t="str">
            <v>Acct No. 371</v>
          </cell>
          <cell r="AB238">
            <v>0</v>
          </cell>
        </row>
        <row r="239">
          <cell r="M239" t="str">
            <v>A = Eastern Zone</v>
          </cell>
          <cell r="T239" t="str">
            <v>Total</v>
          </cell>
          <cell r="V239">
            <v>0</v>
          </cell>
          <cell r="X239">
            <v>0</v>
          </cell>
          <cell r="Z239">
            <v>0</v>
          </cell>
          <cell r="AB239">
            <v>0</v>
          </cell>
        </row>
        <row r="240">
          <cell r="M240" t="str">
            <v>B = Northern Zone</v>
          </cell>
          <cell r="T240" t="str">
            <v>Rate Base</v>
          </cell>
        </row>
        <row r="241">
          <cell r="M241" t="str">
            <v>C = Common Zone</v>
          </cell>
        </row>
        <row r="246">
          <cell r="N246" t="str">
            <v>Capacity</v>
          </cell>
        </row>
        <row r="247">
          <cell r="B247" t="str">
            <v>Project</v>
          </cell>
          <cell r="J247" t="str">
            <v>Direct Labor</v>
          </cell>
          <cell r="L247" t="str">
            <v>Rate Base</v>
          </cell>
          <cell r="N247" t="str">
            <v>Increase</v>
          </cell>
          <cell r="T247" t="str">
            <v xml:space="preserve">  Plant Direct Investment</v>
          </cell>
        </row>
        <row r="248">
          <cell r="B248" t="str">
            <v>Number</v>
          </cell>
          <cell r="D248" t="str">
            <v>Project Name</v>
          </cell>
          <cell r="J248" t="str">
            <v>O&amp;M %</v>
          </cell>
          <cell r="L248" t="str">
            <v>Date</v>
          </cell>
          <cell r="N248" t="str">
            <v>Amount</v>
          </cell>
          <cell r="V248" t="str">
            <v>1st Year</v>
          </cell>
          <cell r="X248" t="str">
            <v>2nd Year</v>
          </cell>
          <cell r="Z248" t="str">
            <v>3rd Year</v>
          </cell>
          <cell r="AB248" t="str">
            <v>Total</v>
          </cell>
        </row>
        <row r="250">
          <cell r="B250" t="str">
            <v>(15)</v>
          </cell>
          <cell r="D250" t="str">
            <v xml:space="preserve"> PROJECT:</v>
          </cell>
          <cell r="E250" t="str">
            <v xml:space="preserve"> </v>
          </cell>
          <cell r="T250" t="str">
            <v>Year</v>
          </cell>
          <cell r="V250">
            <v>-3</v>
          </cell>
          <cell r="X250">
            <v>-2</v>
          </cell>
          <cell r="Z250">
            <v>-1</v>
          </cell>
          <cell r="AB250">
            <v>0</v>
          </cell>
        </row>
        <row r="251">
          <cell r="N251" t="str">
            <v>Units</v>
          </cell>
          <cell r="X251" t="str">
            <v xml:space="preserve">         Investments</v>
          </cell>
        </row>
        <row r="252">
          <cell r="D252" t="str">
            <v>Project Description:</v>
          </cell>
          <cell r="Q252" t="str">
            <v>Mains</v>
          </cell>
          <cell r="T252" t="str">
            <v>Acct No. 365</v>
          </cell>
          <cell r="AB252">
            <v>0</v>
          </cell>
        </row>
        <row r="253">
          <cell r="M253" t="str">
            <v>Zone (A, B or C)</v>
          </cell>
          <cell r="Q253" t="str">
            <v>Compressor Station Equipment</v>
          </cell>
          <cell r="T253" t="str">
            <v>Acct No. 367</v>
          </cell>
          <cell r="AB253">
            <v>0</v>
          </cell>
        </row>
        <row r="254">
          <cell r="Q254" t="str">
            <v>Meas &amp; Reg Equipment</v>
          </cell>
          <cell r="T254" t="str">
            <v>Acct No. 368</v>
          </cell>
          <cell r="AB254">
            <v>0</v>
          </cell>
        </row>
        <row r="255">
          <cell r="M255" t="str">
            <v>Where:</v>
          </cell>
          <cell r="Q255" t="str">
            <v>Other Equipment</v>
          </cell>
          <cell r="T255" t="str">
            <v>Acct No. 371</v>
          </cell>
          <cell r="AB255">
            <v>0</v>
          </cell>
        </row>
        <row r="256">
          <cell r="M256" t="str">
            <v>A = Eastern Zone</v>
          </cell>
          <cell r="T256" t="str">
            <v>Total</v>
          </cell>
          <cell r="V256">
            <v>0</v>
          </cell>
          <cell r="X256">
            <v>0</v>
          </cell>
          <cell r="Z256">
            <v>0</v>
          </cell>
          <cell r="AB256">
            <v>0</v>
          </cell>
        </row>
        <row r="257">
          <cell r="M257" t="str">
            <v>B = Northern Zone</v>
          </cell>
          <cell r="T257" t="str">
            <v>Rate Base</v>
          </cell>
        </row>
        <row r="258">
          <cell r="M258" t="str">
            <v>C = Common Zone</v>
          </cell>
        </row>
        <row r="263">
          <cell r="N263" t="str">
            <v>Capacity</v>
          </cell>
        </row>
        <row r="264">
          <cell r="B264" t="str">
            <v>Project</v>
          </cell>
          <cell r="J264" t="str">
            <v>Direct Labor</v>
          </cell>
          <cell r="L264" t="str">
            <v>Rate Base</v>
          </cell>
          <cell r="N264" t="str">
            <v>Increase</v>
          </cell>
          <cell r="T264" t="str">
            <v xml:space="preserve">  Plant Direct Investment</v>
          </cell>
        </row>
        <row r="265">
          <cell r="B265" t="str">
            <v>Number</v>
          </cell>
          <cell r="D265" t="str">
            <v>Project Name</v>
          </cell>
          <cell r="J265" t="str">
            <v>O&amp;M %</v>
          </cell>
          <cell r="L265" t="str">
            <v>Date</v>
          </cell>
          <cell r="N265" t="str">
            <v>Amount</v>
          </cell>
          <cell r="V265" t="str">
            <v>1st Year</v>
          </cell>
          <cell r="X265" t="str">
            <v>2nd Year</v>
          </cell>
          <cell r="Z265" t="str">
            <v>3rd Year</v>
          </cell>
          <cell r="AB265" t="str">
            <v>Total</v>
          </cell>
        </row>
        <row r="267">
          <cell r="B267" t="str">
            <v>(16)</v>
          </cell>
          <cell r="D267" t="str">
            <v xml:space="preserve"> PROJECT:</v>
          </cell>
          <cell r="E267" t="str">
            <v xml:space="preserve"> </v>
          </cell>
          <cell r="T267" t="str">
            <v>Year</v>
          </cell>
          <cell r="V267">
            <v>-3</v>
          </cell>
          <cell r="X267">
            <v>-2</v>
          </cell>
          <cell r="Z267">
            <v>-1</v>
          </cell>
          <cell r="AB267">
            <v>0</v>
          </cell>
        </row>
        <row r="268">
          <cell r="N268" t="str">
            <v>Units</v>
          </cell>
          <cell r="X268" t="str">
            <v xml:space="preserve">         Investments</v>
          </cell>
        </row>
        <row r="269">
          <cell r="D269" t="str">
            <v>Project Description:</v>
          </cell>
          <cell r="Q269" t="str">
            <v>Mains</v>
          </cell>
          <cell r="T269" t="str">
            <v>Acct No. 365</v>
          </cell>
          <cell r="AB269">
            <v>0</v>
          </cell>
        </row>
        <row r="270">
          <cell r="M270" t="str">
            <v>Zone (A, B or C)</v>
          </cell>
          <cell r="Q270" t="str">
            <v>Compressor Station Equipment</v>
          </cell>
          <cell r="T270" t="str">
            <v>Acct No. 367</v>
          </cell>
          <cell r="AB270">
            <v>0</v>
          </cell>
        </row>
        <row r="271">
          <cell r="Q271" t="str">
            <v>Meas &amp; Reg Equipment</v>
          </cell>
          <cell r="T271" t="str">
            <v>Acct No. 368</v>
          </cell>
          <cell r="AB271">
            <v>0</v>
          </cell>
        </row>
        <row r="272">
          <cell r="M272" t="str">
            <v>Where:</v>
          </cell>
          <cell r="Q272" t="str">
            <v>Other Equipment</v>
          </cell>
          <cell r="T272" t="str">
            <v>Acct No. 371</v>
          </cell>
          <cell r="AB272">
            <v>0</v>
          </cell>
        </row>
        <row r="273">
          <cell r="M273" t="str">
            <v>A = Eastern Zone</v>
          </cell>
          <cell r="T273" t="str">
            <v>Total</v>
          </cell>
          <cell r="V273">
            <v>0</v>
          </cell>
          <cell r="X273">
            <v>0</v>
          </cell>
          <cell r="Z273">
            <v>0</v>
          </cell>
          <cell r="AB273">
            <v>0</v>
          </cell>
        </row>
        <row r="274">
          <cell r="M274" t="str">
            <v>B = Northern Zone</v>
          </cell>
          <cell r="T274" t="str">
            <v>Rate Base</v>
          </cell>
        </row>
        <row r="275">
          <cell r="M275" t="str">
            <v>C = Common Zone</v>
          </cell>
        </row>
      </sheetData>
      <sheetData sheetId="3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nputs"/>
      <sheetName val="Cost Of Service"/>
      <sheetName val="Full RECC Model"/>
      <sheetName val="AVG Labor, Meter, Regs"/>
      <sheetName val="03RECC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eia.gov/environment/emissions/co2_vol_mass.php" TargetMode="External"/><Relationship Id="rId1" Type="http://schemas.openxmlformats.org/officeDocument/2006/relationships/hyperlink" Target="https://www.eia.gov/environment/emissions/co2_vol_mass.php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meric.mo.gov/data/cost-living-data-series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https://afdc.energy.gov/files/u/publication/fuel_comparison_chart.pdf" TargetMode="External"/><Relationship Id="rId3" Type="http://schemas.openxmlformats.org/officeDocument/2006/relationships/hyperlink" Target="https://www.eia.gov/outlooks/steo/pdf/steo_full.pdf" TargetMode="External"/><Relationship Id="rId7" Type="http://schemas.openxmlformats.org/officeDocument/2006/relationships/hyperlink" Target="https://meric.mo.gov/data/cost-living-data-series" TargetMode="External"/><Relationship Id="rId2" Type="http://schemas.openxmlformats.org/officeDocument/2006/relationships/hyperlink" Target="https://www.eia.gov/outlooks/steo/" TargetMode="External"/><Relationship Id="rId1" Type="http://schemas.openxmlformats.org/officeDocument/2006/relationships/hyperlink" Target="https://data.bls.gov/cgi-bin/surveymost?wp" TargetMode="External"/><Relationship Id="rId6" Type="http://schemas.openxmlformats.org/officeDocument/2006/relationships/hyperlink" Target="https://lclngmessenger.energytransfer.com/InfoPost/resources/documents/PropertiesofLNG.pdf" TargetMode="External"/><Relationship Id="rId5" Type="http://schemas.openxmlformats.org/officeDocument/2006/relationships/hyperlink" Target="https://www.bp.com/content/dam/bp/business-sites/en/global/corporate/pdfs/energy-economics/statistical-review/bp-stats-review-2022-approximate-conversion-factors.pdf" TargetMode="External"/><Relationship Id="rId4" Type="http://schemas.openxmlformats.org/officeDocument/2006/relationships/hyperlink" Target="https://www.eia.gov/outlooks/aeo/data/browser/" TargetMode="External"/><Relationship Id="rId9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https://www.hawaiianelectric.com/documents/billing_and_payment/rates/effective_rate_summary/efs_2023_01.pdf" TargetMode="External"/><Relationship Id="rId7" Type="http://schemas.openxmlformats.org/officeDocument/2006/relationships/hyperlink" Target="https://www.hawaiianelectric.com/documents/billing_and_payment/rates/effective_rate_summary/efs_2023_01.pdf" TargetMode="External"/><Relationship Id="rId2" Type="http://schemas.openxmlformats.org/officeDocument/2006/relationships/hyperlink" Target="https://hawaiienergy.com/for-home/water-heating/water-heating-types" TargetMode="External"/><Relationship Id="rId1" Type="http://schemas.openxmlformats.org/officeDocument/2006/relationships/hyperlink" Target="https://hawaiienergy.com/for-home/water-heating/water-heating-types" TargetMode="External"/><Relationship Id="rId6" Type="http://schemas.openxmlformats.org/officeDocument/2006/relationships/hyperlink" Target="https://www.hawaiianelectric.com/documents/billing_and_payment/rates/effective_rate_summary/efs_2023_01.pdf" TargetMode="External"/><Relationship Id="rId5" Type="http://schemas.openxmlformats.org/officeDocument/2006/relationships/hyperlink" Target="https://www.hawaiianelectric.com/documents/billing_and_payment/rates/effective_rate_summary/efs_2023_01.pdf" TargetMode="External"/><Relationship Id="rId4" Type="http://schemas.openxmlformats.org/officeDocument/2006/relationships/hyperlink" Target="https://www.hawaiianelectric.com/documents/billing_and_payment/rates/effective_rate_summary/efs_2023_01.pdf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0EE14-A65D-49F7-A645-6E364E9137E5}">
  <sheetPr codeName="Sheet1"/>
  <dimension ref="B1:CF37"/>
  <sheetViews>
    <sheetView tabSelected="1" workbookViewId="0"/>
  </sheetViews>
  <sheetFormatPr defaultRowHeight="15" x14ac:dyDescent="0.25"/>
  <cols>
    <col min="4" max="4" width="12.85546875" bestFit="1" customWidth="1"/>
    <col min="13" max="84" width="9.140625" style="22"/>
  </cols>
  <sheetData>
    <row r="1" spans="2:84" s="1" customFormat="1" x14ac:dyDescent="0.25"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</row>
    <row r="2" spans="2:84" s="1" customFormat="1" x14ac:dyDescent="0.25"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</row>
    <row r="3" spans="2:84" s="1" customFormat="1" x14ac:dyDescent="0.25"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</row>
    <row r="4" spans="2:84" s="1" customFormat="1" x14ac:dyDescent="0.25"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</row>
    <row r="5" spans="2:84" s="1" customFormat="1" x14ac:dyDescent="0.25">
      <c r="B5" s="2" t="s">
        <v>0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</row>
    <row r="6" spans="2:84" s="1" customFormat="1" x14ac:dyDescent="0.25"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</row>
    <row r="7" spans="2:84" s="1" customFormat="1" x14ac:dyDescent="0.25"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</row>
    <row r="8" spans="2:84" s="1" customFormat="1" ht="23.25" x14ac:dyDescent="0.35">
      <c r="B8" s="3" t="s">
        <v>1</v>
      </c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</row>
    <row r="9" spans="2:84" s="1" customFormat="1" x14ac:dyDescent="0.25"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</row>
    <row r="10" spans="2:84" s="1" customFormat="1" x14ac:dyDescent="0.25">
      <c r="B10" s="4"/>
      <c r="C10" s="4"/>
      <c r="D10" s="4"/>
      <c r="E10" s="4"/>
      <c r="F10" s="4"/>
      <c r="G10" s="4"/>
      <c r="H10" s="4"/>
      <c r="I10" s="4"/>
      <c r="J10" s="4"/>
      <c r="K10" s="4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</row>
    <row r="11" spans="2:84" s="1" customFormat="1" ht="15.75" x14ac:dyDescent="0.25">
      <c r="B11" s="5" t="s">
        <v>2</v>
      </c>
      <c r="C11" s="6"/>
      <c r="D11" s="7">
        <v>45014</v>
      </c>
      <c r="E11" s="8"/>
      <c r="F11" s="8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</row>
    <row r="12" spans="2:84" s="1" customFormat="1" x14ac:dyDescent="0.25">
      <c r="D12" s="8"/>
      <c r="E12" s="8"/>
      <c r="F12" s="8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</row>
    <row r="13" spans="2:84" s="1" customFormat="1" ht="15.75" x14ac:dyDescent="0.25">
      <c r="B13" s="5" t="s">
        <v>3</v>
      </c>
      <c r="D13" s="9" t="s">
        <v>776</v>
      </c>
      <c r="E13" s="8"/>
      <c r="F13" s="8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</row>
    <row r="14" spans="2:84" s="1" customFormat="1" ht="15.75" x14ac:dyDescent="0.25">
      <c r="B14" s="5"/>
      <c r="D14" s="9"/>
      <c r="E14" s="8"/>
      <c r="F14" s="8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</row>
    <row r="15" spans="2:84" s="1" customFormat="1" ht="15.75" x14ac:dyDescent="0.25">
      <c r="B15" s="5" t="s">
        <v>4</v>
      </c>
      <c r="D15" s="42">
        <v>412766</v>
      </c>
      <c r="E15" s="8"/>
      <c r="F15" s="8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</row>
    <row r="16" spans="2:84" s="1" customFormat="1" x14ac:dyDescent="0.25">
      <c r="B16" s="10"/>
      <c r="C16" s="10"/>
      <c r="D16" s="10"/>
      <c r="E16" s="10"/>
      <c r="F16" s="10"/>
      <c r="G16" s="10"/>
      <c r="H16" s="10"/>
      <c r="I16" s="10"/>
      <c r="J16" s="10"/>
      <c r="K16" s="10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</row>
    <row r="17" spans="2:84" s="1" customFormat="1" x14ac:dyDescent="0.25"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</row>
    <row r="18" spans="2:84" s="1" customFormat="1" x14ac:dyDescent="0.25">
      <c r="B18" s="11" t="s">
        <v>5</v>
      </c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</row>
    <row r="19" spans="2:84" s="1" customFormat="1" x14ac:dyDescent="0.25"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</row>
    <row r="20" spans="2:84" s="1" customFormat="1" x14ac:dyDescent="0.25">
      <c r="B20" s="12" t="s">
        <v>6</v>
      </c>
      <c r="D20" s="13" t="s">
        <v>7</v>
      </c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</row>
    <row r="21" spans="2:84" s="1" customFormat="1" x14ac:dyDescent="0.25">
      <c r="B21" s="14" t="s">
        <v>8</v>
      </c>
      <c r="D21" s="15" t="s">
        <v>7</v>
      </c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</row>
    <row r="22" spans="2:84" s="1" customFormat="1" x14ac:dyDescent="0.25">
      <c r="B22" s="14" t="s">
        <v>9</v>
      </c>
      <c r="D22" s="16" t="s">
        <v>7</v>
      </c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</row>
    <row r="23" spans="2:84" s="1" customFormat="1" x14ac:dyDescent="0.25">
      <c r="B23" s="14" t="s">
        <v>10</v>
      </c>
      <c r="D23" s="17" t="s">
        <v>7</v>
      </c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</row>
    <row r="24" spans="2:84" s="1" customFormat="1" x14ac:dyDescent="0.25"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</row>
    <row r="25" spans="2:84" s="1" customFormat="1" x14ac:dyDescent="0.25">
      <c r="B25" s="4"/>
      <c r="C25" s="4"/>
      <c r="D25" s="4"/>
      <c r="E25" s="4"/>
      <c r="F25" s="4"/>
      <c r="G25" s="4"/>
      <c r="H25" s="4"/>
      <c r="I25" s="4"/>
      <c r="J25" s="4"/>
      <c r="K25" s="4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</row>
    <row r="26" spans="2:84" s="1" customFormat="1" x14ac:dyDescent="0.25">
      <c r="B26" s="18" t="s">
        <v>11</v>
      </c>
      <c r="K26" s="19"/>
      <c r="L26" s="19"/>
      <c r="M26" s="23"/>
      <c r="N26" s="23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</row>
    <row r="27" spans="2:84" s="1" customFormat="1" ht="15" customHeight="1" x14ac:dyDescent="0.25">
      <c r="B27" s="542" t="s">
        <v>12</v>
      </c>
      <c r="C27" s="542"/>
      <c r="D27" s="542"/>
      <c r="E27" s="542"/>
      <c r="F27" s="542"/>
      <c r="G27" s="542"/>
      <c r="H27" s="542"/>
      <c r="I27" s="542"/>
      <c r="J27" s="542"/>
      <c r="K27" s="542"/>
      <c r="L27" s="20"/>
      <c r="M27" s="24"/>
      <c r="N27" s="24"/>
      <c r="O27" s="24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</row>
    <row r="28" spans="2:84" s="1" customFormat="1" ht="15" customHeight="1" x14ac:dyDescent="0.25">
      <c r="B28" s="542"/>
      <c r="C28" s="542"/>
      <c r="D28" s="542"/>
      <c r="E28" s="542"/>
      <c r="F28" s="542"/>
      <c r="G28" s="542"/>
      <c r="H28" s="542"/>
      <c r="I28" s="542"/>
      <c r="J28" s="542"/>
      <c r="K28" s="542"/>
      <c r="L28" s="20"/>
      <c r="M28" s="24"/>
      <c r="N28" s="24"/>
      <c r="O28" s="24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</row>
    <row r="29" spans="2:84" s="1" customFormat="1" ht="15" customHeight="1" x14ac:dyDescent="0.25">
      <c r="B29" s="18" t="s">
        <v>0</v>
      </c>
      <c r="C29" s="21"/>
      <c r="D29" s="21"/>
      <c r="E29" s="21"/>
      <c r="F29" s="21"/>
      <c r="G29" s="21"/>
      <c r="H29" s="21"/>
      <c r="I29" s="21"/>
      <c r="J29" s="21"/>
      <c r="K29" s="21"/>
      <c r="L29" s="20"/>
      <c r="M29" s="24"/>
      <c r="N29" s="24"/>
      <c r="O29" s="24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</row>
    <row r="30" spans="2:84" s="1" customFormat="1" ht="15" customHeight="1" x14ac:dyDescent="0.25">
      <c r="B30" s="542" t="s">
        <v>0</v>
      </c>
      <c r="C30" s="542"/>
      <c r="D30" s="542"/>
      <c r="E30" s="542"/>
      <c r="F30" s="542"/>
      <c r="G30" s="542"/>
      <c r="H30" s="542"/>
      <c r="I30" s="542"/>
      <c r="J30" s="542"/>
      <c r="K30" s="542"/>
      <c r="L30" s="542"/>
      <c r="M30" s="24"/>
      <c r="N30" s="24"/>
      <c r="O30" s="24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</row>
    <row r="31" spans="2:84" s="22" customFormat="1" ht="18" customHeight="1" x14ac:dyDescent="0.25"/>
    <row r="32" spans="2:84" s="22" customFormat="1" x14ac:dyDescent="0.25"/>
    <row r="33" s="22" customFormat="1" x14ac:dyDescent="0.25"/>
    <row r="34" s="22" customFormat="1" x14ac:dyDescent="0.25"/>
    <row r="35" s="22" customFormat="1" x14ac:dyDescent="0.25"/>
    <row r="36" s="22" customFormat="1" x14ac:dyDescent="0.25"/>
    <row r="37" s="22" customFormat="1" x14ac:dyDescent="0.25"/>
  </sheetData>
  <mergeCells count="2">
    <mergeCell ref="B27:K28"/>
    <mergeCell ref="B30:L3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FBC11-00B9-4769-BAF9-FD79E843F300}">
  <sheetPr codeName="Sheet10"/>
  <dimension ref="B2:AF104"/>
  <sheetViews>
    <sheetView topLeftCell="A13" zoomScale="85" zoomScaleNormal="85" workbookViewId="0">
      <selection activeCell="M113" sqref="M113"/>
    </sheetView>
  </sheetViews>
  <sheetFormatPr defaultRowHeight="15" x14ac:dyDescent="0.25"/>
  <cols>
    <col min="2" max="2" width="34.140625" bestFit="1" customWidth="1"/>
    <col min="3" max="3" width="10.5703125" bestFit="1" customWidth="1"/>
    <col min="4" max="4" width="10.7109375" bestFit="1" customWidth="1"/>
    <col min="5" max="5" width="11.140625" bestFit="1" customWidth="1"/>
    <col min="6" max="6" width="13.85546875" bestFit="1" customWidth="1"/>
    <col min="7" max="7" width="12.5703125" bestFit="1" customWidth="1"/>
    <col min="8" max="8" width="11.42578125" customWidth="1"/>
    <col min="9" max="14" width="12.5703125" bestFit="1" customWidth="1"/>
    <col min="15" max="15" width="13.7109375" bestFit="1" customWidth="1"/>
    <col min="16" max="20" width="12.5703125" bestFit="1" customWidth="1"/>
    <col min="21" max="21" width="13.7109375" bestFit="1" customWidth="1"/>
    <col min="22" max="31" width="12.5703125" bestFit="1" customWidth="1"/>
  </cols>
  <sheetData>
    <row r="2" spans="2:9" x14ac:dyDescent="0.25">
      <c r="B2" s="35" t="s">
        <v>124</v>
      </c>
    </row>
    <row r="3" spans="2:9" ht="15.75" thickBot="1" x14ac:dyDescent="0.3"/>
    <row r="4" spans="2:9" ht="15.75" thickBot="1" x14ac:dyDescent="0.3">
      <c r="B4" s="106" t="s">
        <v>125</v>
      </c>
      <c r="C4" s="412">
        <v>2022</v>
      </c>
      <c r="D4" s="412">
        <v>2023</v>
      </c>
      <c r="E4" s="412">
        <v>2024</v>
      </c>
      <c r="F4" s="412">
        <v>2025</v>
      </c>
      <c r="G4" s="412">
        <v>2026</v>
      </c>
      <c r="I4" s="61" t="s">
        <v>126</v>
      </c>
    </row>
    <row r="5" spans="2:9" ht="15.75" thickBot="1" x14ac:dyDescent="0.3">
      <c r="B5" s="45" t="s">
        <v>127</v>
      </c>
      <c r="C5" s="47">
        <v>2304699</v>
      </c>
      <c r="D5" s="47">
        <v>2764978</v>
      </c>
      <c r="E5" s="47">
        <v>2655078</v>
      </c>
      <c r="F5" s="47">
        <v>1926250</v>
      </c>
      <c r="G5" s="47">
        <v>893350</v>
      </c>
    </row>
    <row r="6" spans="2:9" ht="15.75" thickBot="1" x14ac:dyDescent="0.3">
      <c r="B6" s="45" t="s">
        <v>128</v>
      </c>
      <c r="C6" s="47">
        <v>60652</v>
      </c>
      <c r="D6" s="47">
        <v>55000</v>
      </c>
      <c r="E6" s="47">
        <v>33652</v>
      </c>
      <c r="F6" s="47">
        <v>10000</v>
      </c>
      <c r="G6" s="47">
        <v>10000</v>
      </c>
    </row>
    <row r="7" spans="2:9" ht="15.75" thickBot="1" x14ac:dyDescent="0.3">
      <c r="B7" s="45" t="s">
        <v>129</v>
      </c>
      <c r="C7" s="47">
        <v>155000</v>
      </c>
      <c r="D7" s="47">
        <v>152900</v>
      </c>
      <c r="E7" s="47">
        <v>181607</v>
      </c>
      <c r="F7" s="47">
        <v>173000</v>
      </c>
      <c r="G7" s="47">
        <v>159100</v>
      </c>
    </row>
    <row r="8" spans="2:9" ht="15.75" thickBot="1" x14ac:dyDescent="0.3">
      <c r="B8" s="45" t="s">
        <v>130</v>
      </c>
      <c r="C8" s="47">
        <v>1945313</v>
      </c>
      <c r="D8" s="47">
        <v>3322441</v>
      </c>
      <c r="E8" s="47">
        <v>3235463</v>
      </c>
      <c r="F8" s="47">
        <v>3452550</v>
      </c>
      <c r="G8" s="47">
        <v>3622250</v>
      </c>
    </row>
    <row r="9" spans="2:9" ht="15.75" thickBot="1" x14ac:dyDescent="0.3">
      <c r="B9" s="45" t="s">
        <v>131</v>
      </c>
      <c r="C9" s="47">
        <v>194000</v>
      </c>
      <c r="D9" s="47">
        <v>616000</v>
      </c>
      <c r="E9" s="47">
        <v>582500</v>
      </c>
      <c r="F9" s="47">
        <v>582500</v>
      </c>
      <c r="G9" s="47">
        <v>605000</v>
      </c>
    </row>
    <row r="10" spans="2:9" ht="15.75" thickBot="1" x14ac:dyDescent="0.3">
      <c r="B10" s="45" t="s">
        <v>132</v>
      </c>
      <c r="C10" s="47">
        <v>1081367</v>
      </c>
      <c r="D10" s="47">
        <v>1790000</v>
      </c>
      <c r="E10" s="47">
        <v>520000</v>
      </c>
      <c r="F10" s="47">
        <v>520000</v>
      </c>
      <c r="G10" s="47">
        <v>520000</v>
      </c>
    </row>
    <row r="11" spans="2:9" ht="15.75" thickBot="1" x14ac:dyDescent="0.3">
      <c r="B11" s="45" t="s">
        <v>133</v>
      </c>
      <c r="C11" s="47">
        <v>29000</v>
      </c>
      <c r="D11" s="47">
        <v>242671</v>
      </c>
      <c r="E11" s="47">
        <v>250899</v>
      </c>
      <c r="F11" s="47">
        <v>256999</v>
      </c>
      <c r="G11" s="47">
        <v>263199</v>
      </c>
    </row>
    <row r="12" spans="2:9" ht="15.75" thickBot="1" x14ac:dyDescent="0.3">
      <c r="B12" s="45" t="s">
        <v>31</v>
      </c>
      <c r="C12" s="47">
        <v>6890000</v>
      </c>
      <c r="D12" s="47">
        <v>3605720</v>
      </c>
      <c r="E12" s="47">
        <v>820000</v>
      </c>
      <c r="F12" s="47">
        <v>555000</v>
      </c>
      <c r="G12" s="47">
        <v>1175000</v>
      </c>
    </row>
    <row r="13" spans="2:9" ht="15.75" thickBot="1" x14ac:dyDescent="0.3">
      <c r="B13" s="45" t="s">
        <v>134</v>
      </c>
      <c r="C13" s="47">
        <v>484944</v>
      </c>
      <c r="D13" s="47">
        <v>797200</v>
      </c>
      <c r="E13" s="47">
        <v>120000</v>
      </c>
      <c r="F13" s="47">
        <v>175000</v>
      </c>
      <c r="G13" s="47">
        <v>175000</v>
      </c>
    </row>
    <row r="14" spans="2:9" ht="15.75" thickBot="1" x14ac:dyDescent="0.3">
      <c r="B14" s="45" t="s">
        <v>135</v>
      </c>
      <c r="C14" s="413"/>
      <c r="D14" s="414">
        <v>8733333</v>
      </c>
      <c r="E14" s="414">
        <v>14068333</v>
      </c>
      <c r="F14" s="414">
        <v>27401666</v>
      </c>
      <c r="G14" s="414">
        <v>18668333</v>
      </c>
      <c r="I14" t="s">
        <v>136</v>
      </c>
    </row>
    <row r="15" spans="2:9" ht="15.75" thickBot="1" x14ac:dyDescent="0.3">
      <c r="B15" s="45" t="s">
        <v>137</v>
      </c>
      <c r="C15" s="47">
        <v>13144975</v>
      </c>
      <c r="D15" s="47">
        <v>22080243</v>
      </c>
      <c r="E15" s="47">
        <v>22467532</v>
      </c>
      <c r="F15" s="47">
        <v>35052965</v>
      </c>
      <c r="G15" s="47">
        <v>26091232</v>
      </c>
    </row>
    <row r="16" spans="2:9" ht="15.75" thickBot="1" x14ac:dyDescent="0.3">
      <c r="B16" s="45" t="s">
        <v>138</v>
      </c>
      <c r="C16" s="47">
        <f>C15-C12-C14</f>
        <v>6254975</v>
      </c>
      <c r="D16" s="47">
        <f>D15-D12-D14</f>
        <v>9741190</v>
      </c>
      <c r="E16" s="47">
        <f>E15-E12-E14</f>
        <v>7579199</v>
      </c>
      <c r="F16" s="47">
        <f>F15-F12-F14</f>
        <v>7096299</v>
      </c>
      <c r="G16" s="47">
        <f>G15-G12-G14</f>
        <v>6247899</v>
      </c>
    </row>
    <row r="17" spans="2:26" x14ac:dyDescent="0.25">
      <c r="B17" s="48"/>
      <c r="C17" s="46"/>
      <c r="D17" s="46"/>
      <c r="E17" s="46"/>
      <c r="F17" s="46"/>
      <c r="G17" s="46"/>
    </row>
    <row r="18" spans="2:26" x14ac:dyDescent="0.25">
      <c r="B18" s="48"/>
      <c r="C18" s="46"/>
      <c r="D18" s="46"/>
      <c r="E18" s="46"/>
      <c r="F18" s="46"/>
      <c r="G18" s="46"/>
    </row>
    <row r="19" spans="2:26" ht="18.75" customHeight="1" x14ac:dyDescent="0.25">
      <c r="B19" s="48"/>
      <c r="C19" s="46"/>
      <c r="D19" s="46"/>
      <c r="E19" s="46"/>
      <c r="F19" s="46"/>
      <c r="G19" s="46"/>
    </row>
    <row r="20" spans="2:26" x14ac:dyDescent="0.25">
      <c r="B20" s="48"/>
      <c r="C20" s="46"/>
      <c r="D20" s="46"/>
      <c r="E20" s="46"/>
      <c r="F20" s="46"/>
      <c r="G20" s="46"/>
    </row>
    <row r="21" spans="2:26" x14ac:dyDescent="0.25">
      <c r="B21" s="48"/>
      <c r="C21" s="46"/>
      <c r="D21" s="46"/>
      <c r="E21" s="46"/>
      <c r="F21" s="46"/>
      <c r="G21" s="46"/>
    </row>
    <row r="22" spans="2:26" x14ac:dyDescent="0.25">
      <c r="B22" s="418" t="s">
        <v>139</v>
      </c>
      <c r="C22" s="69">
        <v>2022</v>
      </c>
      <c r="D22" s="69">
        <v>2023</v>
      </c>
      <c r="E22" s="69">
        <v>2024</v>
      </c>
      <c r="F22" s="69">
        <v>2025</v>
      </c>
      <c r="G22" s="69">
        <v>2026</v>
      </c>
      <c r="H22" s="69">
        <v>2030</v>
      </c>
      <c r="I22" s="69">
        <v>2035</v>
      </c>
      <c r="J22" s="69">
        <v>2040</v>
      </c>
      <c r="K22" s="69">
        <v>2045</v>
      </c>
      <c r="L22" s="409"/>
      <c r="N22" s="409"/>
      <c r="P22" s="409"/>
      <c r="R22" s="409"/>
      <c r="T22" s="409"/>
      <c r="V22" s="409"/>
      <c r="X22" s="409"/>
      <c r="Z22" s="409"/>
    </row>
    <row r="23" spans="2:26" x14ac:dyDescent="0.25">
      <c r="B23" s="38" t="s">
        <v>61</v>
      </c>
      <c r="C23" s="99">
        <v>11483.096854536185</v>
      </c>
      <c r="D23" s="99">
        <v>17883.209485000232</v>
      </c>
      <c r="E23" s="99">
        <v>13914.152526077849</v>
      </c>
      <c r="F23" s="99">
        <v>13027.628204069284</v>
      </c>
      <c r="G23" s="99">
        <v>11470.106491929988</v>
      </c>
      <c r="H23" s="99">
        <f>'Oahu COS and Allocation'!R37</f>
        <v>13625.161189031533</v>
      </c>
      <c r="I23" s="99">
        <f>'Oahu COS and Allocation'!W37</f>
        <v>13639.143841605084</v>
      </c>
      <c r="J23" s="99">
        <f>'Oahu COS and Allocation'!AB37</f>
        <v>13637.96291890598</v>
      </c>
      <c r="K23" s="99">
        <f>'Oahu COS and Allocation'!AG37</f>
        <v>13661.647220912653</v>
      </c>
    </row>
    <row r="24" spans="2:26" x14ac:dyDescent="0.25">
      <c r="B24" s="38" t="s">
        <v>62</v>
      </c>
      <c r="C24" s="99">
        <v>198774.78843743302</v>
      </c>
      <c r="D24" s="99">
        <v>309562.06561638351</v>
      </c>
      <c r="E24" s="99">
        <v>240856.86637439861</v>
      </c>
      <c r="F24" s="99">
        <v>225510.94647281046</v>
      </c>
      <c r="G24" s="99">
        <v>198549.92256618923</v>
      </c>
      <c r="H24" s="99">
        <f>'Oahu COS and Allocation'!R38</f>
        <v>235854.36638599698</v>
      </c>
      <c r="I24" s="99">
        <f>'Oahu COS and Allocation'!W38</f>
        <v>236096.40900240178</v>
      </c>
      <c r="J24" s="99">
        <f>'Oahu COS and Allocation'!AB38</f>
        <v>236075.96698552696</v>
      </c>
      <c r="K24" s="99">
        <f>'Oahu COS and Allocation'!AG38</f>
        <v>236485.94716598719</v>
      </c>
    </row>
    <row r="25" spans="2:26" x14ac:dyDescent="0.25">
      <c r="B25" s="38" t="s">
        <v>63</v>
      </c>
      <c r="C25" s="99">
        <v>500828.67256114585</v>
      </c>
      <c r="D25" s="99">
        <v>779965.90823558986</v>
      </c>
      <c r="E25" s="99">
        <v>606857.76909528242</v>
      </c>
      <c r="F25" s="99">
        <v>568192.52007673681</v>
      </c>
      <c r="G25" s="99">
        <v>500262.10535871214</v>
      </c>
      <c r="H25" s="99">
        <f>'Oahu COS and Allocation'!R39</f>
        <v>594253.57794823998</v>
      </c>
      <c r="I25" s="99">
        <f>'Oahu COS and Allocation'!W39</f>
        <v>594863.42330755433</v>
      </c>
      <c r="J25" s="99">
        <f>'Oahu COS and Allocation'!AB39</f>
        <v>594811.91804244311</v>
      </c>
      <c r="K25" s="99">
        <f>'Oahu COS and Allocation'!AG39</f>
        <v>595844.89526843023</v>
      </c>
    </row>
    <row r="26" spans="2:26" x14ac:dyDescent="0.25">
      <c r="B26" s="38" t="s">
        <v>64</v>
      </c>
      <c r="C26" s="99">
        <v>596487.72198801476</v>
      </c>
      <c r="D26" s="99">
        <v>928940.60049039847</v>
      </c>
      <c r="E26" s="99">
        <v>722768.53960309038</v>
      </c>
      <c r="F26" s="99">
        <v>676718.1683469282</v>
      </c>
      <c r="G26" s="99">
        <v>595812.93957548926</v>
      </c>
      <c r="H26" s="99">
        <f>'Oahu COS and Allocation'!R40</f>
        <v>3109808.398828438</v>
      </c>
      <c r="I26" s="99">
        <f>'Oahu COS and Allocation'!W40</f>
        <v>3110947.3259243257</v>
      </c>
      <c r="J26" s="99">
        <f>'Oahu COS and Allocation'!AB40</f>
        <v>3110851.1363885361</v>
      </c>
      <c r="K26" s="99">
        <f>'Oahu COS and Allocation'!AG40</f>
        <v>1112780.29061451</v>
      </c>
    </row>
    <row r="27" spans="2:26" x14ac:dyDescent="0.25">
      <c r="B27" s="38" t="s">
        <v>65</v>
      </c>
      <c r="C27" s="99">
        <v>4417990.5709758224</v>
      </c>
      <c r="D27" s="99">
        <v>6880360.9239179967</v>
      </c>
      <c r="E27" s="99">
        <v>5353311.5188389048</v>
      </c>
      <c r="F27" s="99">
        <v>5012231.3951414898</v>
      </c>
      <c r="G27" s="99">
        <v>4412992.6770945154</v>
      </c>
      <c r="H27" s="99">
        <f>'Oahu COS and Allocation'!R41</f>
        <v>8845202.6028319821</v>
      </c>
      <c r="I27" s="99">
        <f>'Oahu COS and Allocation'!W41</f>
        <v>8851201.1694605537</v>
      </c>
      <c r="J27" s="99">
        <f>'Oahu COS and Allocation'!AB41</f>
        <v>8850694.5528900195</v>
      </c>
      <c r="K27" s="99">
        <f>'Oahu COS and Allocation'!AG41</f>
        <v>5860855.1331440806</v>
      </c>
    </row>
    <row r="28" spans="2:26" x14ac:dyDescent="0.25">
      <c r="B28" s="38" t="s">
        <v>66</v>
      </c>
      <c r="C28" s="99">
        <v>529410.14918304794</v>
      </c>
      <c r="D28" s="99">
        <v>824477.29225463164</v>
      </c>
      <c r="E28" s="99">
        <v>641490.15356224566</v>
      </c>
      <c r="F28" s="99">
        <v>600618.34175796295</v>
      </c>
      <c r="G28" s="99">
        <v>528811.24891316367</v>
      </c>
      <c r="H28" s="99">
        <f>'Oahu COS and Allocation'!R42</f>
        <v>628166.66175542877</v>
      </c>
      <c r="I28" s="99">
        <f>'Oahu COS and Allocation'!W42</f>
        <v>628811.30999611784</v>
      </c>
      <c r="J28" s="99">
        <f>'Oahu COS and Allocation'!AB42</f>
        <v>628756.86540941556</v>
      </c>
      <c r="K28" s="99">
        <f>'Oahu COS and Allocation'!AG42</f>
        <v>629848.79296323541</v>
      </c>
    </row>
    <row r="29" spans="2:26" x14ac:dyDescent="0.25">
      <c r="B29" s="38" t="s">
        <v>67</v>
      </c>
      <c r="C29" s="46">
        <f>SUM(C23:C28)</f>
        <v>6254975</v>
      </c>
      <c r="D29" s="46">
        <f>SUM(D23:D28)</f>
        <v>9741190.0000000019</v>
      </c>
      <c r="E29" s="46">
        <f>SUM(E23:E28)</f>
        <v>7579199</v>
      </c>
      <c r="F29" s="46">
        <f>SUM(F23:F28)</f>
        <v>7096298.9999999981</v>
      </c>
      <c r="G29" s="46">
        <f>SUM(G23:G28)</f>
        <v>6247899</v>
      </c>
      <c r="H29" s="99">
        <f>'Oahu COS and Allocation'!R43</f>
        <v>13426910.768939117</v>
      </c>
      <c r="I29" s="99">
        <f>'Oahu COS and Allocation'!W43</f>
        <v>13435558.78153256</v>
      </c>
      <c r="J29" s="99">
        <f>'Oahu COS and Allocation'!AB43</f>
        <v>13434828.402634848</v>
      </c>
      <c r="K29" s="99">
        <f>'Oahu COS and Allocation'!AG43</f>
        <v>8449476.7063771561</v>
      </c>
    </row>
    <row r="31" spans="2:26" x14ac:dyDescent="0.25">
      <c r="B31" s="419" t="s">
        <v>140</v>
      </c>
    </row>
    <row r="32" spans="2:26" x14ac:dyDescent="0.25">
      <c r="B32" s="35" t="s">
        <v>68</v>
      </c>
      <c r="C32" s="55">
        <v>2025</v>
      </c>
      <c r="D32" s="55">
        <v>2026</v>
      </c>
      <c r="E32" s="55">
        <v>2027</v>
      </c>
      <c r="F32" s="55">
        <v>2028</v>
      </c>
      <c r="G32" s="55">
        <v>2029</v>
      </c>
      <c r="H32" s="55">
        <v>2030</v>
      </c>
      <c r="I32" s="55">
        <v>2031</v>
      </c>
      <c r="J32" s="55">
        <v>2032</v>
      </c>
      <c r="K32" s="55">
        <v>2033</v>
      </c>
      <c r="L32" s="55">
        <v>2034</v>
      </c>
      <c r="M32" s="55">
        <v>2035</v>
      </c>
      <c r="N32" s="55">
        <v>2036</v>
      </c>
      <c r="O32" s="55">
        <v>2037</v>
      </c>
      <c r="P32" s="55">
        <v>2038</v>
      </c>
      <c r="Q32" s="55">
        <v>2039</v>
      </c>
      <c r="R32" s="55">
        <v>2040</v>
      </c>
      <c r="S32" s="55">
        <v>2041</v>
      </c>
      <c r="T32" s="55">
        <v>2042</v>
      </c>
      <c r="U32" s="55">
        <v>2043</v>
      </c>
      <c r="V32" s="55">
        <v>2044</v>
      </c>
      <c r="W32" s="55">
        <v>2045</v>
      </c>
    </row>
    <row r="33" spans="2:31" x14ac:dyDescent="0.25">
      <c r="B33" t="s">
        <v>61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</row>
    <row r="34" spans="2:31" x14ac:dyDescent="0.25">
      <c r="B34" t="s">
        <v>62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</row>
    <row r="35" spans="2:31" x14ac:dyDescent="0.25">
      <c r="B35" t="s">
        <v>63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</row>
    <row r="36" spans="2:31" x14ac:dyDescent="0.25">
      <c r="B36" t="s">
        <v>64</v>
      </c>
      <c r="C36" s="43">
        <f t="shared" ref="C36:D36" si="0">F94+F103+F104</f>
        <v>2000000</v>
      </c>
      <c r="D36" s="43">
        <f t="shared" si="0"/>
        <v>0</v>
      </c>
      <c r="E36" s="43">
        <f t="shared" ref="E36:W36" si="1">H94+H103+H104</f>
        <v>0</v>
      </c>
      <c r="F36" s="43">
        <f t="shared" si="1"/>
        <v>0</v>
      </c>
      <c r="G36" s="43">
        <f t="shared" si="1"/>
        <v>0</v>
      </c>
      <c r="H36" s="43">
        <f t="shared" si="1"/>
        <v>2000000</v>
      </c>
      <c r="I36" s="43">
        <f t="shared" si="1"/>
        <v>0</v>
      </c>
      <c r="J36" s="43">
        <f t="shared" si="1"/>
        <v>0</v>
      </c>
      <c r="K36" s="43">
        <f t="shared" si="1"/>
        <v>0</v>
      </c>
      <c r="L36" s="43">
        <f t="shared" si="1"/>
        <v>0</v>
      </c>
      <c r="M36" s="43">
        <f t="shared" si="1"/>
        <v>2000000</v>
      </c>
      <c r="N36" s="43">
        <f t="shared" si="1"/>
        <v>0</v>
      </c>
      <c r="O36" s="43">
        <f t="shared" si="1"/>
        <v>0</v>
      </c>
      <c r="P36" s="43">
        <f t="shared" si="1"/>
        <v>0</v>
      </c>
      <c r="Q36" s="43">
        <f t="shared" si="1"/>
        <v>0</v>
      </c>
      <c r="R36" s="43">
        <f t="shared" si="1"/>
        <v>2000000</v>
      </c>
      <c r="S36" s="43">
        <f t="shared" si="1"/>
        <v>0</v>
      </c>
      <c r="T36" s="43">
        <f t="shared" si="1"/>
        <v>0</v>
      </c>
      <c r="U36" s="43">
        <f t="shared" si="1"/>
        <v>0</v>
      </c>
      <c r="V36" s="43">
        <f t="shared" si="1"/>
        <v>0</v>
      </c>
      <c r="W36" s="43">
        <f t="shared" si="1"/>
        <v>0</v>
      </c>
    </row>
    <row r="37" spans="2:31" x14ac:dyDescent="0.25">
      <c r="B37" t="s">
        <v>65</v>
      </c>
      <c r="C37" s="43">
        <f t="shared" ref="C37:D37" si="2">F95</f>
        <v>3000000</v>
      </c>
      <c r="D37" s="43">
        <f t="shared" si="2"/>
        <v>0</v>
      </c>
      <c r="E37" s="43">
        <f t="shared" ref="E37:W37" si="3">H95</f>
        <v>0</v>
      </c>
      <c r="F37" s="43">
        <f t="shared" si="3"/>
        <v>0</v>
      </c>
      <c r="G37" s="43">
        <f t="shared" si="3"/>
        <v>0</v>
      </c>
      <c r="H37" s="43">
        <f t="shared" si="3"/>
        <v>3000000</v>
      </c>
      <c r="I37" s="43">
        <f t="shared" si="3"/>
        <v>0</v>
      </c>
      <c r="J37" s="43">
        <f t="shared" si="3"/>
        <v>0</v>
      </c>
      <c r="K37" s="43">
        <f t="shared" si="3"/>
        <v>0</v>
      </c>
      <c r="L37" s="43">
        <f t="shared" si="3"/>
        <v>0</v>
      </c>
      <c r="M37" s="43">
        <f t="shared" si="3"/>
        <v>3000000</v>
      </c>
      <c r="N37" s="43">
        <f t="shared" si="3"/>
        <v>0</v>
      </c>
      <c r="O37" s="43">
        <f t="shared" si="3"/>
        <v>0</v>
      </c>
      <c r="P37" s="43">
        <f t="shared" si="3"/>
        <v>0</v>
      </c>
      <c r="Q37" s="43">
        <f t="shared" si="3"/>
        <v>0</v>
      </c>
      <c r="R37" s="43">
        <f t="shared" si="3"/>
        <v>3000000</v>
      </c>
      <c r="S37" s="43">
        <f t="shared" si="3"/>
        <v>0</v>
      </c>
      <c r="T37" s="43">
        <f t="shared" si="3"/>
        <v>0</v>
      </c>
      <c r="U37" s="43">
        <f t="shared" si="3"/>
        <v>0</v>
      </c>
      <c r="V37" s="43">
        <f t="shared" si="3"/>
        <v>0</v>
      </c>
      <c r="W37" s="43">
        <f t="shared" si="3"/>
        <v>0</v>
      </c>
    </row>
    <row r="38" spans="2:31" x14ac:dyDescent="0.25">
      <c r="B38" t="s">
        <v>66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</row>
    <row r="40" spans="2:31" x14ac:dyDescent="0.25">
      <c r="B40" s="419" t="s">
        <v>141</v>
      </c>
      <c r="C40" s="55">
        <v>2027</v>
      </c>
      <c r="D40" s="55">
        <v>2028</v>
      </c>
      <c r="E40" s="55">
        <v>2029</v>
      </c>
      <c r="F40" s="55">
        <v>2030</v>
      </c>
      <c r="G40" s="55">
        <v>2031</v>
      </c>
      <c r="H40" s="55">
        <v>2032</v>
      </c>
      <c r="I40" s="55">
        <v>2033</v>
      </c>
      <c r="J40" s="55">
        <v>2034</v>
      </c>
      <c r="K40" s="55">
        <v>2035</v>
      </c>
      <c r="L40" s="55">
        <v>2036</v>
      </c>
      <c r="M40" s="55">
        <v>2037</v>
      </c>
      <c r="N40" s="55">
        <v>2038</v>
      </c>
      <c r="O40" s="55">
        <v>2039</v>
      </c>
      <c r="P40" s="55">
        <v>2040</v>
      </c>
      <c r="Q40" s="55">
        <v>2041</v>
      </c>
      <c r="R40" s="55">
        <v>2042</v>
      </c>
      <c r="S40" s="55">
        <v>2043</v>
      </c>
      <c r="T40" s="55">
        <v>2044</v>
      </c>
      <c r="U40" s="55">
        <v>2045</v>
      </c>
    </row>
    <row r="44" spans="2:31" x14ac:dyDescent="0.25">
      <c r="C44" s="55">
        <v>2022</v>
      </c>
      <c r="D44" s="55">
        <v>2023</v>
      </c>
      <c r="E44" s="55">
        <v>2024</v>
      </c>
      <c r="F44" s="55">
        <v>2025</v>
      </c>
      <c r="G44" s="55">
        <v>2026</v>
      </c>
      <c r="H44" s="55">
        <v>2027</v>
      </c>
      <c r="I44" s="55">
        <v>2028</v>
      </c>
      <c r="J44" s="55">
        <v>2029</v>
      </c>
      <c r="K44" s="55">
        <v>2030</v>
      </c>
      <c r="L44" s="55">
        <v>2031</v>
      </c>
      <c r="M44" s="55">
        <v>2032</v>
      </c>
      <c r="N44" s="55">
        <v>2033</v>
      </c>
      <c r="O44" s="55">
        <v>2034</v>
      </c>
      <c r="P44" s="55">
        <v>2035</v>
      </c>
      <c r="Q44" s="55">
        <v>2036</v>
      </c>
      <c r="R44" s="55">
        <v>2037</v>
      </c>
      <c r="S44" s="55">
        <v>2038</v>
      </c>
      <c r="T44" s="55">
        <v>2039</v>
      </c>
      <c r="U44" s="55">
        <v>2040</v>
      </c>
      <c r="V44" s="55">
        <v>2041</v>
      </c>
      <c r="W44" s="55">
        <v>2042</v>
      </c>
      <c r="X44" s="55">
        <v>2043</v>
      </c>
      <c r="Y44" s="55">
        <v>2044</v>
      </c>
      <c r="Z44" s="55">
        <v>2045</v>
      </c>
      <c r="AA44" s="55">
        <v>2046</v>
      </c>
      <c r="AB44" s="55">
        <v>2047</v>
      </c>
      <c r="AC44" s="55">
        <v>2048</v>
      </c>
      <c r="AD44" s="55">
        <v>2049</v>
      </c>
      <c r="AE44" s="55">
        <v>2050</v>
      </c>
    </row>
    <row r="45" spans="2:31" x14ac:dyDescent="0.25">
      <c r="B45" t="str">
        <f>'8a. RNG'!$F$12</f>
        <v>LFG, WWTP, AgCrop (1)</v>
      </c>
      <c r="C45" s="500">
        <f>'Supply Porfolio (Live)'!G34</f>
        <v>0</v>
      </c>
      <c r="D45" s="500">
        <f>'Supply Porfolio (Live)'!H34</f>
        <v>0</v>
      </c>
      <c r="E45" s="500">
        <f>'Supply Porfolio (Live)'!I34</f>
        <v>0</v>
      </c>
      <c r="F45" s="500">
        <f>'Supply Porfolio (Live)'!J34</f>
        <v>2157.4700878889521</v>
      </c>
      <c r="G45" s="500">
        <f>'Supply Porfolio (Live)'!K34</f>
        <v>2157.4700878889521</v>
      </c>
      <c r="H45" s="500">
        <f>'Supply Porfolio (Live)'!L34</f>
        <v>2157.4700878889521</v>
      </c>
      <c r="I45" s="500">
        <f>'Supply Porfolio (Live)'!M34</f>
        <v>2157.4700878889521</v>
      </c>
      <c r="J45" s="500">
        <f>'Supply Porfolio (Live)'!N34</f>
        <v>2157.4700878889521</v>
      </c>
      <c r="K45" s="500">
        <f>'Supply Porfolio (Live)'!O34</f>
        <v>2157.4700878889521</v>
      </c>
      <c r="L45" s="500">
        <f>'Supply Porfolio (Live)'!P34</f>
        <v>2157.4700878889521</v>
      </c>
      <c r="M45" s="500">
        <f>'Supply Porfolio (Live)'!Q34</f>
        <v>2157.4700878889521</v>
      </c>
      <c r="N45" s="500">
        <f>'Supply Porfolio (Live)'!R34</f>
        <v>2157.4700878889521</v>
      </c>
      <c r="O45" s="500">
        <f>'Supply Porfolio (Live)'!S34</f>
        <v>2157.4700878889521</v>
      </c>
      <c r="P45" s="500">
        <f>'Supply Porfolio (Live)'!T34</f>
        <v>2157.4700878889521</v>
      </c>
      <c r="Q45" s="500">
        <f>'Supply Porfolio (Live)'!U34</f>
        <v>2157.4700878889521</v>
      </c>
      <c r="R45" s="500">
        <f>'Supply Porfolio (Live)'!V34</f>
        <v>2157.4700878889521</v>
      </c>
      <c r="S45" s="500">
        <f>'Supply Porfolio (Live)'!W34</f>
        <v>2157.4700878889521</v>
      </c>
      <c r="T45" s="500">
        <f>'Supply Porfolio (Live)'!X34</f>
        <v>2157.4700878889521</v>
      </c>
      <c r="U45" s="500">
        <f>'Supply Porfolio (Live)'!Y34</f>
        <v>2157.4700878889521</v>
      </c>
      <c r="V45" s="500">
        <f>'Supply Porfolio (Live)'!Z34</f>
        <v>2157.4700878889521</v>
      </c>
      <c r="W45" s="500">
        <f>'Supply Porfolio (Live)'!AA34</f>
        <v>2157.4700878889521</v>
      </c>
      <c r="X45" s="500">
        <f>'Supply Porfolio (Live)'!AB34</f>
        <v>2157.4700878889521</v>
      </c>
      <c r="Y45" s="500">
        <f>'Supply Porfolio (Live)'!AC34</f>
        <v>2157.4700878889521</v>
      </c>
      <c r="Z45" s="500">
        <f>'Supply Porfolio (Live)'!AD34</f>
        <v>2157.4700878889521</v>
      </c>
      <c r="AA45" s="500">
        <f>'Supply Porfolio (Live)'!AE34</f>
        <v>2157.4700878889521</v>
      </c>
      <c r="AB45" s="500">
        <f>'Supply Porfolio (Live)'!AF34</f>
        <v>2157.4700878889521</v>
      </c>
      <c r="AC45" s="500">
        <f>'Supply Porfolio (Live)'!AG34</f>
        <v>2157.4700878889521</v>
      </c>
      <c r="AD45" s="500">
        <f>'Supply Porfolio (Live)'!AH34</f>
        <v>2157.4700878889521</v>
      </c>
      <c r="AE45" s="500">
        <f>'Supply Porfolio (Live)'!AI34</f>
        <v>2157.4700878889521</v>
      </c>
    </row>
    <row r="46" spans="2:31" x14ac:dyDescent="0.25">
      <c r="B46" t="str">
        <f>'8a. RNG'!$G$12</f>
        <v>LFG, WWTP, AgCrop (2)</v>
      </c>
      <c r="C46" s="500">
        <f>'Supply Porfolio (Live)'!G35</f>
        <v>0</v>
      </c>
      <c r="D46" s="500">
        <f>'Supply Porfolio (Live)'!H35</f>
        <v>0</v>
      </c>
      <c r="E46" s="500">
        <f>'Supply Porfolio (Live)'!I35</f>
        <v>0</v>
      </c>
      <c r="F46" s="500">
        <f>'Supply Porfolio (Live)'!J35</f>
        <v>0</v>
      </c>
      <c r="G46" s="500">
        <f>'Supply Porfolio (Live)'!K35</f>
        <v>0</v>
      </c>
      <c r="H46" s="500">
        <f>'Supply Porfolio (Live)'!L35</f>
        <v>0</v>
      </c>
      <c r="I46" s="500">
        <f>'Supply Porfolio (Live)'!M35</f>
        <v>0</v>
      </c>
      <c r="J46" s="500">
        <f>'Supply Porfolio (Live)'!N35</f>
        <v>0</v>
      </c>
      <c r="K46" s="500">
        <f>'Supply Porfolio (Live)'!O35</f>
        <v>3235.7296497163575</v>
      </c>
      <c r="L46" s="500">
        <f>'Supply Porfolio (Live)'!P35</f>
        <v>3235.7296497163575</v>
      </c>
      <c r="M46" s="500">
        <f>'Supply Porfolio (Live)'!Q35</f>
        <v>3235.7296497163575</v>
      </c>
      <c r="N46" s="500">
        <f>'Supply Porfolio (Live)'!R35</f>
        <v>3235.7296497163575</v>
      </c>
      <c r="O46" s="500">
        <f>'Supply Porfolio (Live)'!S35</f>
        <v>3235.7296497163575</v>
      </c>
      <c r="P46" s="500">
        <f>'Supply Porfolio (Live)'!T35</f>
        <v>3235.7296497163575</v>
      </c>
      <c r="Q46" s="500">
        <f>'Supply Porfolio (Live)'!U35</f>
        <v>3235.7296497163575</v>
      </c>
      <c r="R46" s="500">
        <f>'Supply Porfolio (Live)'!V35</f>
        <v>3235.7296497163575</v>
      </c>
      <c r="S46" s="500">
        <f>'Supply Porfolio (Live)'!W35</f>
        <v>3235.7296497163575</v>
      </c>
      <c r="T46" s="500">
        <f>'Supply Porfolio (Live)'!X35</f>
        <v>3235.7296497163575</v>
      </c>
      <c r="U46" s="500">
        <f>'Supply Porfolio (Live)'!Y35</f>
        <v>3235.7296497163575</v>
      </c>
      <c r="V46" s="500">
        <f>'Supply Porfolio (Live)'!Z35</f>
        <v>3235.7296497163575</v>
      </c>
      <c r="W46" s="500">
        <f>'Supply Porfolio (Live)'!AA35</f>
        <v>3235.7296497163575</v>
      </c>
      <c r="X46" s="500">
        <f>'Supply Porfolio (Live)'!AB35</f>
        <v>3235.7296497163575</v>
      </c>
      <c r="Y46" s="500">
        <f>'Supply Porfolio (Live)'!AC35</f>
        <v>3235.7296497163575</v>
      </c>
      <c r="Z46" s="500">
        <f>'Supply Porfolio (Live)'!AD35</f>
        <v>3235.7296497163575</v>
      </c>
      <c r="AA46" s="500">
        <f>'Supply Porfolio (Live)'!AE35</f>
        <v>3235.7296497163575</v>
      </c>
      <c r="AB46" s="500">
        <f>'Supply Porfolio (Live)'!AF35</f>
        <v>3235.7296497163575</v>
      </c>
      <c r="AC46" s="500">
        <f>'Supply Porfolio (Live)'!AG35</f>
        <v>3235.7296497163575</v>
      </c>
      <c r="AD46" s="500">
        <f>'Supply Porfolio (Live)'!AH35</f>
        <v>3235.7296497163575</v>
      </c>
      <c r="AE46" s="500">
        <f>'Supply Porfolio (Live)'!AI35</f>
        <v>3235.7296497163575</v>
      </c>
    </row>
    <row r="47" spans="2:31" x14ac:dyDescent="0.25">
      <c r="B47" t="str">
        <f>'8a. RNG'!$H$12</f>
        <v>LFG, WWTP, AgCrop (3)</v>
      </c>
      <c r="C47" s="500">
        <f>'Supply Porfolio (Live)'!G36</f>
        <v>0</v>
      </c>
      <c r="D47" s="500">
        <f>'Supply Porfolio (Live)'!H36</f>
        <v>0</v>
      </c>
      <c r="E47" s="500">
        <f>'Supply Porfolio (Live)'!I36</f>
        <v>0</v>
      </c>
      <c r="F47" s="500">
        <f>'Supply Porfolio (Live)'!J36</f>
        <v>0</v>
      </c>
      <c r="G47" s="500">
        <f>'Supply Porfolio (Live)'!K36</f>
        <v>0</v>
      </c>
      <c r="H47" s="500">
        <f>'Supply Porfolio (Live)'!L36</f>
        <v>0</v>
      </c>
      <c r="I47" s="500">
        <f>'Supply Porfolio (Live)'!M36</f>
        <v>0</v>
      </c>
      <c r="J47" s="500">
        <f>'Supply Porfolio (Live)'!N36</f>
        <v>0</v>
      </c>
      <c r="K47" s="500">
        <f>'Supply Porfolio (Live)'!O36</f>
        <v>0</v>
      </c>
      <c r="L47" s="500">
        <f>'Supply Porfolio (Live)'!P36</f>
        <v>0</v>
      </c>
      <c r="M47" s="500">
        <f>'Supply Porfolio (Live)'!Q36</f>
        <v>0</v>
      </c>
      <c r="N47" s="500">
        <f>'Supply Porfolio (Live)'!R36</f>
        <v>0</v>
      </c>
      <c r="O47" s="500">
        <f>'Supply Porfolio (Live)'!S36</f>
        <v>0</v>
      </c>
      <c r="P47" s="500">
        <f>'Supply Porfolio (Live)'!T36</f>
        <v>4168.3048437784746</v>
      </c>
      <c r="Q47" s="500">
        <f>'Supply Porfolio (Live)'!U36</f>
        <v>4071.2055052998276</v>
      </c>
      <c r="R47" s="500">
        <f>'Supply Porfolio (Live)'!V36</f>
        <v>3978.0169867506083</v>
      </c>
      <c r="S47" s="500">
        <f>'Supply Porfolio (Live)'!W36</f>
        <v>3888.5817740554357</v>
      </c>
      <c r="T47" s="500">
        <f>'Supply Porfolio (Live)'!X36</f>
        <v>3802.7486972520292</v>
      </c>
      <c r="U47" s="500">
        <f>'Supply Porfolio (Live)'!Y36</f>
        <v>3720.3726749726393</v>
      </c>
      <c r="V47" s="500">
        <f>'Supply Porfolio (Live)'!Z36</f>
        <v>3641.3144692168717</v>
      </c>
      <c r="W47" s="500">
        <f>'Supply Porfolio (Live)'!AA36</f>
        <v>3565.4404500013898</v>
      </c>
      <c r="X47" s="500">
        <f>'Supply Porfolio (Live)'!AB36</f>
        <v>3492.6223694887103</v>
      </c>
      <c r="Y47" s="500">
        <f>'Supply Porfolio (Live)'!AC36</f>
        <v>3422.7371452132993</v>
      </c>
      <c r="Z47" s="500">
        <f>'Supply Porfolio (Live)'!AD36</f>
        <v>3355.6666520385406</v>
      </c>
      <c r="AA47" s="500">
        <f>'Supply Porfolio (Live)'!AE36</f>
        <v>3291.2975224929669</v>
      </c>
      <c r="AB47" s="500">
        <f>'Supply Porfolio (Live)'!AF36</f>
        <v>3229.5209551482385</v>
      </c>
      <c r="AC47" s="500">
        <f>'Supply Porfolio (Live)'!AG36</f>
        <v>3170.2325307149713</v>
      </c>
      <c r="AD47" s="500">
        <f>'Supply Porfolio (Live)'!AH36</f>
        <v>3113.332035545598</v>
      </c>
      <c r="AE47" s="500">
        <f>'Supply Porfolio (Live)'!AI36</f>
        <v>3058.7232922458988</v>
      </c>
    </row>
    <row r="48" spans="2:31" x14ac:dyDescent="0.25">
      <c r="B48" t="str">
        <f>'8a. RNG'!$P$12</f>
        <v>CDW Exp. 1</v>
      </c>
      <c r="C48" s="500">
        <f>'Supply Porfolio (Live)'!G37</f>
        <v>0</v>
      </c>
      <c r="D48" s="500">
        <f>'Supply Porfolio (Live)'!H37</f>
        <v>0</v>
      </c>
      <c r="E48" s="500">
        <f>'Supply Porfolio (Live)'!I37</f>
        <v>0</v>
      </c>
      <c r="F48" s="500">
        <f>'Supply Porfolio (Live)'!J37</f>
        <v>0</v>
      </c>
      <c r="G48" s="500">
        <f>'Supply Porfolio (Live)'!K37</f>
        <v>0</v>
      </c>
      <c r="H48" s="500">
        <f>'Supply Porfolio (Live)'!L37</f>
        <v>0</v>
      </c>
      <c r="I48" s="500">
        <f>'Supply Porfolio (Live)'!M37</f>
        <v>0</v>
      </c>
      <c r="J48" s="500">
        <f>'Supply Porfolio (Live)'!N37</f>
        <v>0</v>
      </c>
      <c r="K48" s="500">
        <f>'Supply Porfolio (Live)'!O37</f>
        <v>0</v>
      </c>
      <c r="L48" s="500">
        <f>'Supply Porfolio (Live)'!P37</f>
        <v>0</v>
      </c>
      <c r="M48" s="500">
        <f>'Supply Porfolio (Live)'!Q37</f>
        <v>0</v>
      </c>
      <c r="N48" s="500">
        <f>'Supply Porfolio (Live)'!R37</f>
        <v>0</v>
      </c>
      <c r="O48" s="500">
        <f>'Supply Porfolio (Live)'!S37</f>
        <v>0</v>
      </c>
      <c r="P48" s="500">
        <f>'Supply Porfolio (Live)'!T37</f>
        <v>0</v>
      </c>
      <c r="Q48" s="500">
        <f>'Supply Porfolio (Live)'!U37</f>
        <v>0</v>
      </c>
      <c r="R48" s="500">
        <f>'Supply Porfolio (Live)'!V37</f>
        <v>0</v>
      </c>
      <c r="S48" s="500">
        <f>'Supply Porfolio (Live)'!W37</f>
        <v>0</v>
      </c>
      <c r="T48" s="500">
        <f>'Supply Porfolio (Live)'!X37</f>
        <v>0</v>
      </c>
      <c r="U48" s="500">
        <f>'Supply Porfolio (Live)'!Y37</f>
        <v>15616.438356164384</v>
      </c>
      <c r="V48" s="500">
        <f>'Supply Porfolio (Live)'!Z37</f>
        <v>15616.438356164384</v>
      </c>
      <c r="W48" s="500">
        <f>'Supply Porfolio (Live)'!AA37</f>
        <v>15616.438356164384</v>
      </c>
      <c r="X48" s="500">
        <f>'Supply Porfolio (Live)'!AB37</f>
        <v>15616.438356164384</v>
      </c>
      <c r="Y48" s="500">
        <f>'Supply Porfolio (Live)'!AC37</f>
        <v>15616.438356164384</v>
      </c>
      <c r="Z48" s="500">
        <f>'Supply Porfolio (Live)'!AD37</f>
        <v>15616.438356164384</v>
      </c>
      <c r="AA48" s="500">
        <f>'Supply Porfolio (Live)'!AE37</f>
        <v>15616.438356164384</v>
      </c>
      <c r="AB48" s="500">
        <f>'Supply Porfolio (Live)'!AF37</f>
        <v>15616.438356164384</v>
      </c>
      <c r="AC48" s="500">
        <f>'Supply Porfolio (Live)'!AG37</f>
        <v>15616.438356164384</v>
      </c>
      <c r="AD48" s="500">
        <f>'Supply Porfolio (Live)'!AH37</f>
        <v>15616.438356164384</v>
      </c>
      <c r="AE48" s="500">
        <f>'Supply Porfolio (Live)'!AI37</f>
        <v>15616.438356164384</v>
      </c>
    </row>
    <row r="49" spans="2:32" x14ac:dyDescent="0.25">
      <c r="B49" t="str">
        <f>'8a. RNG'!$Q$12</f>
        <v>CDW Exp. 2</v>
      </c>
      <c r="C49" s="500">
        <f>'Supply Porfolio (Live)'!G38</f>
        <v>0</v>
      </c>
      <c r="D49" s="500">
        <f>'Supply Porfolio (Live)'!H38</f>
        <v>0</v>
      </c>
      <c r="E49" s="500">
        <f>'Supply Porfolio (Live)'!I38</f>
        <v>0</v>
      </c>
      <c r="F49" s="500">
        <f>'Supply Porfolio (Live)'!J38</f>
        <v>0</v>
      </c>
      <c r="G49" s="500">
        <f>'Supply Porfolio (Live)'!K38</f>
        <v>0</v>
      </c>
      <c r="H49" s="500">
        <f>'Supply Porfolio (Live)'!L38</f>
        <v>0</v>
      </c>
      <c r="I49" s="500">
        <f>'Supply Porfolio (Live)'!M38</f>
        <v>0</v>
      </c>
      <c r="J49" s="500">
        <f>'Supply Porfolio (Live)'!N38</f>
        <v>0</v>
      </c>
      <c r="K49" s="500">
        <f>'Supply Porfolio (Live)'!O38</f>
        <v>0</v>
      </c>
      <c r="L49" s="500">
        <f>'Supply Porfolio (Live)'!P38</f>
        <v>0</v>
      </c>
      <c r="M49" s="500">
        <f>'Supply Porfolio (Live)'!Q38</f>
        <v>0</v>
      </c>
      <c r="N49" s="500">
        <f>'Supply Porfolio (Live)'!R38</f>
        <v>0</v>
      </c>
      <c r="O49" s="500">
        <f>'Supply Porfolio (Live)'!S38</f>
        <v>0</v>
      </c>
      <c r="P49" s="500">
        <f>'Supply Porfolio (Live)'!T38</f>
        <v>0</v>
      </c>
      <c r="Q49" s="500">
        <f>'Supply Porfolio (Live)'!U38</f>
        <v>0</v>
      </c>
      <c r="R49" s="500">
        <f>'Supply Porfolio (Live)'!V38</f>
        <v>0</v>
      </c>
      <c r="S49" s="500">
        <f>'Supply Porfolio (Live)'!W38</f>
        <v>0</v>
      </c>
      <c r="T49" s="500">
        <f>'Supply Porfolio (Live)'!X38</f>
        <v>0</v>
      </c>
      <c r="U49" s="500">
        <f>'Supply Porfolio (Live)'!Y38</f>
        <v>0</v>
      </c>
      <c r="V49" s="500">
        <f>'Supply Porfolio (Live)'!Z38</f>
        <v>0</v>
      </c>
      <c r="W49" s="500">
        <f>'Supply Porfolio (Live)'!AA38</f>
        <v>0</v>
      </c>
      <c r="X49" s="500">
        <f>'Supply Porfolio (Live)'!AB38</f>
        <v>0</v>
      </c>
      <c r="Y49" s="500">
        <f>'Supply Porfolio (Live)'!AC38</f>
        <v>0</v>
      </c>
      <c r="Z49" s="500">
        <f>'Supply Porfolio (Live)'!AD38</f>
        <v>0</v>
      </c>
      <c r="AA49" s="500">
        <f>'Supply Porfolio (Live)'!AE38</f>
        <v>0</v>
      </c>
      <c r="AB49" s="500">
        <f>'Supply Porfolio (Live)'!AF38</f>
        <v>0</v>
      </c>
      <c r="AC49" s="500">
        <f>'Supply Porfolio (Live)'!AG38</f>
        <v>0</v>
      </c>
      <c r="AD49" s="500">
        <f>'Supply Porfolio (Live)'!AH38</f>
        <v>0</v>
      </c>
      <c r="AE49" s="500">
        <f>'Supply Porfolio (Live)'!AI38</f>
        <v>0</v>
      </c>
    </row>
    <row r="50" spans="2:32" x14ac:dyDescent="0.25">
      <c r="B50" t="str">
        <f>'8a. RNG'!$R$12</f>
        <v>CDW Exp. 3</v>
      </c>
      <c r="C50" s="500">
        <f>'Supply Porfolio (Live)'!G39</f>
        <v>0</v>
      </c>
      <c r="D50" s="500">
        <f>'Supply Porfolio (Live)'!H39</f>
        <v>0</v>
      </c>
      <c r="E50" s="500">
        <f>'Supply Porfolio (Live)'!I39</f>
        <v>0</v>
      </c>
      <c r="F50" s="500">
        <f>'Supply Porfolio (Live)'!J39</f>
        <v>0</v>
      </c>
      <c r="G50" s="500">
        <f>'Supply Porfolio (Live)'!K39</f>
        <v>0</v>
      </c>
      <c r="H50" s="500">
        <f>'Supply Porfolio (Live)'!L39</f>
        <v>0</v>
      </c>
      <c r="I50" s="500">
        <f>'Supply Porfolio (Live)'!M39</f>
        <v>0</v>
      </c>
      <c r="J50" s="500">
        <f>'Supply Porfolio (Live)'!N39</f>
        <v>0</v>
      </c>
      <c r="K50" s="500">
        <f>'Supply Porfolio (Live)'!O39</f>
        <v>0</v>
      </c>
      <c r="L50" s="500">
        <f>'Supply Porfolio (Live)'!P39</f>
        <v>0</v>
      </c>
      <c r="M50" s="500">
        <f>'Supply Porfolio (Live)'!Q39</f>
        <v>0</v>
      </c>
      <c r="N50" s="500">
        <f>'Supply Porfolio (Live)'!R39</f>
        <v>0</v>
      </c>
      <c r="O50" s="500">
        <f>'Supply Porfolio (Live)'!S39</f>
        <v>0</v>
      </c>
      <c r="P50" s="500">
        <f>'Supply Porfolio (Live)'!T39</f>
        <v>0</v>
      </c>
      <c r="Q50" s="500">
        <f>'Supply Porfolio (Live)'!U39</f>
        <v>0</v>
      </c>
      <c r="R50" s="500">
        <f>'Supply Porfolio (Live)'!V39</f>
        <v>0</v>
      </c>
      <c r="S50" s="500">
        <f>'Supply Porfolio (Live)'!W39</f>
        <v>0</v>
      </c>
      <c r="T50" s="500">
        <f>'Supply Porfolio (Live)'!X39</f>
        <v>0</v>
      </c>
      <c r="U50" s="500">
        <f>'Supply Porfolio (Live)'!Y39</f>
        <v>0</v>
      </c>
      <c r="V50" s="500">
        <f>'Supply Porfolio (Live)'!Z39</f>
        <v>0</v>
      </c>
      <c r="W50" s="500">
        <f>'Supply Porfolio (Live)'!AA39</f>
        <v>0</v>
      </c>
      <c r="X50" s="500">
        <f>'Supply Porfolio (Live)'!AB39</f>
        <v>0</v>
      </c>
      <c r="Y50" s="500">
        <f>'Supply Porfolio (Live)'!AC39</f>
        <v>0</v>
      </c>
      <c r="Z50" s="500">
        <f>'Supply Porfolio (Live)'!AD39</f>
        <v>0</v>
      </c>
      <c r="AA50" s="500">
        <f>'Supply Porfolio (Live)'!AE39</f>
        <v>0</v>
      </c>
      <c r="AB50" s="500">
        <f>'Supply Porfolio (Live)'!AF39</f>
        <v>0</v>
      </c>
      <c r="AC50" s="500">
        <f>'Supply Porfolio (Live)'!AG39</f>
        <v>0</v>
      </c>
      <c r="AD50" s="500">
        <f>'Supply Porfolio (Live)'!AH39</f>
        <v>0</v>
      </c>
      <c r="AE50" s="500">
        <f>'Supply Porfolio (Live)'!AI39</f>
        <v>0</v>
      </c>
    </row>
    <row r="51" spans="2:32" x14ac:dyDescent="0.25">
      <c r="B51" t="str">
        <f>'8a. RNG'!$S$12</f>
        <v>CDW Exp. 4</v>
      </c>
      <c r="C51" s="500">
        <f>'Supply Porfolio (Live)'!G40</f>
        <v>0</v>
      </c>
      <c r="D51" s="500">
        <f>'Supply Porfolio (Live)'!H40</f>
        <v>0</v>
      </c>
      <c r="E51" s="500">
        <f>'Supply Porfolio (Live)'!I40</f>
        <v>0</v>
      </c>
      <c r="F51" s="500">
        <f>'Supply Porfolio (Live)'!J40</f>
        <v>0</v>
      </c>
      <c r="G51" s="500">
        <f>'Supply Porfolio (Live)'!K40</f>
        <v>0</v>
      </c>
      <c r="H51" s="500">
        <f>'Supply Porfolio (Live)'!L40</f>
        <v>0</v>
      </c>
      <c r="I51" s="500">
        <f>'Supply Porfolio (Live)'!M40</f>
        <v>0</v>
      </c>
      <c r="J51" s="500">
        <f>'Supply Porfolio (Live)'!N40</f>
        <v>0</v>
      </c>
      <c r="K51" s="500">
        <f>'Supply Porfolio (Live)'!O40</f>
        <v>0</v>
      </c>
      <c r="L51" s="500">
        <f>'Supply Porfolio (Live)'!P40</f>
        <v>0</v>
      </c>
      <c r="M51" s="500">
        <f>'Supply Porfolio (Live)'!Q40</f>
        <v>0</v>
      </c>
      <c r="N51" s="500">
        <f>'Supply Porfolio (Live)'!R40</f>
        <v>0</v>
      </c>
      <c r="O51" s="500">
        <f>'Supply Porfolio (Live)'!S40</f>
        <v>0</v>
      </c>
      <c r="P51" s="500">
        <f>'Supply Porfolio (Live)'!T40</f>
        <v>0</v>
      </c>
      <c r="Q51" s="500">
        <f>'Supply Porfolio (Live)'!U40</f>
        <v>0</v>
      </c>
      <c r="R51" s="500">
        <f>'Supply Porfolio (Live)'!V40</f>
        <v>0</v>
      </c>
      <c r="S51" s="500">
        <f>'Supply Porfolio (Live)'!W40</f>
        <v>0</v>
      </c>
      <c r="T51" s="500">
        <f>'Supply Porfolio (Live)'!X40</f>
        <v>0</v>
      </c>
      <c r="U51" s="500">
        <f>'Supply Porfolio (Live)'!Y40</f>
        <v>0</v>
      </c>
      <c r="V51" s="500">
        <f>'Supply Porfolio (Live)'!Z40</f>
        <v>0</v>
      </c>
      <c r="W51" s="500">
        <f>'Supply Porfolio (Live)'!AA40</f>
        <v>0</v>
      </c>
      <c r="X51" s="500">
        <f>'Supply Porfolio (Live)'!AB40</f>
        <v>0</v>
      </c>
      <c r="Y51" s="500">
        <f>'Supply Porfolio (Live)'!AC40</f>
        <v>0</v>
      </c>
      <c r="Z51" s="500">
        <f>'Supply Porfolio (Live)'!AD40</f>
        <v>0</v>
      </c>
      <c r="AA51" s="500">
        <f>'Supply Porfolio (Live)'!AE40</f>
        <v>0</v>
      </c>
      <c r="AB51" s="500">
        <f>'Supply Porfolio (Live)'!AF40</f>
        <v>0</v>
      </c>
      <c r="AC51" s="500">
        <f>'Supply Porfolio (Live)'!AG40</f>
        <v>0</v>
      </c>
      <c r="AD51" s="500">
        <f>'Supply Porfolio (Live)'!AH40</f>
        <v>0</v>
      </c>
      <c r="AE51" s="500">
        <f>'Supply Porfolio (Live)'!AI40</f>
        <v>0</v>
      </c>
    </row>
    <row r="52" spans="2:32" x14ac:dyDescent="0.25">
      <c r="B52" t="str">
        <f>'8a. RNG'!$T$12</f>
        <v>CDW Exp. 5</v>
      </c>
      <c r="C52" s="500">
        <f>'Supply Porfolio (Live)'!G41</f>
        <v>0</v>
      </c>
      <c r="D52" s="500">
        <f>'Supply Porfolio (Live)'!H41</f>
        <v>0</v>
      </c>
      <c r="E52" s="500">
        <f>'Supply Porfolio (Live)'!I41</f>
        <v>0</v>
      </c>
      <c r="F52" s="500">
        <f>'Supply Porfolio (Live)'!J41</f>
        <v>0</v>
      </c>
      <c r="G52" s="500">
        <f>'Supply Porfolio (Live)'!K41</f>
        <v>0</v>
      </c>
      <c r="H52" s="500">
        <f>'Supply Porfolio (Live)'!L41</f>
        <v>0</v>
      </c>
      <c r="I52" s="500">
        <f>'Supply Porfolio (Live)'!M41</f>
        <v>0</v>
      </c>
      <c r="J52" s="500">
        <f>'Supply Porfolio (Live)'!N41</f>
        <v>0</v>
      </c>
      <c r="K52" s="500">
        <f>'Supply Porfolio (Live)'!O41</f>
        <v>0</v>
      </c>
      <c r="L52" s="500">
        <f>'Supply Porfolio (Live)'!P41</f>
        <v>0</v>
      </c>
      <c r="M52" s="500">
        <f>'Supply Porfolio (Live)'!Q41</f>
        <v>0</v>
      </c>
      <c r="N52" s="500">
        <f>'Supply Porfolio (Live)'!R41</f>
        <v>0</v>
      </c>
      <c r="O52" s="500">
        <f>'Supply Porfolio (Live)'!S41</f>
        <v>0</v>
      </c>
      <c r="P52" s="500">
        <f>'Supply Porfolio (Live)'!T41</f>
        <v>0</v>
      </c>
      <c r="Q52" s="500">
        <f>'Supply Porfolio (Live)'!U41</f>
        <v>0</v>
      </c>
      <c r="R52" s="500">
        <f>'Supply Porfolio (Live)'!V41</f>
        <v>0</v>
      </c>
      <c r="S52" s="500">
        <f>'Supply Porfolio (Live)'!W41</f>
        <v>0</v>
      </c>
      <c r="T52" s="500">
        <f>'Supply Porfolio (Live)'!X41</f>
        <v>0</v>
      </c>
      <c r="U52" s="500">
        <f>'Supply Porfolio (Live)'!Y41</f>
        <v>0</v>
      </c>
      <c r="V52" s="500">
        <f>'Supply Porfolio (Live)'!Z41</f>
        <v>0</v>
      </c>
      <c r="W52" s="500">
        <f>'Supply Porfolio (Live)'!AA41</f>
        <v>0</v>
      </c>
      <c r="X52" s="500">
        <f>'Supply Porfolio (Live)'!AB41</f>
        <v>0</v>
      </c>
      <c r="Y52" s="500">
        <f>'Supply Porfolio (Live)'!AC41</f>
        <v>0</v>
      </c>
      <c r="Z52" s="500">
        <f>'Supply Porfolio (Live)'!AD41</f>
        <v>0</v>
      </c>
      <c r="AA52" s="500">
        <f>'Supply Porfolio (Live)'!AE41</f>
        <v>0</v>
      </c>
      <c r="AB52" s="500">
        <f>'Supply Porfolio (Live)'!AF41</f>
        <v>0</v>
      </c>
      <c r="AC52" s="500">
        <f>'Supply Porfolio (Live)'!AG41</f>
        <v>0</v>
      </c>
      <c r="AD52" s="500">
        <f>'Supply Porfolio (Live)'!AH41</f>
        <v>0</v>
      </c>
      <c r="AE52" s="500">
        <f>'Supply Porfolio (Live)'!AI41</f>
        <v>0</v>
      </c>
    </row>
    <row r="53" spans="2:32" x14ac:dyDescent="0.25">
      <c r="B53" t="str">
        <f>'5. LNG- ISO_Expansion'!$X$12</f>
        <v>LNG ISO Exp 1</v>
      </c>
      <c r="C53" s="500">
        <f>'Supply Porfolio (Live)'!G42</f>
        <v>0</v>
      </c>
      <c r="D53" s="500">
        <f>'Supply Porfolio (Live)'!H42</f>
        <v>0</v>
      </c>
      <c r="E53" s="500">
        <f>'Supply Porfolio (Live)'!I42</f>
        <v>0</v>
      </c>
      <c r="F53" s="500">
        <f>'Supply Porfolio (Live)'!J42</f>
        <v>0</v>
      </c>
      <c r="G53" s="500">
        <f>'Supply Porfolio (Live)'!K42</f>
        <v>0</v>
      </c>
      <c r="H53" s="500">
        <f>'Supply Porfolio (Live)'!L42</f>
        <v>0</v>
      </c>
      <c r="I53" s="500">
        <f>'Supply Porfolio (Live)'!M42</f>
        <v>0</v>
      </c>
      <c r="J53" s="500">
        <f>'Supply Porfolio (Live)'!N42</f>
        <v>0</v>
      </c>
      <c r="K53" s="500">
        <f>'Supply Porfolio (Live)'!O42</f>
        <v>0</v>
      </c>
      <c r="L53" s="500">
        <f>'Supply Porfolio (Live)'!P42</f>
        <v>0</v>
      </c>
      <c r="M53" s="500">
        <f>'Supply Porfolio (Live)'!Q42</f>
        <v>0</v>
      </c>
      <c r="N53" s="500">
        <f>'Supply Porfolio (Live)'!R42</f>
        <v>0</v>
      </c>
      <c r="O53" s="500">
        <f>'Supply Porfolio (Live)'!S42</f>
        <v>0</v>
      </c>
      <c r="P53" s="500">
        <f>'Supply Porfolio (Live)'!T42</f>
        <v>0</v>
      </c>
      <c r="Q53" s="500">
        <f>'Supply Porfolio (Live)'!U42</f>
        <v>0</v>
      </c>
      <c r="R53" s="500">
        <f>'Supply Porfolio (Live)'!V42</f>
        <v>0</v>
      </c>
      <c r="S53" s="500">
        <f>'Supply Porfolio (Live)'!W42</f>
        <v>0</v>
      </c>
      <c r="T53" s="500">
        <f>'Supply Porfolio (Live)'!X42</f>
        <v>0</v>
      </c>
      <c r="U53" s="500">
        <f>'Supply Porfolio (Live)'!Y42</f>
        <v>0</v>
      </c>
      <c r="V53" s="500">
        <f>'Supply Porfolio (Live)'!Z42</f>
        <v>0</v>
      </c>
      <c r="W53" s="500">
        <f>'Supply Porfolio (Live)'!AA42</f>
        <v>0</v>
      </c>
      <c r="X53" s="500">
        <f>'Supply Porfolio (Live)'!AB42</f>
        <v>0</v>
      </c>
      <c r="Y53" s="500">
        <f>'Supply Porfolio (Live)'!AC42</f>
        <v>0</v>
      </c>
      <c r="Z53" s="500">
        <f>'Supply Porfolio (Live)'!AD42</f>
        <v>0</v>
      </c>
      <c r="AA53" s="500">
        <f>'Supply Porfolio (Live)'!AE42</f>
        <v>0</v>
      </c>
      <c r="AB53" s="500">
        <f>'Supply Porfolio (Live)'!AF42</f>
        <v>0</v>
      </c>
      <c r="AC53" s="500">
        <f>'Supply Porfolio (Live)'!AG42</f>
        <v>0</v>
      </c>
      <c r="AD53" s="500">
        <f>'Supply Porfolio (Live)'!AH42</f>
        <v>0</v>
      </c>
      <c r="AE53" s="500">
        <f>'Supply Porfolio (Live)'!AI42</f>
        <v>0</v>
      </c>
    </row>
    <row r="54" spans="2:32" x14ac:dyDescent="0.25">
      <c r="B54" t="str">
        <f>'5. LNG- ISO_Expansion'!$Y$12</f>
        <v>LNG ISO Exp 2</v>
      </c>
      <c r="C54" s="500">
        <f>'Supply Porfolio (Live)'!G43</f>
        <v>0</v>
      </c>
      <c r="D54" s="500">
        <f>'Supply Porfolio (Live)'!H43</f>
        <v>0</v>
      </c>
      <c r="E54" s="500">
        <f>'Supply Porfolio (Live)'!I43</f>
        <v>0</v>
      </c>
      <c r="F54" s="500">
        <f>'Supply Porfolio (Live)'!J43</f>
        <v>0</v>
      </c>
      <c r="G54" s="500">
        <f>'Supply Porfolio (Live)'!K43</f>
        <v>0</v>
      </c>
      <c r="H54" s="500">
        <f>'Supply Porfolio (Live)'!L43</f>
        <v>0</v>
      </c>
      <c r="I54" s="500">
        <f>'Supply Porfolio (Live)'!M43</f>
        <v>0</v>
      </c>
      <c r="J54" s="500">
        <f>'Supply Porfolio (Live)'!N43</f>
        <v>0</v>
      </c>
      <c r="K54" s="500">
        <f>'Supply Porfolio (Live)'!O43</f>
        <v>0</v>
      </c>
      <c r="L54" s="500">
        <f>'Supply Porfolio (Live)'!P43</f>
        <v>0</v>
      </c>
      <c r="M54" s="500">
        <f>'Supply Porfolio (Live)'!Q43</f>
        <v>0</v>
      </c>
      <c r="N54" s="500">
        <f>'Supply Porfolio (Live)'!R43</f>
        <v>0</v>
      </c>
      <c r="O54" s="500">
        <f>'Supply Porfolio (Live)'!S43</f>
        <v>0</v>
      </c>
      <c r="P54" s="500">
        <f>'Supply Porfolio (Live)'!T43</f>
        <v>0</v>
      </c>
      <c r="Q54" s="500">
        <f>'Supply Porfolio (Live)'!U43</f>
        <v>0</v>
      </c>
      <c r="R54" s="500">
        <f>'Supply Porfolio (Live)'!V43</f>
        <v>0</v>
      </c>
      <c r="S54" s="500">
        <f>'Supply Porfolio (Live)'!W43</f>
        <v>0</v>
      </c>
      <c r="T54" s="500">
        <f>'Supply Porfolio (Live)'!X43</f>
        <v>0</v>
      </c>
      <c r="U54" s="500">
        <f>'Supply Porfolio (Live)'!Y43</f>
        <v>0</v>
      </c>
      <c r="V54" s="500">
        <f>'Supply Porfolio (Live)'!Z43</f>
        <v>0</v>
      </c>
      <c r="W54" s="500">
        <f>'Supply Porfolio (Live)'!AA43</f>
        <v>0</v>
      </c>
      <c r="X54" s="500">
        <f>'Supply Porfolio (Live)'!AB43</f>
        <v>0</v>
      </c>
      <c r="Y54" s="500">
        <f>'Supply Porfolio (Live)'!AC43</f>
        <v>0</v>
      </c>
      <c r="Z54" s="500">
        <f>'Supply Porfolio (Live)'!AD43</f>
        <v>0</v>
      </c>
      <c r="AA54" s="500">
        <f>'Supply Porfolio (Live)'!AE43</f>
        <v>0</v>
      </c>
      <c r="AB54" s="500">
        <f>'Supply Porfolio (Live)'!AF43</f>
        <v>0</v>
      </c>
      <c r="AC54" s="500">
        <f>'Supply Porfolio (Live)'!AG43</f>
        <v>0</v>
      </c>
      <c r="AD54" s="500">
        <f>'Supply Porfolio (Live)'!AH43</f>
        <v>0</v>
      </c>
      <c r="AE54" s="500">
        <f>'Supply Porfolio (Live)'!AI43</f>
        <v>0</v>
      </c>
    </row>
    <row r="55" spans="2:32" x14ac:dyDescent="0.25">
      <c r="B55" t="str">
        <f>'5. LNG- ISO_Expansion'!$Z$12</f>
        <v>LNG ISO Exp 3</v>
      </c>
      <c r="C55" s="500">
        <f>'Supply Porfolio (Live)'!G44</f>
        <v>0</v>
      </c>
      <c r="D55" s="500">
        <f>'Supply Porfolio (Live)'!H44</f>
        <v>0</v>
      </c>
      <c r="E55" s="500">
        <f>'Supply Porfolio (Live)'!I44</f>
        <v>0</v>
      </c>
      <c r="F55" s="500">
        <f>'Supply Porfolio (Live)'!J44</f>
        <v>0</v>
      </c>
      <c r="G55" s="500">
        <f>'Supply Porfolio (Live)'!K44</f>
        <v>0</v>
      </c>
      <c r="H55" s="500">
        <f>'Supply Porfolio (Live)'!L44</f>
        <v>0</v>
      </c>
      <c r="I55" s="500">
        <f>'Supply Porfolio (Live)'!M44</f>
        <v>0</v>
      </c>
      <c r="J55" s="500">
        <f>'Supply Porfolio (Live)'!N44</f>
        <v>0</v>
      </c>
      <c r="K55" s="500">
        <f>'Supply Porfolio (Live)'!O44</f>
        <v>0</v>
      </c>
      <c r="L55" s="500">
        <f>'Supply Porfolio (Live)'!P44</f>
        <v>0</v>
      </c>
      <c r="M55" s="500">
        <f>'Supply Porfolio (Live)'!Q44</f>
        <v>0</v>
      </c>
      <c r="N55" s="500">
        <f>'Supply Porfolio (Live)'!R44</f>
        <v>0</v>
      </c>
      <c r="O55" s="500">
        <f>'Supply Porfolio (Live)'!S44</f>
        <v>0</v>
      </c>
      <c r="P55" s="500">
        <f>'Supply Porfolio (Live)'!T44</f>
        <v>0</v>
      </c>
      <c r="Q55" s="500">
        <f>'Supply Porfolio (Live)'!U44</f>
        <v>0</v>
      </c>
      <c r="R55" s="500">
        <f>'Supply Porfolio (Live)'!V44</f>
        <v>0</v>
      </c>
      <c r="S55" s="500">
        <f>'Supply Porfolio (Live)'!W44</f>
        <v>0</v>
      </c>
      <c r="T55" s="500">
        <f>'Supply Porfolio (Live)'!X44</f>
        <v>0</v>
      </c>
      <c r="U55" s="500">
        <f>'Supply Porfolio (Live)'!Y44</f>
        <v>0</v>
      </c>
      <c r="V55" s="500">
        <f>'Supply Porfolio (Live)'!Z44</f>
        <v>0</v>
      </c>
      <c r="W55" s="500">
        <f>'Supply Porfolio (Live)'!AA44</f>
        <v>0</v>
      </c>
      <c r="X55" s="500">
        <f>'Supply Porfolio (Live)'!AB44</f>
        <v>0</v>
      </c>
      <c r="Y55" s="500">
        <f>'Supply Porfolio (Live)'!AC44</f>
        <v>0</v>
      </c>
      <c r="Z55" s="500">
        <f>'Supply Porfolio (Live)'!AD44</f>
        <v>0</v>
      </c>
      <c r="AA55" s="500">
        <f>'Supply Porfolio (Live)'!AE44</f>
        <v>0</v>
      </c>
      <c r="AB55" s="500">
        <f>'Supply Porfolio (Live)'!AF44</f>
        <v>0</v>
      </c>
      <c r="AC55" s="500">
        <f>'Supply Porfolio (Live)'!AG44</f>
        <v>0</v>
      </c>
      <c r="AD55" s="500">
        <f>'Supply Porfolio (Live)'!AH44</f>
        <v>0</v>
      </c>
      <c r="AE55" s="500">
        <f>'Supply Porfolio (Live)'!AI44</f>
        <v>0</v>
      </c>
    </row>
    <row r="56" spans="2:32" x14ac:dyDescent="0.25">
      <c r="B56" t="str">
        <f>'5. LNG- ISO_Expansion'!$AA$12</f>
        <v>LNG ISO Exp 4</v>
      </c>
      <c r="C56" s="500">
        <f>'Supply Porfolio (Live)'!G45</f>
        <v>0</v>
      </c>
      <c r="D56" s="500">
        <f>'Supply Porfolio (Live)'!H45</f>
        <v>0</v>
      </c>
      <c r="E56" s="500">
        <f>'Supply Porfolio (Live)'!I45</f>
        <v>0</v>
      </c>
      <c r="F56" s="500">
        <f>'Supply Porfolio (Live)'!J45</f>
        <v>0</v>
      </c>
      <c r="G56" s="500">
        <f>'Supply Porfolio (Live)'!K45</f>
        <v>0</v>
      </c>
      <c r="H56" s="500">
        <f>'Supply Porfolio (Live)'!L45</f>
        <v>0</v>
      </c>
      <c r="I56" s="500">
        <f>'Supply Porfolio (Live)'!M45</f>
        <v>0</v>
      </c>
      <c r="J56" s="500">
        <f>'Supply Porfolio (Live)'!N45</f>
        <v>0</v>
      </c>
      <c r="K56" s="500">
        <f>'Supply Porfolio (Live)'!O45</f>
        <v>0</v>
      </c>
      <c r="L56" s="500">
        <f>'Supply Porfolio (Live)'!P45</f>
        <v>0</v>
      </c>
      <c r="M56" s="500">
        <f>'Supply Porfolio (Live)'!Q45</f>
        <v>0</v>
      </c>
      <c r="N56" s="500">
        <f>'Supply Porfolio (Live)'!R45</f>
        <v>0</v>
      </c>
      <c r="O56" s="500">
        <f>'Supply Porfolio (Live)'!S45</f>
        <v>0</v>
      </c>
      <c r="P56" s="500">
        <f>'Supply Porfolio (Live)'!T45</f>
        <v>0</v>
      </c>
      <c r="Q56" s="500">
        <f>'Supply Porfolio (Live)'!U45</f>
        <v>0</v>
      </c>
      <c r="R56" s="500">
        <f>'Supply Porfolio (Live)'!V45</f>
        <v>0</v>
      </c>
      <c r="S56" s="500">
        <f>'Supply Porfolio (Live)'!W45</f>
        <v>0</v>
      </c>
      <c r="T56" s="500">
        <f>'Supply Porfolio (Live)'!X45</f>
        <v>0</v>
      </c>
      <c r="U56" s="500">
        <f>'Supply Porfolio (Live)'!Y45</f>
        <v>0</v>
      </c>
      <c r="V56" s="500">
        <f>'Supply Porfolio (Live)'!Z45</f>
        <v>0</v>
      </c>
      <c r="W56" s="500">
        <f>'Supply Porfolio (Live)'!AA45</f>
        <v>0</v>
      </c>
      <c r="X56" s="500">
        <f>'Supply Porfolio (Live)'!AB45</f>
        <v>0</v>
      </c>
      <c r="Y56" s="500">
        <f>'Supply Porfolio (Live)'!AC45</f>
        <v>0</v>
      </c>
      <c r="Z56" s="500">
        <f>'Supply Porfolio (Live)'!AD45</f>
        <v>0</v>
      </c>
      <c r="AA56" s="500">
        <f>'Supply Porfolio (Live)'!AE45</f>
        <v>0</v>
      </c>
      <c r="AB56" s="500">
        <f>'Supply Porfolio (Live)'!AF45</f>
        <v>0</v>
      </c>
      <c r="AC56" s="500">
        <f>'Supply Porfolio (Live)'!AG45</f>
        <v>0</v>
      </c>
      <c r="AD56" s="500">
        <f>'Supply Porfolio (Live)'!AH45</f>
        <v>0</v>
      </c>
      <c r="AE56" s="500">
        <f>'Supply Porfolio (Live)'!AI45</f>
        <v>0</v>
      </c>
    </row>
    <row r="57" spans="2:32" x14ac:dyDescent="0.25">
      <c r="B57" t="str">
        <f>'5. LNG- ISO_Expansion'!$AB$12</f>
        <v>LNG ISO Exp 5</v>
      </c>
      <c r="C57" s="500">
        <f>'Supply Porfolio (Live)'!G46</f>
        <v>0</v>
      </c>
      <c r="D57" s="500">
        <f>'Supply Porfolio (Live)'!H46</f>
        <v>0</v>
      </c>
      <c r="E57" s="500">
        <f>'Supply Porfolio (Live)'!I46</f>
        <v>0</v>
      </c>
      <c r="F57" s="500">
        <f>'Supply Porfolio (Live)'!J46</f>
        <v>0</v>
      </c>
      <c r="G57" s="500">
        <f>'Supply Porfolio (Live)'!K46</f>
        <v>0</v>
      </c>
      <c r="H57" s="500">
        <f>'Supply Porfolio (Live)'!L46</f>
        <v>0</v>
      </c>
      <c r="I57" s="500">
        <f>'Supply Porfolio (Live)'!M46</f>
        <v>0</v>
      </c>
      <c r="J57" s="500">
        <f>'Supply Porfolio (Live)'!N46</f>
        <v>0</v>
      </c>
      <c r="K57" s="500">
        <f>'Supply Porfolio (Live)'!O46</f>
        <v>0</v>
      </c>
      <c r="L57" s="500">
        <f>'Supply Porfolio (Live)'!P46</f>
        <v>0</v>
      </c>
      <c r="M57" s="500">
        <f>'Supply Porfolio (Live)'!Q46</f>
        <v>0</v>
      </c>
      <c r="N57" s="500">
        <f>'Supply Porfolio (Live)'!R46</f>
        <v>0</v>
      </c>
      <c r="O57" s="500">
        <f>'Supply Porfolio (Live)'!S46</f>
        <v>0</v>
      </c>
      <c r="P57" s="500">
        <f>'Supply Porfolio (Live)'!T46</f>
        <v>0</v>
      </c>
      <c r="Q57" s="500">
        <f>'Supply Porfolio (Live)'!U46</f>
        <v>0</v>
      </c>
      <c r="R57" s="500">
        <f>'Supply Porfolio (Live)'!V46</f>
        <v>0</v>
      </c>
      <c r="S57" s="500">
        <f>'Supply Porfolio (Live)'!W46</f>
        <v>0</v>
      </c>
      <c r="T57" s="500">
        <f>'Supply Porfolio (Live)'!X46</f>
        <v>0</v>
      </c>
      <c r="U57" s="500">
        <f>'Supply Porfolio (Live)'!Y46</f>
        <v>0</v>
      </c>
      <c r="V57" s="500">
        <f>'Supply Porfolio (Live)'!Z46</f>
        <v>0</v>
      </c>
      <c r="W57" s="500">
        <f>'Supply Porfolio (Live)'!AA46</f>
        <v>0</v>
      </c>
      <c r="X57" s="500">
        <f>'Supply Porfolio (Live)'!AB46</f>
        <v>0</v>
      </c>
      <c r="Y57" s="500">
        <f>'Supply Porfolio (Live)'!AC46</f>
        <v>0</v>
      </c>
      <c r="Z57" s="500">
        <f>'Supply Porfolio (Live)'!AD46</f>
        <v>0</v>
      </c>
      <c r="AA57" s="500">
        <f>'Supply Porfolio (Live)'!AE46</f>
        <v>0</v>
      </c>
      <c r="AB57" s="500">
        <f>'Supply Porfolio (Live)'!AF46</f>
        <v>0</v>
      </c>
      <c r="AC57" s="500">
        <f>'Supply Porfolio (Live)'!AG46</f>
        <v>0</v>
      </c>
      <c r="AD57" s="500">
        <f>'Supply Porfolio (Live)'!AH46</f>
        <v>0</v>
      </c>
      <c r="AE57" s="500">
        <f>'Supply Porfolio (Live)'!AI46</f>
        <v>0</v>
      </c>
    </row>
    <row r="58" spans="2:32" x14ac:dyDescent="0.25">
      <c r="B58" t="s">
        <v>384</v>
      </c>
      <c r="C58" s="500">
        <f>'Supply Porfolio (Live)'!G47</f>
        <v>0</v>
      </c>
      <c r="D58" s="500">
        <f>'Supply Porfolio (Live)'!H47</f>
        <v>0</v>
      </c>
      <c r="E58" s="500">
        <f>'Supply Porfolio (Live)'!I47</f>
        <v>0</v>
      </c>
      <c r="F58" s="500">
        <f>'Supply Porfolio (Live)'!J47</f>
        <v>0</v>
      </c>
      <c r="G58" s="500">
        <f>'Supply Porfolio (Live)'!K47</f>
        <v>0</v>
      </c>
      <c r="H58" s="500">
        <f>'Supply Porfolio (Live)'!L47</f>
        <v>0</v>
      </c>
      <c r="I58" s="500">
        <f>'Supply Porfolio (Live)'!M47</f>
        <v>0</v>
      </c>
      <c r="J58" s="500">
        <f>'Supply Porfolio (Live)'!N47</f>
        <v>0</v>
      </c>
      <c r="K58" s="500">
        <f>'Supply Porfolio (Live)'!O47</f>
        <v>0</v>
      </c>
      <c r="L58" s="500">
        <f>'Supply Porfolio (Live)'!P47</f>
        <v>0</v>
      </c>
      <c r="M58" s="500">
        <f>'Supply Porfolio (Live)'!Q47</f>
        <v>0</v>
      </c>
      <c r="N58" s="500">
        <f>'Supply Porfolio (Live)'!R47</f>
        <v>0</v>
      </c>
      <c r="O58" s="500">
        <f>'Supply Porfolio (Live)'!S47</f>
        <v>0</v>
      </c>
      <c r="P58" s="500">
        <f>'Supply Porfolio (Live)'!T47</f>
        <v>0</v>
      </c>
      <c r="Q58" s="500">
        <f>'Supply Porfolio (Live)'!U47</f>
        <v>0</v>
      </c>
      <c r="R58" s="500">
        <f>'Supply Porfolio (Live)'!V47</f>
        <v>0</v>
      </c>
      <c r="S58" s="500">
        <f>'Supply Porfolio (Live)'!W47</f>
        <v>0</v>
      </c>
      <c r="T58" s="500">
        <f>'Supply Porfolio (Live)'!X47</f>
        <v>0</v>
      </c>
      <c r="U58" s="500">
        <f>'Supply Porfolio (Live)'!Y47</f>
        <v>0</v>
      </c>
      <c r="V58" s="500">
        <f>'Supply Porfolio (Live)'!Z47</f>
        <v>0</v>
      </c>
      <c r="W58" s="500">
        <f>'Supply Porfolio (Live)'!AA47</f>
        <v>0</v>
      </c>
      <c r="X58" s="500">
        <f>'Supply Porfolio (Live)'!AB47</f>
        <v>0</v>
      </c>
      <c r="Y58" s="500">
        <f>'Supply Porfolio (Live)'!AC47</f>
        <v>0</v>
      </c>
      <c r="Z58" s="500">
        <f>'Supply Porfolio (Live)'!AD47</f>
        <v>0</v>
      </c>
      <c r="AA58" s="500">
        <f>'Supply Porfolio (Live)'!AE47</f>
        <v>0</v>
      </c>
      <c r="AB58" s="500">
        <f>'Supply Porfolio (Live)'!AF47</f>
        <v>0</v>
      </c>
      <c r="AC58" s="500">
        <f>'Supply Porfolio (Live)'!AG47</f>
        <v>0</v>
      </c>
      <c r="AD58" s="500">
        <f>'Supply Porfolio (Live)'!AH47</f>
        <v>0</v>
      </c>
      <c r="AE58" s="500">
        <f>'Supply Porfolio (Live)'!AI47</f>
        <v>0</v>
      </c>
    </row>
    <row r="59" spans="2:32" x14ac:dyDescent="0.25">
      <c r="C59" s="500"/>
      <c r="D59" s="500"/>
      <c r="E59" s="500"/>
      <c r="F59" s="500"/>
      <c r="G59" s="500"/>
      <c r="H59" s="500"/>
      <c r="I59" s="500"/>
      <c r="J59" s="500"/>
      <c r="K59" s="500"/>
      <c r="L59" s="500"/>
      <c r="M59" s="500"/>
      <c r="N59" s="500"/>
      <c r="O59" s="500"/>
      <c r="P59" s="500"/>
      <c r="Q59" s="500"/>
      <c r="R59" s="500"/>
      <c r="S59" s="500"/>
      <c r="T59" s="500"/>
      <c r="U59" s="500"/>
      <c r="V59" s="500"/>
      <c r="W59" s="500"/>
      <c r="X59" s="500"/>
      <c r="Y59" s="500"/>
      <c r="Z59" s="500"/>
      <c r="AA59" s="500"/>
      <c r="AB59" s="500"/>
      <c r="AC59" s="500"/>
      <c r="AD59" s="500"/>
      <c r="AE59" s="500"/>
    </row>
    <row r="60" spans="2:32" x14ac:dyDescent="0.25">
      <c r="C60" s="55">
        <v>2022</v>
      </c>
      <c r="D60" s="55">
        <v>2023</v>
      </c>
      <c r="E60" s="55">
        <v>2024</v>
      </c>
      <c r="F60" s="55">
        <v>2025</v>
      </c>
      <c r="G60" s="55">
        <v>2026</v>
      </c>
      <c r="H60" s="55">
        <v>2027</v>
      </c>
      <c r="I60" s="55">
        <v>2028</v>
      </c>
      <c r="J60" s="55">
        <v>2029</v>
      </c>
      <c r="K60" s="55">
        <v>2030</v>
      </c>
      <c r="L60" s="55">
        <v>2031</v>
      </c>
      <c r="M60" s="55">
        <v>2032</v>
      </c>
      <c r="N60" s="55">
        <v>2033</v>
      </c>
      <c r="O60" s="55">
        <v>2034</v>
      </c>
      <c r="P60" s="55">
        <v>2035</v>
      </c>
      <c r="Q60" s="55">
        <v>2036</v>
      </c>
      <c r="R60" s="55">
        <v>2037</v>
      </c>
      <c r="S60" s="55">
        <v>2038</v>
      </c>
      <c r="T60" s="55">
        <v>2039</v>
      </c>
      <c r="U60" s="55">
        <v>2040</v>
      </c>
      <c r="V60" s="55">
        <v>2041</v>
      </c>
      <c r="W60" s="55">
        <v>2042</v>
      </c>
      <c r="X60" s="55">
        <v>2043</v>
      </c>
      <c r="Y60" s="55">
        <v>2044</v>
      </c>
      <c r="Z60" s="55">
        <v>2045</v>
      </c>
      <c r="AA60" s="55">
        <v>2046</v>
      </c>
      <c r="AB60" s="55">
        <v>2047</v>
      </c>
      <c r="AC60" s="55">
        <v>2048</v>
      </c>
      <c r="AD60" s="55">
        <v>2049</v>
      </c>
      <c r="AE60" s="55">
        <v>2050</v>
      </c>
    </row>
    <row r="61" spans="2:32" x14ac:dyDescent="0.25">
      <c r="B61" t="str">
        <f>'8a. RNG'!$F$12</f>
        <v>LFG, WWTP, AgCrop (1)</v>
      </c>
      <c r="C61" t="s">
        <v>0</v>
      </c>
      <c r="D61">
        <f t="shared" ref="D61:AE61" si="4">IF(D45&gt;1,1,0)</f>
        <v>0</v>
      </c>
      <c r="E61">
        <f t="shared" si="4"/>
        <v>0</v>
      </c>
      <c r="F61">
        <f t="shared" si="4"/>
        <v>1</v>
      </c>
      <c r="G61">
        <f t="shared" si="4"/>
        <v>1</v>
      </c>
      <c r="H61">
        <f t="shared" si="4"/>
        <v>1</v>
      </c>
      <c r="I61">
        <f t="shared" si="4"/>
        <v>1</v>
      </c>
      <c r="J61">
        <f t="shared" si="4"/>
        <v>1</v>
      </c>
      <c r="K61">
        <f t="shared" si="4"/>
        <v>1</v>
      </c>
      <c r="L61">
        <f t="shared" si="4"/>
        <v>1</v>
      </c>
      <c r="M61">
        <f t="shared" si="4"/>
        <v>1</v>
      </c>
      <c r="N61">
        <f t="shared" si="4"/>
        <v>1</v>
      </c>
      <c r="O61">
        <f t="shared" si="4"/>
        <v>1</v>
      </c>
      <c r="P61">
        <f t="shared" si="4"/>
        <v>1</v>
      </c>
      <c r="Q61">
        <f t="shared" si="4"/>
        <v>1</v>
      </c>
      <c r="R61">
        <f t="shared" si="4"/>
        <v>1</v>
      </c>
      <c r="S61">
        <f t="shared" si="4"/>
        <v>1</v>
      </c>
      <c r="T61">
        <f t="shared" si="4"/>
        <v>1</v>
      </c>
      <c r="U61">
        <f t="shared" si="4"/>
        <v>1</v>
      </c>
      <c r="V61">
        <f t="shared" si="4"/>
        <v>1</v>
      </c>
      <c r="W61">
        <f t="shared" si="4"/>
        <v>1</v>
      </c>
      <c r="X61">
        <f t="shared" si="4"/>
        <v>1</v>
      </c>
      <c r="Y61">
        <f t="shared" si="4"/>
        <v>1</v>
      </c>
      <c r="Z61">
        <f t="shared" si="4"/>
        <v>1</v>
      </c>
      <c r="AA61">
        <f t="shared" si="4"/>
        <v>1</v>
      </c>
      <c r="AB61">
        <f t="shared" si="4"/>
        <v>1</v>
      </c>
      <c r="AC61">
        <f t="shared" si="4"/>
        <v>1</v>
      </c>
      <c r="AD61">
        <f t="shared" si="4"/>
        <v>1</v>
      </c>
      <c r="AE61">
        <f t="shared" si="4"/>
        <v>1</v>
      </c>
      <c r="AF61">
        <f>AE61</f>
        <v>1</v>
      </c>
    </row>
    <row r="62" spans="2:32" x14ac:dyDescent="0.25">
      <c r="B62" t="str">
        <f>'8a. RNG'!$G$12</f>
        <v>LFG, WWTP, AgCrop (2)</v>
      </c>
      <c r="D62">
        <f t="shared" ref="D62:AE62" si="5">IF(D46&gt;1,1,0)</f>
        <v>0</v>
      </c>
      <c r="E62">
        <f t="shared" si="5"/>
        <v>0</v>
      </c>
      <c r="F62">
        <f t="shared" si="5"/>
        <v>0</v>
      </c>
      <c r="G62">
        <f t="shared" si="5"/>
        <v>0</v>
      </c>
      <c r="H62">
        <f t="shared" si="5"/>
        <v>0</v>
      </c>
      <c r="I62">
        <f t="shared" si="5"/>
        <v>0</v>
      </c>
      <c r="J62">
        <f t="shared" si="5"/>
        <v>0</v>
      </c>
      <c r="K62">
        <f t="shared" si="5"/>
        <v>1</v>
      </c>
      <c r="L62">
        <f t="shared" si="5"/>
        <v>1</v>
      </c>
      <c r="M62">
        <f t="shared" si="5"/>
        <v>1</v>
      </c>
      <c r="N62">
        <f t="shared" si="5"/>
        <v>1</v>
      </c>
      <c r="O62">
        <f t="shared" si="5"/>
        <v>1</v>
      </c>
      <c r="P62">
        <f t="shared" si="5"/>
        <v>1</v>
      </c>
      <c r="Q62">
        <f t="shared" si="5"/>
        <v>1</v>
      </c>
      <c r="R62">
        <f t="shared" si="5"/>
        <v>1</v>
      </c>
      <c r="S62">
        <f t="shared" si="5"/>
        <v>1</v>
      </c>
      <c r="T62">
        <f t="shared" si="5"/>
        <v>1</v>
      </c>
      <c r="U62">
        <f t="shared" si="5"/>
        <v>1</v>
      </c>
      <c r="V62">
        <f t="shared" si="5"/>
        <v>1</v>
      </c>
      <c r="W62">
        <f t="shared" si="5"/>
        <v>1</v>
      </c>
      <c r="X62">
        <f t="shared" si="5"/>
        <v>1</v>
      </c>
      <c r="Y62">
        <f t="shared" si="5"/>
        <v>1</v>
      </c>
      <c r="Z62">
        <f t="shared" si="5"/>
        <v>1</v>
      </c>
      <c r="AA62">
        <f t="shared" si="5"/>
        <v>1</v>
      </c>
      <c r="AB62">
        <f t="shared" si="5"/>
        <v>1</v>
      </c>
      <c r="AC62">
        <f t="shared" si="5"/>
        <v>1</v>
      </c>
      <c r="AD62">
        <f t="shared" si="5"/>
        <v>1</v>
      </c>
      <c r="AE62">
        <f t="shared" si="5"/>
        <v>1</v>
      </c>
      <c r="AF62">
        <f t="shared" ref="AF62:AF74" si="6">AE62</f>
        <v>1</v>
      </c>
    </row>
    <row r="63" spans="2:32" x14ac:dyDescent="0.25">
      <c r="B63" t="str">
        <f>'8a. RNG'!$H$12</f>
        <v>LFG, WWTP, AgCrop (3)</v>
      </c>
      <c r="D63">
        <f t="shared" ref="D63:AE63" si="7">IF(D47&gt;1,1,0)</f>
        <v>0</v>
      </c>
      <c r="E63">
        <f t="shared" si="7"/>
        <v>0</v>
      </c>
      <c r="F63">
        <f t="shared" si="7"/>
        <v>0</v>
      </c>
      <c r="G63">
        <f t="shared" si="7"/>
        <v>0</v>
      </c>
      <c r="H63">
        <f t="shared" si="7"/>
        <v>0</v>
      </c>
      <c r="I63">
        <f t="shared" si="7"/>
        <v>0</v>
      </c>
      <c r="J63">
        <f t="shared" si="7"/>
        <v>0</v>
      </c>
      <c r="K63">
        <f t="shared" si="7"/>
        <v>0</v>
      </c>
      <c r="L63">
        <f t="shared" si="7"/>
        <v>0</v>
      </c>
      <c r="M63">
        <f t="shared" si="7"/>
        <v>0</v>
      </c>
      <c r="N63">
        <f t="shared" si="7"/>
        <v>0</v>
      </c>
      <c r="O63">
        <f t="shared" si="7"/>
        <v>0</v>
      </c>
      <c r="P63">
        <f t="shared" si="7"/>
        <v>1</v>
      </c>
      <c r="Q63">
        <f t="shared" si="7"/>
        <v>1</v>
      </c>
      <c r="R63">
        <f t="shared" si="7"/>
        <v>1</v>
      </c>
      <c r="S63">
        <f t="shared" si="7"/>
        <v>1</v>
      </c>
      <c r="T63">
        <f t="shared" si="7"/>
        <v>1</v>
      </c>
      <c r="U63">
        <f t="shared" si="7"/>
        <v>1</v>
      </c>
      <c r="V63">
        <f t="shared" si="7"/>
        <v>1</v>
      </c>
      <c r="W63">
        <f t="shared" si="7"/>
        <v>1</v>
      </c>
      <c r="X63">
        <f t="shared" si="7"/>
        <v>1</v>
      </c>
      <c r="Y63">
        <f t="shared" si="7"/>
        <v>1</v>
      </c>
      <c r="Z63">
        <f t="shared" si="7"/>
        <v>1</v>
      </c>
      <c r="AA63">
        <f t="shared" si="7"/>
        <v>1</v>
      </c>
      <c r="AB63">
        <f t="shared" si="7"/>
        <v>1</v>
      </c>
      <c r="AC63">
        <f t="shared" si="7"/>
        <v>1</v>
      </c>
      <c r="AD63">
        <f t="shared" si="7"/>
        <v>1</v>
      </c>
      <c r="AE63">
        <f t="shared" si="7"/>
        <v>1</v>
      </c>
      <c r="AF63">
        <f t="shared" si="6"/>
        <v>1</v>
      </c>
    </row>
    <row r="64" spans="2:32" x14ac:dyDescent="0.25">
      <c r="B64" t="str">
        <f>'8a. RNG'!$P$12</f>
        <v>CDW Exp. 1</v>
      </c>
      <c r="D64">
        <f t="shared" ref="D64:AE64" si="8">IF(D48&gt;1,1,0)</f>
        <v>0</v>
      </c>
      <c r="E64">
        <f t="shared" si="8"/>
        <v>0</v>
      </c>
      <c r="F64">
        <f t="shared" si="8"/>
        <v>0</v>
      </c>
      <c r="G64">
        <f t="shared" si="8"/>
        <v>0</v>
      </c>
      <c r="H64">
        <f t="shared" si="8"/>
        <v>0</v>
      </c>
      <c r="I64">
        <f t="shared" si="8"/>
        <v>0</v>
      </c>
      <c r="J64">
        <f t="shared" si="8"/>
        <v>0</v>
      </c>
      <c r="K64">
        <f t="shared" si="8"/>
        <v>0</v>
      </c>
      <c r="L64">
        <f t="shared" si="8"/>
        <v>0</v>
      </c>
      <c r="M64">
        <f t="shared" si="8"/>
        <v>0</v>
      </c>
      <c r="N64">
        <f t="shared" si="8"/>
        <v>0</v>
      </c>
      <c r="O64">
        <f t="shared" si="8"/>
        <v>0</v>
      </c>
      <c r="P64">
        <f t="shared" si="8"/>
        <v>0</v>
      </c>
      <c r="Q64">
        <f t="shared" si="8"/>
        <v>0</v>
      </c>
      <c r="R64">
        <f t="shared" si="8"/>
        <v>0</v>
      </c>
      <c r="S64">
        <f t="shared" si="8"/>
        <v>0</v>
      </c>
      <c r="T64">
        <f t="shared" si="8"/>
        <v>0</v>
      </c>
      <c r="U64">
        <f t="shared" si="8"/>
        <v>1</v>
      </c>
      <c r="V64">
        <f t="shared" si="8"/>
        <v>1</v>
      </c>
      <c r="W64">
        <f t="shared" si="8"/>
        <v>1</v>
      </c>
      <c r="X64">
        <f t="shared" si="8"/>
        <v>1</v>
      </c>
      <c r="Y64">
        <f t="shared" si="8"/>
        <v>1</v>
      </c>
      <c r="Z64">
        <f t="shared" si="8"/>
        <v>1</v>
      </c>
      <c r="AA64">
        <f t="shared" si="8"/>
        <v>1</v>
      </c>
      <c r="AB64">
        <f t="shared" si="8"/>
        <v>1</v>
      </c>
      <c r="AC64">
        <f t="shared" si="8"/>
        <v>1</v>
      </c>
      <c r="AD64">
        <f t="shared" si="8"/>
        <v>1</v>
      </c>
      <c r="AE64">
        <f t="shared" si="8"/>
        <v>1</v>
      </c>
      <c r="AF64">
        <f t="shared" si="6"/>
        <v>1</v>
      </c>
    </row>
    <row r="65" spans="2:32" x14ac:dyDescent="0.25">
      <c r="B65" t="str">
        <f>'8a. RNG'!$Q$12</f>
        <v>CDW Exp. 2</v>
      </c>
      <c r="D65">
        <f t="shared" ref="D65:AE65" si="9">IF(D49&gt;1,1,0)</f>
        <v>0</v>
      </c>
      <c r="E65">
        <f t="shared" si="9"/>
        <v>0</v>
      </c>
      <c r="F65">
        <f t="shared" si="9"/>
        <v>0</v>
      </c>
      <c r="G65">
        <f t="shared" si="9"/>
        <v>0</v>
      </c>
      <c r="H65">
        <f t="shared" si="9"/>
        <v>0</v>
      </c>
      <c r="I65">
        <f t="shared" si="9"/>
        <v>0</v>
      </c>
      <c r="J65">
        <f t="shared" si="9"/>
        <v>0</v>
      </c>
      <c r="K65">
        <f t="shared" si="9"/>
        <v>0</v>
      </c>
      <c r="L65">
        <f t="shared" si="9"/>
        <v>0</v>
      </c>
      <c r="M65">
        <f t="shared" si="9"/>
        <v>0</v>
      </c>
      <c r="N65">
        <f t="shared" si="9"/>
        <v>0</v>
      </c>
      <c r="O65">
        <f t="shared" si="9"/>
        <v>0</v>
      </c>
      <c r="P65">
        <f t="shared" si="9"/>
        <v>0</v>
      </c>
      <c r="Q65">
        <f t="shared" si="9"/>
        <v>0</v>
      </c>
      <c r="R65">
        <f t="shared" si="9"/>
        <v>0</v>
      </c>
      <c r="S65">
        <f t="shared" si="9"/>
        <v>0</v>
      </c>
      <c r="T65">
        <f t="shared" si="9"/>
        <v>0</v>
      </c>
      <c r="U65">
        <f t="shared" si="9"/>
        <v>0</v>
      </c>
      <c r="V65">
        <f t="shared" si="9"/>
        <v>0</v>
      </c>
      <c r="W65">
        <f t="shared" si="9"/>
        <v>0</v>
      </c>
      <c r="X65">
        <f t="shared" si="9"/>
        <v>0</v>
      </c>
      <c r="Y65">
        <f t="shared" si="9"/>
        <v>0</v>
      </c>
      <c r="Z65">
        <f t="shared" si="9"/>
        <v>0</v>
      </c>
      <c r="AA65">
        <f t="shared" si="9"/>
        <v>0</v>
      </c>
      <c r="AB65">
        <f t="shared" si="9"/>
        <v>0</v>
      </c>
      <c r="AC65">
        <f t="shared" si="9"/>
        <v>0</v>
      </c>
      <c r="AD65">
        <f t="shared" si="9"/>
        <v>0</v>
      </c>
      <c r="AE65">
        <f t="shared" si="9"/>
        <v>0</v>
      </c>
      <c r="AF65">
        <f t="shared" si="6"/>
        <v>0</v>
      </c>
    </row>
    <row r="66" spans="2:32" x14ac:dyDescent="0.25">
      <c r="B66" t="str">
        <f>'8a. RNG'!$R$12</f>
        <v>CDW Exp. 3</v>
      </c>
      <c r="D66">
        <f t="shared" ref="D66:AE66" si="10">IF(D50&gt;1,1,0)</f>
        <v>0</v>
      </c>
      <c r="E66">
        <f t="shared" si="10"/>
        <v>0</v>
      </c>
      <c r="F66">
        <f t="shared" si="10"/>
        <v>0</v>
      </c>
      <c r="G66">
        <f t="shared" si="10"/>
        <v>0</v>
      </c>
      <c r="H66">
        <f t="shared" si="10"/>
        <v>0</v>
      </c>
      <c r="I66">
        <f t="shared" si="10"/>
        <v>0</v>
      </c>
      <c r="J66">
        <f t="shared" si="10"/>
        <v>0</v>
      </c>
      <c r="K66">
        <f t="shared" si="10"/>
        <v>0</v>
      </c>
      <c r="L66">
        <f t="shared" si="10"/>
        <v>0</v>
      </c>
      <c r="M66">
        <f t="shared" si="10"/>
        <v>0</v>
      </c>
      <c r="N66">
        <f t="shared" si="10"/>
        <v>0</v>
      </c>
      <c r="O66">
        <f t="shared" si="10"/>
        <v>0</v>
      </c>
      <c r="P66">
        <f t="shared" si="10"/>
        <v>0</v>
      </c>
      <c r="Q66">
        <f t="shared" si="10"/>
        <v>0</v>
      </c>
      <c r="R66">
        <f t="shared" si="10"/>
        <v>0</v>
      </c>
      <c r="S66">
        <f t="shared" si="10"/>
        <v>0</v>
      </c>
      <c r="T66">
        <f t="shared" si="10"/>
        <v>0</v>
      </c>
      <c r="U66">
        <f t="shared" si="10"/>
        <v>0</v>
      </c>
      <c r="V66">
        <f t="shared" si="10"/>
        <v>0</v>
      </c>
      <c r="W66">
        <f t="shared" si="10"/>
        <v>0</v>
      </c>
      <c r="X66">
        <f t="shared" si="10"/>
        <v>0</v>
      </c>
      <c r="Y66">
        <f t="shared" si="10"/>
        <v>0</v>
      </c>
      <c r="Z66">
        <f t="shared" si="10"/>
        <v>0</v>
      </c>
      <c r="AA66">
        <f t="shared" si="10"/>
        <v>0</v>
      </c>
      <c r="AB66">
        <f t="shared" si="10"/>
        <v>0</v>
      </c>
      <c r="AC66">
        <f t="shared" si="10"/>
        <v>0</v>
      </c>
      <c r="AD66">
        <f t="shared" si="10"/>
        <v>0</v>
      </c>
      <c r="AE66">
        <f t="shared" si="10"/>
        <v>0</v>
      </c>
      <c r="AF66">
        <f t="shared" si="6"/>
        <v>0</v>
      </c>
    </row>
    <row r="67" spans="2:32" x14ac:dyDescent="0.25">
      <c r="B67" t="str">
        <f>'8a. RNG'!$S$12</f>
        <v>CDW Exp. 4</v>
      </c>
      <c r="D67">
        <f t="shared" ref="D67:AE67" si="11">IF(D51&gt;1,1,0)</f>
        <v>0</v>
      </c>
      <c r="E67">
        <f t="shared" si="11"/>
        <v>0</v>
      </c>
      <c r="F67">
        <f t="shared" si="11"/>
        <v>0</v>
      </c>
      <c r="G67">
        <f t="shared" si="11"/>
        <v>0</v>
      </c>
      <c r="H67">
        <f t="shared" si="11"/>
        <v>0</v>
      </c>
      <c r="I67">
        <f t="shared" si="11"/>
        <v>0</v>
      </c>
      <c r="J67">
        <f t="shared" si="11"/>
        <v>0</v>
      </c>
      <c r="K67">
        <f t="shared" si="11"/>
        <v>0</v>
      </c>
      <c r="L67">
        <f t="shared" si="11"/>
        <v>0</v>
      </c>
      <c r="M67">
        <f t="shared" si="11"/>
        <v>0</v>
      </c>
      <c r="N67">
        <f t="shared" si="11"/>
        <v>0</v>
      </c>
      <c r="O67">
        <f t="shared" si="11"/>
        <v>0</v>
      </c>
      <c r="P67">
        <f t="shared" si="11"/>
        <v>0</v>
      </c>
      <c r="Q67">
        <f t="shared" si="11"/>
        <v>0</v>
      </c>
      <c r="R67">
        <f t="shared" si="11"/>
        <v>0</v>
      </c>
      <c r="S67">
        <f t="shared" si="11"/>
        <v>0</v>
      </c>
      <c r="T67">
        <f t="shared" si="11"/>
        <v>0</v>
      </c>
      <c r="U67">
        <f t="shared" si="11"/>
        <v>0</v>
      </c>
      <c r="V67">
        <f t="shared" si="11"/>
        <v>0</v>
      </c>
      <c r="W67">
        <f t="shared" si="11"/>
        <v>0</v>
      </c>
      <c r="X67">
        <f t="shared" si="11"/>
        <v>0</v>
      </c>
      <c r="Y67">
        <f t="shared" si="11"/>
        <v>0</v>
      </c>
      <c r="Z67">
        <f t="shared" si="11"/>
        <v>0</v>
      </c>
      <c r="AA67">
        <f t="shared" si="11"/>
        <v>0</v>
      </c>
      <c r="AB67">
        <f t="shared" si="11"/>
        <v>0</v>
      </c>
      <c r="AC67">
        <f t="shared" si="11"/>
        <v>0</v>
      </c>
      <c r="AD67">
        <f t="shared" si="11"/>
        <v>0</v>
      </c>
      <c r="AE67">
        <f t="shared" si="11"/>
        <v>0</v>
      </c>
      <c r="AF67">
        <f t="shared" si="6"/>
        <v>0</v>
      </c>
    </row>
    <row r="68" spans="2:32" x14ac:dyDescent="0.25">
      <c r="B68" t="str">
        <f>'8a. RNG'!$T$12</f>
        <v>CDW Exp. 5</v>
      </c>
      <c r="D68">
        <f t="shared" ref="D68:AE68" si="12">IF(D52&gt;1,1,0)</f>
        <v>0</v>
      </c>
      <c r="E68">
        <f t="shared" si="12"/>
        <v>0</v>
      </c>
      <c r="F68">
        <f t="shared" si="12"/>
        <v>0</v>
      </c>
      <c r="G68">
        <f t="shared" si="12"/>
        <v>0</v>
      </c>
      <c r="H68">
        <f t="shared" si="12"/>
        <v>0</v>
      </c>
      <c r="I68">
        <f t="shared" si="12"/>
        <v>0</v>
      </c>
      <c r="J68">
        <f t="shared" si="12"/>
        <v>0</v>
      </c>
      <c r="K68">
        <f t="shared" si="12"/>
        <v>0</v>
      </c>
      <c r="L68">
        <f t="shared" si="12"/>
        <v>0</v>
      </c>
      <c r="M68">
        <f t="shared" si="12"/>
        <v>0</v>
      </c>
      <c r="N68">
        <f t="shared" si="12"/>
        <v>0</v>
      </c>
      <c r="O68">
        <f t="shared" si="12"/>
        <v>0</v>
      </c>
      <c r="P68">
        <f t="shared" si="12"/>
        <v>0</v>
      </c>
      <c r="Q68">
        <f t="shared" si="12"/>
        <v>0</v>
      </c>
      <c r="R68">
        <f t="shared" si="12"/>
        <v>0</v>
      </c>
      <c r="S68">
        <f t="shared" si="12"/>
        <v>0</v>
      </c>
      <c r="T68">
        <f t="shared" si="12"/>
        <v>0</v>
      </c>
      <c r="U68">
        <f t="shared" si="12"/>
        <v>0</v>
      </c>
      <c r="V68">
        <f t="shared" si="12"/>
        <v>0</v>
      </c>
      <c r="W68">
        <f t="shared" si="12"/>
        <v>0</v>
      </c>
      <c r="X68">
        <f t="shared" si="12"/>
        <v>0</v>
      </c>
      <c r="Y68">
        <f t="shared" si="12"/>
        <v>0</v>
      </c>
      <c r="Z68">
        <f t="shared" si="12"/>
        <v>0</v>
      </c>
      <c r="AA68">
        <f t="shared" si="12"/>
        <v>0</v>
      </c>
      <c r="AB68">
        <f t="shared" si="12"/>
        <v>0</v>
      </c>
      <c r="AC68">
        <f t="shared" si="12"/>
        <v>0</v>
      </c>
      <c r="AD68">
        <f t="shared" si="12"/>
        <v>0</v>
      </c>
      <c r="AE68">
        <f t="shared" si="12"/>
        <v>0</v>
      </c>
      <c r="AF68">
        <f t="shared" si="6"/>
        <v>0</v>
      </c>
    </row>
    <row r="69" spans="2:32" x14ac:dyDescent="0.25">
      <c r="B69" t="str">
        <f>'5. LNG- ISO_Expansion'!$X$12</f>
        <v>LNG ISO Exp 1</v>
      </c>
      <c r="D69">
        <f t="shared" ref="D69:AE69" si="13">IF(D53&gt;1,1,0)</f>
        <v>0</v>
      </c>
      <c r="E69">
        <f t="shared" si="13"/>
        <v>0</v>
      </c>
      <c r="F69">
        <f t="shared" si="13"/>
        <v>0</v>
      </c>
      <c r="G69">
        <f t="shared" si="13"/>
        <v>0</v>
      </c>
      <c r="H69">
        <f t="shared" si="13"/>
        <v>0</v>
      </c>
      <c r="I69">
        <f t="shared" si="13"/>
        <v>0</v>
      </c>
      <c r="J69">
        <f t="shared" si="13"/>
        <v>0</v>
      </c>
      <c r="K69">
        <f t="shared" si="13"/>
        <v>0</v>
      </c>
      <c r="L69">
        <f t="shared" si="13"/>
        <v>0</v>
      </c>
      <c r="M69">
        <f t="shared" si="13"/>
        <v>0</v>
      </c>
      <c r="N69">
        <f t="shared" si="13"/>
        <v>0</v>
      </c>
      <c r="O69">
        <f t="shared" si="13"/>
        <v>0</v>
      </c>
      <c r="P69">
        <f t="shared" si="13"/>
        <v>0</v>
      </c>
      <c r="Q69">
        <f t="shared" si="13"/>
        <v>0</v>
      </c>
      <c r="R69">
        <f t="shared" si="13"/>
        <v>0</v>
      </c>
      <c r="S69">
        <f t="shared" si="13"/>
        <v>0</v>
      </c>
      <c r="T69">
        <f t="shared" si="13"/>
        <v>0</v>
      </c>
      <c r="U69">
        <f t="shared" si="13"/>
        <v>0</v>
      </c>
      <c r="V69">
        <f t="shared" si="13"/>
        <v>0</v>
      </c>
      <c r="W69">
        <f t="shared" si="13"/>
        <v>0</v>
      </c>
      <c r="X69">
        <f t="shared" si="13"/>
        <v>0</v>
      </c>
      <c r="Y69">
        <f t="shared" si="13"/>
        <v>0</v>
      </c>
      <c r="Z69">
        <f t="shared" si="13"/>
        <v>0</v>
      </c>
      <c r="AA69">
        <f t="shared" si="13"/>
        <v>0</v>
      </c>
      <c r="AB69">
        <f t="shared" si="13"/>
        <v>0</v>
      </c>
      <c r="AC69">
        <f t="shared" si="13"/>
        <v>0</v>
      </c>
      <c r="AD69">
        <f t="shared" si="13"/>
        <v>0</v>
      </c>
      <c r="AE69">
        <f t="shared" si="13"/>
        <v>0</v>
      </c>
      <c r="AF69">
        <f t="shared" si="6"/>
        <v>0</v>
      </c>
    </row>
    <row r="70" spans="2:32" x14ac:dyDescent="0.25">
      <c r="B70" t="str">
        <f>'5. LNG- ISO_Expansion'!$Y$12</f>
        <v>LNG ISO Exp 2</v>
      </c>
      <c r="D70">
        <f t="shared" ref="D70:AE70" si="14">IF(D54&gt;1,1,0)</f>
        <v>0</v>
      </c>
      <c r="E70">
        <f t="shared" si="14"/>
        <v>0</v>
      </c>
      <c r="F70">
        <f t="shared" si="14"/>
        <v>0</v>
      </c>
      <c r="G70">
        <f t="shared" si="14"/>
        <v>0</v>
      </c>
      <c r="H70">
        <f t="shared" si="14"/>
        <v>0</v>
      </c>
      <c r="I70">
        <f t="shared" si="14"/>
        <v>0</v>
      </c>
      <c r="J70">
        <f t="shared" si="14"/>
        <v>0</v>
      </c>
      <c r="K70">
        <f t="shared" si="14"/>
        <v>0</v>
      </c>
      <c r="L70">
        <f t="shared" si="14"/>
        <v>0</v>
      </c>
      <c r="M70">
        <f t="shared" si="14"/>
        <v>0</v>
      </c>
      <c r="N70">
        <f t="shared" si="14"/>
        <v>0</v>
      </c>
      <c r="O70">
        <f t="shared" si="14"/>
        <v>0</v>
      </c>
      <c r="P70">
        <f t="shared" si="14"/>
        <v>0</v>
      </c>
      <c r="Q70">
        <f t="shared" si="14"/>
        <v>0</v>
      </c>
      <c r="R70">
        <f t="shared" si="14"/>
        <v>0</v>
      </c>
      <c r="S70">
        <f t="shared" si="14"/>
        <v>0</v>
      </c>
      <c r="T70">
        <f t="shared" si="14"/>
        <v>0</v>
      </c>
      <c r="U70">
        <f t="shared" si="14"/>
        <v>0</v>
      </c>
      <c r="V70">
        <f t="shared" si="14"/>
        <v>0</v>
      </c>
      <c r="W70">
        <f t="shared" si="14"/>
        <v>0</v>
      </c>
      <c r="X70">
        <f t="shared" si="14"/>
        <v>0</v>
      </c>
      <c r="Y70">
        <f t="shared" si="14"/>
        <v>0</v>
      </c>
      <c r="Z70">
        <f t="shared" si="14"/>
        <v>0</v>
      </c>
      <c r="AA70">
        <f t="shared" si="14"/>
        <v>0</v>
      </c>
      <c r="AB70">
        <f t="shared" si="14"/>
        <v>0</v>
      </c>
      <c r="AC70">
        <f t="shared" si="14"/>
        <v>0</v>
      </c>
      <c r="AD70">
        <f t="shared" si="14"/>
        <v>0</v>
      </c>
      <c r="AE70">
        <f t="shared" si="14"/>
        <v>0</v>
      </c>
      <c r="AF70">
        <f t="shared" si="6"/>
        <v>0</v>
      </c>
    </row>
    <row r="71" spans="2:32" x14ac:dyDescent="0.25">
      <c r="B71" t="str">
        <f>'5. LNG- ISO_Expansion'!$Z$12</f>
        <v>LNG ISO Exp 3</v>
      </c>
      <c r="D71">
        <f t="shared" ref="D71:AE71" si="15">IF(D55&gt;1,1,0)</f>
        <v>0</v>
      </c>
      <c r="E71">
        <f t="shared" si="15"/>
        <v>0</v>
      </c>
      <c r="F71">
        <f t="shared" si="15"/>
        <v>0</v>
      </c>
      <c r="G71">
        <f t="shared" si="15"/>
        <v>0</v>
      </c>
      <c r="H71">
        <f t="shared" si="15"/>
        <v>0</v>
      </c>
      <c r="I71">
        <f t="shared" si="15"/>
        <v>0</v>
      </c>
      <c r="J71">
        <f t="shared" si="15"/>
        <v>0</v>
      </c>
      <c r="K71">
        <f t="shared" si="15"/>
        <v>0</v>
      </c>
      <c r="L71">
        <f t="shared" si="15"/>
        <v>0</v>
      </c>
      <c r="M71">
        <f t="shared" si="15"/>
        <v>0</v>
      </c>
      <c r="N71">
        <f t="shared" si="15"/>
        <v>0</v>
      </c>
      <c r="O71">
        <f t="shared" si="15"/>
        <v>0</v>
      </c>
      <c r="P71">
        <f t="shared" si="15"/>
        <v>0</v>
      </c>
      <c r="Q71">
        <f t="shared" si="15"/>
        <v>0</v>
      </c>
      <c r="R71">
        <f t="shared" si="15"/>
        <v>0</v>
      </c>
      <c r="S71">
        <f t="shared" si="15"/>
        <v>0</v>
      </c>
      <c r="T71">
        <f t="shared" si="15"/>
        <v>0</v>
      </c>
      <c r="U71">
        <f t="shared" si="15"/>
        <v>0</v>
      </c>
      <c r="V71">
        <f t="shared" si="15"/>
        <v>0</v>
      </c>
      <c r="W71">
        <f t="shared" si="15"/>
        <v>0</v>
      </c>
      <c r="X71">
        <f t="shared" si="15"/>
        <v>0</v>
      </c>
      <c r="Y71">
        <f t="shared" si="15"/>
        <v>0</v>
      </c>
      <c r="Z71">
        <f t="shared" si="15"/>
        <v>0</v>
      </c>
      <c r="AA71">
        <f t="shared" si="15"/>
        <v>0</v>
      </c>
      <c r="AB71">
        <f t="shared" si="15"/>
        <v>0</v>
      </c>
      <c r="AC71">
        <f t="shared" si="15"/>
        <v>0</v>
      </c>
      <c r="AD71">
        <f t="shared" si="15"/>
        <v>0</v>
      </c>
      <c r="AE71">
        <f t="shared" si="15"/>
        <v>0</v>
      </c>
      <c r="AF71">
        <f t="shared" si="6"/>
        <v>0</v>
      </c>
    </row>
    <row r="72" spans="2:32" x14ac:dyDescent="0.25">
      <c r="B72" t="str">
        <f>'5. LNG- ISO_Expansion'!$AA$12</f>
        <v>LNG ISO Exp 4</v>
      </c>
      <c r="D72">
        <f t="shared" ref="D72:AE72" si="16">IF(D56&gt;1,1,0)</f>
        <v>0</v>
      </c>
      <c r="E72">
        <f t="shared" si="16"/>
        <v>0</v>
      </c>
      <c r="F72">
        <f t="shared" si="16"/>
        <v>0</v>
      </c>
      <c r="G72">
        <f t="shared" si="16"/>
        <v>0</v>
      </c>
      <c r="H72">
        <f t="shared" si="16"/>
        <v>0</v>
      </c>
      <c r="I72">
        <f t="shared" si="16"/>
        <v>0</v>
      </c>
      <c r="J72">
        <f t="shared" si="16"/>
        <v>0</v>
      </c>
      <c r="K72">
        <f t="shared" si="16"/>
        <v>0</v>
      </c>
      <c r="L72">
        <f t="shared" si="16"/>
        <v>0</v>
      </c>
      <c r="M72">
        <f t="shared" si="16"/>
        <v>0</v>
      </c>
      <c r="N72">
        <f t="shared" si="16"/>
        <v>0</v>
      </c>
      <c r="O72">
        <f t="shared" si="16"/>
        <v>0</v>
      </c>
      <c r="P72">
        <f t="shared" si="16"/>
        <v>0</v>
      </c>
      <c r="Q72">
        <f t="shared" si="16"/>
        <v>0</v>
      </c>
      <c r="R72">
        <f t="shared" si="16"/>
        <v>0</v>
      </c>
      <c r="S72">
        <f t="shared" si="16"/>
        <v>0</v>
      </c>
      <c r="T72">
        <f t="shared" si="16"/>
        <v>0</v>
      </c>
      <c r="U72">
        <f t="shared" si="16"/>
        <v>0</v>
      </c>
      <c r="V72">
        <f t="shared" si="16"/>
        <v>0</v>
      </c>
      <c r="W72">
        <f t="shared" si="16"/>
        <v>0</v>
      </c>
      <c r="X72">
        <f t="shared" si="16"/>
        <v>0</v>
      </c>
      <c r="Y72">
        <f t="shared" si="16"/>
        <v>0</v>
      </c>
      <c r="Z72">
        <f t="shared" si="16"/>
        <v>0</v>
      </c>
      <c r="AA72">
        <f t="shared" si="16"/>
        <v>0</v>
      </c>
      <c r="AB72">
        <f t="shared" si="16"/>
        <v>0</v>
      </c>
      <c r="AC72">
        <f t="shared" si="16"/>
        <v>0</v>
      </c>
      <c r="AD72">
        <f t="shared" si="16"/>
        <v>0</v>
      </c>
      <c r="AE72">
        <f t="shared" si="16"/>
        <v>0</v>
      </c>
      <c r="AF72">
        <f t="shared" si="6"/>
        <v>0</v>
      </c>
    </row>
    <row r="73" spans="2:32" x14ac:dyDescent="0.25">
      <c r="B73" t="str">
        <f>'5. LNG- ISO_Expansion'!$AB$12</f>
        <v>LNG ISO Exp 5</v>
      </c>
      <c r="D73">
        <f t="shared" ref="D73:AE73" si="17">IF(D57&gt;1,1,0)</f>
        <v>0</v>
      </c>
      <c r="E73">
        <f t="shared" si="17"/>
        <v>0</v>
      </c>
      <c r="F73">
        <f t="shared" si="17"/>
        <v>0</v>
      </c>
      <c r="G73">
        <f t="shared" si="17"/>
        <v>0</v>
      </c>
      <c r="H73">
        <f t="shared" si="17"/>
        <v>0</v>
      </c>
      <c r="I73">
        <f t="shared" si="17"/>
        <v>0</v>
      </c>
      <c r="J73">
        <f t="shared" si="17"/>
        <v>0</v>
      </c>
      <c r="K73">
        <f t="shared" si="17"/>
        <v>0</v>
      </c>
      <c r="L73">
        <f t="shared" si="17"/>
        <v>0</v>
      </c>
      <c r="M73">
        <f t="shared" si="17"/>
        <v>0</v>
      </c>
      <c r="N73">
        <f t="shared" si="17"/>
        <v>0</v>
      </c>
      <c r="O73">
        <f t="shared" si="17"/>
        <v>0</v>
      </c>
      <c r="P73">
        <f t="shared" si="17"/>
        <v>0</v>
      </c>
      <c r="Q73">
        <f t="shared" si="17"/>
        <v>0</v>
      </c>
      <c r="R73">
        <f t="shared" si="17"/>
        <v>0</v>
      </c>
      <c r="S73">
        <f t="shared" si="17"/>
        <v>0</v>
      </c>
      <c r="T73">
        <f t="shared" si="17"/>
        <v>0</v>
      </c>
      <c r="U73">
        <f t="shared" si="17"/>
        <v>0</v>
      </c>
      <c r="V73">
        <f t="shared" si="17"/>
        <v>0</v>
      </c>
      <c r="W73">
        <f t="shared" si="17"/>
        <v>0</v>
      </c>
      <c r="X73">
        <f t="shared" si="17"/>
        <v>0</v>
      </c>
      <c r="Y73">
        <f t="shared" si="17"/>
        <v>0</v>
      </c>
      <c r="Z73">
        <f t="shared" si="17"/>
        <v>0</v>
      </c>
      <c r="AA73">
        <f t="shared" si="17"/>
        <v>0</v>
      </c>
      <c r="AB73">
        <f t="shared" si="17"/>
        <v>0</v>
      </c>
      <c r="AC73">
        <f t="shared" si="17"/>
        <v>0</v>
      </c>
      <c r="AD73">
        <f t="shared" si="17"/>
        <v>0</v>
      </c>
      <c r="AE73">
        <f t="shared" si="17"/>
        <v>0</v>
      </c>
      <c r="AF73">
        <f t="shared" si="6"/>
        <v>0</v>
      </c>
    </row>
    <row r="74" spans="2:32" x14ac:dyDescent="0.25">
      <c r="B74" t="s">
        <v>384</v>
      </c>
      <c r="D74">
        <f t="shared" ref="D74:AE74" si="18">IF(D58&gt;1,1,0)</f>
        <v>0</v>
      </c>
      <c r="E74">
        <f t="shared" si="18"/>
        <v>0</v>
      </c>
      <c r="F74">
        <f t="shared" si="18"/>
        <v>0</v>
      </c>
      <c r="G74">
        <f t="shared" si="18"/>
        <v>0</v>
      </c>
      <c r="H74">
        <f t="shared" si="18"/>
        <v>0</v>
      </c>
      <c r="I74">
        <f t="shared" si="18"/>
        <v>0</v>
      </c>
      <c r="J74">
        <f t="shared" si="18"/>
        <v>0</v>
      </c>
      <c r="K74">
        <f t="shared" si="18"/>
        <v>0</v>
      </c>
      <c r="L74">
        <f t="shared" si="18"/>
        <v>0</v>
      </c>
      <c r="M74">
        <f t="shared" si="18"/>
        <v>0</v>
      </c>
      <c r="N74">
        <f t="shared" si="18"/>
        <v>0</v>
      </c>
      <c r="O74">
        <f t="shared" si="18"/>
        <v>0</v>
      </c>
      <c r="P74">
        <f t="shared" si="18"/>
        <v>0</v>
      </c>
      <c r="Q74">
        <f t="shared" si="18"/>
        <v>0</v>
      </c>
      <c r="R74">
        <f t="shared" si="18"/>
        <v>0</v>
      </c>
      <c r="S74">
        <f t="shared" si="18"/>
        <v>0</v>
      </c>
      <c r="T74">
        <f t="shared" si="18"/>
        <v>0</v>
      </c>
      <c r="U74">
        <f t="shared" si="18"/>
        <v>0</v>
      </c>
      <c r="V74">
        <f t="shared" si="18"/>
        <v>0</v>
      </c>
      <c r="W74">
        <f t="shared" si="18"/>
        <v>0</v>
      </c>
      <c r="X74">
        <f t="shared" si="18"/>
        <v>0</v>
      </c>
      <c r="Y74">
        <f t="shared" si="18"/>
        <v>0</v>
      </c>
      <c r="Z74">
        <f t="shared" si="18"/>
        <v>0</v>
      </c>
      <c r="AA74">
        <f t="shared" si="18"/>
        <v>0</v>
      </c>
      <c r="AB74">
        <f t="shared" si="18"/>
        <v>0</v>
      </c>
      <c r="AC74">
        <f t="shared" si="18"/>
        <v>0</v>
      </c>
      <c r="AD74">
        <f t="shared" si="18"/>
        <v>0</v>
      </c>
      <c r="AE74">
        <f t="shared" si="18"/>
        <v>0</v>
      </c>
      <c r="AF74">
        <f t="shared" si="6"/>
        <v>0</v>
      </c>
    </row>
    <row r="76" spans="2:32" x14ac:dyDescent="0.25">
      <c r="C76" s="55">
        <v>2022</v>
      </c>
      <c r="D76" s="55">
        <v>2023</v>
      </c>
      <c r="E76" s="55">
        <v>2024</v>
      </c>
      <c r="F76" s="55">
        <v>2025</v>
      </c>
      <c r="G76" s="55">
        <v>2026</v>
      </c>
      <c r="H76" s="55">
        <v>2027</v>
      </c>
      <c r="I76" s="55">
        <v>2028</v>
      </c>
      <c r="J76" s="55">
        <v>2029</v>
      </c>
      <c r="K76" s="55">
        <v>2030</v>
      </c>
      <c r="L76" s="55">
        <v>2031</v>
      </c>
      <c r="M76" s="55">
        <v>2032</v>
      </c>
      <c r="N76" s="55">
        <v>2033</v>
      </c>
      <c r="O76" s="55">
        <v>2034</v>
      </c>
      <c r="P76" s="55">
        <v>2035</v>
      </c>
      <c r="Q76" s="55">
        <v>2036</v>
      </c>
      <c r="R76" s="55">
        <v>2037</v>
      </c>
      <c r="S76" s="55">
        <v>2038</v>
      </c>
      <c r="T76" s="55">
        <v>2039</v>
      </c>
      <c r="U76" s="55">
        <v>2040</v>
      </c>
      <c r="V76" s="55">
        <v>2041</v>
      </c>
      <c r="W76" s="55">
        <v>2042</v>
      </c>
      <c r="X76" s="55">
        <v>2043</v>
      </c>
      <c r="Y76" s="55">
        <v>2044</v>
      </c>
      <c r="Z76" s="55">
        <v>2045</v>
      </c>
      <c r="AA76" s="55">
        <v>2046</v>
      </c>
      <c r="AB76" s="55">
        <v>2047</v>
      </c>
      <c r="AC76" s="55">
        <v>2048</v>
      </c>
      <c r="AD76" s="55">
        <v>2049</v>
      </c>
      <c r="AE76" s="55">
        <v>2050</v>
      </c>
    </row>
    <row r="77" spans="2:32" x14ac:dyDescent="0.25">
      <c r="B77" t="str">
        <f>'8a. RNG'!$F$12</f>
        <v>LFG, WWTP, AgCrop (1)</v>
      </c>
      <c r="E77">
        <f t="shared" ref="E77:AF77" si="19">IF(E61=D61,0,1)</f>
        <v>0</v>
      </c>
      <c r="F77">
        <f t="shared" si="19"/>
        <v>1</v>
      </c>
      <c r="G77">
        <f t="shared" si="19"/>
        <v>0</v>
      </c>
      <c r="H77">
        <f t="shared" si="19"/>
        <v>0</v>
      </c>
      <c r="I77">
        <f t="shared" si="19"/>
        <v>0</v>
      </c>
      <c r="J77">
        <f t="shared" si="19"/>
        <v>0</v>
      </c>
      <c r="K77">
        <f t="shared" si="19"/>
        <v>0</v>
      </c>
      <c r="L77">
        <f t="shared" si="19"/>
        <v>0</v>
      </c>
      <c r="M77">
        <f t="shared" si="19"/>
        <v>0</v>
      </c>
      <c r="N77">
        <f t="shared" si="19"/>
        <v>0</v>
      </c>
      <c r="O77">
        <f t="shared" si="19"/>
        <v>0</v>
      </c>
      <c r="P77">
        <f t="shared" si="19"/>
        <v>0</v>
      </c>
      <c r="Q77">
        <f t="shared" si="19"/>
        <v>0</v>
      </c>
      <c r="R77">
        <f t="shared" si="19"/>
        <v>0</v>
      </c>
      <c r="S77">
        <f t="shared" si="19"/>
        <v>0</v>
      </c>
      <c r="T77">
        <f t="shared" si="19"/>
        <v>0</v>
      </c>
      <c r="U77">
        <f t="shared" si="19"/>
        <v>0</v>
      </c>
      <c r="V77">
        <f t="shared" si="19"/>
        <v>0</v>
      </c>
      <c r="W77">
        <f t="shared" si="19"/>
        <v>0</v>
      </c>
      <c r="X77">
        <f t="shared" si="19"/>
        <v>0</v>
      </c>
      <c r="Y77">
        <f t="shared" si="19"/>
        <v>0</v>
      </c>
      <c r="Z77">
        <f t="shared" si="19"/>
        <v>0</v>
      </c>
      <c r="AA77">
        <f t="shared" si="19"/>
        <v>0</v>
      </c>
      <c r="AB77">
        <f t="shared" si="19"/>
        <v>0</v>
      </c>
      <c r="AC77">
        <f t="shared" si="19"/>
        <v>0</v>
      </c>
      <c r="AD77">
        <f t="shared" si="19"/>
        <v>0</v>
      </c>
      <c r="AE77">
        <f t="shared" si="19"/>
        <v>0</v>
      </c>
      <c r="AF77">
        <f t="shared" si="19"/>
        <v>0</v>
      </c>
    </row>
    <row r="78" spans="2:32" x14ac:dyDescent="0.25">
      <c r="B78" t="str">
        <f>'8a. RNG'!$G$12</f>
        <v>LFG, WWTP, AgCrop (2)</v>
      </c>
      <c r="E78">
        <f t="shared" ref="E78:AF78" si="20">IF(E62=D62,0,1)</f>
        <v>0</v>
      </c>
      <c r="F78">
        <f t="shared" si="20"/>
        <v>0</v>
      </c>
      <c r="G78">
        <f t="shared" si="20"/>
        <v>0</v>
      </c>
      <c r="H78">
        <f t="shared" si="20"/>
        <v>0</v>
      </c>
      <c r="I78">
        <f t="shared" si="20"/>
        <v>0</v>
      </c>
      <c r="J78">
        <f t="shared" si="20"/>
        <v>0</v>
      </c>
      <c r="K78">
        <f t="shared" si="20"/>
        <v>1</v>
      </c>
      <c r="L78">
        <f t="shared" si="20"/>
        <v>0</v>
      </c>
      <c r="M78">
        <f t="shared" si="20"/>
        <v>0</v>
      </c>
      <c r="N78">
        <f t="shared" si="20"/>
        <v>0</v>
      </c>
      <c r="O78">
        <f t="shared" si="20"/>
        <v>0</v>
      </c>
      <c r="P78">
        <f t="shared" si="20"/>
        <v>0</v>
      </c>
      <c r="Q78">
        <f t="shared" si="20"/>
        <v>0</v>
      </c>
      <c r="R78">
        <f t="shared" si="20"/>
        <v>0</v>
      </c>
      <c r="S78">
        <f t="shared" si="20"/>
        <v>0</v>
      </c>
      <c r="T78">
        <f t="shared" si="20"/>
        <v>0</v>
      </c>
      <c r="U78">
        <f t="shared" si="20"/>
        <v>0</v>
      </c>
      <c r="V78">
        <f t="shared" si="20"/>
        <v>0</v>
      </c>
      <c r="W78">
        <f t="shared" si="20"/>
        <v>0</v>
      </c>
      <c r="X78">
        <f t="shared" si="20"/>
        <v>0</v>
      </c>
      <c r="Y78">
        <f t="shared" si="20"/>
        <v>0</v>
      </c>
      <c r="Z78">
        <f t="shared" si="20"/>
        <v>0</v>
      </c>
      <c r="AA78">
        <f t="shared" si="20"/>
        <v>0</v>
      </c>
      <c r="AB78">
        <f t="shared" si="20"/>
        <v>0</v>
      </c>
      <c r="AC78">
        <f t="shared" si="20"/>
        <v>0</v>
      </c>
      <c r="AD78">
        <f t="shared" si="20"/>
        <v>0</v>
      </c>
      <c r="AE78">
        <f t="shared" si="20"/>
        <v>0</v>
      </c>
      <c r="AF78">
        <f t="shared" si="20"/>
        <v>0</v>
      </c>
    </row>
    <row r="79" spans="2:32" x14ac:dyDescent="0.25">
      <c r="B79" t="str">
        <f>'8a. RNG'!$H$12</f>
        <v>LFG, WWTP, AgCrop (3)</v>
      </c>
      <c r="E79">
        <f t="shared" ref="E79:AF79" si="21">IF(E63=D63,0,1)</f>
        <v>0</v>
      </c>
      <c r="F79">
        <f t="shared" si="21"/>
        <v>0</v>
      </c>
      <c r="G79">
        <f t="shared" si="21"/>
        <v>0</v>
      </c>
      <c r="H79">
        <f t="shared" si="21"/>
        <v>0</v>
      </c>
      <c r="I79">
        <f t="shared" si="21"/>
        <v>0</v>
      </c>
      <c r="J79">
        <f t="shared" si="21"/>
        <v>0</v>
      </c>
      <c r="K79">
        <f t="shared" si="21"/>
        <v>0</v>
      </c>
      <c r="L79">
        <f t="shared" si="21"/>
        <v>0</v>
      </c>
      <c r="M79">
        <f t="shared" si="21"/>
        <v>0</v>
      </c>
      <c r="N79">
        <f t="shared" si="21"/>
        <v>0</v>
      </c>
      <c r="O79">
        <f t="shared" si="21"/>
        <v>0</v>
      </c>
      <c r="P79">
        <f t="shared" si="21"/>
        <v>1</v>
      </c>
      <c r="Q79">
        <f t="shared" si="21"/>
        <v>0</v>
      </c>
      <c r="R79">
        <f t="shared" si="21"/>
        <v>0</v>
      </c>
      <c r="S79">
        <f t="shared" si="21"/>
        <v>0</v>
      </c>
      <c r="T79">
        <f t="shared" si="21"/>
        <v>0</v>
      </c>
      <c r="U79">
        <f t="shared" si="21"/>
        <v>0</v>
      </c>
      <c r="V79">
        <f t="shared" si="21"/>
        <v>0</v>
      </c>
      <c r="W79">
        <f t="shared" si="21"/>
        <v>0</v>
      </c>
      <c r="X79">
        <f t="shared" si="21"/>
        <v>0</v>
      </c>
      <c r="Y79">
        <f t="shared" si="21"/>
        <v>0</v>
      </c>
      <c r="Z79">
        <f t="shared" si="21"/>
        <v>0</v>
      </c>
      <c r="AA79">
        <f t="shared" si="21"/>
        <v>0</v>
      </c>
      <c r="AB79">
        <f t="shared" si="21"/>
        <v>0</v>
      </c>
      <c r="AC79">
        <f t="shared" si="21"/>
        <v>0</v>
      </c>
      <c r="AD79">
        <f t="shared" si="21"/>
        <v>0</v>
      </c>
      <c r="AE79">
        <f t="shared" si="21"/>
        <v>0</v>
      </c>
      <c r="AF79">
        <f t="shared" si="21"/>
        <v>0</v>
      </c>
    </row>
    <row r="80" spans="2:32" x14ac:dyDescent="0.25">
      <c r="B80" t="str">
        <f>'8a. RNG'!$P$12</f>
        <v>CDW Exp. 1</v>
      </c>
      <c r="E80">
        <f t="shared" ref="E80:AF80" si="22">IF(E64=D64,0,1)</f>
        <v>0</v>
      </c>
      <c r="F80">
        <f t="shared" si="22"/>
        <v>0</v>
      </c>
      <c r="G80">
        <f t="shared" si="22"/>
        <v>0</v>
      </c>
      <c r="H80">
        <f t="shared" si="22"/>
        <v>0</v>
      </c>
      <c r="I80">
        <f t="shared" si="22"/>
        <v>0</v>
      </c>
      <c r="J80">
        <f t="shared" si="22"/>
        <v>0</v>
      </c>
      <c r="K80">
        <f t="shared" si="22"/>
        <v>0</v>
      </c>
      <c r="L80">
        <f t="shared" si="22"/>
        <v>0</v>
      </c>
      <c r="M80">
        <f t="shared" si="22"/>
        <v>0</v>
      </c>
      <c r="N80">
        <f t="shared" si="22"/>
        <v>0</v>
      </c>
      <c r="O80">
        <f t="shared" si="22"/>
        <v>0</v>
      </c>
      <c r="P80">
        <f t="shared" si="22"/>
        <v>0</v>
      </c>
      <c r="Q80">
        <f t="shared" si="22"/>
        <v>0</v>
      </c>
      <c r="R80">
        <f t="shared" si="22"/>
        <v>0</v>
      </c>
      <c r="S80">
        <f t="shared" si="22"/>
        <v>0</v>
      </c>
      <c r="T80">
        <f t="shared" si="22"/>
        <v>0</v>
      </c>
      <c r="U80">
        <f t="shared" si="22"/>
        <v>1</v>
      </c>
      <c r="V80">
        <f t="shared" si="22"/>
        <v>0</v>
      </c>
      <c r="W80">
        <f t="shared" si="22"/>
        <v>0</v>
      </c>
      <c r="X80">
        <f t="shared" si="22"/>
        <v>0</v>
      </c>
      <c r="Y80">
        <f t="shared" si="22"/>
        <v>0</v>
      </c>
      <c r="Z80">
        <f t="shared" si="22"/>
        <v>0</v>
      </c>
      <c r="AA80">
        <f t="shared" si="22"/>
        <v>0</v>
      </c>
      <c r="AB80">
        <f t="shared" si="22"/>
        <v>0</v>
      </c>
      <c r="AC80">
        <f t="shared" si="22"/>
        <v>0</v>
      </c>
      <c r="AD80">
        <f t="shared" si="22"/>
        <v>0</v>
      </c>
      <c r="AE80">
        <f t="shared" si="22"/>
        <v>0</v>
      </c>
      <c r="AF80">
        <f t="shared" si="22"/>
        <v>0</v>
      </c>
    </row>
    <row r="81" spans="2:32" x14ac:dyDescent="0.25">
      <c r="B81" t="str">
        <f>'8a. RNG'!$Q$12</f>
        <v>CDW Exp. 2</v>
      </c>
      <c r="E81">
        <f t="shared" ref="E81:AF81" si="23">IF(E65=D65,0,1)</f>
        <v>0</v>
      </c>
      <c r="F81">
        <f t="shared" si="23"/>
        <v>0</v>
      </c>
      <c r="G81">
        <f t="shared" si="23"/>
        <v>0</v>
      </c>
      <c r="H81">
        <f t="shared" si="23"/>
        <v>0</v>
      </c>
      <c r="I81">
        <f t="shared" si="23"/>
        <v>0</v>
      </c>
      <c r="J81">
        <f t="shared" si="23"/>
        <v>0</v>
      </c>
      <c r="K81">
        <f t="shared" si="23"/>
        <v>0</v>
      </c>
      <c r="L81">
        <f t="shared" si="23"/>
        <v>0</v>
      </c>
      <c r="M81">
        <f t="shared" si="23"/>
        <v>0</v>
      </c>
      <c r="N81">
        <f t="shared" si="23"/>
        <v>0</v>
      </c>
      <c r="O81">
        <f t="shared" si="23"/>
        <v>0</v>
      </c>
      <c r="P81">
        <f t="shared" si="23"/>
        <v>0</v>
      </c>
      <c r="Q81">
        <f t="shared" si="23"/>
        <v>0</v>
      </c>
      <c r="R81">
        <f t="shared" si="23"/>
        <v>0</v>
      </c>
      <c r="S81">
        <f t="shared" si="23"/>
        <v>0</v>
      </c>
      <c r="T81">
        <f t="shared" si="23"/>
        <v>0</v>
      </c>
      <c r="U81">
        <f t="shared" si="23"/>
        <v>0</v>
      </c>
      <c r="V81">
        <f t="shared" si="23"/>
        <v>0</v>
      </c>
      <c r="W81">
        <f t="shared" si="23"/>
        <v>0</v>
      </c>
      <c r="X81">
        <f t="shared" si="23"/>
        <v>0</v>
      </c>
      <c r="Y81">
        <f t="shared" si="23"/>
        <v>0</v>
      </c>
      <c r="Z81">
        <f t="shared" si="23"/>
        <v>0</v>
      </c>
      <c r="AA81">
        <f t="shared" si="23"/>
        <v>0</v>
      </c>
      <c r="AB81">
        <f t="shared" si="23"/>
        <v>0</v>
      </c>
      <c r="AC81">
        <f t="shared" si="23"/>
        <v>0</v>
      </c>
      <c r="AD81">
        <f t="shared" si="23"/>
        <v>0</v>
      </c>
      <c r="AE81">
        <f t="shared" si="23"/>
        <v>0</v>
      </c>
      <c r="AF81">
        <f t="shared" si="23"/>
        <v>0</v>
      </c>
    </row>
    <row r="82" spans="2:32" x14ac:dyDescent="0.25">
      <c r="B82" t="str">
        <f>'8a. RNG'!$R$12</f>
        <v>CDW Exp. 3</v>
      </c>
      <c r="E82">
        <f t="shared" ref="E82:AF82" si="24">IF(E66=D66,0,1)</f>
        <v>0</v>
      </c>
      <c r="F82">
        <f t="shared" si="24"/>
        <v>0</v>
      </c>
      <c r="G82">
        <f t="shared" si="24"/>
        <v>0</v>
      </c>
      <c r="H82">
        <f t="shared" si="24"/>
        <v>0</v>
      </c>
      <c r="I82">
        <f t="shared" si="24"/>
        <v>0</v>
      </c>
      <c r="J82">
        <f t="shared" si="24"/>
        <v>0</v>
      </c>
      <c r="K82">
        <f t="shared" si="24"/>
        <v>0</v>
      </c>
      <c r="L82">
        <f t="shared" si="24"/>
        <v>0</v>
      </c>
      <c r="M82">
        <f t="shared" si="24"/>
        <v>0</v>
      </c>
      <c r="N82">
        <f t="shared" si="24"/>
        <v>0</v>
      </c>
      <c r="O82">
        <f t="shared" si="24"/>
        <v>0</v>
      </c>
      <c r="P82">
        <f t="shared" si="24"/>
        <v>0</v>
      </c>
      <c r="Q82">
        <f t="shared" si="24"/>
        <v>0</v>
      </c>
      <c r="R82">
        <f t="shared" si="24"/>
        <v>0</v>
      </c>
      <c r="S82">
        <f t="shared" si="24"/>
        <v>0</v>
      </c>
      <c r="T82">
        <f t="shared" si="24"/>
        <v>0</v>
      </c>
      <c r="U82">
        <f t="shared" si="24"/>
        <v>0</v>
      </c>
      <c r="V82">
        <f t="shared" si="24"/>
        <v>0</v>
      </c>
      <c r="W82">
        <f t="shared" si="24"/>
        <v>0</v>
      </c>
      <c r="X82">
        <f t="shared" si="24"/>
        <v>0</v>
      </c>
      <c r="Y82">
        <f t="shared" si="24"/>
        <v>0</v>
      </c>
      <c r="Z82">
        <f t="shared" si="24"/>
        <v>0</v>
      </c>
      <c r="AA82">
        <f t="shared" si="24"/>
        <v>0</v>
      </c>
      <c r="AB82">
        <f t="shared" si="24"/>
        <v>0</v>
      </c>
      <c r="AC82">
        <f t="shared" si="24"/>
        <v>0</v>
      </c>
      <c r="AD82">
        <f t="shared" si="24"/>
        <v>0</v>
      </c>
      <c r="AE82">
        <f t="shared" si="24"/>
        <v>0</v>
      </c>
      <c r="AF82">
        <f t="shared" si="24"/>
        <v>0</v>
      </c>
    </row>
    <row r="83" spans="2:32" x14ac:dyDescent="0.25">
      <c r="B83" t="str">
        <f>'8a. RNG'!$S$12</f>
        <v>CDW Exp. 4</v>
      </c>
      <c r="E83">
        <f t="shared" ref="E83:AF83" si="25">IF(E67=D67,0,1)</f>
        <v>0</v>
      </c>
      <c r="F83">
        <f t="shared" si="25"/>
        <v>0</v>
      </c>
      <c r="G83">
        <f t="shared" si="25"/>
        <v>0</v>
      </c>
      <c r="H83">
        <f t="shared" si="25"/>
        <v>0</v>
      </c>
      <c r="I83">
        <f t="shared" si="25"/>
        <v>0</v>
      </c>
      <c r="J83">
        <f t="shared" si="25"/>
        <v>0</v>
      </c>
      <c r="K83">
        <f t="shared" si="25"/>
        <v>0</v>
      </c>
      <c r="L83">
        <f t="shared" si="25"/>
        <v>0</v>
      </c>
      <c r="M83">
        <f t="shared" si="25"/>
        <v>0</v>
      </c>
      <c r="N83">
        <f t="shared" si="25"/>
        <v>0</v>
      </c>
      <c r="O83">
        <f t="shared" si="25"/>
        <v>0</v>
      </c>
      <c r="P83">
        <f t="shared" si="25"/>
        <v>0</v>
      </c>
      <c r="Q83">
        <f t="shared" si="25"/>
        <v>0</v>
      </c>
      <c r="R83">
        <f t="shared" si="25"/>
        <v>0</v>
      </c>
      <c r="S83">
        <f t="shared" si="25"/>
        <v>0</v>
      </c>
      <c r="T83">
        <f t="shared" si="25"/>
        <v>0</v>
      </c>
      <c r="U83">
        <f t="shared" si="25"/>
        <v>0</v>
      </c>
      <c r="V83">
        <f t="shared" si="25"/>
        <v>0</v>
      </c>
      <c r="W83">
        <f t="shared" si="25"/>
        <v>0</v>
      </c>
      <c r="X83">
        <f t="shared" si="25"/>
        <v>0</v>
      </c>
      <c r="Y83">
        <f t="shared" si="25"/>
        <v>0</v>
      </c>
      <c r="Z83">
        <f t="shared" si="25"/>
        <v>0</v>
      </c>
      <c r="AA83">
        <f t="shared" si="25"/>
        <v>0</v>
      </c>
      <c r="AB83">
        <f t="shared" si="25"/>
        <v>0</v>
      </c>
      <c r="AC83">
        <f t="shared" si="25"/>
        <v>0</v>
      </c>
      <c r="AD83">
        <f t="shared" si="25"/>
        <v>0</v>
      </c>
      <c r="AE83">
        <f t="shared" si="25"/>
        <v>0</v>
      </c>
      <c r="AF83">
        <f t="shared" si="25"/>
        <v>0</v>
      </c>
    </row>
    <row r="84" spans="2:32" x14ac:dyDescent="0.25">
      <c r="B84" t="str">
        <f>'8a. RNG'!$T$12</f>
        <v>CDW Exp. 5</v>
      </c>
      <c r="E84">
        <f t="shared" ref="E84:AF84" si="26">IF(E68=D68,0,1)</f>
        <v>0</v>
      </c>
      <c r="F84">
        <f t="shared" si="26"/>
        <v>0</v>
      </c>
      <c r="G84">
        <f t="shared" si="26"/>
        <v>0</v>
      </c>
      <c r="H84">
        <f t="shared" si="26"/>
        <v>0</v>
      </c>
      <c r="I84">
        <f t="shared" si="26"/>
        <v>0</v>
      </c>
      <c r="J84">
        <f t="shared" si="26"/>
        <v>0</v>
      </c>
      <c r="K84">
        <f t="shared" si="26"/>
        <v>0</v>
      </c>
      <c r="L84">
        <f t="shared" si="26"/>
        <v>0</v>
      </c>
      <c r="M84">
        <f t="shared" si="26"/>
        <v>0</v>
      </c>
      <c r="N84">
        <f t="shared" si="26"/>
        <v>0</v>
      </c>
      <c r="O84">
        <f t="shared" si="26"/>
        <v>0</v>
      </c>
      <c r="P84">
        <f t="shared" si="26"/>
        <v>0</v>
      </c>
      <c r="Q84">
        <f t="shared" si="26"/>
        <v>0</v>
      </c>
      <c r="R84">
        <f t="shared" si="26"/>
        <v>0</v>
      </c>
      <c r="S84">
        <f t="shared" si="26"/>
        <v>0</v>
      </c>
      <c r="T84">
        <f t="shared" si="26"/>
        <v>0</v>
      </c>
      <c r="U84">
        <f t="shared" si="26"/>
        <v>0</v>
      </c>
      <c r="V84">
        <f t="shared" si="26"/>
        <v>0</v>
      </c>
      <c r="W84">
        <f t="shared" si="26"/>
        <v>0</v>
      </c>
      <c r="X84">
        <f t="shared" si="26"/>
        <v>0</v>
      </c>
      <c r="Y84">
        <f t="shared" si="26"/>
        <v>0</v>
      </c>
      <c r="Z84">
        <f t="shared" si="26"/>
        <v>0</v>
      </c>
      <c r="AA84">
        <f t="shared" si="26"/>
        <v>0</v>
      </c>
      <c r="AB84">
        <f t="shared" si="26"/>
        <v>0</v>
      </c>
      <c r="AC84">
        <f t="shared" si="26"/>
        <v>0</v>
      </c>
      <c r="AD84">
        <f t="shared" si="26"/>
        <v>0</v>
      </c>
      <c r="AE84">
        <f t="shared" si="26"/>
        <v>0</v>
      </c>
      <c r="AF84">
        <f t="shared" si="26"/>
        <v>0</v>
      </c>
    </row>
    <row r="85" spans="2:32" x14ac:dyDescent="0.25">
      <c r="B85" t="str">
        <f>'5. LNG- ISO_Expansion'!$X$12</f>
        <v>LNG ISO Exp 1</v>
      </c>
      <c r="E85">
        <f t="shared" ref="E85:AF85" si="27">IF(E69=D69,0,1)</f>
        <v>0</v>
      </c>
      <c r="F85">
        <f t="shared" si="27"/>
        <v>0</v>
      </c>
      <c r="G85">
        <f t="shared" si="27"/>
        <v>0</v>
      </c>
      <c r="H85">
        <f t="shared" si="27"/>
        <v>0</v>
      </c>
      <c r="I85">
        <f t="shared" si="27"/>
        <v>0</v>
      </c>
      <c r="J85">
        <f t="shared" si="27"/>
        <v>0</v>
      </c>
      <c r="K85">
        <f t="shared" si="27"/>
        <v>0</v>
      </c>
      <c r="L85">
        <f t="shared" si="27"/>
        <v>0</v>
      </c>
      <c r="M85">
        <f t="shared" si="27"/>
        <v>0</v>
      </c>
      <c r="N85">
        <f t="shared" si="27"/>
        <v>0</v>
      </c>
      <c r="O85">
        <f t="shared" si="27"/>
        <v>0</v>
      </c>
      <c r="P85">
        <f t="shared" si="27"/>
        <v>0</v>
      </c>
      <c r="Q85">
        <f t="shared" si="27"/>
        <v>0</v>
      </c>
      <c r="R85">
        <f t="shared" si="27"/>
        <v>0</v>
      </c>
      <c r="S85">
        <f t="shared" si="27"/>
        <v>0</v>
      </c>
      <c r="T85">
        <f t="shared" si="27"/>
        <v>0</v>
      </c>
      <c r="U85">
        <f t="shared" si="27"/>
        <v>0</v>
      </c>
      <c r="V85">
        <f t="shared" si="27"/>
        <v>0</v>
      </c>
      <c r="W85">
        <f t="shared" si="27"/>
        <v>0</v>
      </c>
      <c r="X85">
        <f t="shared" si="27"/>
        <v>0</v>
      </c>
      <c r="Y85">
        <f t="shared" si="27"/>
        <v>0</v>
      </c>
      <c r="Z85">
        <f t="shared" si="27"/>
        <v>0</v>
      </c>
      <c r="AA85">
        <f t="shared" si="27"/>
        <v>0</v>
      </c>
      <c r="AB85">
        <f t="shared" si="27"/>
        <v>0</v>
      </c>
      <c r="AC85">
        <f t="shared" si="27"/>
        <v>0</v>
      </c>
      <c r="AD85">
        <f t="shared" si="27"/>
        <v>0</v>
      </c>
      <c r="AE85">
        <f t="shared" si="27"/>
        <v>0</v>
      </c>
      <c r="AF85">
        <f t="shared" si="27"/>
        <v>0</v>
      </c>
    </row>
    <row r="86" spans="2:32" x14ac:dyDescent="0.25">
      <c r="B86" t="str">
        <f>'5. LNG- ISO_Expansion'!$Y$12</f>
        <v>LNG ISO Exp 2</v>
      </c>
      <c r="E86">
        <f t="shared" ref="E86:AF86" si="28">IF(E70=D70,0,1)</f>
        <v>0</v>
      </c>
      <c r="F86">
        <f t="shared" si="28"/>
        <v>0</v>
      </c>
      <c r="G86">
        <f t="shared" si="28"/>
        <v>0</v>
      </c>
      <c r="H86">
        <f t="shared" si="28"/>
        <v>0</v>
      </c>
      <c r="I86">
        <f t="shared" si="28"/>
        <v>0</v>
      </c>
      <c r="J86">
        <f t="shared" si="28"/>
        <v>0</v>
      </c>
      <c r="K86">
        <f t="shared" si="28"/>
        <v>0</v>
      </c>
      <c r="L86">
        <f t="shared" si="28"/>
        <v>0</v>
      </c>
      <c r="M86">
        <f t="shared" si="28"/>
        <v>0</v>
      </c>
      <c r="N86">
        <f t="shared" si="28"/>
        <v>0</v>
      </c>
      <c r="O86">
        <f t="shared" si="28"/>
        <v>0</v>
      </c>
      <c r="P86">
        <f t="shared" si="28"/>
        <v>0</v>
      </c>
      <c r="Q86">
        <f t="shared" si="28"/>
        <v>0</v>
      </c>
      <c r="R86">
        <f t="shared" si="28"/>
        <v>0</v>
      </c>
      <c r="S86">
        <f t="shared" si="28"/>
        <v>0</v>
      </c>
      <c r="T86">
        <f t="shared" si="28"/>
        <v>0</v>
      </c>
      <c r="U86">
        <f t="shared" si="28"/>
        <v>0</v>
      </c>
      <c r="V86">
        <f t="shared" si="28"/>
        <v>0</v>
      </c>
      <c r="W86">
        <f t="shared" si="28"/>
        <v>0</v>
      </c>
      <c r="X86">
        <f t="shared" si="28"/>
        <v>0</v>
      </c>
      <c r="Y86">
        <f t="shared" si="28"/>
        <v>0</v>
      </c>
      <c r="Z86">
        <f t="shared" si="28"/>
        <v>0</v>
      </c>
      <c r="AA86">
        <f t="shared" si="28"/>
        <v>0</v>
      </c>
      <c r="AB86">
        <f t="shared" si="28"/>
        <v>0</v>
      </c>
      <c r="AC86">
        <f t="shared" si="28"/>
        <v>0</v>
      </c>
      <c r="AD86">
        <f t="shared" si="28"/>
        <v>0</v>
      </c>
      <c r="AE86">
        <f t="shared" si="28"/>
        <v>0</v>
      </c>
      <c r="AF86">
        <f t="shared" si="28"/>
        <v>0</v>
      </c>
    </row>
    <row r="87" spans="2:32" x14ac:dyDescent="0.25">
      <c r="B87" t="str">
        <f>'5. LNG- ISO_Expansion'!$Z$12</f>
        <v>LNG ISO Exp 3</v>
      </c>
      <c r="E87">
        <f t="shared" ref="E87:AF87" si="29">IF(E71=D71,0,1)</f>
        <v>0</v>
      </c>
      <c r="F87">
        <f t="shared" si="29"/>
        <v>0</v>
      </c>
      <c r="G87">
        <f t="shared" si="29"/>
        <v>0</v>
      </c>
      <c r="H87">
        <f t="shared" si="29"/>
        <v>0</v>
      </c>
      <c r="I87">
        <f t="shared" si="29"/>
        <v>0</v>
      </c>
      <c r="J87">
        <f t="shared" si="29"/>
        <v>0</v>
      </c>
      <c r="K87">
        <f t="shared" si="29"/>
        <v>0</v>
      </c>
      <c r="L87">
        <f t="shared" si="29"/>
        <v>0</v>
      </c>
      <c r="M87">
        <f t="shared" si="29"/>
        <v>0</v>
      </c>
      <c r="N87">
        <f t="shared" si="29"/>
        <v>0</v>
      </c>
      <c r="O87">
        <f t="shared" si="29"/>
        <v>0</v>
      </c>
      <c r="P87">
        <f t="shared" si="29"/>
        <v>0</v>
      </c>
      <c r="Q87">
        <f t="shared" si="29"/>
        <v>0</v>
      </c>
      <c r="R87">
        <f t="shared" si="29"/>
        <v>0</v>
      </c>
      <c r="S87">
        <f t="shared" si="29"/>
        <v>0</v>
      </c>
      <c r="T87">
        <f t="shared" si="29"/>
        <v>0</v>
      </c>
      <c r="U87">
        <f t="shared" si="29"/>
        <v>0</v>
      </c>
      <c r="V87">
        <f t="shared" si="29"/>
        <v>0</v>
      </c>
      <c r="W87">
        <f t="shared" si="29"/>
        <v>0</v>
      </c>
      <c r="X87">
        <f t="shared" si="29"/>
        <v>0</v>
      </c>
      <c r="Y87">
        <f t="shared" si="29"/>
        <v>0</v>
      </c>
      <c r="Z87">
        <f t="shared" si="29"/>
        <v>0</v>
      </c>
      <c r="AA87">
        <f t="shared" si="29"/>
        <v>0</v>
      </c>
      <c r="AB87">
        <f t="shared" si="29"/>
        <v>0</v>
      </c>
      <c r="AC87">
        <f t="shared" si="29"/>
        <v>0</v>
      </c>
      <c r="AD87">
        <f t="shared" si="29"/>
        <v>0</v>
      </c>
      <c r="AE87">
        <f t="shared" si="29"/>
        <v>0</v>
      </c>
      <c r="AF87">
        <f t="shared" si="29"/>
        <v>0</v>
      </c>
    </row>
    <row r="88" spans="2:32" x14ac:dyDescent="0.25">
      <c r="B88" t="str">
        <f>'5. LNG- ISO_Expansion'!$AA$12</f>
        <v>LNG ISO Exp 4</v>
      </c>
      <c r="E88">
        <f t="shared" ref="E88:AF88" si="30">IF(E72=D72,0,1)</f>
        <v>0</v>
      </c>
      <c r="F88">
        <f t="shared" si="30"/>
        <v>0</v>
      </c>
      <c r="G88">
        <f t="shared" si="30"/>
        <v>0</v>
      </c>
      <c r="H88">
        <f t="shared" si="30"/>
        <v>0</v>
      </c>
      <c r="I88">
        <f t="shared" si="30"/>
        <v>0</v>
      </c>
      <c r="J88">
        <f t="shared" si="30"/>
        <v>0</v>
      </c>
      <c r="K88">
        <f t="shared" si="30"/>
        <v>0</v>
      </c>
      <c r="L88">
        <f t="shared" si="30"/>
        <v>0</v>
      </c>
      <c r="M88">
        <f t="shared" si="30"/>
        <v>0</v>
      </c>
      <c r="N88">
        <f t="shared" si="30"/>
        <v>0</v>
      </c>
      <c r="O88">
        <f t="shared" si="30"/>
        <v>0</v>
      </c>
      <c r="P88">
        <f t="shared" si="30"/>
        <v>0</v>
      </c>
      <c r="Q88">
        <f t="shared" si="30"/>
        <v>0</v>
      </c>
      <c r="R88">
        <f t="shared" si="30"/>
        <v>0</v>
      </c>
      <c r="S88">
        <f t="shared" si="30"/>
        <v>0</v>
      </c>
      <c r="T88">
        <f t="shared" si="30"/>
        <v>0</v>
      </c>
      <c r="U88">
        <f t="shared" si="30"/>
        <v>0</v>
      </c>
      <c r="V88">
        <f t="shared" si="30"/>
        <v>0</v>
      </c>
      <c r="W88">
        <f t="shared" si="30"/>
        <v>0</v>
      </c>
      <c r="X88">
        <f t="shared" si="30"/>
        <v>0</v>
      </c>
      <c r="Y88">
        <f t="shared" si="30"/>
        <v>0</v>
      </c>
      <c r="Z88">
        <f t="shared" si="30"/>
        <v>0</v>
      </c>
      <c r="AA88">
        <f t="shared" si="30"/>
        <v>0</v>
      </c>
      <c r="AB88">
        <f t="shared" si="30"/>
        <v>0</v>
      </c>
      <c r="AC88">
        <f t="shared" si="30"/>
        <v>0</v>
      </c>
      <c r="AD88">
        <f t="shared" si="30"/>
        <v>0</v>
      </c>
      <c r="AE88">
        <f t="shared" si="30"/>
        <v>0</v>
      </c>
      <c r="AF88">
        <f t="shared" si="30"/>
        <v>0</v>
      </c>
    </row>
    <row r="89" spans="2:32" x14ac:dyDescent="0.25">
      <c r="B89" t="str">
        <f>'5. LNG- ISO_Expansion'!$AB$12</f>
        <v>LNG ISO Exp 5</v>
      </c>
      <c r="E89">
        <f t="shared" ref="E89:AF89" si="31">IF(E73=D73,0,1)</f>
        <v>0</v>
      </c>
      <c r="F89">
        <f t="shared" si="31"/>
        <v>0</v>
      </c>
      <c r="G89">
        <f t="shared" si="31"/>
        <v>0</v>
      </c>
      <c r="H89">
        <f t="shared" si="31"/>
        <v>0</v>
      </c>
      <c r="I89">
        <f t="shared" si="31"/>
        <v>0</v>
      </c>
      <c r="J89">
        <f t="shared" si="31"/>
        <v>0</v>
      </c>
      <c r="K89">
        <f t="shared" si="31"/>
        <v>0</v>
      </c>
      <c r="L89">
        <f t="shared" si="31"/>
        <v>0</v>
      </c>
      <c r="M89">
        <f t="shared" si="31"/>
        <v>0</v>
      </c>
      <c r="N89">
        <f t="shared" si="31"/>
        <v>0</v>
      </c>
      <c r="O89">
        <f t="shared" si="31"/>
        <v>0</v>
      </c>
      <c r="P89">
        <f t="shared" si="31"/>
        <v>0</v>
      </c>
      <c r="Q89">
        <f t="shared" si="31"/>
        <v>0</v>
      </c>
      <c r="R89">
        <f t="shared" si="31"/>
        <v>0</v>
      </c>
      <c r="S89">
        <f t="shared" si="31"/>
        <v>0</v>
      </c>
      <c r="T89">
        <f t="shared" si="31"/>
        <v>0</v>
      </c>
      <c r="U89">
        <f t="shared" si="31"/>
        <v>0</v>
      </c>
      <c r="V89">
        <f t="shared" si="31"/>
        <v>0</v>
      </c>
      <c r="W89">
        <f t="shared" si="31"/>
        <v>0</v>
      </c>
      <c r="X89">
        <f t="shared" si="31"/>
        <v>0</v>
      </c>
      <c r="Y89">
        <f t="shared" si="31"/>
        <v>0</v>
      </c>
      <c r="Z89">
        <f t="shared" si="31"/>
        <v>0</v>
      </c>
      <c r="AA89">
        <f t="shared" si="31"/>
        <v>0</v>
      </c>
      <c r="AB89">
        <f t="shared" si="31"/>
        <v>0</v>
      </c>
      <c r="AC89">
        <f t="shared" si="31"/>
        <v>0</v>
      </c>
      <c r="AD89">
        <f t="shared" si="31"/>
        <v>0</v>
      </c>
      <c r="AE89">
        <f t="shared" si="31"/>
        <v>0</v>
      </c>
      <c r="AF89">
        <f t="shared" si="31"/>
        <v>0</v>
      </c>
    </row>
    <row r="90" spans="2:32" x14ac:dyDescent="0.25">
      <c r="B90" t="s">
        <v>384</v>
      </c>
      <c r="E90">
        <f t="shared" ref="E90:AF90" si="32">IF(E74=D74,0,1)</f>
        <v>0</v>
      </c>
      <c r="F90">
        <f t="shared" si="32"/>
        <v>0</v>
      </c>
      <c r="G90">
        <f t="shared" si="32"/>
        <v>0</v>
      </c>
      <c r="H90">
        <f t="shared" si="32"/>
        <v>0</v>
      </c>
      <c r="I90">
        <f t="shared" si="32"/>
        <v>0</v>
      </c>
      <c r="J90">
        <f t="shared" si="32"/>
        <v>0</v>
      </c>
      <c r="K90">
        <f t="shared" si="32"/>
        <v>0</v>
      </c>
      <c r="L90">
        <f t="shared" si="32"/>
        <v>0</v>
      </c>
      <c r="M90">
        <f t="shared" si="32"/>
        <v>0</v>
      </c>
      <c r="N90">
        <f t="shared" si="32"/>
        <v>0</v>
      </c>
      <c r="O90">
        <f t="shared" si="32"/>
        <v>0</v>
      </c>
      <c r="P90">
        <f t="shared" si="32"/>
        <v>0</v>
      </c>
      <c r="Q90">
        <f t="shared" si="32"/>
        <v>0</v>
      </c>
      <c r="R90">
        <f t="shared" si="32"/>
        <v>0</v>
      </c>
      <c r="S90">
        <f t="shared" si="32"/>
        <v>0</v>
      </c>
      <c r="T90">
        <f t="shared" si="32"/>
        <v>0</v>
      </c>
      <c r="U90">
        <f t="shared" si="32"/>
        <v>0</v>
      </c>
      <c r="V90">
        <f t="shared" si="32"/>
        <v>0</v>
      </c>
      <c r="W90">
        <f t="shared" si="32"/>
        <v>0</v>
      </c>
      <c r="X90">
        <f t="shared" si="32"/>
        <v>0</v>
      </c>
      <c r="Y90">
        <f t="shared" si="32"/>
        <v>0</v>
      </c>
      <c r="Z90">
        <f t="shared" si="32"/>
        <v>0</v>
      </c>
      <c r="AA90">
        <f t="shared" si="32"/>
        <v>0</v>
      </c>
      <c r="AB90">
        <f t="shared" si="32"/>
        <v>0</v>
      </c>
      <c r="AC90">
        <f t="shared" si="32"/>
        <v>0</v>
      </c>
      <c r="AD90">
        <f t="shared" si="32"/>
        <v>0</v>
      </c>
      <c r="AE90">
        <f t="shared" si="32"/>
        <v>0</v>
      </c>
      <c r="AF90">
        <f t="shared" si="32"/>
        <v>0</v>
      </c>
    </row>
    <row r="91" spans="2:32" x14ac:dyDescent="0.25">
      <c r="B91" t="s">
        <v>67</v>
      </c>
      <c r="E91">
        <f>SUM(E77:E90)</f>
        <v>0</v>
      </c>
      <c r="F91">
        <f t="shared" ref="F91:AF91" si="33">SUM(F77:F90)</f>
        <v>1</v>
      </c>
      <c r="G91">
        <f t="shared" si="33"/>
        <v>0</v>
      </c>
      <c r="H91">
        <f t="shared" si="33"/>
        <v>0</v>
      </c>
      <c r="I91">
        <f t="shared" si="33"/>
        <v>0</v>
      </c>
      <c r="J91">
        <f t="shared" si="33"/>
        <v>0</v>
      </c>
      <c r="K91">
        <f t="shared" si="33"/>
        <v>1</v>
      </c>
      <c r="L91">
        <f t="shared" si="33"/>
        <v>0</v>
      </c>
      <c r="M91">
        <f t="shared" si="33"/>
        <v>0</v>
      </c>
      <c r="N91">
        <f t="shared" si="33"/>
        <v>0</v>
      </c>
      <c r="O91">
        <f t="shared" si="33"/>
        <v>0</v>
      </c>
      <c r="P91">
        <f t="shared" si="33"/>
        <v>1</v>
      </c>
      <c r="Q91">
        <f t="shared" si="33"/>
        <v>0</v>
      </c>
      <c r="R91">
        <f t="shared" si="33"/>
        <v>0</v>
      </c>
      <c r="S91">
        <f t="shared" si="33"/>
        <v>0</v>
      </c>
      <c r="T91">
        <f t="shared" si="33"/>
        <v>0</v>
      </c>
      <c r="U91">
        <f t="shared" si="33"/>
        <v>1</v>
      </c>
      <c r="V91">
        <f t="shared" si="33"/>
        <v>0</v>
      </c>
      <c r="W91">
        <f t="shared" si="33"/>
        <v>0</v>
      </c>
      <c r="X91">
        <f t="shared" si="33"/>
        <v>0</v>
      </c>
      <c r="Y91">
        <f t="shared" si="33"/>
        <v>0</v>
      </c>
      <c r="Z91">
        <f t="shared" si="33"/>
        <v>0</v>
      </c>
      <c r="AA91">
        <f t="shared" si="33"/>
        <v>0</v>
      </c>
      <c r="AB91">
        <f t="shared" si="33"/>
        <v>0</v>
      </c>
      <c r="AC91">
        <f t="shared" si="33"/>
        <v>0</v>
      </c>
      <c r="AD91">
        <f t="shared" si="33"/>
        <v>0</v>
      </c>
      <c r="AE91">
        <f t="shared" si="33"/>
        <v>0</v>
      </c>
      <c r="AF91">
        <f t="shared" si="33"/>
        <v>0</v>
      </c>
    </row>
    <row r="93" spans="2:32" x14ac:dyDescent="0.25">
      <c r="B93" t="s">
        <v>700</v>
      </c>
    </row>
    <row r="94" spans="2:32" x14ac:dyDescent="0.25">
      <c r="B94" t="s">
        <v>64</v>
      </c>
      <c r="E94" s="501">
        <f>IF(E$91=0,0,E91*2000000)</f>
        <v>0</v>
      </c>
      <c r="F94" s="501">
        <f t="shared" ref="F94:AE94" si="34">IF(F91=0,0,F91*2000000)</f>
        <v>2000000</v>
      </c>
      <c r="G94" s="501">
        <f t="shared" si="34"/>
        <v>0</v>
      </c>
      <c r="H94" s="501">
        <f t="shared" si="34"/>
        <v>0</v>
      </c>
      <c r="I94" s="501">
        <f t="shared" si="34"/>
        <v>0</v>
      </c>
      <c r="J94" s="501">
        <f t="shared" si="34"/>
        <v>0</v>
      </c>
      <c r="K94" s="501">
        <f t="shared" si="34"/>
        <v>2000000</v>
      </c>
      <c r="L94" s="501">
        <f t="shared" si="34"/>
        <v>0</v>
      </c>
      <c r="M94" s="501">
        <f t="shared" si="34"/>
        <v>0</v>
      </c>
      <c r="N94" s="501">
        <f t="shared" si="34"/>
        <v>0</v>
      </c>
      <c r="O94" s="501">
        <f t="shared" si="34"/>
        <v>0</v>
      </c>
      <c r="P94" s="501">
        <f t="shared" si="34"/>
        <v>2000000</v>
      </c>
      <c r="Q94" s="501">
        <f t="shared" si="34"/>
        <v>0</v>
      </c>
      <c r="R94" s="501">
        <f t="shared" si="34"/>
        <v>0</v>
      </c>
      <c r="S94" s="501">
        <f t="shared" si="34"/>
        <v>0</v>
      </c>
      <c r="T94" s="501">
        <f t="shared" si="34"/>
        <v>0</v>
      </c>
      <c r="U94" s="501">
        <f t="shared" si="34"/>
        <v>2000000</v>
      </c>
      <c r="V94" s="501">
        <f t="shared" si="34"/>
        <v>0</v>
      </c>
      <c r="W94" s="501">
        <f t="shared" si="34"/>
        <v>0</v>
      </c>
      <c r="X94" s="501">
        <f t="shared" si="34"/>
        <v>0</v>
      </c>
      <c r="Y94" s="501">
        <f t="shared" si="34"/>
        <v>0</v>
      </c>
      <c r="Z94" s="501">
        <f t="shared" si="34"/>
        <v>0</v>
      </c>
      <c r="AA94" s="501">
        <f t="shared" si="34"/>
        <v>0</v>
      </c>
      <c r="AB94" s="501">
        <f t="shared" si="34"/>
        <v>0</v>
      </c>
      <c r="AC94" s="501">
        <f t="shared" si="34"/>
        <v>0</v>
      </c>
      <c r="AD94" s="501">
        <f t="shared" si="34"/>
        <v>0</v>
      </c>
      <c r="AE94" s="501">
        <f t="shared" si="34"/>
        <v>0</v>
      </c>
    </row>
    <row r="95" spans="2:32" x14ac:dyDescent="0.25">
      <c r="B95" t="s">
        <v>65</v>
      </c>
      <c r="E95" s="501">
        <f>IF(E$91=0,0,E91*3000000)</f>
        <v>0</v>
      </c>
      <c r="F95" s="501">
        <f t="shared" ref="F95:AE95" si="35">IF(F$91=0,0,F91*3000000)</f>
        <v>3000000</v>
      </c>
      <c r="G95" s="501">
        <f t="shared" si="35"/>
        <v>0</v>
      </c>
      <c r="H95" s="501">
        <f t="shared" si="35"/>
        <v>0</v>
      </c>
      <c r="I95" s="501">
        <f t="shared" si="35"/>
        <v>0</v>
      </c>
      <c r="J95" s="501">
        <f t="shared" si="35"/>
        <v>0</v>
      </c>
      <c r="K95" s="501">
        <f t="shared" si="35"/>
        <v>3000000</v>
      </c>
      <c r="L95" s="501">
        <f t="shared" si="35"/>
        <v>0</v>
      </c>
      <c r="M95" s="501">
        <f t="shared" si="35"/>
        <v>0</v>
      </c>
      <c r="N95" s="501">
        <f t="shared" si="35"/>
        <v>0</v>
      </c>
      <c r="O95" s="501">
        <f t="shared" si="35"/>
        <v>0</v>
      </c>
      <c r="P95" s="501">
        <f t="shared" si="35"/>
        <v>3000000</v>
      </c>
      <c r="Q95" s="501">
        <f t="shared" si="35"/>
        <v>0</v>
      </c>
      <c r="R95" s="501">
        <f t="shared" si="35"/>
        <v>0</v>
      </c>
      <c r="S95" s="501">
        <f t="shared" si="35"/>
        <v>0</v>
      </c>
      <c r="T95" s="501">
        <f t="shared" si="35"/>
        <v>0</v>
      </c>
      <c r="U95" s="501">
        <f t="shared" si="35"/>
        <v>3000000</v>
      </c>
      <c r="V95" s="501">
        <f t="shared" si="35"/>
        <v>0</v>
      </c>
      <c r="W95" s="501">
        <f t="shared" si="35"/>
        <v>0</v>
      </c>
      <c r="X95" s="501">
        <f t="shared" si="35"/>
        <v>0</v>
      </c>
      <c r="Y95" s="501">
        <f t="shared" si="35"/>
        <v>0</v>
      </c>
      <c r="Z95" s="501">
        <f t="shared" si="35"/>
        <v>0</v>
      </c>
      <c r="AA95" s="501">
        <f t="shared" si="35"/>
        <v>0</v>
      </c>
      <c r="AB95" s="501">
        <f t="shared" si="35"/>
        <v>0</v>
      </c>
      <c r="AC95" s="501">
        <f t="shared" si="35"/>
        <v>0</v>
      </c>
      <c r="AD95" s="501">
        <f t="shared" si="35"/>
        <v>0</v>
      </c>
      <c r="AE95" s="501">
        <f t="shared" si="35"/>
        <v>0</v>
      </c>
    </row>
    <row r="97" spans="2:31" x14ac:dyDescent="0.25">
      <c r="B97" t="s">
        <v>702</v>
      </c>
      <c r="E97" s="46">
        <f>'Supply Porfolio (Live)'!I48</f>
        <v>0</v>
      </c>
      <c r="F97" s="46">
        <f>'Supply Porfolio (Live)'!J48</f>
        <v>2157.4700878889521</v>
      </c>
      <c r="G97" s="46">
        <f>'Supply Porfolio (Live)'!K48</f>
        <v>2157.4700878889521</v>
      </c>
      <c r="H97" s="46">
        <f>'Supply Porfolio (Live)'!L48</f>
        <v>2157.4700878889521</v>
      </c>
      <c r="I97" s="46">
        <f>'Supply Porfolio (Live)'!M48</f>
        <v>2157.4700878889521</v>
      </c>
      <c r="J97" s="46">
        <f>'Supply Porfolio (Live)'!N48</f>
        <v>2157.4700878889521</v>
      </c>
      <c r="K97" s="46">
        <f>'Supply Porfolio (Live)'!O48</f>
        <v>5393.1997376053096</v>
      </c>
      <c r="L97" s="46">
        <f>'Supply Porfolio (Live)'!P48</f>
        <v>5393.1997376053096</v>
      </c>
      <c r="M97" s="46">
        <f>'Supply Porfolio (Live)'!Q48</f>
        <v>5393.1997376053096</v>
      </c>
      <c r="N97" s="46">
        <f>'Supply Porfolio (Live)'!R48</f>
        <v>5393.1997376053096</v>
      </c>
      <c r="O97" s="46">
        <f>'Supply Porfolio (Live)'!S48</f>
        <v>5393.1997376053096</v>
      </c>
      <c r="P97" s="46">
        <f>'Supply Porfolio (Live)'!T48</f>
        <v>9561.5045813837842</v>
      </c>
      <c r="Q97" s="46">
        <f>'Supply Porfolio (Live)'!U48</f>
        <v>9464.4052429051371</v>
      </c>
      <c r="R97" s="46">
        <f>'Supply Porfolio (Live)'!V48</f>
        <v>9371.2167243559179</v>
      </c>
      <c r="S97" s="46">
        <f>'Supply Porfolio (Live)'!W48</f>
        <v>9281.7815116607453</v>
      </c>
      <c r="T97" s="46">
        <f>'Supply Porfolio (Live)'!X48</f>
        <v>9195.9484348573387</v>
      </c>
      <c r="U97" s="46">
        <f>'Supply Porfolio (Live)'!Y48</f>
        <v>24730.010768742333</v>
      </c>
      <c r="V97" s="46">
        <f>'Supply Porfolio (Live)'!Z48</f>
        <v>24650.952562986568</v>
      </c>
      <c r="W97" s="46">
        <f>'Supply Porfolio (Live)'!AA48</f>
        <v>24575.078543771084</v>
      </c>
      <c r="X97" s="46">
        <f>'Supply Porfolio (Live)'!AB48</f>
        <v>24502.260463258404</v>
      </c>
      <c r="Y97" s="46">
        <f>'Supply Porfolio (Live)'!AC48</f>
        <v>24432.375238982993</v>
      </c>
      <c r="Z97" s="46">
        <f>'Supply Porfolio (Live)'!AD48</f>
        <v>24365.304745808236</v>
      </c>
      <c r="AA97" s="46">
        <f>'Supply Porfolio (Live)'!AE48</f>
        <v>24300.935616262661</v>
      </c>
      <c r="AB97" s="46">
        <f>'Supply Porfolio (Live)'!AF48</f>
        <v>24239.159048917933</v>
      </c>
      <c r="AC97" s="46">
        <f>'Supply Porfolio (Live)'!AG48</f>
        <v>24179.870624484665</v>
      </c>
      <c r="AD97" s="46">
        <f>'Supply Porfolio (Live)'!AH48</f>
        <v>24122.97012931529</v>
      </c>
      <c r="AE97" s="46">
        <f>'Supply Porfolio (Live)'!AI48</f>
        <v>24068.361386015593</v>
      </c>
    </row>
    <row r="98" spans="2:31" x14ac:dyDescent="0.25">
      <c r="B98" t="s">
        <v>703</v>
      </c>
      <c r="E98" s="501">
        <f>E97*0.22*265</f>
        <v>0</v>
      </c>
      <c r="F98" s="501">
        <f t="shared" ref="F98:AE98" si="36">F97*0.22*265</f>
        <v>125780.50612392591</v>
      </c>
      <c r="G98" s="501">
        <f t="shared" si="36"/>
        <v>125780.50612392591</v>
      </c>
      <c r="H98" s="501">
        <f t="shared" si="36"/>
        <v>125780.50612392591</v>
      </c>
      <c r="I98" s="501">
        <f t="shared" si="36"/>
        <v>125780.50612392591</v>
      </c>
      <c r="J98" s="501">
        <f t="shared" si="36"/>
        <v>125780.50612392591</v>
      </c>
      <c r="K98" s="501">
        <f t="shared" si="36"/>
        <v>314423.54470238957</v>
      </c>
      <c r="L98" s="501">
        <f t="shared" si="36"/>
        <v>314423.54470238957</v>
      </c>
      <c r="M98" s="501">
        <f t="shared" si="36"/>
        <v>314423.54470238957</v>
      </c>
      <c r="N98" s="501">
        <f t="shared" si="36"/>
        <v>314423.54470238957</v>
      </c>
      <c r="O98" s="501">
        <f t="shared" si="36"/>
        <v>314423.54470238957</v>
      </c>
      <c r="P98" s="501">
        <f t="shared" si="36"/>
        <v>557435.71709467459</v>
      </c>
      <c r="Q98" s="501">
        <f t="shared" si="36"/>
        <v>551774.82566136948</v>
      </c>
      <c r="R98" s="501">
        <f t="shared" si="36"/>
        <v>546341.93502994999</v>
      </c>
      <c r="S98" s="501">
        <f t="shared" si="36"/>
        <v>541127.86212982144</v>
      </c>
      <c r="T98" s="501">
        <f t="shared" si="36"/>
        <v>536123.79375218286</v>
      </c>
      <c r="U98" s="501">
        <f t="shared" si="36"/>
        <v>1441759.627817678</v>
      </c>
      <c r="V98" s="501">
        <f t="shared" si="36"/>
        <v>1437150.5344221168</v>
      </c>
      <c r="W98" s="501">
        <f t="shared" si="36"/>
        <v>1432727.0791018542</v>
      </c>
      <c r="X98" s="501">
        <f t="shared" si="36"/>
        <v>1428481.7850079651</v>
      </c>
      <c r="Y98" s="501">
        <f t="shared" si="36"/>
        <v>1424407.4764327086</v>
      </c>
      <c r="Z98" s="501">
        <f t="shared" si="36"/>
        <v>1420497.2666806204</v>
      </c>
      <c r="AA98" s="501">
        <f t="shared" si="36"/>
        <v>1416744.546428113</v>
      </c>
      <c r="AB98" s="501">
        <f t="shared" si="36"/>
        <v>1413142.9725519156</v>
      </c>
      <c r="AC98" s="501">
        <f t="shared" si="36"/>
        <v>1409686.4574074559</v>
      </c>
      <c r="AD98" s="501">
        <f t="shared" si="36"/>
        <v>1406369.1585390815</v>
      </c>
      <c r="AE98" s="501">
        <f t="shared" si="36"/>
        <v>1403185.4688047089</v>
      </c>
    </row>
    <row r="101" spans="2:31" x14ac:dyDescent="0.25">
      <c r="C101" s="55">
        <v>2022</v>
      </c>
      <c r="D101" s="55">
        <v>2023</v>
      </c>
      <c r="E101" s="55">
        <v>2024</v>
      </c>
      <c r="F101" s="55">
        <v>2025</v>
      </c>
      <c r="G101" s="55">
        <v>2026</v>
      </c>
      <c r="H101" s="55">
        <v>2027</v>
      </c>
      <c r="I101" s="55">
        <v>2028</v>
      </c>
      <c r="J101" s="55">
        <v>2029</v>
      </c>
      <c r="K101" s="55">
        <v>2030</v>
      </c>
      <c r="L101" s="55">
        <v>2031</v>
      </c>
      <c r="M101" s="55">
        <v>2032</v>
      </c>
      <c r="N101" s="55">
        <v>2033</v>
      </c>
      <c r="O101" s="55">
        <v>2034</v>
      </c>
      <c r="P101" s="55">
        <v>2035</v>
      </c>
      <c r="Q101" s="55">
        <v>2036</v>
      </c>
      <c r="R101" s="55">
        <v>2037</v>
      </c>
      <c r="S101" s="55">
        <v>2038</v>
      </c>
      <c r="T101" s="55">
        <v>2039</v>
      </c>
      <c r="U101" s="55">
        <v>2040</v>
      </c>
      <c r="V101" s="55">
        <v>2041</v>
      </c>
      <c r="W101" s="55">
        <v>2042</v>
      </c>
      <c r="X101" s="55">
        <v>2043</v>
      </c>
      <c r="Y101" s="55">
        <v>2044</v>
      </c>
      <c r="Z101" s="55">
        <v>2045</v>
      </c>
      <c r="AA101" s="55">
        <v>2046</v>
      </c>
      <c r="AB101" s="55">
        <v>2047</v>
      </c>
      <c r="AC101" s="55">
        <v>2048</v>
      </c>
      <c r="AD101" s="55">
        <v>2049</v>
      </c>
      <c r="AE101" s="55">
        <v>2050</v>
      </c>
    </row>
    <row r="102" spans="2:31" x14ac:dyDescent="0.25">
      <c r="B102" t="s">
        <v>753</v>
      </c>
    </row>
    <row r="103" spans="2:31" x14ac:dyDescent="0.25">
      <c r="B103" t="s">
        <v>757</v>
      </c>
      <c r="C103" s="501">
        <f>IF('Summary Dashboard'!$F$5="Yes",IF(C$101+1='Summary Dashboard'!$H$5,69000000*1.02^5,0),0)</f>
        <v>0</v>
      </c>
      <c r="D103" s="501">
        <f>IF('Summary Dashboard'!$F$5="Yes",IF(D$101+1='Summary Dashboard'!$H$5,69000000*1.02^5,0),0)</f>
        <v>0</v>
      </c>
      <c r="E103" s="501">
        <f>IF('Summary Dashboard'!$F$5="Yes",IF(E$101+1='Summary Dashboard'!$H$5,69000000*1.02^5,0),0)</f>
        <v>0</v>
      </c>
      <c r="F103" s="501">
        <f>IF('Summary Dashboard'!$F$5="Yes",IF(F$101+1='Summary Dashboard'!$H$5,69000000*1.02^5,0),0)</f>
        <v>0</v>
      </c>
      <c r="G103" s="501">
        <f>IF('Summary Dashboard'!$F$5="Yes",IF(G$101+1='Summary Dashboard'!$H$5,69000000*1.02^5,0),0)</f>
        <v>0</v>
      </c>
      <c r="H103" s="501">
        <f>IF('Summary Dashboard'!$F$5="Yes",IF(H$101+1='Summary Dashboard'!$H$5,69000000*1.02^5,0),0)</f>
        <v>0</v>
      </c>
      <c r="I103" s="501">
        <f>IF('Summary Dashboard'!$F$5="Yes",IF(I$101+1='Summary Dashboard'!$H$5,69000000*1.02^5,0),0)</f>
        <v>0</v>
      </c>
      <c r="J103" s="501">
        <f>IF('Summary Dashboard'!$F$5="Yes",IF(J$101+1='Summary Dashboard'!$H$5,69000000*1.02^5,0),0)</f>
        <v>0</v>
      </c>
      <c r="K103" s="501">
        <f>IF('Summary Dashboard'!$F$5="Yes",IF(K$101+1='Summary Dashboard'!$H$5,69000000*1.02^5,0),0)</f>
        <v>0</v>
      </c>
      <c r="L103" s="501">
        <f>IF('Summary Dashboard'!$F$5="Yes",IF(L$101+1='Summary Dashboard'!$H$5,69000000*1.02^5,0),0)</f>
        <v>0</v>
      </c>
      <c r="M103" s="501">
        <f>IF('Summary Dashboard'!$F$5="Yes",IF(M$101+1='Summary Dashboard'!$H$5,69000000*1.02^5,0),0)</f>
        <v>0</v>
      </c>
      <c r="N103" s="501">
        <f>IF('Summary Dashboard'!$F$5="Yes",IF(N$101+1='Summary Dashboard'!$H$5,69000000*1.02^5,0),0)</f>
        <v>0</v>
      </c>
      <c r="O103" s="501">
        <f>IF('Summary Dashboard'!$F$5="Yes",IF(O$101+1='Summary Dashboard'!$H$5,69000000*1.02^5,0),0)</f>
        <v>0</v>
      </c>
      <c r="P103" s="501">
        <f>IF('Summary Dashboard'!$F$5="Yes",IF(P$101+1='Summary Dashboard'!$H$5,69000000*1.02^5,0),0)</f>
        <v>0</v>
      </c>
      <c r="Q103" s="501">
        <f>IF('Summary Dashboard'!$F$5="Yes",IF(Q$101+1='Summary Dashboard'!$H$5,69000000*1.02^5,0),0)</f>
        <v>0</v>
      </c>
      <c r="R103" s="501">
        <f>IF('Summary Dashboard'!$F$5="Yes",IF(R$101+1='Summary Dashboard'!$H$5,69000000*1.02^5,0),0)</f>
        <v>0</v>
      </c>
      <c r="S103" s="501">
        <f>IF('Summary Dashboard'!$F$5="Yes",IF(S$101+1='Summary Dashboard'!$H$5,69000000*1.02^5,0),0)</f>
        <v>0</v>
      </c>
      <c r="T103" s="501">
        <f>IF('Summary Dashboard'!$F$5="Yes",IF(T$101+1='Summary Dashboard'!$H$5,69000000*1.02^5,0),0)</f>
        <v>0</v>
      </c>
      <c r="U103" s="501">
        <f>IF('Summary Dashboard'!$F$5="Yes",IF(U$101+1='Summary Dashboard'!$H$5,69000000*1.02^5,0),0)</f>
        <v>0</v>
      </c>
      <c r="V103" s="501">
        <f>IF('Summary Dashboard'!$F$5="Yes",IF(V$101+1='Summary Dashboard'!$H$5,69000000*1.02^5,0),0)</f>
        <v>0</v>
      </c>
      <c r="W103" s="501">
        <f>IF('Summary Dashboard'!$F$5="Yes",IF(W$101+1='Summary Dashboard'!$H$5,69000000*1.02^5,0),0)</f>
        <v>0</v>
      </c>
      <c r="X103" s="501">
        <f>IF('Summary Dashboard'!$F$5="Yes",IF(X$101+1='Summary Dashboard'!$H$5,69000000*1.02^5,0),0)</f>
        <v>0</v>
      </c>
      <c r="Y103" s="501">
        <f>IF('Summary Dashboard'!$F$5="Yes",IF(Y$101+1='Summary Dashboard'!$H$5,69000000*1.02^5,0),0)</f>
        <v>0</v>
      </c>
      <c r="Z103" s="501">
        <f>IF('Summary Dashboard'!$F$5="Yes",IF(Z$101+1='Summary Dashboard'!$H$5,69000000*1.02^5,0),0)</f>
        <v>0</v>
      </c>
      <c r="AA103" s="501">
        <f>IF('Summary Dashboard'!$F$5="Yes",IF(AA$101+1='Summary Dashboard'!$H$5,69000000*1.02^5,0),0)</f>
        <v>0</v>
      </c>
      <c r="AB103" s="501">
        <f>IF('Summary Dashboard'!$F$5="Yes",IF(AB$101+1='Summary Dashboard'!$H$5,69000000*1.02^5,0),0)</f>
        <v>0</v>
      </c>
      <c r="AC103" s="501">
        <f>IF('Summary Dashboard'!$F$5="Yes",IF(AC$101+1='Summary Dashboard'!$H$5,69000000*1.02^5,0),0)</f>
        <v>0</v>
      </c>
      <c r="AD103" s="501">
        <f>IF('Summary Dashboard'!$F$5="Yes",IF(AD$101+1='Summary Dashboard'!$H$5,69000000*1.02^5,0),0)</f>
        <v>0</v>
      </c>
      <c r="AE103" s="501">
        <f>IF('Summary Dashboard'!$F$5="Yes",IF(AE$101+1='Summary Dashboard'!$H$5,69000000*1.02^5,0),0)</f>
        <v>0</v>
      </c>
    </row>
    <row r="104" spans="2:31" x14ac:dyDescent="0.25">
      <c r="B104" t="s">
        <v>349</v>
      </c>
      <c r="C104" s="501">
        <f>IF('Summary Dashboard'!$F$3="Yes",IF(C$101+1='Summary Dashboard'!$H$3,67500000*1.02^5,0),0)</f>
        <v>0</v>
      </c>
      <c r="D104" s="501">
        <f>IF('Summary Dashboard'!$F$3="Yes",IF(D$101+1='Summary Dashboard'!$H$3,67500000*1.02^5,0),0)</f>
        <v>0</v>
      </c>
      <c r="E104" s="501">
        <f>IF('Summary Dashboard'!$F$3="Yes",IF(E$101+1='Summary Dashboard'!$H$3,67500000*1.02^5,0),0)</f>
        <v>0</v>
      </c>
      <c r="F104" s="501">
        <f>IF('Summary Dashboard'!$F$3="Yes",IF(F$101+1='Summary Dashboard'!$H$3,67500000*1.02^5,0),0)</f>
        <v>0</v>
      </c>
      <c r="G104" s="501">
        <f>IF('Summary Dashboard'!$F$3="Yes",IF(G$101+1='Summary Dashboard'!$H$3,67500000*1.02^5,0),0)</f>
        <v>0</v>
      </c>
      <c r="H104" s="501">
        <f>IF('Summary Dashboard'!$F$3="Yes",IF(H$101+1='Summary Dashboard'!$H$3,67500000*1.02^5,0),0)</f>
        <v>0</v>
      </c>
      <c r="I104" s="501">
        <f>IF('Summary Dashboard'!$F$3="Yes",IF(I$101+1='Summary Dashboard'!$H$3,67500000*1.02^5,0),0)</f>
        <v>0</v>
      </c>
      <c r="J104" s="501">
        <f>IF('Summary Dashboard'!$F$3="Yes",IF(J$101+1='Summary Dashboard'!$H$3,67500000*1.02^5,0),0)</f>
        <v>0</v>
      </c>
      <c r="K104" s="501">
        <f>IF('Summary Dashboard'!$F$3="Yes",IF(K$101+1='Summary Dashboard'!$H$3,67500000*1.02^5,0),0)</f>
        <v>0</v>
      </c>
      <c r="L104" s="501">
        <f>IF('Summary Dashboard'!$F$3="Yes",IF(L$101+1='Summary Dashboard'!$H$3,67500000*1.02^5,0),0)</f>
        <v>0</v>
      </c>
      <c r="M104" s="501">
        <f>IF('Summary Dashboard'!$F$3="Yes",IF(M$101+1='Summary Dashboard'!$H$3,67500000*1.02^5,0),0)</f>
        <v>0</v>
      </c>
      <c r="N104" s="501">
        <f>IF('Summary Dashboard'!$F$3="Yes",IF(N$101+1='Summary Dashboard'!$H$3,67500000*1.02^5,0),0)</f>
        <v>0</v>
      </c>
      <c r="O104" s="501">
        <f>IF('Summary Dashboard'!$F$3="Yes",IF(O$101+1='Summary Dashboard'!$H$3,67500000*1.02^5,0),0)</f>
        <v>0</v>
      </c>
      <c r="P104" s="501">
        <f>IF('Summary Dashboard'!$F$3="Yes",IF(P$101+1='Summary Dashboard'!$H$3,67500000*1.02^5,0),0)</f>
        <v>0</v>
      </c>
      <c r="Q104" s="501">
        <f>IF('Summary Dashboard'!$F$3="Yes",IF(Q$101+1='Summary Dashboard'!$H$3,67500000*1.02^5,0),0)</f>
        <v>0</v>
      </c>
      <c r="R104" s="501">
        <f>IF('Summary Dashboard'!$F$3="Yes",IF(R$101+1='Summary Dashboard'!$H$3,67500000*1.02^5,0),0)</f>
        <v>0</v>
      </c>
      <c r="S104" s="501">
        <f>IF('Summary Dashboard'!$F$3="Yes",IF(S$101+1='Summary Dashboard'!$H$3,67500000*1.02^5,0),0)</f>
        <v>0</v>
      </c>
      <c r="T104" s="501">
        <f>IF('Summary Dashboard'!$F$3="Yes",IF(T$101+1='Summary Dashboard'!$H$3,67500000*1.02^5,0),0)</f>
        <v>0</v>
      </c>
      <c r="U104" s="501">
        <f>IF('Summary Dashboard'!$F$3="Yes",IF(U$101+1='Summary Dashboard'!$H$3,67500000*1.02^5,0),0)</f>
        <v>0</v>
      </c>
      <c r="V104" s="501">
        <f>IF('Summary Dashboard'!$F$3="Yes",IF(V$101+1='Summary Dashboard'!$H$3,67500000*1.02^5,0),0)</f>
        <v>0</v>
      </c>
      <c r="W104" s="501">
        <f>IF('Summary Dashboard'!$F$3="Yes",IF(W$101+1='Summary Dashboard'!$H$3,67500000*1.02^5,0),0)</f>
        <v>0</v>
      </c>
      <c r="X104" s="501">
        <f>IF('Summary Dashboard'!$F$3="Yes",IF(X$101+1='Summary Dashboard'!$H$3,67500000*1.02^5,0),0)</f>
        <v>0</v>
      </c>
      <c r="Y104" s="501">
        <f>IF('Summary Dashboard'!$F$3="Yes",IF(Y$101+1='Summary Dashboard'!$H$3,67500000*1.02^5,0),0)</f>
        <v>0</v>
      </c>
      <c r="Z104" s="501">
        <f>IF('Summary Dashboard'!$F$3="Yes",IF(Z$101+1='Summary Dashboard'!$H$3,67500000*1.02^5,0),0)</f>
        <v>0</v>
      </c>
      <c r="AA104" s="501">
        <f>IF('Summary Dashboard'!$F$3="Yes",IF(AA$101+1='Summary Dashboard'!$H$3,67500000*1.02^5,0),0)</f>
        <v>0</v>
      </c>
      <c r="AB104" s="501">
        <f>IF('Summary Dashboard'!$F$3="Yes",IF(AB$101+1='Summary Dashboard'!$H$3,67500000*1.02^5,0),0)</f>
        <v>0</v>
      </c>
      <c r="AC104" s="501">
        <f>IF('Summary Dashboard'!$F$3="Yes",IF(AC$101+1='Summary Dashboard'!$H$3,67500000*1.02^5,0),0)</f>
        <v>0</v>
      </c>
      <c r="AD104" s="501">
        <f>IF('Summary Dashboard'!$F$3="Yes",IF(AD$101+1='Summary Dashboard'!$H$3,67500000*1.02^5,0),0)</f>
        <v>0</v>
      </c>
      <c r="AE104" s="501">
        <f>IF('Summary Dashboard'!$F$3="Yes",IF(AE$101+1='Summary Dashboard'!$H$3,67500000*1.02^5,0),0)</f>
        <v>0</v>
      </c>
    </row>
  </sheetData>
  <pageMargins left="0.7" right="0.7" top="0.75" bottom="0.75" header="0.3" footer="0.3"/>
  <ignoredErrors>
    <ignoredError sqref="C29:G29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1CEF2-D93D-411D-97C9-71D27C9C9721}">
  <sheetPr codeName="Sheet11"/>
  <dimension ref="B3:S31"/>
  <sheetViews>
    <sheetView workbookViewId="0">
      <selection activeCell="E7" sqref="E7"/>
    </sheetView>
  </sheetViews>
  <sheetFormatPr defaultColWidth="9.140625" defaultRowHeight="15" x14ac:dyDescent="0.25"/>
  <cols>
    <col min="1" max="1" width="9.140625" style="1"/>
    <col min="2" max="2" width="35" style="1" customWidth="1"/>
    <col min="3" max="3" width="50.140625" style="1" customWidth="1"/>
    <col min="4" max="16384" width="9.140625" style="1"/>
  </cols>
  <sheetData>
    <row r="3" spans="2:3" ht="15.75" thickBot="1" x14ac:dyDescent="0.3">
      <c r="B3" s="49" t="s">
        <v>142</v>
      </c>
      <c r="C3" s="50" t="s">
        <v>143</v>
      </c>
    </row>
    <row r="4" spans="2:3" ht="15.75" thickTop="1" x14ac:dyDescent="0.25">
      <c r="B4" s="1" t="s">
        <v>144</v>
      </c>
      <c r="C4" s="1" t="s">
        <v>145</v>
      </c>
    </row>
    <row r="5" spans="2:3" x14ac:dyDescent="0.25">
      <c r="B5" s="1" t="s">
        <v>146</v>
      </c>
      <c r="C5" s="1" t="s">
        <v>147</v>
      </c>
    </row>
    <row r="6" spans="2:3" x14ac:dyDescent="0.25">
      <c r="B6" s="1" t="s">
        <v>148</v>
      </c>
      <c r="C6" s="1" t="s">
        <v>149</v>
      </c>
    </row>
    <row r="7" spans="2:3" x14ac:dyDescent="0.25">
      <c r="B7" s="1" t="s">
        <v>150</v>
      </c>
      <c r="C7" s="1" t="s">
        <v>151</v>
      </c>
    </row>
    <row r="8" spans="2:3" x14ac:dyDescent="0.25">
      <c r="B8" s="1" t="s">
        <v>152</v>
      </c>
      <c r="C8" s="1" t="s">
        <v>153</v>
      </c>
    </row>
    <row r="9" spans="2:3" x14ac:dyDescent="0.25">
      <c r="B9" s="1" t="s">
        <v>154</v>
      </c>
      <c r="C9" s="1" t="s">
        <v>155</v>
      </c>
    </row>
    <row r="10" spans="2:3" x14ac:dyDescent="0.25">
      <c r="B10" s="1" t="s">
        <v>156</v>
      </c>
      <c r="C10" s="1" t="s">
        <v>157</v>
      </c>
    </row>
    <row r="11" spans="2:3" x14ac:dyDescent="0.25">
      <c r="B11" s="1" t="s">
        <v>158</v>
      </c>
      <c r="C11" s="1" t="s">
        <v>159</v>
      </c>
    </row>
    <row r="13" spans="2:3" ht="15.75" thickBot="1" x14ac:dyDescent="0.3">
      <c r="B13" s="50" t="s">
        <v>160</v>
      </c>
      <c r="C13" s="50" t="s">
        <v>143</v>
      </c>
    </row>
    <row r="14" spans="2:3" ht="15.75" thickTop="1" x14ac:dyDescent="0.25">
      <c r="B14" s="51">
        <v>10</v>
      </c>
      <c r="C14" s="1" t="s">
        <v>161</v>
      </c>
    </row>
    <row r="15" spans="2:3" x14ac:dyDescent="0.25">
      <c r="B15" s="51">
        <v>20</v>
      </c>
      <c r="C15" s="1" t="s">
        <v>162</v>
      </c>
    </row>
    <row r="16" spans="2:3" x14ac:dyDescent="0.25">
      <c r="B16" s="51">
        <v>30</v>
      </c>
      <c r="C16" s="1" t="s">
        <v>163</v>
      </c>
    </row>
    <row r="17" spans="2:19" x14ac:dyDescent="0.25">
      <c r="B17" s="51">
        <v>50</v>
      </c>
      <c r="C17" s="1" t="s">
        <v>164</v>
      </c>
    </row>
    <row r="18" spans="2:19" x14ac:dyDescent="0.25">
      <c r="B18" s="51">
        <v>55</v>
      </c>
      <c r="C18" s="1" t="s">
        <v>165</v>
      </c>
    </row>
    <row r="19" spans="2:19" x14ac:dyDescent="0.25">
      <c r="B19" s="51">
        <v>60</v>
      </c>
      <c r="C19" s="1" t="s">
        <v>166</v>
      </c>
    </row>
    <row r="20" spans="2:19" x14ac:dyDescent="0.25">
      <c r="B20" s="51">
        <v>65</v>
      </c>
      <c r="C20" s="1" t="s">
        <v>167</v>
      </c>
    </row>
    <row r="21" spans="2:19" x14ac:dyDescent="0.25">
      <c r="B21" s="51">
        <v>70</v>
      </c>
      <c r="C21" s="1" t="s">
        <v>168</v>
      </c>
    </row>
    <row r="22" spans="2:19" x14ac:dyDescent="0.25">
      <c r="B22" s="51">
        <v>80</v>
      </c>
      <c r="C22" s="1" t="s">
        <v>169</v>
      </c>
    </row>
    <row r="23" spans="2:19" x14ac:dyDescent="0.25">
      <c r="B23" s="51">
        <v>91</v>
      </c>
      <c r="C23" s="1" t="s">
        <v>170</v>
      </c>
    </row>
    <row r="24" spans="2:19" x14ac:dyDescent="0.25">
      <c r="B24" s="51">
        <v>92</v>
      </c>
      <c r="C24" s="1" t="s">
        <v>171</v>
      </c>
    </row>
    <row r="31" spans="2:19" x14ac:dyDescent="0.25">
      <c r="S31" s="1" t="s">
        <v>20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AA5EF-78D9-4893-AD80-B469D7A5B3D9}">
  <sheetPr codeName="Sheet12"/>
  <dimension ref="B2:U116"/>
  <sheetViews>
    <sheetView workbookViewId="0">
      <selection activeCell="P17" sqref="P17"/>
    </sheetView>
  </sheetViews>
  <sheetFormatPr defaultRowHeight="15" x14ac:dyDescent="0.25"/>
  <cols>
    <col min="2" max="2" width="12" bestFit="1" customWidth="1"/>
    <col min="3" max="3" width="17.42578125" bestFit="1" customWidth="1"/>
    <col min="4" max="4" width="17.140625" bestFit="1" customWidth="1"/>
    <col min="5" max="5" width="15.28515625" bestFit="1" customWidth="1"/>
    <col min="6" max="6" width="16.42578125" bestFit="1" customWidth="1"/>
    <col min="7" max="7" width="14.5703125" customWidth="1"/>
    <col min="8" max="8" width="25" bestFit="1" customWidth="1"/>
    <col min="9" max="9" width="21.140625" customWidth="1"/>
    <col min="10" max="10" width="25" bestFit="1" customWidth="1"/>
    <col min="11" max="11" width="11.7109375" bestFit="1" customWidth="1"/>
    <col min="12" max="12" width="14.85546875" bestFit="1" customWidth="1"/>
    <col min="13" max="13" width="15.42578125" customWidth="1"/>
    <col min="14" max="14" width="16.28515625" bestFit="1" customWidth="1"/>
    <col min="15" max="15" width="17.5703125" customWidth="1"/>
    <col min="16" max="16" width="22.140625" customWidth="1"/>
    <col min="18" max="18" width="12.5703125" bestFit="1" customWidth="1"/>
    <col min="19" max="19" width="18.5703125" bestFit="1" customWidth="1"/>
    <col min="20" max="20" width="8.7109375" bestFit="1" customWidth="1"/>
    <col min="21" max="21" width="23" bestFit="1" customWidth="1"/>
  </cols>
  <sheetData>
    <row r="2" spans="2:21" x14ac:dyDescent="0.25">
      <c r="B2" s="35" t="s">
        <v>13</v>
      </c>
      <c r="C2" s="35" t="str">
        <f>'Dash Demand'!C2</f>
        <v>Base</v>
      </c>
    </row>
    <row r="3" spans="2:21" x14ac:dyDescent="0.25">
      <c r="B3" s="35"/>
      <c r="C3" s="548" t="s">
        <v>172</v>
      </c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36"/>
    </row>
    <row r="4" spans="2:21" x14ac:dyDescent="0.25">
      <c r="B4" s="55" t="s">
        <v>173</v>
      </c>
      <c r="C4" s="55" t="s">
        <v>174</v>
      </c>
      <c r="D4" s="55" t="s">
        <v>175</v>
      </c>
      <c r="E4" s="55" t="s">
        <v>176</v>
      </c>
      <c r="F4" s="55" t="s">
        <v>177</v>
      </c>
      <c r="G4" s="55" t="s">
        <v>178</v>
      </c>
      <c r="H4" s="55" t="s">
        <v>179</v>
      </c>
      <c r="I4" s="55" t="s">
        <v>180</v>
      </c>
      <c r="J4" s="55" t="s">
        <v>181</v>
      </c>
      <c r="K4" s="55" t="s">
        <v>182</v>
      </c>
      <c r="L4" s="55" t="s">
        <v>183</v>
      </c>
      <c r="M4" s="55" t="s">
        <v>184</v>
      </c>
      <c r="N4" s="55" t="s">
        <v>185</v>
      </c>
      <c r="O4" s="36" t="s">
        <v>186</v>
      </c>
      <c r="S4" s="36" t="s">
        <v>187</v>
      </c>
    </row>
    <row r="5" spans="2:21" x14ac:dyDescent="0.25">
      <c r="B5" s="36">
        <v>2022</v>
      </c>
      <c r="C5" s="56">
        <f>('Historical Data'!C$24/'Historical Data'!$N$24)*$N5</f>
        <v>277728.23960919119</v>
      </c>
      <c r="D5" s="56">
        <f>('Historical Data'!D$24/'Historical Data'!$N$24)*$N5</f>
        <v>3912909.1844666936</v>
      </c>
      <c r="E5" s="56">
        <f>('Historical Data'!E$24/'Historical Data'!$N$24)*$N5</f>
        <v>2647170.0431633117</v>
      </c>
      <c r="F5" s="56">
        <f>('Historical Data'!F$24/'Historical Data'!$N$24)*$N5</f>
        <v>12064765.297137449</v>
      </c>
      <c r="G5" s="56">
        <f>('Historical Data'!G$24/'Historical Data'!$N$24)*$N5</f>
        <v>387843.83550842426</v>
      </c>
      <c r="H5" s="56">
        <f>('Historical Data'!H$24/'Historical Data'!$N$24)*$N5</f>
        <v>6011029.4485654626</v>
      </c>
      <c r="I5" s="56">
        <f>('Historical Data'!I$24/'Historical Data'!$N$24)*$N5</f>
        <v>0</v>
      </c>
      <c r="J5" s="56">
        <f>('Historical Data'!J$24/'Historical Data'!$N$24)*$N5</f>
        <v>1831.0541836364946</v>
      </c>
      <c r="K5" s="56">
        <f>('Historical Data'!K$24/'Historical Data'!$N$24)*$N5</f>
        <v>53522.846903979109</v>
      </c>
      <c r="L5" s="56">
        <f>('Historical Data'!L$24/'Historical Data'!$N$24)*$N5</f>
        <v>3635051.0139102656</v>
      </c>
      <c r="M5" s="56">
        <f>('Historical Data'!M$24/'Historical Data'!$N$24)*$N5</f>
        <v>202998.6694776316</v>
      </c>
      <c r="N5" s="56">
        <f>'Hist Reg (Oahu)'!$Q$91+'Hist Reg (Oahu)'!$Q$92*'Projected Econometric Drivers'!I25+'Hist Reg (Oahu)'!$Q$93*'Projected Econometric Drivers'!H25+'Hist Reg (Oahu)'!$Q$94*'Projected Econometric Drivers'!E25</f>
        <v>29194849.632926039</v>
      </c>
      <c r="O5" s="56">
        <f>N5-'Energy Efficiency'!O22</f>
        <v>29193564.736066513</v>
      </c>
      <c r="P5" s="37"/>
      <c r="Q5" s="37"/>
      <c r="R5" s="57"/>
      <c r="S5" s="57" t="s">
        <v>188</v>
      </c>
      <c r="T5" s="13">
        <v>5.2909999999999997E-3</v>
      </c>
      <c r="U5" t="s">
        <v>189</v>
      </c>
    </row>
    <row r="6" spans="2:21" x14ac:dyDescent="0.25">
      <c r="B6" s="36">
        <v>2023</v>
      </c>
      <c r="C6" s="56">
        <f>('Historical Data'!C$24/'Historical Data'!$N$24)*$N6</f>
        <v>280789.2755542263</v>
      </c>
      <c r="D6" s="56">
        <f>('Historical Data'!D$24/'Historical Data'!$N$24)*$N6</f>
        <v>3956036.075992614</v>
      </c>
      <c r="E6" s="56">
        <f>('Historical Data'!E$24/'Historical Data'!$N$24)*$N6</f>
        <v>2676346.3439462115</v>
      </c>
      <c r="F6" s="56">
        <f>('Historical Data'!F$24/'Historical Data'!$N$24)*$N6</f>
        <v>12197739.460279509</v>
      </c>
      <c r="G6" s="56">
        <f>('Historical Data'!G$24/'Historical Data'!$N$24)*$N6</f>
        <v>392118.53196429118</v>
      </c>
      <c r="H6" s="56">
        <f>('Historical Data'!H$24/'Historical Data'!$N$24)*$N6</f>
        <v>6077281.1816791538</v>
      </c>
      <c r="I6" s="56">
        <f>('Historical Data'!I$24/'Historical Data'!$N$24)*$N6</f>
        <v>0</v>
      </c>
      <c r="J6" s="56">
        <f>('Historical Data'!J$24/'Historical Data'!$N$24)*$N6</f>
        <v>1851.2355043452035</v>
      </c>
      <c r="K6" s="56">
        <f>('Historical Data'!K$24/'Historical Data'!$N$24)*$N6</f>
        <v>54112.759397156733</v>
      </c>
      <c r="L6" s="56">
        <f>('Historical Data'!L$24/'Historical Data'!$N$24)*$N6</f>
        <v>3675115.4374318821</v>
      </c>
      <c r="M6" s="56">
        <f>('Historical Data'!M$24/'Historical Data'!$N$24)*$N6</f>
        <v>205236.05889449365</v>
      </c>
      <c r="N6" s="56">
        <f>'Hist Reg (Oahu)'!$Q$91+'Hist Reg (Oahu)'!$Q$92*'Projected Econometric Drivers'!I26+'Hist Reg (Oahu)'!$Q$93*'Projected Econometric Drivers'!H26+'Hist Reg (Oahu)'!$Q$94*'Projected Econometric Drivers'!E26</f>
        <v>29516626.360643879</v>
      </c>
      <c r="O6" s="56">
        <f>N6-'Energy Efficiency'!O23</f>
        <v>29513996.53530737</v>
      </c>
      <c r="P6" s="37"/>
      <c r="Q6" s="37"/>
      <c r="R6" s="57"/>
      <c r="S6" s="57"/>
      <c r="U6" s="58" t="s">
        <v>190</v>
      </c>
    </row>
    <row r="7" spans="2:21" x14ac:dyDescent="0.25">
      <c r="B7" s="36">
        <v>2024</v>
      </c>
      <c r="C7" s="56">
        <f>('Historical Data'!C$24/'Historical Data'!$N$24)*$N7</f>
        <v>281225.35810925928</v>
      </c>
      <c r="D7" s="56">
        <f>('Historical Data'!D$24/'Historical Data'!$N$24)*$N7</f>
        <v>3962180.0368558499</v>
      </c>
      <c r="E7" s="56">
        <f>('Historical Data'!E$24/'Historical Data'!$N$24)*$N7</f>
        <v>2680502.8700440032</v>
      </c>
      <c r="F7" s="56">
        <f>('Historical Data'!F$24/'Historical Data'!$N$24)*$N7</f>
        <v>12216683.279907113</v>
      </c>
      <c r="G7" s="56">
        <f>('Historical Data'!G$24/'Historical Data'!$N$24)*$N7</f>
        <v>392727.51551951154</v>
      </c>
      <c r="H7" s="56">
        <f>('Historical Data'!H$24/'Historical Data'!$N$24)*$N7</f>
        <v>6086719.5631847484</v>
      </c>
      <c r="I7" s="56">
        <f>('Historical Data'!I$24/'Historical Data'!$N$24)*$N7</f>
        <v>0</v>
      </c>
      <c r="J7" s="56">
        <f>('Historical Data'!J$24/'Historical Data'!$N$24)*$N7</f>
        <v>1854.1105839119325</v>
      </c>
      <c r="K7" s="56">
        <f>('Historical Data'!K$24/'Historical Data'!$N$24)*$N7</f>
        <v>54196.799752085601</v>
      </c>
      <c r="L7" s="56">
        <f>('Historical Data'!L$24/'Historical Data'!$N$24)*$N7</f>
        <v>3680823.1117254714</v>
      </c>
      <c r="M7" s="56">
        <f>('Historical Data'!M$24/'Historical Data'!$N$24)*$N7</f>
        <v>205554.80278088656</v>
      </c>
      <c r="N7" s="56">
        <f>'Hist Reg (Oahu)'!$Q$91+'Hist Reg (Oahu)'!$Q$92*'Projected Econometric Drivers'!I27+'Hist Reg (Oahu)'!$Q$93*'Projected Econometric Drivers'!H27+'Hist Reg (Oahu)'!$Q$94*'Projected Econometric Drivers'!E27</f>
        <v>29562467.448462836</v>
      </c>
      <c r="O7" s="56">
        <f>N7-'Energy Efficiency'!O24</f>
        <v>29558429.842085719</v>
      </c>
      <c r="P7" s="37"/>
      <c r="Q7" s="37"/>
      <c r="R7" s="57"/>
      <c r="S7" s="57" t="s">
        <v>191</v>
      </c>
      <c r="T7" s="13">
        <v>6.2880000000000002E-3</v>
      </c>
      <c r="U7" t="s">
        <v>192</v>
      </c>
    </row>
    <row r="8" spans="2:21" x14ac:dyDescent="0.25">
      <c r="B8" s="36">
        <v>2025</v>
      </c>
      <c r="C8" s="56">
        <f>('Historical Data'!C$24/'Historical Data'!$N$24)*$N8</f>
        <v>282574.08930833265</v>
      </c>
      <c r="D8" s="56">
        <f>('Historical Data'!D$24/'Historical Data'!$N$24)*$N8</f>
        <v>3981182.2913750773</v>
      </c>
      <c r="E8" s="56">
        <f>('Historical Data'!E$24/'Historical Data'!$N$24)*$N8</f>
        <v>2693358.3176264698</v>
      </c>
      <c r="F8" s="56">
        <f>('Historical Data'!F$24/'Historical Data'!$N$24)*$N8</f>
        <v>12275273.380030328</v>
      </c>
      <c r="G8" s="56">
        <f>('Historical Data'!G$24/'Historical Data'!$N$24)*$N8</f>
        <v>394611.0009081582</v>
      </c>
      <c r="H8" s="56">
        <f>('Historical Data'!H$24/'Historical Data'!$N$24)*$N8</f>
        <v>6115910.9157358501</v>
      </c>
      <c r="I8" s="56">
        <f>('Historical Data'!I$24/'Historical Data'!$N$24)*$N8</f>
        <v>0</v>
      </c>
      <c r="J8" s="56">
        <f>('Historical Data'!J$24/'Historical Data'!$N$24)*$N8</f>
        <v>1863.002729370887</v>
      </c>
      <c r="K8" s="56">
        <f>('Historical Data'!K$24/'Historical Data'!$N$24)*$N8</f>
        <v>54456.722666601614</v>
      </c>
      <c r="L8" s="56">
        <f>('Historical Data'!L$24/'Historical Data'!$N$24)*$N8</f>
        <v>3698476.0040621771</v>
      </c>
      <c r="M8" s="56">
        <f>('Historical Data'!M$24/'Historical Data'!$N$24)*$N8</f>
        <v>206540.62488986665</v>
      </c>
      <c r="N8" s="56">
        <f>'Hist Reg (Oahu)'!$Q$91+'Hist Reg (Oahu)'!$Q$92*'Projected Econometric Drivers'!I28+'Hist Reg (Oahu)'!$Q$93*'Projected Econometric Drivers'!H28+'Hist Reg (Oahu)'!$Q$94*'Projected Econometric Drivers'!E28</f>
        <v>29704246.349332228</v>
      </c>
      <c r="O8" s="56">
        <f>N8-'Energy Efficiency'!O25</f>
        <v>29698735.155789264</v>
      </c>
      <c r="P8" s="37"/>
      <c r="Q8" s="37"/>
      <c r="R8" s="57"/>
      <c r="S8" s="57"/>
      <c r="U8" s="58" t="s">
        <v>190</v>
      </c>
    </row>
    <row r="9" spans="2:21" x14ac:dyDescent="0.25">
      <c r="B9" s="36">
        <v>2026</v>
      </c>
      <c r="C9" s="56">
        <f>('Historical Data'!C$24/'Historical Data'!$N$24)*$N9</f>
        <v>283845.46729933581</v>
      </c>
      <c r="D9" s="56">
        <f>('Historical Data'!D$24/'Historical Data'!$N$24)*$N9</f>
        <v>3999094.7176552624</v>
      </c>
      <c r="E9" s="56">
        <f>('Historical Data'!E$24/'Historical Data'!$N$24)*$N9</f>
        <v>2705476.4721794846</v>
      </c>
      <c r="F9" s="56">
        <f>('Historical Data'!F$24/'Historical Data'!$N$24)*$N9</f>
        <v>12330503.187006326</v>
      </c>
      <c r="G9" s="56">
        <f>('Historical Data'!G$24/'Historical Data'!$N$24)*$N9</f>
        <v>396386.4635586454</v>
      </c>
      <c r="H9" s="56">
        <f>('Historical Data'!H$24/'Historical Data'!$N$24)*$N9</f>
        <v>6143428.069032656</v>
      </c>
      <c r="I9" s="56">
        <f>('Historical Data'!I$24/'Historical Data'!$N$24)*$N9</f>
        <v>0</v>
      </c>
      <c r="J9" s="56">
        <f>('Historical Data'!J$24/'Historical Data'!$N$24)*$N9</f>
        <v>1871.3848873850866</v>
      </c>
      <c r="K9" s="56">
        <f>('Historical Data'!K$24/'Historical Data'!$N$24)*$N9</f>
        <v>54701.738332510511</v>
      </c>
      <c r="L9" s="56">
        <f>('Historical Data'!L$24/'Historical Data'!$N$24)*$N9</f>
        <v>3715116.4575564368</v>
      </c>
      <c r="M9" s="56">
        <f>('Historical Data'!M$24/'Historical Data'!$N$24)*$N9</f>
        <v>207469.9075618051</v>
      </c>
      <c r="N9" s="56">
        <f>'Hist Reg (Oahu)'!$Q$91+'Hist Reg (Oahu)'!$Q$92*'Projected Econometric Drivers'!I29+'Hist Reg (Oahu)'!$Q$93*'Projected Econometric Drivers'!H29+'Hist Reg (Oahu)'!$Q$94*'Projected Econometric Drivers'!E29</f>
        <v>29837893.865069844</v>
      </c>
      <c r="O9" s="56">
        <f>N9-'Energy Efficiency'!O26</f>
        <v>29830840.185840953</v>
      </c>
      <c r="P9" s="37"/>
      <c r="Q9" s="37"/>
      <c r="R9" s="57"/>
      <c r="S9" s="57"/>
    </row>
    <row r="10" spans="2:21" x14ac:dyDescent="0.25">
      <c r="B10" s="36">
        <v>2027</v>
      </c>
      <c r="C10" s="56">
        <f>('Historical Data'!C$24/'Historical Data'!$N$24)*$N10</f>
        <v>285003.46535570815</v>
      </c>
      <c r="D10" s="56">
        <f>('Historical Data'!D$24/'Historical Data'!$N$24)*$N10</f>
        <v>4015409.7356626131</v>
      </c>
      <c r="E10" s="56">
        <f>('Historical Data'!E$24/'Historical Data'!$N$24)*$N10</f>
        <v>2716513.9445272144</v>
      </c>
      <c r="F10" s="56">
        <f>('Historical Data'!F$24/'Historical Data'!$N$24)*$N10</f>
        <v>12380807.667329729</v>
      </c>
      <c r="G10" s="56">
        <f>('Historical Data'!G$24/'Historical Data'!$N$24)*$N10</f>
        <v>398003.59262095008</v>
      </c>
      <c r="H10" s="56">
        <f>('Historical Data'!H$24/'Historical Data'!$N$24)*$N10</f>
        <v>6168491.2762456881</v>
      </c>
      <c r="I10" s="56">
        <f>('Historical Data'!I$24/'Historical Data'!$N$24)*$N10</f>
        <v>0</v>
      </c>
      <c r="J10" s="56">
        <f>('Historical Data'!J$24/'Historical Data'!$N$24)*$N10</f>
        <v>1879.0195347970573</v>
      </c>
      <c r="K10" s="56">
        <f>('Historical Data'!K$24/'Historical Data'!$N$24)*$N10</f>
        <v>54924.903800932218</v>
      </c>
      <c r="L10" s="56">
        <f>('Historical Data'!L$24/'Historical Data'!$N$24)*$N10</f>
        <v>3730272.9357555774</v>
      </c>
      <c r="M10" s="56">
        <f>('Historical Data'!M$24/'Historical Data'!$N$24)*$N10</f>
        <v>208316.31794136192</v>
      </c>
      <c r="N10" s="56">
        <f>'Hist Reg (Oahu)'!$Q$91+'Hist Reg (Oahu)'!$Q$92*'Projected Econometric Drivers'!I30+'Hist Reg (Oahu)'!$Q$93*'Projected Econometric Drivers'!H30+'Hist Reg (Oahu)'!$Q$94*'Projected Econometric Drivers'!E30</f>
        <v>29959622.858774565</v>
      </c>
      <c r="O10" s="56">
        <f>N10-'Energy Efficiency'!O27</f>
        <v>29950954.557603568</v>
      </c>
      <c r="P10" s="37"/>
      <c r="Q10" s="37"/>
      <c r="R10" s="57"/>
      <c r="S10" s="57"/>
      <c r="T10" t="s">
        <v>0</v>
      </c>
    </row>
    <row r="11" spans="2:21" x14ac:dyDescent="0.25">
      <c r="B11" s="36">
        <v>2028</v>
      </c>
      <c r="C11" s="56">
        <f>('Historical Data'!C$24/'Historical Data'!$N$24)*$N11</f>
        <v>286306.95838565374</v>
      </c>
      <c r="D11" s="56">
        <f>('Historical Data'!D$24/'Historical Data'!$N$24)*$N11</f>
        <v>4033774.6302658399</v>
      </c>
      <c r="E11" s="56">
        <f>('Historical Data'!E$24/'Historical Data'!$N$24)*$N11</f>
        <v>2728938.2039586632</v>
      </c>
      <c r="F11" s="56">
        <f>('Historical Data'!F$24/'Historical Data'!$N$24)*$N11</f>
        <v>12437432.580571815</v>
      </c>
      <c r="G11" s="56">
        <f>('Historical Data'!G$24/'Historical Data'!$N$24)*$N11</f>
        <v>399823.90350112558</v>
      </c>
      <c r="H11" s="56">
        <f>('Historical Data'!H$24/'Historical Data'!$N$24)*$N11</f>
        <v>6196703.5135033336</v>
      </c>
      <c r="I11" s="56">
        <f>('Historical Data'!I$24/'Historical Data'!$N$24)*$N11</f>
        <v>0</v>
      </c>
      <c r="J11" s="56">
        <f>('Historical Data'!J$24/'Historical Data'!$N$24)*$N11</f>
        <v>1887.6134263263505</v>
      </c>
      <c r="K11" s="56">
        <f>('Historical Data'!K$24/'Historical Data'!$N$24)*$N11</f>
        <v>55176.10856851493</v>
      </c>
      <c r="L11" s="56">
        <f>('Historical Data'!L$24/'Historical Data'!$N$24)*$N11</f>
        <v>3747333.7275094022</v>
      </c>
      <c r="M11" s="56">
        <f>('Historical Data'!M$24/'Historical Data'!$N$24)*$N11</f>
        <v>209269.07431617161</v>
      </c>
      <c r="N11" s="56">
        <f>'Hist Reg (Oahu)'!$Q$91+'Hist Reg (Oahu)'!$Q$92*'Projected Econometric Drivers'!I31+'Hist Reg (Oahu)'!$Q$93*'Projected Econometric Drivers'!H31+'Hist Reg (Oahu)'!$Q$94*'Projected Econometric Drivers'!E31</f>
        <v>30096646.314006843</v>
      </c>
      <c r="O11" s="56">
        <f>N11-'Energy Efficiency'!O28</f>
        <v>30086287.864748333</v>
      </c>
      <c r="P11" s="37"/>
      <c r="Q11" s="37"/>
      <c r="R11" s="57"/>
      <c r="S11" s="57"/>
    </row>
    <row r="12" spans="2:21" x14ac:dyDescent="0.25">
      <c r="B12" s="36">
        <v>2029</v>
      </c>
      <c r="C12" s="56">
        <f>('Historical Data'!C$24/'Historical Data'!$N$24)*$N12</f>
        <v>287739.70855991531</v>
      </c>
      <c r="D12" s="56">
        <f>('Historical Data'!D$24/'Historical Data'!$N$24)*$N12</f>
        <v>4053960.6269214312</v>
      </c>
      <c r="E12" s="56">
        <f>('Historical Data'!E$24/'Historical Data'!$N$24)*$N12</f>
        <v>2742594.4794097273</v>
      </c>
      <c r="F12" s="56">
        <f>('Historical Data'!F$24/'Historical Data'!$N$24)*$N12</f>
        <v>12499672.540779762</v>
      </c>
      <c r="G12" s="56">
        <f>('Historical Data'!G$24/'Historical Data'!$N$24)*$N12</f>
        <v>401824.72028408188</v>
      </c>
      <c r="H12" s="56">
        <f>('Historical Data'!H$24/'Historical Data'!$N$24)*$N12</f>
        <v>6227713.3362784414</v>
      </c>
      <c r="I12" s="56">
        <f>('Historical Data'!I$24/'Historical Data'!$N$24)*$N12</f>
        <v>0</v>
      </c>
      <c r="J12" s="56">
        <f>('Historical Data'!J$24/'Historical Data'!$N$24)*$N12</f>
        <v>1897.0595064382583</v>
      </c>
      <c r="K12" s="56">
        <f>('Historical Data'!K$24/'Historical Data'!$N$24)*$N12</f>
        <v>55452.223335729672</v>
      </c>
      <c r="L12" s="56">
        <f>('Historical Data'!L$24/'Historical Data'!$N$24)*$N12</f>
        <v>3766086.3037002794</v>
      </c>
      <c r="M12" s="56">
        <f>('Historical Data'!M$24/'Historical Data'!$N$24)*$N12</f>
        <v>210316.30804176687</v>
      </c>
      <c r="N12" s="56">
        <f>'Hist Reg (Oahu)'!$Q$91+'Hist Reg (Oahu)'!$Q$92*'Projected Econometric Drivers'!I32+'Hist Reg (Oahu)'!$Q$93*'Projected Econometric Drivers'!H32+'Hist Reg (Oahu)'!$Q$94*'Projected Econometric Drivers'!E32</f>
        <v>30247257.306817569</v>
      </c>
      <c r="O12" s="56">
        <f>N12-'Energy Efficiency'!O29</f>
        <v>30235129.634154111</v>
      </c>
      <c r="P12" s="37"/>
      <c r="Q12" s="37"/>
      <c r="R12" s="57"/>
      <c r="S12" s="57"/>
    </row>
    <row r="13" spans="2:21" x14ac:dyDescent="0.25">
      <c r="B13" s="36">
        <v>2030</v>
      </c>
      <c r="C13" s="56">
        <f>('Historical Data'!C$24/'Historical Data'!$N$24)*$N13</f>
        <v>289215.43225033622</v>
      </c>
      <c r="D13" s="56">
        <f>('Historical Data'!D$24/'Historical Data'!$N$24)*$N13</f>
        <v>4074752.0768298325</v>
      </c>
      <c r="E13" s="56">
        <f>('Historical Data'!E$24/'Historical Data'!$N$24)*$N13</f>
        <v>2756660.3574449089</v>
      </c>
      <c r="F13" s="56">
        <f>('Historical Data'!F$24/'Historical Data'!$N$24)*$N13</f>
        <v>12563779.309300698</v>
      </c>
      <c r="G13" s="56">
        <f>('Historical Data'!G$24/'Historical Data'!$N$24)*$N13</f>
        <v>403885.54901741084</v>
      </c>
      <c r="H13" s="56">
        <f>('Historical Data'!H$24/'Historical Data'!$N$24)*$N13</f>
        <v>6259653.2591813058</v>
      </c>
      <c r="I13" s="56">
        <f>('Historical Data'!I$24/'Historical Data'!$N$24)*$N13</f>
        <v>0</v>
      </c>
      <c r="J13" s="56">
        <f>('Historical Data'!J$24/'Historical Data'!$N$24)*$N13</f>
        <v>1906.7889096888568</v>
      </c>
      <c r="K13" s="56">
        <f>('Historical Data'!K$24/'Historical Data'!$N$24)*$N13</f>
        <v>55736.619813617974</v>
      </c>
      <c r="L13" s="56">
        <f>('Historical Data'!L$24/'Historical Data'!$N$24)*$N13</f>
        <v>3785401.3395233001</v>
      </c>
      <c r="M13" s="56">
        <f>('Historical Data'!M$24/'Historical Data'!$N$24)*$N13</f>
        <v>211394.95220879003</v>
      </c>
      <c r="N13" s="56">
        <f>'Hist Reg (Oahu)'!$Q$91+'Hist Reg (Oahu)'!$Q$92*'Projected Econometric Drivers'!I33+'Hist Reg (Oahu)'!$Q$93*'Projected Econometric Drivers'!H33+'Hist Reg (Oahu)'!$Q$94*'Projected Econometric Drivers'!E33</f>
        <v>30402385.684479885</v>
      </c>
      <c r="O13" s="56">
        <f>N13-'Energy Efficiency'!O30</f>
        <v>30388405.997176863</v>
      </c>
      <c r="P13" s="37"/>
      <c r="Q13" s="37"/>
      <c r="R13" s="57"/>
      <c r="S13" s="57"/>
    </row>
    <row r="14" spans="2:21" x14ac:dyDescent="0.25">
      <c r="B14" s="36">
        <v>2031</v>
      </c>
      <c r="C14" s="56">
        <f>('Historical Data'!C$24/'Historical Data'!$N$24)*$N14</f>
        <v>290637.16091817158</v>
      </c>
      <c r="D14" s="56">
        <f>('Historical Data'!D$24/'Historical Data'!$N$24)*$N14</f>
        <v>4094782.7916394635</v>
      </c>
      <c r="E14" s="56">
        <f>('Historical Data'!E$24/'Historical Data'!$N$24)*$N14</f>
        <v>2770211.5812754282</v>
      </c>
      <c r="F14" s="56">
        <f>('Historical Data'!F$24/'Historical Data'!$N$24)*$N14</f>
        <v>12625540.4853258</v>
      </c>
      <c r="G14" s="56">
        <f>('Historical Data'!G$24/'Historical Data'!$N$24)*$N14</f>
        <v>405870.97441153519</v>
      </c>
      <c r="H14" s="56">
        <f>('Historical Data'!H$24/'Historical Data'!$N$24)*$N14</f>
        <v>6290424.5372560658</v>
      </c>
      <c r="I14" s="56">
        <f>('Historical Data'!I$24/'Historical Data'!$N$24)*$N14</f>
        <v>0</v>
      </c>
      <c r="J14" s="56">
        <f>('Historical Data'!J$24/'Historical Data'!$N$24)*$N14</f>
        <v>1916.1623253303453</v>
      </c>
      <c r="K14" s="56">
        <f>('Historical Data'!K$24/'Historical Data'!$N$24)*$N14</f>
        <v>56010.6105533952</v>
      </c>
      <c r="L14" s="56">
        <f>('Historical Data'!L$24/'Historical Data'!$N$24)*$N14</f>
        <v>3804009.6605308875</v>
      </c>
      <c r="M14" s="56">
        <f>('Historical Data'!M$24/'Historical Data'!$N$24)*$N14</f>
        <v>212434.13003361222</v>
      </c>
      <c r="N14" s="56">
        <f>'Hist Reg (Oahu)'!$Q$91+'Hist Reg (Oahu)'!$Q$92*'Projected Econometric Drivers'!I34+'Hist Reg (Oahu)'!$Q$93*'Projected Econometric Drivers'!H34+'Hist Reg (Oahu)'!$Q$94*'Projected Econometric Drivers'!E34</f>
        <v>30551838.094269685</v>
      </c>
      <c r="O14" s="56">
        <f>N14-'Energy Efficiency'!O31</f>
        <v>30535919.710619777</v>
      </c>
      <c r="P14" s="37"/>
      <c r="Q14" s="37"/>
      <c r="R14" s="57"/>
      <c r="S14" s="57"/>
    </row>
    <row r="15" spans="2:21" x14ac:dyDescent="0.25">
      <c r="B15" s="36">
        <v>2032</v>
      </c>
      <c r="C15" s="56">
        <f>('Historical Data'!C$24/'Historical Data'!$N$24)*$N15</f>
        <v>292192.87326515862</v>
      </c>
      <c r="D15" s="56">
        <f>('Historical Data'!D$24/'Historical Data'!$N$24)*$N15</f>
        <v>4116701.2005829676</v>
      </c>
      <c r="E15" s="56">
        <f>('Historical Data'!E$24/'Historical Data'!$N$24)*$N15</f>
        <v>2785039.8721489757</v>
      </c>
      <c r="F15" s="56">
        <f>('Historical Data'!F$24/'Historical Data'!$N$24)*$N15</f>
        <v>12693122.03325434</v>
      </c>
      <c r="G15" s="56">
        <f>('Historical Data'!G$24/'Historical Data'!$N$24)*$N15</f>
        <v>408043.5062522018</v>
      </c>
      <c r="H15" s="56">
        <f>('Historical Data'!H$24/'Historical Data'!$N$24)*$N15</f>
        <v>6324095.6999163516</v>
      </c>
      <c r="I15" s="56">
        <f>('Historical Data'!I$24/'Historical Data'!$N$24)*$N15</f>
        <v>0</v>
      </c>
      <c r="J15" s="56">
        <f>('Historical Data'!J$24/'Historical Data'!$N$24)*$N15</f>
        <v>1926.4190914607684</v>
      </c>
      <c r="K15" s="56">
        <f>('Historical Data'!K$24/'Historical Data'!$N$24)*$N15</f>
        <v>56310.42217461019</v>
      </c>
      <c r="L15" s="56">
        <f>('Historical Data'!L$24/'Historical Data'!$N$24)*$N15</f>
        <v>3824371.6293109641</v>
      </c>
      <c r="M15" s="56">
        <f>('Historical Data'!M$24/'Historical Data'!$N$24)*$N15</f>
        <v>213571.23995434871</v>
      </c>
      <c r="N15" s="56">
        <f>'Hist Reg (Oahu)'!$Q$91+'Hist Reg (Oahu)'!$Q$92*'Projected Econometric Drivers'!I35+'Hist Reg (Oahu)'!$Q$93*'Projected Econometric Drivers'!H35+'Hist Reg (Oahu)'!$Q$94*'Projected Econometric Drivers'!E35</f>
        <v>30715374.895951375</v>
      </c>
      <c r="O15" s="56">
        <f>N15-'Energy Efficiency'!O32</f>
        <v>30697427.061044466</v>
      </c>
      <c r="P15" s="37"/>
      <c r="Q15" s="37"/>
      <c r="R15" s="57"/>
      <c r="S15" s="57"/>
    </row>
    <row r="16" spans="2:21" x14ac:dyDescent="0.25">
      <c r="B16" s="36">
        <v>2033</v>
      </c>
      <c r="C16" s="56">
        <f>('Historical Data'!C$24/'Historical Data'!$N$24)*$N16</f>
        <v>293890.80643652868</v>
      </c>
      <c r="D16" s="56">
        <f>('Historical Data'!D$24/'Historical Data'!$N$24)*$N16</f>
        <v>4140623.3566813665</v>
      </c>
      <c r="E16" s="56">
        <f>('Historical Data'!E$24/'Historical Data'!$N$24)*$N16</f>
        <v>2801223.7425140091</v>
      </c>
      <c r="F16" s="56">
        <f>('Historical Data'!F$24/'Historical Data'!$N$24)*$N16</f>
        <v>12766881.78210678</v>
      </c>
      <c r="G16" s="56">
        <f>('Historical Data'!G$24/'Historical Data'!$N$24)*$N16</f>
        <v>410414.64760443813</v>
      </c>
      <c r="H16" s="56">
        <f>('Historical Data'!H$24/'Historical Data'!$N$24)*$N16</f>
        <v>6360845.0283575775</v>
      </c>
      <c r="I16" s="56">
        <f>('Historical Data'!I$24/'Historical Data'!$N$24)*$N16</f>
        <v>0</v>
      </c>
      <c r="J16" s="56">
        <f>('Historical Data'!J$24/'Historical Data'!$N$24)*$N16</f>
        <v>1937.613515338395</v>
      </c>
      <c r="K16" s="56">
        <f>('Historical Data'!K$24/'Historical Data'!$N$24)*$N16</f>
        <v>56637.642112029265</v>
      </c>
      <c r="L16" s="56">
        <f>('Historical Data'!L$24/'Historical Data'!$N$24)*$N16</f>
        <v>3846595.0578856952</v>
      </c>
      <c r="M16" s="56">
        <f>('Historical Data'!M$24/'Historical Data'!$N$24)*$N16</f>
        <v>214812.30271100276</v>
      </c>
      <c r="N16" s="56">
        <f>'Hist Reg (Oahu)'!$Q$91+'Hist Reg (Oahu)'!$Q$92*'Projected Econometric Drivers'!I36+'Hist Reg (Oahu)'!$Q$93*'Projected Econometric Drivers'!H36+'Hist Reg (Oahu)'!$Q$94*'Projected Econometric Drivers'!E36</f>
        <v>30893861.979924761</v>
      </c>
      <c r="O16" s="56">
        <f>N16-'Energy Efficiency'!O33</f>
        <v>30873789.674362216</v>
      </c>
      <c r="P16" s="37"/>
      <c r="Q16" s="37"/>
      <c r="R16" s="57"/>
      <c r="S16" s="57"/>
    </row>
    <row r="17" spans="2:19" x14ac:dyDescent="0.25">
      <c r="B17" s="36">
        <v>2034</v>
      </c>
      <c r="C17" s="56">
        <f>('Historical Data'!C$24/'Historical Data'!$N$24)*$N17</f>
        <v>295735.66743391211</v>
      </c>
      <c r="D17" s="56">
        <f>('Historical Data'!D$24/'Historical Data'!$N$24)*$N17</f>
        <v>4166615.5768131185</v>
      </c>
      <c r="E17" s="56">
        <f>('Historical Data'!E$24/'Historical Data'!$N$24)*$N17</f>
        <v>2818808.0572129609</v>
      </c>
      <c r="F17" s="56">
        <f>('Historical Data'!F$24/'Historical Data'!$N$24)*$N17</f>
        <v>12847024.208280634</v>
      </c>
      <c r="G17" s="56">
        <f>('Historical Data'!G$24/'Historical Data'!$N$24)*$N17</f>
        <v>412990.97173414112</v>
      </c>
      <c r="H17" s="56">
        <f>('Historical Data'!H$24/'Historical Data'!$N$24)*$N17</f>
        <v>6400774.3988795904</v>
      </c>
      <c r="I17" s="56">
        <f>('Historical Data'!I$24/'Historical Data'!$N$24)*$N17</f>
        <v>0</v>
      </c>
      <c r="J17" s="56">
        <f>('Historical Data'!J$24/'Historical Data'!$N$24)*$N17</f>
        <v>1949.7766300876915</v>
      </c>
      <c r="K17" s="56">
        <f>('Historical Data'!K$24/'Historical Data'!$N$24)*$N17</f>
        <v>56993.177483084874</v>
      </c>
      <c r="L17" s="56">
        <f>('Historical Data'!L$24/'Historical Data'!$N$24)*$N17</f>
        <v>3870741.5539298095</v>
      </c>
      <c r="M17" s="56">
        <f>('Historical Data'!M$24/'Historical Data'!$N$24)*$N17</f>
        <v>216160.75877138396</v>
      </c>
      <c r="N17" s="56">
        <f>'Hist Reg (Oahu)'!$Q$91+'Hist Reg (Oahu)'!$Q$92*'Projected Econometric Drivers'!I37+'Hist Reg (Oahu)'!$Q$93*'Projected Econometric Drivers'!H37+'Hist Reg (Oahu)'!$Q$94*'Projected Econometric Drivers'!E37</f>
        <v>31087794.147168718</v>
      </c>
      <c r="O17" s="56">
        <f>N17-'Energy Efficiency'!O34</f>
        <v>31065497.886823308</v>
      </c>
      <c r="P17" s="37"/>
      <c r="Q17" s="37"/>
      <c r="R17" s="57"/>
      <c r="S17" s="57"/>
    </row>
    <row r="18" spans="2:19" x14ac:dyDescent="0.25">
      <c r="B18" s="36">
        <v>2035</v>
      </c>
      <c r="C18" s="56">
        <f>('Historical Data'!C$24/'Historical Data'!$N$24)*$N18</f>
        <v>297557.45139161154</v>
      </c>
      <c r="D18" s="56">
        <f>('Historical Data'!D$24/'Historical Data'!$N$24)*$N18</f>
        <v>4192282.6648637508</v>
      </c>
      <c r="E18" s="56">
        <f>('Historical Data'!E$24/'Historical Data'!$N$24)*$N18</f>
        <v>2836172.4128316892</v>
      </c>
      <c r="F18" s="56">
        <f>('Historical Data'!F$24/'Historical Data'!$N$24)*$N18</f>
        <v>12926164.147030335</v>
      </c>
      <c r="G18" s="56">
        <f>('Historical Data'!G$24/'Historical Data'!$N$24)*$N18</f>
        <v>415535.06908130366</v>
      </c>
      <c r="H18" s="56">
        <f>('Historical Data'!H$24/'Historical Data'!$N$24)*$N18</f>
        <v>6440204.299973065</v>
      </c>
      <c r="I18" s="56">
        <f>('Historical Data'!I$24/'Historical Data'!$N$24)*$N18</f>
        <v>0</v>
      </c>
      <c r="J18" s="56">
        <f>('Historical Data'!J$24/'Historical Data'!$N$24)*$N18</f>
        <v>1961.7875985874068</v>
      </c>
      <c r="K18" s="56">
        <f>('Historical Data'!K$24/'Historical Data'!$N$24)*$N18</f>
        <v>57344.265525112147</v>
      </c>
      <c r="L18" s="56">
        <f>('Historical Data'!L$24/'Historical Data'!$N$24)*$N18</f>
        <v>3894586.0057287314</v>
      </c>
      <c r="M18" s="56">
        <f>('Historical Data'!M$24/'Historical Data'!$N$24)*$N18</f>
        <v>217492.34723357661</v>
      </c>
      <c r="N18" s="56">
        <f>'Hist Reg (Oahu)'!$Q$91+'Hist Reg (Oahu)'!$Q$92*'Projected Econometric Drivers'!I38+'Hist Reg (Oahu)'!$Q$93*'Projected Econometric Drivers'!H38+'Hist Reg (Oahu)'!$Q$94*'Projected Econometric Drivers'!E38</f>
        <v>31279300.451257758</v>
      </c>
      <c r="O18" s="56">
        <f>N18-'Energy Efficiency'!O35</f>
        <v>31254676.077662002</v>
      </c>
      <c r="P18" s="37"/>
      <c r="Q18" s="37"/>
      <c r="R18" s="57"/>
      <c r="S18" s="57"/>
    </row>
    <row r="19" spans="2:19" x14ac:dyDescent="0.25">
      <c r="B19" s="36">
        <v>2036</v>
      </c>
      <c r="C19" s="56">
        <f>('Historical Data'!C$24/'Historical Data'!$N$24)*$N19</f>
        <v>299298.72205316339</v>
      </c>
      <c r="D19" s="56">
        <f>('Historical Data'!D$24/'Historical Data'!$N$24)*$N19</f>
        <v>4216815.4022397418</v>
      </c>
      <c r="E19" s="56">
        <f>('Historical Data'!E$24/'Historical Data'!$N$24)*$N19</f>
        <v>2852769.3550035963</v>
      </c>
      <c r="F19" s="56">
        <f>('Historical Data'!F$24/'Historical Data'!$N$24)*$N19</f>
        <v>13001806.515555684</v>
      </c>
      <c r="G19" s="56">
        <f>('Historical Data'!G$24/'Historical Data'!$N$24)*$N19</f>
        <v>417966.73066885013</v>
      </c>
      <c r="H19" s="56">
        <f>('Historical Data'!H$24/'Historical Data'!$N$24)*$N19</f>
        <v>6477891.6062377784</v>
      </c>
      <c r="I19" s="56">
        <f>('Historical Data'!I$24/'Historical Data'!$N$24)*$N19</f>
        <v>0</v>
      </c>
      <c r="J19" s="56">
        <f>('Historical Data'!J$24/'Historical Data'!$N$24)*$N19</f>
        <v>1973.267745273839</v>
      </c>
      <c r="K19" s="56">
        <f>('Historical Data'!K$24/'Historical Data'!$N$24)*$N19</f>
        <v>57679.837317047226</v>
      </c>
      <c r="L19" s="56">
        <f>('Historical Data'!L$24/'Historical Data'!$N$24)*$N19</f>
        <v>3917376.657816085</v>
      </c>
      <c r="M19" s="56">
        <f>('Historical Data'!M$24/'Historical Data'!$N$24)*$N19</f>
        <v>218765.0864695753</v>
      </c>
      <c r="N19" s="56">
        <f>'Hist Reg (Oahu)'!$Q$91+'Hist Reg (Oahu)'!$Q$92*'Projected Econometric Drivers'!I39+'Hist Reg (Oahu)'!$Q$93*'Projected Econometric Drivers'!H39+'Hist Reg (Oahu)'!$Q$94*'Projected Econometric Drivers'!E39</f>
        <v>31462343.181106791</v>
      </c>
      <c r="O19" s="56">
        <f>N19-'Energy Efficiency'!O36</f>
        <v>31435281.642033253</v>
      </c>
      <c r="P19" s="37"/>
      <c r="Q19" s="37"/>
      <c r="R19" s="57"/>
      <c r="S19" s="57"/>
    </row>
    <row r="20" spans="2:19" x14ac:dyDescent="0.25">
      <c r="B20" s="36">
        <v>2037</v>
      </c>
      <c r="C20" s="56">
        <f>('Historical Data'!C$24/'Historical Data'!$N$24)*$N20</f>
        <v>301178.13319446467</v>
      </c>
      <c r="D20" s="56">
        <f>('Historical Data'!D$24/'Historical Data'!$N$24)*$N20</f>
        <v>4243294.3988536084</v>
      </c>
      <c r="E20" s="56">
        <f>('Historical Data'!E$24/'Historical Data'!$N$24)*$N20</f>
        <v>2870682.9848132292</v>
      </c>
      <c r="F20" s="56">
        <f>('Historical Data'!F$24/'Historical Data'!$N$24)*$N20</f>
        <v>13083449.83115273</v>
      </c>
      <c r="G20" s="56">
        <f>('Historical Data'!G$24/'Historical Data'!$N$24)*$N20</f>
        <v>420591.30362032691</v>
      </c>
      <c r="H20" s="56">
        <f>('Historical Data'!H$24/'Historical Data'!$N$24)*$N20</f>
        <v>6518568.7650755728</v>
      </c>
      <c r="I20" s="56">
        <f>('Historical Data'!I$24/'Historical Data'!$N$24)*$N20</f>
        <v>0</v>
      </c>
      <c r="J20" s="56">
        <f>('Historical Data'!J$24/'Historical Data'!$N$24)*$N20</f>
        <v>1985.6586481143106</v>
      </c>
      <c r="K20" s="56">
        <f>('Historical Data'!K$24/'Historical Data'!$N$24)*$N20</f>
        <v>58042.031074970619</v>
      </c>
      <c r="L20" s="56">
        <f>('Historical Data'!L$24/'Historical Data'!$N$24)*$N20</f>
        <v>3941975.364034635</v>
      </c>
      <c r="M20" s="56">
        <f>('Historical Data'!M$24/'Historical Data'!$N$24)*$N20</f>
        <v>220138.79611329918</v>
      </c>
      <c r="N20" s="56">
        <f>'Hist Reg (Oahu)'!$Q$91+'Hist Reg (Oahu)'!$Q$92*'Projected Econometric Drivers'!I40+'Hist Reg (Oahu)'!$Q$93*'Projected Econometric Drivers'!H40+'Hist Reg (Oahu)'!$Q$94*'Projected Econometric Drivers'!E40</f>
        <v>31659907.266580947</v>
      </c>
      <c r="O20" s="56">
        <f>N20-'Energy Efficiency'!O37</f>
        <v>31630294.386357732</v>
      </c>
      <c r="P20" s="37"/>
      <c r="Q20" s="37"/>
      <c r="R20" s="57"/>
      <c r="S20" s="57"/>
    </row>
    <row r="21" spans="2:19" x14ac:dyDescent="0.25">
      <c r="B21" s="36">
        <v>2038</v>
      </c>
      <c r="C21" s="56">
        <f>('Historical Data'!C$24/'Historical Data'!$N$24)*$N21</f>
        <v>303068.67401384504</v>
      </c>
      <c r="D21" s="56">
        <f>('Historical Data'!D$24/'Historical Data'!$N$24)*$N21</f>
        <v>4269930.2013423005</v>
      </c>
      <c r="E21" s="56">
        <f>('Historical Data'!E$24/'Historical Data'!$N$24)*$N21</f>
        <v>2888702.6972828121</v>
      </c>
      <c r="F21" s="56">
        <f>('Historical Data'!F$24/'Historical Data'!$N$24)*$N21</f>
        <v>13165576.630006809</v>
      </c>
      <c r="G21" s="56">
        <f>('Historical Data'!G$24/'Historical Data'!$N$24)*$N21</f>
        <v>423231.41902092675</v>
      </c>
      <c r="H21" s="56">
        <f>('Historical Data'!H$24/'Historical Data'!$N$24)*$N21</f>
        <v>6559486.8098340081</v>
      </c>
      <c r="I21" s="56">
        <f>('Historical Data'!I$24/'Historical Data'!$N$24)*$N21</f>
        <v>0</v>
      </c>
      <c r="J21" s="56">
        <f>('Historical Data'!J$24/'Historical Data'!$N$24)*$N21</f>
        <v>1998.122928597754</v>
      </c>
      <c r="K21" s="56">
        <f>('Historical Data'!K$24/'Historical Data'!$N$24)*$N21</f>
        <v>58406.369706806559</v>
      </c>
      <c r="L21" s="56">
        <f>('Historical Data'!L$24/'Historical Data'!$N$24)*$N21</f>
        <v>3966719.7412430798</v>
      </c>
      <c r="M21" s="56">
        <f>('Historical Data'!M$24/'Historical Data'!$N$24)*$N21</f>
        <v>221520.64072322214</v>
      </c>
      <c r="N21" s="56">
        <f>'Hist Reg (Oahu)'!$Q$91+'Hist Reg (Oahu)'!$Q$92*'Projected Econometric Drivers'!I41+'Hist Reg (Oahu)'!$Q$93*'Projected Econometric Drivers'!H41+'Hist Reg (Oahu)'!$Q$94*'Projected Econometric Drivers'!E41</f>
        <v>31858641.306102403</v>
      </c>
      <c r="O21" s="56">
        <f>N21-'Energy Efficiency'!O38</f>
        <v>31826357.545185991</v>
      </c>
      <c r="P21" s="37"/>
      <c r="Q21" s="37"/>
      <c r="R21" s="57"/>
      <c r="S21" s="57"/>
    </row>
    <row r="22" spans="2:19" x14ac:dyDescent="0.25">
      <c r="B22" s="36">
        <v>2039</v>
      </c>
      <c r="C22" s="56">
        <f>('Historical Data'!C$24/'Historical Data'!$N$24)*$N22</f>
        <v>305239.89809358079</v>
      </c>
      <c r="D22" s="56">
        <f>('Historical Data'!D$24/'Historical Data'!$N$24)*$N22</f>
        <v>4300520.5462603699</v>
      </c>
      <c r="E22" s="56">
        <f>('Historical Data'!E$24/'Historical Data'!$N$24)*$N22</f>
        <v>2909397.7456112038</v>
      </c>
      <c r="F22" s="56">
        <f>('Historical Data'!F$24/'Historical Data'!$N$24)*$N22</f>
        <v>13259896.562925287</v>
      </c>
      <c r="G22" s="56">
        <f>('Historical Data'!G$24/'Historical Data'!$N$24)*$N22</f>
        <v>426263.50490465952</v>
      </c>
      <c r="H22" s="56">
        <f>('Historical Data'!H$24/'Historical Data'!$N$24)*$N22</f>
        <v>6606479.841227184</v>
      </c>
      <c r="I22" s="56">
        <f>('Historical Data'!I$24/'Historical Data'!$N$24)*$N22</f>
        <v>0</v>
      </c>
      <c r="J22" s="56">
        <f>('Historical Data'!J$24/'Historical Data'!$N$24)*$N22</f>
        <v>2012.4377456304292</v>
      </c>
      <c r="K22" s="56">
        <f>('Historical Data'!K$24/'Historical Data'!$N$24)*$N22</f>
        <v>58824.800667149153</v>
      </c>
      <c r="L22" s="56">
        <f>('Historical Data'!L$24/'Historical Data'!$N$24)*$N22</f>
        <v>3995137.8463071384</v>
      </c>
      <c r="M22" s="56">
        <f>('Historical Data'!M$24/'Historical Data'!$N$24)*$N22</f>
        <v>223107.64390282094</v>
      </c>
      <c r="N22" s="56">
        <f>'Hist Reg (Oahu)'!$Q$91+'Hist Reg (Oahu)'!$Q$92*'Projected Econometric Drivers'!I42+'Hist Reg (Oahu)'!$Q$93*'Projected Econometric Drivers'!H42+'Hist Reg (Oahu)'!$Q$94*'Projected Econometric Drivers'!E42</f>
        <v>32086880.827645019</v>
      </c>
      <c r="O22" s="56">
        <f>N22-'Energy Efficiency'!O39</f>
        <v>32051801.030950494</v>
      </c>
      <c r="P22" s="37"/>
      <c r="Q22" s="37"/>
      <c r="R22" s="57"/>
      <c r="S22" s="57"/>
    </row>
    <row r="23" spans="2:19" x14ac:dyDescent="0.25">
      <c r="B23" s="36">
        <v>2040</v>
      </c>
      <c r="C23" s="56">
        <f>('Historical Data'!C$24/'Historical Data'!$N$24)*$N23</f>
        <v>307093.63829434832</v>
      </c>
      <c r="D23" s="56">
        <f>('Historical Data'!D$24/'Historical Data'!$N$24)*$N23</f>
        <v>4326637.8653612481</v>
      </c>
      <c r="E23" s="56">
        <f>('Historical Data'!E$24/'Historical Data'!$N$24)*$N23</f>
        <v>2927066.6925435881</v>
      </c>
      <c r="F23" s="56">
        <f>('Historical Data'!F$24/'Historical Data'!$N$24)*$N23</f>
        <v>13340424.709705029</v>
      </c>
      <c r="G23" s="56">
        <f>('Historical Data'!G$24/'Historical Data'!$N$24)*$N23</f>
        <v>428852.22872515948</v>
      </c>
      <c r="H23" s="56">
        <f>('Historical Data'!H$24/'Historical Data'!$N$24)*$N23</f>
        <v>6646601.3893725332</v>
      </c>
      <c r="I23" s="56">
        <f>('Historical Data'!I$24/'Historical Data'!$N$24)*$N23</f>
        <v>0</v>
      </c>
      <c r="J23" s="56">
        <f>('Historical Data'!J$24/'Historical Data'!$N$24)*$N23</f>
        <v>2024.6594007086699</v>
      </c>
      <c r="K23" s="56">
        <f>('Historical Data'!K$24/'Historical Data'!$N$24)*$N23</f>
        <v>59182.047208246469</v>
      </c>
      <c r="L23" s="56">
        <f>('Historical Data'!L$24/'Historical Data'!$N$24)*$N23</f>
        <v>4019400.5579629941</v>
      </c>
      <c r="M23" s="56">
        <f>('Historical Data'!M$24/'Historical Data'!$N$24)*$N23</f>
        <v>224462.58999992121</v>
      </c>
      <c r="N23" s="56">
        <f>'Hist Reg (Oahu)'!$Q$91+'Hist Reg (Oahu)'!$Q$92*'Projected Econometric Drivers'!I43+'Hist Reg (Oahu)'!$Q$93*'Projected Econometric Drivers'!H43+'Hist Reg (Oahu)'!$Q$94*'Projected Econometric Drivers'!E43</f>
        <v>32281746.378573772</v>
      </c>
      <c r="O23" s="56">
        <f>N23-'Energy Efficiency'!O40</f>
        <v>32243739.512039341</v>
      </c>
      <c r="P23" s="37"/>
      <c r="Q23" s="37"/>
      <c r="R23" s="57"/>
      <c r="S23" s="57"/>
    </row>
    <row r="24" spans="2:19" x14ac:dyDescent="0.25">
      <c r="B24" s="36">
        <v>2041</v>
      </c>
      <c r="C24" s="56">
        <f>('Historical Data'!C$24/'Historical Data'!$N$24)*$N24</f>
        <v>309174.05243711302</v>
      </c>
      <c r="D24" s="56">
        <f>('Historical Data'!D$24/'Historical Data'!$N$24)*$N24</f>
        <v>4355948.7903797962</v>
      </c>
      <c r="E24" s="56">
        <f>('Historical Data'!E$24/'Historical Data'!$N$24)*$N24</f>
        <v>2946896.1848697904</v>
      </c>
      <c r="F24" s="56">
        <f>('Historical Data'!F$24/'Historical Data'!$N$24)*$N24</f>
        <v>13430799.777032072</v>
      </c>
      <c r="G24" s="56">
        <f>('Historical Data'!G$24/'Historical Data'!$N$24)*$N24</f>
        <v>431757.49972572911</v>
      </c>
      <c r="H24" s="56">
        <f>('Historical Data'!H$24/'Historical Data'!$N$24)*$N24</f>
        <v>6691628.9699130207</v>
      </c>
      <c r="I24" s="56">
        <f>('Historical Data'!I$24/'Historical Data'!$N$24)*$N24</f>
        <v>0</v>
      </c>
      <c r="J24" s="56">
        <f>('Historical Data'!J$24/'Historical Data'!$N$24)*$N24</f>
        <v>2038.3755104754196</v>
      </c>
      <c r="K24" s="56">
        <f>('Historical Data'!K$24/'Historical Data'!$N$24)*$N24</f>
        <v>59582.977584706408</v>
      </c>
      <c r="L24" s="56">
        <f>('Historical Data'!L$24/'Historical Data'!$N$24)*$N24</f>
        <v>4046630.0955485548</v>
      </c>
      <c r="M24" s="56">
        <f>('Historical Data'!M$24/'Historical Data'!$N$24)*$N24</f>
        <v>225983.21787535065</v>
      </c>
      <c r="N24" s="56">
        <f>'Hist Reg (Oahu)'!$Q$91+'Hist Reg (Oahu)'!$Q$92*'Projected Econometric Drivers'!I44+'Hist Reg (Oahu)'!$Q$93*'Projected Econometric Drivers'!H44+'Hist Reg (Oahu)'!$Q$94*'Projected Econometric Drivers'!E44</f>
        <v>32500439.940876603</v>
      </c>
      <c r="O24" s="56">
        <f>N24-'Energy Efficiency'!O41</f>
        <v>32459368.81571516</v>
      </c>
      <c r="P24" s="37"/>
      <c r="Q24" s="37"/>
      <c r="R24" s="57"/>
      <c r="S24" s="57"/>
    </row>
    <row r="25" spans="2:19" x14ac:dyDescent="0.25">
      <c r="B25" s="36">
        <v>2042</v>
      </c>
      <c r="C25" s="56">
        <f>('Historical Data'!C$24/'Historical Data'!$N$24)*$N25</f>
        <v>311475.12232909229</v>
      </c>
      <c r="D25" s="56">
        <f>('Historical Data'!D$24/'Historical Data'!$N$24)*$N25</f>
        <v>4388368.5310842181</v>
      </c>
      <c r="E25" s="56">
        <f>('Historical Data'!E$24/'Historical Data'!$N$24)*$N25</f>
        <v>2968828.8601132012</v>
      </c>
      <c r="F25" s="56">
        <f>('Historical Data'!F$24/'Historical Data'!$N$24)*$N25</f>
        <v>13530760.329182277</v>
      </c>
      <c r="G25" s="56">
        <f>('Historical Data'!G$24/'Historical Data'!$N$24)*$N25</f>
        <v>434970.9135792646</v>
      </c>
      <c r="H25" s="56">
        <f>('Historical Data'!H$24/'Historical Data'!$N$24)*$N25</f>
        <v>6741432.3276967248</v>
      </c>
      <c r="I25" s="56">
        <f>('Historical Data'!I$24/'Historical Data'!$N$24)*$N25</f>
        <v>0</v>
      </c>
      <c r="J25" s="56">
        <f>('Historical Data'!J$24/'Historical Data'!$N$24)*$N25</f>
        <v>2053.5463971611866</v>
      </c>
      <c r="K25" s="56">
        <f>('Historical Data'!K$24/'Historical Data'!$N$24)*$N25</f>
        <v>60026.431990772813</v>
      </c>
      <c r="L25" s="56">
        <f>('Historical Data'!L$24/'Historical Data'!$N$24)*$N25</f>
        <v>4076747.6898403266</v>
      </c>
      <c r="M25" s="56">
        <f>('Historical Data'!M$24/'Historical Data'!$N$24)*$N25</f>
        <v>227665.12867817047</v>
      </c>
      <c r="N25" s="56">
        <f>'Hist Reg (Oahu)'!$Q$91+'Hist Reg (Oahu)'!$Q$92*'Projected Econometric Drivers'!I45+'Hist Reg (Oahu)'!$Q$93*'Projected Econometric Drivers'!H45+'Hist Reg (Oahu)'!$Q$94*'Projected Econometric Drivers'!E45</f>
        <v>32742328.880891204</v>
      </c>
      <c r="O25" s="56">
        <f>N25-'Energy Efficiency'!O42</f>
        <v>32698049.864956349</v>
      </c>
      <c r="P25" s="37"/>
      <c r="Q25" s="37"/>
      <c r="R25" s="57"/>
      <c r="S25" s="57"/>
    </row>
    <row r="26" spans="2:19" x14ac:dyDescent="0.25">
      <c r="B26" s="36">
        <v>2043</v>
      </c>
      <c r="C26" s="56">
        <f>('Historical Data'!C$24/'Historical Data'!$N$24)*$N26</f>
        <v>313513.15282481734</v>
      </c>
      <c r="D26" s="56">
        <f>('Historical Data'!D$24/'Historical Data'!$N$24)*$N26</f>
        <v>4417082.3135075225</v>
      </c>
      <c r="E26" s="56">
        <f>('Historical Data'!E$24/'Historical Data'!$N$24)*$N26</f>
        <v>2988254.372199866</v>
      </c>
      <c r="F26" s="56">
        <f>('Historical Data'!F$24/'Historical Data'!$N$24)*$N26</f>
        <v>13619294.21264307</v>
      </c>
      <c r="G26" s="56">
        <f>('Historical Data'!G$24/'Historical Data'!$N$24)*$N26</f>
        <v>437816.99637393252</v>
      </c>
      <c r="H26" s="56">
        <f>('Historical Data'!H$24/'Historical Data'!$N$24)*$N26</f>
        <v>6785542.5749806035</v>
      </c>
      <c r="I26" s="56">
        <f>('Historical Data'!I$24/'Historical Data'!$N$24)*$N26</f>
        <v>0</v>
      </c>
      <c r="J26" s="56">
        <f>('Historical Data'!J$24/'Historical Data'!$N$24)*$N26</f>
        <v>2066.9830727791477</v>
      </c>
      <c r="K26" s="56">
        <f>('Historical Data'!K$24/'Historical Data'!$N$24)*$N26</f>
        <v>60419.194334140659</v>
      </c>
      <c r="L26" s="56">
        <f>('Historical Data'!L$24/'Historical Data'!$N$24)*$N26</f>
        <v>4103422.4883062304</v>
      </c>
      <c r="M26" s="56">
        <f>('Historical Data'!M$24/'Historical Data'!$N$24)*$N26</f>
        <v>229154.77726258952</v>
      </c>
      <c r="N26" s="56">
        <f>'Hist Reg (Oahu)'!$Q$91+'Hist Reg (Oahu)'!$Q$92*'Projected Econometric Drivers'!I46+'Hist Reg (Oahu)'!$Q$93*'Projected Econometric Drivers'!H46+'Hist Reg (Oahu)'!$Q$94*'Projected Econometric Drivers'!E46</f>
        <v>32956567.065505546</v>
      </c>
      <c r="O26" s="56">
        <f>N26-'Energy Efficiency'!O43</f>
        <v>32908929.781173076</v>
      </c>
      <c r="P26" s="37"/>
      <c r="Q26" s="37"/>
      <c r="R26" s="57"/>
      <c r="S26" s="57"/>
    </row>
    <row r="27" spans="2:19" x14ac:dyDescent="0.25">
      <c r="B27" s="36">
        <v>2044</v>
      </c>
      <c r="C27" s="56">
        <f>('Historical Data'!C$24/'Historical Data'!$N$24)*$N27</f>
        <v>315513.64296707092</v>
      </c>
      <c r="D27" s="56">
        <f>('Historical Data'!D$24/'Historical Data'!$N$24)*$N27</f>
        <v>4445267.1904291995</v>
      </c>
      <c r="E27" s="56">
        <f>('Historical Data'!E$24/'Historical Data'!$N$24)*$N27</f>
        <v>3007322.0679576648</v>
      </c>
      <c r="F27" s="56">
        <f>('Historical Data'!F$24/'Historical Data'!$N$24)*$N27</f>
        <v>13706197.30927987</v>
      </c>
      <c r="G27" s="56">
        <f>('Historical Data'!G$24/'Historical Data'!$N$24)*$N27</f>
        <v>440610.65455849521</v>
      </c>
      <c r="H27" s="56">
        <f>('Historical Data'!H$24/'Historical Data'!$N$24)*$N27</f>
        <v>6828840.3151512537</v>
      </c>
      <c r="I27" s="56">
        <f>('Historical Data'!I$24/'Historical Data'!$N$24)*$N27</f>
        <v>0</v>
      </c>
      <c r="J27" s="56">
        <f>('Historical Data'!J$24/'Historical Data'!$N$24)*$N27</f>
        <v>2080.1722459415578</v>
      </c>
      <c r="K27" s="56">
        <f>('Historical Data'!K$24/'Historical Data'!$N$24)*$N27</f>
        <v>60804.722027570118</v>
      </c>
      <c r="L27" s="56">
        <f>('Historical Data'!L$24/'Historical Data'!$N$24)*$N27</f>
        <v>4129605.9391866629</v>
      </c>
      <c r="M27" s="56">
        <f>('Historical Data'!M$24/'Historical Data'!$N$24)*$N27</f>
        <v>230616.9866430689</v>
      </c>
      <c r="N27" s="56">
        <f>'Hist Reg (Oahu)'!$Q$91+'Hist Reg (Oahu)'!$Q$92*'Projected Econometric Drivers'!I47+'Hist Reg (Oahu)'!$Q$93*'Projected Econometric Drivers'!H47+'Hist Reg (Oahu)'!$Q$94*'Projected Econometric Drivers'!E47</f>
        <v>33166859.000446793</v>
      </c>
      <c r="O27" s="56">
        <f>N27-'Energy Efficiency'!O44</f>
        <v>33115706.00838498</v>
      </c>
      <c r="P27" s="37"/>
      <c r="Q27" s="37"/>
      <c r="R27" s="57"/>
      <c r="S27" s="57"/>
    </row>
    <row r="28" spans="2:19" x14ac:dyDescent="0.25">
      <c r="B28" s="36">
        <v>2045</v>
      </c>
      <c r="C28" s="56">
        <f>('Historical Data'!C$24/'Historical Data'!$N$24)*$N28</f>
        <v>317981.03911420453</v>
      </c>
      <c r="D28" s="56">
        <f>('Historical Data'!D$24/'Historical Data'!$N$24)*$N28</f>
        <v>4480030.2993569141</v>
      </c>
      <c r="E28" s="56">
        <f>('Historical Data'!E$24/'Historical Data'!$N$24)*$N28</f>
        <v>3030840.0838947543</v>
      </c>
      <c r="F28" s="56">
        <f>('Historical Data'!F$24/'Historical Data'!$N$24)*$N28</f>
        <v>13813383.224014785</v>
      </c>
      <c r="G28" s="56">
        <f>('Historical Data'!G$24/'Historical Data'!$N$24)*$N28</f>
        <v>444056.3408407747</v>
      </c>
      <c r="H28" s="56">
        <f>('Historical Data'!H$24/'Historical Data'!$N$24)*$N28</f>
        <v>6882243.5661946759</v>
      </c>
      <c r="I28" s="56">
        <f>('Historical Data'!I$24/'Historical Data'!$N$24)*$N28</f>
        <v>0</v>
      </c>
      <c r="J28" s="56">
        <f>('Historical Data'!J$24/'Historical Data'!$N$24)*$N28</f>
        <v>2096.4397167765551</v>
      </c>
      <c r="K28" s="56">
        <f>('Historical Data'!K$24/'Historical Data'!$N$24)*$N28</f>
        <v>61280.230266920698</v>
      </c>
      <c r="L28" s="56">
        <f>('Historical Data'!L$24/'Historical Data'!$N$24)*$N28</f>
        <v>4161900.4976333566</v>
      </c>
      <c r="M28" s="56">
        <f>('Historical Data'!M$24/'Historical Data'!$N$24)*$N28</f>
        <v>232420.46955732774</v>
      </c>
      <c r="N28" s="56">
        <f>'Hist Reg (Oahu)'!$Q$91+'Hist Reg (Oahu)'!$Q$92*'Projected Econometric Drivers'!I48+'Hist Reg (Oahu)'!$Q$93*'Projected Econometric Drivers'!H48+'Hist Reg (Oahu)'!$Q$94*'Projected Econometric Drivers'!E48</f>
        <v>33426232.190590486</v>
      </c>
      <c r="O28" s="56">
        <f>N28-'Energy Efficiency'!O45</f>
        <v>33371398.65876352</v>
      </c>
      <c r="P28" s="37"/>
      <c r="Q28" s="37"/>
      <c r="R28" s="57"/>
      <c r="S28" s="57"/>
    </row>
    <row r="29" spans="2:19" x14ac:dyDescent="0.25">
      <c r="P29" s="523"/>
      <c r="Q29" s="523"/>
    </row>
    <row r="30" spans="2:19" x14ac:dyDescent="0.25">
      <c r="N30" t="s">
        <v>0</v>
      </c>
    </row>
    <row r="31" spans="2:19" x14ac:dyDescent="0.25">
      <c r="S31" t="s">
        <v>20</v>
      </c>
    </row>
    <row r="33" spans="2:12" x14ac:dyDescent="0.25">
      <c r="B33" s="549" t="s">
        <v>193</v>
      </c>
      <c r="C33" s="549"/>
      <c r="D33" s="549"/>
      <c r="E33" s="549"/>
      <c r="F33" s="549"/>
      <c r="G33" s="549"/>
      <c r="H33" s="549"/>
    </row>
    <row r="34" spans="2:12" x14ac:dyDescent="0.25">
      <c r="B34" s="55" t="s">
        <v>173</v>
      </c>
      <c r="C34" s="55" t="s">
        <v>194</v>
      </c>
      <c r="D34" s="55" t="s">
        <v>195</v>
      </c>
      <c r="E34" s="55" t="s">
        <v>196</v>
      </c>
      <c r="F34" s="55" t="s">
        <v>197</v>
      </c>
      <c r="G34" s="55" t="s">
        <v>198</v>
      </c>
      <c r="H34" s="55" t="s">
        <v>185</v>
      </c>
      <c r="I34" s="36" t="s">
        <v>186</v>
      </c>
    </row>
    <row r="35" spans="2:12" x14ac:dyDescent="0.25">
      <c r="B35" s="36">
        <v>2022</v>
      </c>
      <c r="C35" s="56">
        <f>('Historical Data'!S$24/'Historical Data'!$X$24)*$H35</f>
        <v>28887.197164774443</v>
      </c>
      <c r="D35" s="56">
        <f>('Historical Data'!T$24/'Historical Data'!$X$24)*$H35</f>
        <v>459516.28663953801</v>
      </c>
      <c r="E35" s="56">
        <f>('Historical Data'!U$24/'Historical Data'!$X$24)*$H35</f>
        <v>191816.42645130769</v>
      </c>
      <c r="F35" s="56">
        <f>('Historical Data'!V$24/'Historical Data'!$X$24)*$H35</f>
        <v>1071542.5411875469</v>
      </c>
      <c r="G35" s="56">
        <f>('Historical Data'!W$24/'Historical Data'!$X$24)*$H35</f>
        <v>765116.4555925756</v>
      </c>
      <c r="H35" s="56">
        <f>('Hist Reg (Neigh Isl)'!$P$66+'Hist Reg (Neigh Isl)'!$P$67*'Projected Econometric Drivers'!J25+'Hist Reg (Neigh Isl)'!$P$68*'Projected Econometric Drivers'!H25+'Hist Reg (Neigh Isl)'!$P$69*'Projected Econometric Drivers'!E25)*('Historical Data'!$X$24/SUM('Historical Data'!$X$24,'Historical Data'!$AG$24,'Historical Data'!$AN$24))</f>
        <v>2516878.9070357424</v>
      </c>
      <c r="I35" s="56">
        <f>H35-('Energy Efficiency'!P22*(SUM('Energy Efficiency'!D23:E23)/'Energy Efficiency'!J22))</f>
        <v>2516871.1267551561</v>
      </c>
      <c r="L35" s="37"/>
    </row>
    <row r="36" spans="2:12" x14ac:dyDescent="0.25">
      <c r="B36" s="36">
        <v>2023</v>
      </c>
      <c r="C36" s="56">
        <f>('Historical Data'!S$24/'Historical Data'!$X$24)*$H36</f>
        <v>29280.704764234219</v>
      </c>
      <c r="D36" s="56">
        <f>('Historical Data'!T$24/'Historical Data'!$X$24)*$H36</f>
        <v>465775.91611611092</v>
      </c>
      <c r="E36" s="56">
        <f>('Historical Data'!U$24/'Historical Data'!$X$24)*$H36</f>
        <v>194429.39097947761</v>
      </c>
      <c r="F36" s="56">
        <f>('Historical Data'!V$24/'Historical Data'!$X$24)*$H36</f>
        <v>1086139.3236547611</v>
      </c>
      <c r="G36" s="56">
        <f>('Historical Data'!W$24/'Historical Data'!$X$24)*$H36</f>
        <v>775539.03615759301</v>
      </c>
      <c r="H36" s="56">
        <f>('Hist Reg (Neigh Isl)'!$P$66+'Hist Reg (Neigh Isl)'!$P$67*'Projected Econometric Drivers'!J26+'Hist Reg (Neigh Isl)'!$P$68*'Projected Econometric Drivers'!H26+'Hist Reg (Neigh Isl)'!$P$69*'Projected Econometric Drivers'!E26)*('Historical Data'!$X$24/SUM('Historical Data'!$X$24,'Historical Data'!$AG$24,'Historical Data'!$AN$24))</f>
        <v>2551164.3716721768</v>
      </c>
      <c r="I36" s="56">
        <f>H36-('Energy Efficiency'!P23*(SUM('Energy Efficiency'!D24:E24)/'Energy Efficiency'!J23))</f>
        <v>2551148.2315277662</v>
      </c>
      <c r="L36" s="37"/>
    </row>
    <row r="37" spans="2:12" x14ac:dyDescent="0.25">
      <c r="B37" s="36">
        <v>2024</v>
      </c>
      <c r="C37" s="56">
        <f>('Historical Data'!S$24/'Historical Data'!$X$24)*$H37</f>
        <v>29684.966304846472</v>
      </c>
      <c r="D37" s="56">
        <f>('Historical Data'!T$24/'Historical Data'!$X$24)*$H37</f>
        <v>472206.61137926526</v>
      </c>
      <c r="E37" s="56">
        <f>('Historical Data'!U$24/'Historical Data'!$X$24)*$H37</f>
        <v>197113.76370105479</v>
      </c>
      <c r="F37" s="56">
        <f>('Historical Data'!V$24/'Historical Data'!$X$24)*$H37</f>
        <v>1101135.0131313531</v>
      </c>
      <c r="G37" s="56">
        <f>('Historical Data'!W$24/'Historical Data'!$X$24)*$H37</f>
        <v>786246.44938710553</v>
      </c>
      <c r="H37" s="56">
        <f>('Hist Reg (Neigh Isl)'!$P$66+'Hist Reg (Neigh Isl)'!$P$67*'Projected Econometric Drivers'!J27+'Hist Reg (Neigh Isl)'!$P$68*'Projected Econometric Drivers'!H27+'Hist Reg (Neigh Isl)'!$P$69*'Projected Econometric Drivers'!E27)*('Historical Data'!$X$24/SUM('Historical Data'!$X$24,'Historical Data'!$AG$24,'Historical Data'!$AN$24))</f>
        <v>2586386.8039036249</v>
      </c>
      <c r="I37" s="56">
        <f>H37-('Energy Efficiency'!P24*(SUM('Energy Efficiency'!D25:E25)/'Energy Efficiency'!J24))</f>
        <v>2586361.6859463262</v>
      </c>
      <c r="L37" s="37"/>
    </row>
    <row r="38" spans="2:12" x14ac:dyDescent="0.25">
      <c r="B38" s="36">
        <v>2025</v>
      </c>
      <c r="C38" s="56">
        <f>('Historical Data'!S$24/'Historical Data'!$X$24)*$H38</f>
        <v>30100.240894667069</v>
      </c>
      <c r="D38" s="56">
        <f>('Historical Data'!T$24/'Historical Data'!$X$24)*$H38</f>
        <v>478812.49412938597</v>
      </c>
      <c r="E38" s="56">
        <f>('Historical Data'!U$24/'Historical Data'!$X$24)*$H38</f>
        <v>199871.26514230069</v>
      </c>
      <c r="F38" s="56">
        <f>('Historical Data'!V$24/'Historical Data'!$X$24)*$H38</f>
        <v>1116539.2209791674</v>
      </c>
      <c r="G38" s="56">
        <f>('Historical Data'!W$24/'Historical Data'!$X$24)*$H38</f>
        <v>797245.55810813594</v>
      </c>
      <c r="H38" s="56">
        <f>('Hist Reg (Neigh Isl)'!$P$66+'Hist Reg (Neigh Isl)'!$P$67*'Projected Econometric Drivers'!J28+'Hist Reg (Neigh Isl)'!$P$68*'Projected Econometric Drivers'!H28+'Hist Reg (Neigh Isl)'!$P$69*'Projected Econometric Drivers'!E28)*('Historical Data'!$X$24/SUM('Historical Data'!$X$24,'Historical Data'!$AG$24,'Historical Data'!$AN$24))</f>
        <v>2622568.779253657</v>
      </c>
      <c r="I38" s="56">
        <f>H38-('Energy Efficiency'!P25*(SUM('Energy Efficiency'!D26:E26)/'Energy Efficiency'!J25))</f>
        <v>2622534.0246763951</v>
      </c>
      <c r="L38" s="37"/>
    </row>
    <row r="39" spans="2:12" x14ac:dyDescent="0.25">
      <c r="B39" s="36">
        <v>2026</v>
      </c>
      <c r="C39" s="56">
        <f>('Historical Data'!S$24/'Historical Data'!$X$24)*$H39</f>
        <v>30526.793684122589</v>
      </c>
      <c r="D39" s="56">
        <f>('Historical Data'!T$24/'Historical Data'!$X$24)*$H39</f>
        <v>485597.78218444693</v>
      </c>
      <c r="E39" s="56">
        <f>('Historical Data'!U$24/'Historical Data'!$X$24)*$H39</f>
        <v>202703.65595195553</v>
      </c>
      <c r="F39" s="56">
        <f>('Historical Data'!V$24/'Historical Data'!$X$24)*$H39</f>
        <v>1132361.7826959253</v>
      </c>
      <c r="G39" s="56">
        <f>('Historical Data'!W$24/'Historical Data'!$X$24)*$H39</f>
        <v>808543.38518806128</v>
      </c>
      <c r="H39" s="56">
        <f>('Hist Reg (Neigh Isl)'!$P$66+'Hist Reg (Neigh Isl)'!$P$67*'Projected Econometric Drivers'!J29+'Hist Reg (Neigh Isl)'!$P$68*'Projected Econometric Drivers'!H29+'Hist Reg (Neigh Isl)'!$P$69*'Projected Econometric Drivers'!E29)*('Historical Data'!$X$24/SUM('Historical Data'!$X$24,'Historical Data'!$AG$24,'Historical Data'!$AN$24))</f>
        <v>2659733.3997045117</v>
      </c>
      <c r="I39" s="56">
        <f>H39-('Energy Efficiency'!P26*(SUM('Energy Efficiency'!D27:E27)/'Energy Efficiency'!J26))</f>
        <v>2659688.3061880292</v>
      </c>
      <c r="L39" s="37"/>
    </row>
    <row r="40" spans="2:12" x14ac:dyDescent="0.25">
      <c r="B40" s="36">
        <v>2027</v>
      </c>
      <c r="C40" s="56">
        <f>('Historical Data'!S$24/'Historical Data'!$X$24)*$H40</f>
        <v>30964.896006301566</v>
      </c>
      <c r="D40" s="56">
        <f>('Historical Data'!T$24/'Historical Data'!$X$24)*$H40</f>
        <v>492566.79171166167</v>
      </c>
      <c r="E40" s="56">
        <f>('Historical Data'!U$24/'Historical Data'!$X$24)*$H40</f>
        <v>205612.73783279877</v>
      </c>
      <c r="F40" s="56">
        <f>('Historical Data'!V$24/'Historical Data'!$X$24)*$H40</f>
        <v>1148612.7631191933</v>
      </c>
      <c r="G40" s="56">
        <f>('Historical Data'!W$24/'Historical Data'!$X$24)*$H40</f>
        <v>820147.11725041608</v>
      </c>
      <c r="H40" s="56">
        <f>('Hist Reg (Neigh Isl)'!$P$66+'Hist Reg (Neigh Isl)'!$P$67*'Projected Econometric Drivers'!J30+'Hist Reg (Neigh Isl)'!$P$68*'Projected Econometric Drivers'!H30+'Hist Reg (Neigh Isl)'!$P$69*'Projected Econometric Drivers'!E30)*('Historical Data'!$X$24/SUM('Historical Data'!$X$24,'Historical Data'!$AG$24,'Historical Data'!$AN$24))</f>
        <v>2697904.3059203713</v>
      </c>
      <c r="I40" s="56">
        <f>H40-('Energy Efficiency'!P27*(SUM('Energy Efficiency'!D28:E28)/'Energy Efficiency'!J27))</f>
        <v>2697848.1248065149</v>
      </c>
      <c r="L40" s="37"/>
    </row>
    <row r="41" spans="2:12" x14ac:dyDescent="0.25">
      <c r="B41" s="36">
        <v>2028</v>
      </c>
      <c r="C41" s="56">
        <f>('Historical Data'!S$24/'Historical Data'!$X$24)*$H41</f>
        <v>31414.82552052024</v>
      </c>
      <c r="D41" s="56">
        <f>('Historical Data'!T$24/'Historical Data'!$X$24)*$H41</f>
        <v>499723.93951122079</v>
      </c>
      <c r="E41" s="56">
        <f>('Historical Data'!U$24/'Historical Data'!$X$24)*$H41</f>
        <v>208600.35449495245</v>
      </c>
      <c r="F41" s="56">
        <f>('Historical Data'!V$24/'Historical Data'!$X$24)*$H41</f>
        <v>1165302.4617518131</v>
      </c>
      <c r="G41" s="56">
        <f>('Historical Data'!W$24/'Historical Data'!$X$24)*$H41</f>
        <v>832064.1084774246</v>
      </c>
      <c r="H41" s="56">
        <f>('Hist Reg (Neigh Isl)'!$P$66+'Hist Reg (Neigh Isl)'!$P$67*'Projected Econometric Drivers'!J31+'Hist Reg (Neigh Isl)'!$P$68*'Projected Econometric Drivers'!H31+'Hist Reg (Neigh Isl)'!$P$69*'Projected Econometric Drivers'!E31)*('Historical Data'!$X$24/SUM('Historical Data'!$X$24,'Historical Data'!$AG$24,'Historical Data'!$AN$24))</f>
        <v>2737105.689755931</v>
      </c>
      <c r="I41" s="56">
        <f>H41-('Energy Efficiency'!P28*(SUM('Energy Efficiency'!D29:E29)/'Energy Efficiency'!J28))</f>
        <v>2737037.6230371334</v>
      </c>
      <c r="L41" s="37"/>
    </row>
    <row r="42" spans="2:12" x14ac:dyDescent="0.25">
      <c r="B42" s="36">
        <v>2029</v>
      </c>
      <c r="C42" s="56">
        <f>('Historical Data'!S$24/'Historical Data'!$X$24)*$H42</f>
        <v>31876.866359239455</v>
      </c>
      <c r="D42" s="56">
        <f>('Historical Data'!T$24/'Historical Data'!$X$24)*$H42</f>
        <v>507073.74535333872</v>
      </c>
      <c r="E42" s="56">
        <f>('Historical Data'!U$24/'Historical Data'!$X$24)*$H42</f>
        <v>211668.39263143731</v>
      </c>
      <c r="F42" s="56">
        <f>('Historical Data'!V$24/'Historical Data'!$X$24)*$H42</f>
        <v>1182441.4182116438</v>
      </c>
      <c r="G42" s="56">
        <f>('Historical Data'!W$24/'Historical Data'!$X$24)*$H42</f>
        <v>844301.884501294</v>
      </c>
      <c r="H42" s="56">
        <f>('Hist Reg (Neigh Isl)'!$P$66+'Hist Reg (Neigh Isl)'!$P$67*'Projected Econometric Drivers'!J32+'Hist Reg (Neigh Isl)'!$P$68*'Projected Econometric Drivers'!H32+'Hist Reg (Neigh Isl)'!$P$69*'Projected Econometric Drivers'!E32)*('Historical Data'!$X$24/SUM('Historical Data'!$X$24,'Historical Data'!$AG$24,'Historical Data'!$AN$24))</f>
        <v>2777362.3070569532</v>
      </c>
      <c r="I42" s="56">
        <f>H42-('Energy Efficiency'!P29*(SUM('Energy Efficiency'!D30:E30)/'Energy Efficiency'!J29))</f>
        <v>2777281.5041699251</v>
      </c>
      <c r="L42" s="37"/>
    </row>
    <row r="43" spans="2:12" x14ac:dyDescent="0.25">
      <c r="B43" s="36">
        <v>2030</v>
      </c>
      <c r="C43" s="56">
        <f>('Historical Data'!S$24/'Historical Data'!$X$24)*$H43</f>
        <v>32351.309278411776</v>
      </c>
      <c r="D43" s="56">
        <f>('Historical Data'!T$24/'Historical Data'!$X$24)*$H43</f>
        <v>514620.83436986461</v>
      </c>
      <c r="E43" s="56">
        <f>('Historical Data'!U$24/'Historical Data'!$X$24)*$H43</f>
        <v>214818.7829165057</v>
      </c>
      <c r="F43" s="56">
        <f>('Historical Data'!V$24/'Historical Data'!$X$24)*$H43</f>
        <v>1200040.4178085406</v>
      </c>
      <c r="G43" s="56">
        <f>('Historical Data'!W$24/'Historical Data'!$X$24)*$H43</f>
        <v>856868.1463863611</v>
      </c>
      <c r="H43" s="56">
        <f>('Hist Reg (Neigh Isl)'!$P$66+'Hist Reg (Neigh Isl)'!$P$67*'Projected Econometric Drivers'!J33+'Hist Reg (Neigh Isl)'!$P$68*'Projected Econometric Drivers'!H33+'Hist Reg (Neigh Isl)'!$P$69*'Projected Econometric Drivers'!E33)*('Historical Data'!$X$24/SUM('Historical Data'!$X$24,'Historical Data'!$AG$24,'Historical Data'!$AN$24))</f>
        <v>2818699.4907596838</v>
      </c>
      <c r="I43" s="56">
        <f>H43-('Energy Efficiency'!P30*(SUM('Energy Efficiency'!D31:E31)/'Energy Efficiency'!J30))</f>
        <v>2818605.0451705414</v>
      </c>
      <c r="L43" s="37"/>
    </row>
    <row r="44" spans="2:12" x14ac:dyDescent="0.25">
      <c r="B44" s="36">
        <v>2031</v>
      </c>
      <c r="C44" s="56">
        <f>('Historical Data'!S$24/'Historical Data'!$X$24)*$H44</f>
        <v>32838.451811339612</v>
      </c>
      <c r="D44" s="56">
        <f>('Historical Data'!T$24/'Historical Data'!$X$24)*$H44</f>
        <v>522369.9395017444</v>
      </c>
      <c r="E44" s="56">
        <f>('Historical Data'!U$24/'Historical Data'!$X$24)*$H44</f>
        <v>218053.50102728873</v>
      </c>
      <c r="F44" s="56">
        <f>('Historical Data'!V$24/'Historical Data'!$X$24)*$H44</f>
        <v>1218110.4972515737</v>
      </c>
      <c r="G44" s="56">
        <f>('Historical Data'!W$24/'Historical Data'!$X$24)*$H44</f>
        <v>869770.77470423176</v>
      </c>
      <c r="H44" s="56">
        <f>('Hist Reg (Neigh Isl)'!$P$66+'Hist Reg (Neigh Isl)'!$P$67*'Projected Econometric Drivers'!J34+'Hist Reg (Neigh Isl)'!$P$68*'Projected Econometric Drivers'!H34+'Hist Reg (Neigh Isl)'!$P$69*'Projected Econometric Drivers'!E34)*('Historical Data'!$X$24/SUM('Historical Data'!$X$24,'Historical Data'!$AG$24,'Historical Data'!$AN$24))</f>
        <v>2861143.1642961781</v>
      </c>
      <c r="I44" s="56">
        <f>H44-('Energy Efficiency'!P31*(SUM('Energy Efficiency'!D32:E32)/'Energy Efficiency'!J31))</f>
        <v>2861034.1098633991</v>
      </c>
      <c r="L44" s="37"/>
    </row>
    <row r="45" spans="2:12" x14ac:dyDescent="0.25">
      <c r="B45" s="36">
        <v>2032</v>
      </c>
      <c r="C45" s="56">
        <f>('Historical Data'!S$24/'Historical Data'!$X$24)*$H45</f>
        <v>33338.598426126817</v>
      </c>
      <c r="D45" s="56">
        <f>('Historical Data'!T$24/'Historical Data'!$X$24)*$H45</f>
        <v>530325.90400364506</v>
      </c>
      <c r="E45" s="56">
        <f>('Historical Data'!U$24/'Historical Data'!$X$24)*$H45</f>
        <v>221374.56868930429</v>
      </c>
      <c r="F45" s="56">
        <f>('Historical Data'!V$24/'Historical Data'!$X$24)*$H45</f>
        <v>1236662.9504895413</v>
      </c>
      <c r="G45" s="56">
        <f>('Historical Data'!W$24/'Historical Data'!$X$24)*$H45</f>
        <v>883017.83370410069</v>
      </c>
      <c r="H45" s="56">
        <f>('Hist Reg (Neigh Isl)'!$P$66+'Hist Reg (Neigh Isl)'!$P$67*'Projected Econometric Drivers'!J35+'Hist Reg (Neigh Isl)'!$P$68*'Projected Econometric Drivers'!H35+'Hist Reg (Neigh Isl)'!$P$69*'Projected Econometric Drivers'!E35)*('Historical Data'!$X$24/SUM('Historical Data'!$X$24,'Historical Data'!$AG$24,'Historical Data'!$AN$24))</f>
        <v>2904719.8553127181</v>
      </c>
      <c r="I45" s="56">
        <f>H45-('Energy Efficiency'!P32*(SUM('Energy Efficiency'!D33:E33)/'Energy Efficiency'!J32))</f>
        <v>2904595.1624134285</v>
      </c>
      <c r="L45" s="37"/>
    </row>
    <row r="46" spans="2:12" x14ac:dyDescent="0.25">
      <c r="B46" s="36">
        <v>2033</v>
      </c>
      <c r="C46" s="56">
        <f>('Historical Data'!S$24/'Historical Data'!$X$24)*$H46</f>
        <v>33852.060686808523</v>
      </c>
      <c r="D46" s="56">
        <f>('Historical Data'!T$24/'Historical Data'!$X$24)*$H46</f>
        <v>538493.68400708959</v>
      </c>
      <c r="E46" s="56">
        <f>('Historical Data'!U$24/'Historical Data'!$X$24)*$H46</f>
        <v>224784.05474638971</v>
      </c>
      <c r="F46" s="56">
        <f>('Historical Data'!V$24/'Historical Data'!$X$24)*$H46</f>
        <v>1255709.3346879259</v>
      </c>
      <c r="G46" s="56">
        <f>('Historical Data'!W$24/'Historical Data'!$X$24)*$H46</f>
        <v>896617.57558049145</v>
      </c>
      <c r="H46" s="56">
        <f>('Hist Reg (Neigh Isl)'!$P$66+'Hist Reg (Neigh Isl)'!$P$67*'Projected Econometric Drivers'!J36+'Hist Reg (Neigh Isl)'!$P$68*'Projected Econometric Drivers'!H36+'Hist Reg (Neigh Isl)'!$P$69*'Projected Econometric Drivers'!E36)*('Historical Data'!$X$24/SUM('Historical Data'!$X$24,'Historical Data'!$AG$24,'Historical Data'!$AN$24))</f>
        <v>2949456.7097087051</v>
      </c>
      <c r="I46" s="56">
        <f>H46-('Energy Efficiency'!P33*(SUM('Energy Efficiency'!D34:E34)/'Energy Efficiency'!J33))</f>
        <v>2949315.2811128576</v>
      </c>
      <c r="L46" s="37"/>
    </row>
    <row r="47" spans="2:12" x14ac:dyDescent="0.25">
      <c r="B47" s="36">
        <v>2034</v>
      </c>
      <c r="C47" s="56">
        <f>('Historical Data'!S$24/'Historical Data'!$X$24)*$H47</f>
        <v>34379.157418245908</v>
      </c>
      <c r="D47" s="56">
        <f>('Historical Data'!T$24/'Historical Data'!$X$24)*$H47</f>
        <v>546878.35114348098</v>
      </c>
      <c r="E47" s="56">
        <f>('Historical Data'!U$24/'Historical Data'!$X$24)*$H47</f>
        <v>228284.07625563373</v>
      </c>
      <c r="F47" s="56">
        <f>('Historical Data'!V$24/'Historical Data'!$X$24)*$H47</f>
        <v>1275261.4763455044</v>
      </c>
      <c r="G47" s="56">
        <f>('Historical Data'!W$24/'Historical Data'!$X$24)*$H47</f>
        <v>910578.44484071806</v>
      </c>
      <c r="H47" s="56">
        <f>('Hist Reg (Neigh Isl)'!$P$66+'Hist Reg (Neigh Isl)'!$P$67*'Projected Econometric Drivers'!J37+'Hist Reg (Neigh Isl)'!$P$68*'Projected Econometric Drivers'!H37+'Hist Reg (Neigh Isl)'!$P$69*'Projected Econometric Drivers'!E37)*('Historical Data'!$X$24/SUM('Historical Data'!$X$24,'Historical Data'!$AG$24,'Historical Data'!$AN$24))</f>
        <v>2995381.5060035829</v>
      </c>
      <c r="I47" s="56">
        <f>H47-('Energy Efficiency'!P34*(SUM('Energy Efficiency'!D35:E35)/'Energy Efficiency'!J34))</f>
        <v>2995222.1724795732</v>
      </c>
      <c r="L47" s="37"/>
    </row>
    <row r="48" spans="2:12" x14ac:dyDescent="0.25">
      <c r="B48" s="36">
        <v>2035</v>
      </c>
      <c r="C48" s="56">
        <f>('Historical Data'!S$24/'Historical Data'!$X$24)*$H48</f>
        <v>34920.214874874429</v>
      </c>
      <c r="D48" s="56">
        <f>('Historical Data'!T$24/'Historical Data'!$X$24)*$H48</f>
        <v>555485.09522842627</v>
      </c>
      <c r="E48" s="56">
        <f>('Historical Data'!U$24/'Historical Data'!$X$24)*$H48</f>
        <v>231876.79960789689</v>
      </c>
      <c r="F48" s="56">
        <f>('Historical Data'!V$24/'Historical Data'!$X$24)*$H48</f>
        <v>1295331.4775539001</v>
      </c>
      <c r="G48" s="56">
        <f>('Historical Data'!W$24/'Historical Data'!$X$24)*$H48</f>
        <v>924909.08277440956</v>
      </c>
      <c r="H48" s="56">
        <f>('Hist Reg (Neigh Isl)'!$P$66+'Hist Reg (Neigh Isl)'!$P$67*'Projected Econometric Drivers'!J38+'Hist Reg (Neigh Isl)'!$P$68*'Projected Econometric Drivers'!H38+'Hist Reg (Neigh Isl)'!$P$69*'Projected Econometric Drivers'!E38)*('Historical Data'!$X$24/SUM('Historical Data'!$X$24,'Historical Data'!$AG$24,'Historical Data'!$AN$24))</f>
        <v>3042522.6700395071</v>
      </c>
      <c r="I48" s="56">
        <f>H48-('Energy Efficiency'!P35*(SUM('Energy Efficiency'!D36:E36)/'Energy Efficiency'!J35))</f>
        <v>3042344.1856737044</v>
      </c>
      <c r="L48" s="37"/>
    </row>
    <row r="49" spans="2:12" x14ac:dyDescent="0.25">
      <c r="B49" s="36">
        <v>2036</v>
      </c>
      <c r="C49" s="56">
        <f>('Historical Data'!S$24/'Historical Data'!$X$24)*$H49</f>
        <v>35475.56691339636</v>
      </c>
      <c r="D49" s="56">
        <f>('Historical Data'!T$24/'Historical Data'!$X$24)*$H49</f>
        <v>564319.22700880142</v>
      </c>
      <c r="E49" s="56">
        <f>('Historical Data'!U$24/'Historical Data'!$X$24)*$H49</f>
        <v>235564.44167452239</v>
      </c>
      <c r="F49" s="56">
        <f>('Historical Data'!V$24/'Historical Data'!$X$24)*$H49</f>
        <v>1315931.7224034467</v>
      </c>
      <c r="G49" s="56">
        <f>('Historical Data'!W$24/'Historical Data'!$X$24)*$H49</f>
        <v>939618.3320275062</v>
      </c>
      <c r="H49" s="56">
        <f>('Hist Reg (Neigh Isl)'!$P$66+'Hist Reg (Neigh Isl)'!$P$67*'Projected Econometric Drivers'!J39+'Hist Reg (Neigh Isl)'!$P$68*'Projected Econometric Drivers'!H39+'Hist Reg (Neigh Isl)'!$P$69*'Projected Econometric Drivers'!E39)*('Historical Data'!$X$24/SUM('Historical Data'!$X$24,'Historical Data'!$AG$24,'Historical Data'!$AN$24))</f>
        <v>3090909.2900276729</v>
      </c>
      <c r="I49" s="56">
        <f>H49-('Energy Efficiency'!P36*(SUM('Energy Efficiency'!D37:E37)/'Energy Efficiency'!J36))</f>
        <v>3090710.3272391977</v>
      </c>
      <c r="L49" s="37"/>
    </row>
    <row r="50" spans="2:12" x14ac:dyDescent="0.25">
      <c r="B50" s="36">
        <v>2037</v>
      </c>
      <c r="C50" s="56">
        <f>('Historical Data'!S$24/'Historical Data'!$X$24)*$H50</f>
        <v>36045.555169510815</v>
      </c>
      <c r="D50" s="56">
        <f>('Historical Data'!T$24/'Historical Data'!$X$24)*$H50</f>
        <v>573386.18097404274</v>
      </c>
      <c r="E50" s="56">
        <f>('Historical Data'!U$24/'Historical Data'!$X$24)*$H50</f>
        <v>239349.27098085638</v>
      </c>
      <c r="F50" s="56">
        <f>('Historical Data'!V$24/'Historical Data'!$X$24)*$H50</f>
        <v>1337074.8835388136</v>
      </c>
      <c r="G50" s="56">
        <f>('Historical Data'!W$24/'Historical Data'!$X$24)*$H50</f>
        <v>954715.24128319137</v>
      </c>
      <c r="H50" s="56">
        <f>('Hist Reg (Neigh Isl)'!$P$66+'Hist Reg (Neigh Isl)'!$P$67*'Projected Econometric Drivers'!J40+'Hist Reg (Neigh Isl)'!$P$68*'Projected Econometric Drivers'!H40+'Hist Reg (Neigh Isl)'!$P$69*'Projected Econometric Drivers'!E40)*('Historical Data'!$X$24/SUM('Historical Data'!$X$24,'Historical Data'!$AG$24,'Historical Data'!$AN$24))</f>
        <v>3140571.1319464147</v>
      </c>
      <c r="I50" s="56">
        <f>H50-('Energy Efficiency'!P37*(SUM('Energy Efficiency'!D38:E38)/'Energy Efficiency'!J37))</f>
        <v>3140350.2761772769</v>
      </c>
      <c r="L50" s="37"/>
    </row>
    <row r="51" spans="2:12" x14ac:dyDescent="0.25">
      <c r="B51" s="36">
        <v>2038</v>
      </c>
      <c r="C51" s="56">
        <f>('Historical Data'!S$24/'Historical Data'!$X$24)*$H51</f>
        <v>36630.529238776013</v>
      </c>
      <c r="D51" s="56">
        <f>('Historical Data'!T$24/'Historical Data'!$X$24)*$H51</f>
        <v>582691.51823317108</v>
      </c>
      <c r="E51" s="56">
        <f>('Historical Data'!U$24/'Historical Data'!$X$24)*$H51</f>
        <v>243233.60890720799</v>
      </c>
      <c r="F51" s="56">
        <f>('Historical Data'!V$24/'Historical Data'!$X$24)*$H51</f>
        <v>1358773.9288679191</v>
      </c>
      <c r="G51" s="56">
        <f>('Historical Data'!W$24/'Historical Data'!$X$24)*$H51</f>
        <v>970209.07005227427</v>
      </c>
      <c r="H51" s="56">
        <f>('Hist Reg (Neigh Isl)'!$P$66+'Hist Reg (Neigh Isl)'!$P$67*'Projected Econometric Drivers'!J41+'Hist Reg (Neigh Isl)'!$P$68*'Projected Econometric Drivers'!H41+'Hist Reg (Neigh Isl)'!$P$69*'Projected Econometric Drivers'!E41)*('Historical Data'!$X$24/SUM('Historical Data'!$X$24,'Historical Data'!$AG$24,'Historical Data'!$AN$24))</f>
        <v>3191538.6552993483</v>
      </c>
      <c r="I51" s="56">
        <f>H51-('Energy Efficiency'!P38*(SUM('Energy Efficiency'!D39:E39)/'Energy Efficiency'!J38))</f>
        <v>3191294.399358762</v>
      </c>
      <c r="L51" s="37"/>
    </row>
    <row r="52" spans="2:12" x14ac:dyDescent="0.25">
      <c r="B52" s="36">
        <v>2039</v>
      </c>
      <c r="C52" s="56">
        <f>('Historical Data'!S$24/'Historical Data'!$X$24)*$H52</f>
        <v>37230.846861701597</v>
      </c>
      <c r="D52" s="56">
        <f>('Historical Data'!T$24/'Historical Data'!$X$24)*$H52</f>
        <v>592240.9294591042</v>
      </c>
      <c r="E52" s="56">
        <f>('Historical Data'!U$24/'Historical Data'!$X$24)*$H52</f>
        <v>247219.83091789676</v>
      </c>
      <c r="F52" s="56">
        <f>('Historical Data'!V$24/'Historical Data'!$X$24)*$H52</f>
        <v>1381042.128427749</v>
      </c>
      <c r="G52" s="56">
        <f>('Historical Data'!W$24/'Historical Data'!$X$24)*$H52</f>
        <v>986109.29357561003</v>
      </c>
      <c r="H52" s="56">
        <f>('Hist Reg (Neigh Isl)'!$P$66+'Hist Reg (Neigh Isl)'!$P$67*'Projected Econometric Drivers'!J42+'Hist Reg (Neigh Isl)'!$P$68*'Projected Econometric Drivers'!H42+'Hist Reg (Neigh Isl)'!$P$69*'Projected Econometric Drivers'!E42)*('Historical Data'!$X$24/SUM('Historical Data'!$X$24,'Historical Data'!$AG$24,'Historical Data'!$AN$24))</f>
        <v>3243843.0292420615</v>
      </c>
      <c r="I52" s="56">
        <f>H52-('Energy Efficiency'!P39*(SUM('Energy Efficiency'!D40:E40)/'Energy Efficiency'!J39))</f>
        <v>3243573.7672823733</v>
      </c>
      <c r="L52" s="37"/>
    </row>
    <row r="53" spans="2:12" x14ac:dyDescent="0.25">
      <c r="B53" s="36">
        <v>2040</v>
      </c>
      <c r="C53" s="56">
        <f>('Historical Data'!S$24/'Historical Data'!$X$24)*$H53</f>
        <v>37846.874113170597</v>
      </c>
      <c r="D53" s="56">
        <f>('Historical Data'!T$24/'Historical Data'!$X$24)*$H53</f>
        <v>602040.23790184164</v>
      </c>
      <c r="E53" s="56">
        <f>('Historical Data'!U$24/'Historical Data'!$X$24)*$H53</f>
        <v>251310.36781905015</v>
      </c>
      <c r="F53" s="56">
        <f>('Historical Data'!V$24/'Historical Data'!$X$24)*$H53</f>
        <v>1403893.0614107801</v>
      </c>
      <c r="G53" s="56">
        <f>('Historical Data'!W$24/'Historical Data'!$X$24)*$H53</f>
        <v>1002425.6078411958</v>
      </c>
      <c r="H53" s="56">
        <f>('Hist Reg (Neigh Isl)'!$P$66+'Hist Reg (Neigh Isl)'!$P$67*'Projected Econometric Drivers'!J43+'Hist Reg (Neigh Isl)'!$P$68*'Projected Econometric Drivers'!H43+'Hist Reg (Neigh Isl)'!$P$69*'Projected Econometric Drivers'!E43)*('Historical Data'!$X$24/SUM('Historical Data'!$X$24,'Historical Data'!$AG$24,'Historical Data'!$AN$24))</f>
        <v>3297516.1490860381</v>
      </c>
      <c r="I53" s="56">
        <f>H53-('Energy Efficiency'!P40*(SUM('Energy Efficiency'!D41:E41)/'Energy Efficiency'!J40))</f>
        <v>3297220.1701862337</v>
      </c>
      <c r="L53" s="37"/>
    </row>
    <row r="54" spans="2:12" x14ac:dyDescent="0.25">
      <c r="B54" s="36">
        <v>2041</v>
      </c>
      <c r="C54" s="56">
        <f>('Historical Data'!S$24/'Historical Data'!$X$24)*$H54</f>
        <v>38478.985596293132</v>
      </c>
      <c r="D54" s="56">
        <f>('Historical Data'!T$24/'Historical Data'!$X$24)*$H54</f>
        <v>612095.40247214737</v>
      </c>
      <c r="E54" s="56">
        <f>('Historical Data'!U$24/'Historical Data'!$X$24)*$H54</f>
        <v>255507.70704582895</v>
      </c>
      <c r="F54" s="56">
        <f>('Historical Data'!V$24/'Historical Data'!$X$24)*$H54</f>
        <v>1427340.6233557966</v>
      </c>
      <c r="G54" s="56">
        <f>('Historical Data'!W$24/'Historical Data'!$X$24)*$H54</f>
        <v>1019167.9347186484</v>
      </c>
      <c r="H54" s="56">
        <f>('Hist Reg (Neigh Isl)'!$P$66+'Hist Reg (Neigh Isl)'!$P$67*'Projected Econometric Drivers'!J44+'Hist Reg (Neigh Isl)'!$P$68*'Projected Econometric Drivers'!H44+'Hist Reg (Neigh Isl)'!$P$69*'Projected Econometric Drivers'!E44)*('Historical Data'!$X$24/SUM('Historical Data'!$X$24,'Historical Data'!$AG$24,'Historical Data'!$AN$24))</f>
        <v>3352590.6531887143</v>
      </c>
      <c r="I54" s="56">
        <f>H54-('Energy Efficiency'!P41*(SUM('Energy Efficiency'!D42:E42)/'Energy Efficiency'!J41))</f>
        <v>3352266.1345198974</v>
      </c>
      <c r="L54" s="37"/>
    </row>
    <row r="55" spans="2:12" x14ac:dyDescent="0.25">
      <c r="B55" s="36">
        <v>2042</v>
      </c>
      <c r="C55" s="56">
        <f>('Historical Data'!S$24/'Historical Data'!$X$24)*$H55</f>
        <v>39127.564640796343</v>
      </c>
      <c r="D55" s="56">
        <f>('Historical Data'!T$24/'Historical Data'!$X$24)*$H55</f>
        <v>622412.5208973909</v>
      </c>
      <c r="E55" s="56">
        <f>('Historical Data'!U$24/'Historical Data'!$X$24)*$H55</f>
        <v>259814.39397977333</v>
      </c>
      <c r="F55" s="56">
        <f>('Historical Data'!V$24/'Historical Data'!$X$24)*$H55</f>
        <v>1451399.0335069702</v>
      </c>
      <c r="G55" s="56">
        <f>('Historical Data'!W$24/'Historical Data'!$X$24)*$H55</f>
        <v>1036346.4272138303</v>
      </c>
      <c r="H55" s="56">
        <f>('Hist Reg (Neigh Isl)'!$P$66+'Hist Reg (Neigh Isl)'!$P$67*'Projected Econometric Drivers'!J45+'Hist Reg (Neigh Isl)'!$P$68*'Projected Econometric Drivers'!H45+'Hist Reg (Neigh Isl)'!$P$69*'Projected Econometric Drivers'!E45)*('Historical Data'!$X$24/SUM('Historical Data'!$X$24,'Historical Data'!$AG$24,'Historical Data'!$AN$24))</f>
        <v>3409099.9402387608</v>
      </c>
      <c r="I55" s="56">
        <f>H55-('Energy Efficiency'!P42*(SUM('Energy Efficiency'!D43:E43)/'Energy Efficiency'!J42))</f>
        <v>3408744.939784341</v>
      </c>
      <c r="L55" s="37"/>
    </row>
    <row r="56" spans="2:12" x14ac:dyDescent="0.25">
      <c r="B56" s="36">
        <v>2043</v>
      </c>
      <c r="C56" s="56">
        <f>('Historical Data'!S$24/'Historical Data'!$X$24)*$H56</f>
        <v>39793.003506057968</v>
      </c>
      <c r="D56" s="56">
        <f>('Historical Data'!T$24/'Historical Data'!$X$24)*$H56</f>
        <v>632997.83295125549</v>
      </c>
      <c r="E56" s="56">
        <f>('Historical Data'!U$24/'Historical Data'!$X$24)*$H56</f>
        <v>264233.03329698433</v>
      </c>
      <c r="F56" s="56">
        <f>('Historical Data'!V$24/'Historical Data'!$X$24)*$H56</f>
        <v>1476082.8423451947</v>
      </c>
      <c r="G56" s="56">
        <f>('Historical Data'!W$24/'Historical Data'!$X$24)*$H56</f>
        <v>1053971.4748464671</v>
      </c>
      <c r="H56" s="56">
        <f>('Hist Reg (Neigh Isl)'!$P$66+'Hist Reg (Neigh Isl)'!$P$67*'Projected Econometric Drivers'!J46+'Hist Reg (Neigh Isl)'!$P$68*'Projected Econometric Drivers'!H46+'Hist Reg (Neigh Isl)'!$P$69*'Projected Econometric Drivers'!E46)*('Historical Data'!$X$24/SUM('Historical Data'!$X$24,'Historical Data'!$AG$24,'Historical Data'!$AN$24))</f>
        <v>3467078.1869459595</v>
      </c>
      <c r="I56" s="56">
        <f>H56-('Energy Efficiency'!P43*(SUM('Energy Efficiency'!D44:E44)/'Energy Efficiency'!J43))</f>
        <v>3466690.6357474956</v>
      </c>
      <c r="L56" s="37"/>
    </row>
    <row r="57" spans="2:12" x14ac:dyDescent="0.25">
      <c r="B57" s="36">
        <v>2044</v>
      </c>
      <c r="C57" s="56">
        <f>('Historical Data'!S$24/'Historical Data'!$X$24)*$H57</f>
        <v>40475.703588892495</v>
      </c>
      <c r="D57" s="56">
        <f>('Historical Data'!T$24/'Historical Data'!$X$24)*$H57</f>
        <v>643857.72375904815</v>
      </c>
      <c r="E57" s="56">
        <f>('Historical Data'!U$24/'Historical Data'!$X$24)*$H57</f>
        <v>268766.29034786281</v>
      </c>
      <c r="F57" s="56">
        <f>('Historical Data'!V$24/'Historical Data'!$X$24)*$H57</f>
        <v>1501406.9392957122</v>
      </c>
      <c r="G57" s="56">
        <f>('Historical Data'!W$24/'Historical Data'!$X$24)*$H57</f>
        <v>1072053.7091536454</v>
      </c>
      <c r="H57" s="56">
        <f>('Hist Reg (Neigh Isl)'!$P$66+'Hist Reg (Neigh Isl)'!$P$67*'Projected Econometric Drivers'!J47+'Hist Reg (Neigh Isl)'!$P$68*'Projected Econometric Drivers'!H47+'Hist Reg (Neigh Isl)'!$P$69*'Projected Econometric Drivers'!E47)*('Historical Data'!$X$24/SUM('Historical Data'!$X$24,'Historical Data'!$AG$24,'Historical Data'!$AN$24))</f>
        <v>3526560.366145161</v>
      </c>
      <c r="I57" s="56">
        <f>H57-('Energy Efficiency'!P44*(SUM('Energy Efficiency'!D45:E45)/'Energy Efficiency'!J44))</f>
        <v>3526138.0600429261</v>
      </c>
      <c r="L57" s="37"/>
    </row>
    <row r="58" spans="2:12" x14ac:dyDescent="0.25">
      <c r="B58" s="36">
        <v>2045</v>
      </c>
      <c r="C58" s="56">
        <f>('Historical Data'!S$24/'Historical Data'!$X$24)*$H58</f>
        <v>41176.075636202753</v>
      </c>
      <c r="D58" s="56">
        <f>('Historical Data'!T$24/'Historical Data'!$X$24)*$H58</f>
        <v>654998.72718040424</v>
      </c>
      <c r="E58" s="56">
        <f>('Historical Data'!U$24/'Historical Data'!$X$24)*$H58</f>
        <v>273416.89256915625</v>
      </c>
      <c r="F58" s="56">
        <f>('Historical Data'!V$24/'Historical Data'!$X$24)*$H58</f>
        <v>1527386.5606162157</v>
      </c>
      <c r="G58" s="56">
        <f>('Historical Data'!W$24/'Historical Data'!$X$24)*$H58</f>
        <v>1090604.0093221779</v>
      </c>
      <c r="H58" s="56">
        <f>('Hist Reg (Neigh Isl)'!$P$66+'Hist Reg (Neigh Isl)'!$P$67*'Projected Econometric Drivers'!J48+'Hist Reg (Neigh Isl)'!$P$68*'Projected Econometric Drivers'!H48+'Hist Reg (Neigh Isl)'!$P$69*'Projected Econometric Drivers'!E48)*('Historical Data'!$X$24/SUM('Historical Data'!$X$24,'Historical Data'!$AG$24,'Historical Data'!$AN$24))</f>
        <v>3587582.2653241567</v>
      </c>
      <c r="I58" s="56">
        <f>H58-('Energy Efficiency'!P45*(SUM('Energy Efficiency'!D46:E46)/'Energy Efficiency'!J45))</f>
        <v>3587122.8561594747</v>
      </c>
      <c r="L58" s="37"/>
    </row>
    <row r="62" spans="2:12" x14ac:dyDescent="0.25">
      <c r="B62" s="549" t="s">
        <v>199</v>
      </c>
      <c r="C62" s="549"/>
      <c r="D62" s="549"/>
      <c r="E62" s="549"/>
      <c r="F62" s="549"/>
      <c r="G62" s="549"/>
      <c r="H62" s="549"/>
    </row>
    <row r="63" spans="2:12" x14ac:dyDescent="0.25">
      <c r="B63" s="55" t="s">
        <v>173</v>
      </c>
      <c r="C63" s="55" t="s">
        <v>194</v>
      </c>
      <c r="D63" s="55" t="s">
        <v>195</v>
      </c>
      <c r="E63" s="55" t="s">
        <v>196</v>
      </c>
      <c r="F63" s="55" t="s">
        <v>197</v>
      </c>
      <c r="G63" s="55" t="s">
        <v>198</v>
      </c>
      <c r="H63" s="55" t="s">
        <v>185</v>
      </c>
      <c r="I63" s="36" t="s">
        <v>186</v>
      </c>
    </row>
    <row r="64" spans="2:12" x14ac:dyDescent="0.25">
      <c r="B64" s="36">
        <v>2022</v>
      </c>
      <c r="C64" s="56">
        <f>('Historical Data'!AB$24/'Historical Data'!$AG$24)*$H64</f>
        <v>3025.25271617211</v>
      </c>
      <c r="D64" s="56">
        <f>('Historical Data'!AC$24/'Historical Data'!$AG$24)*$H64</f>
        <v>143219.08961170306</v>
      </c>
      <c r="E64" s="56">
        <f>('Historical Data'!AD$24/'Historical Data'!$AG$24)*$H64</f>
        <v>26586.355836208331</v>
      </c>
      <c r="F64" s="56">
        <f>('Historical Data'!AE$24/'Historical Data'!$AG$24)*$H64</f>
        <v>608832.91807317291</v>
      </c>
      <c r="G64" s="56">
        <f>('Historical Data'!AF$24/'Historical Data'!$AG$24)*$H64</f>
        <v>176722.77555165795</v>
      </c>
      <c r="H64" s="56">
        <f>('Hist Reg (Neigh Isl)'!$P$66+'Hist Reg (Neigh Isl)'!$P$67*'Projected Econometric Drivers'!J25+'Hist Reg (Neigh Isl)'!$P$68*'Projected Econometric Drivers'!H25+'Hist Reg (Neigh Isl)'!$P$69*'Projected Econometric Drivers'!E25)*('Historical Data'!$AG$24/SUM('Historical Data'!$X$24,'Historical Data'!$AG$24,'Historical Data'!$AN$24))</f>
        <v>958386.39178891445</v>
      </c>
      <c r="I64" s="56">
        <f>H64-'Energy Efficiency'!N22*(SUM('Energy Efficiency'!G22:I22)/'Energy Efficiency'!J22)</f>
        <v>958362.86778015411</v>
      </c>
    </row>
    <row r="65" spans="2:9" x14ac:dyDescent="0.25">
      <c r="B65" s="36">
        <v>2023</v>
      </c>
      <c r="C65" s="56">
        <f>('Historical Data'!AB$24/'Historical Data'!$AG$24)*$H65</f>
        <v>3066.4633579422198</v>
      </c>
      <c r="D65" s="56">
        <f>('Historical Data'!AC$24/'Historical Data'!$AG$24)*$H65</f>
        <v>145170.05078763326</v>
      </c>
      <c r="E65" s="56">
        <f>('Historical Data'!AD$24/'Historical Data'!$AG$24)*$H65</f>
        <v>26948.520881290908</v>
      </c>
      <c r="F65" s="56">
        <f>('Historical Data'!AE$24/'Historical Data'!$AG$24)*$H65</f>
        <v>617126.57074901008</v>
      </c>
      <c r="G65" s="56">
        <f>('Historical Data'!AF$24/'Historical Data'!$AG$24)*$H65</f>
        <v>179130.13112792003</v>
      </c>
      <c r="H65" s="56">
        <f>('Hist Reg (Neigh Isl)'!$P$66+'Hist Reg (Neigh Isl)'!$P$67*'Projected Econometric Drivers'!J26+'Hist Reg (Neigh Isl)'!$P$68*'Projected Econometric Drivers'!H26+'Hist Reg (Neigh Isl)'!$P$69*'Projected Econometric Drivers'!E26)*('Historical Data'!$AG$24/SUM('Historical Data'!$X$24,'Historical Data'!$AG$24,'Historical Data'!$AN$24))</f>
        <v>971441.73690379655</v>
      </c>
      <c r="I65" s="56">
        <f>H65-'Energy Efficiency'!N23*(SUM('Energy Efficiency'!G23:I23)/'Energy Efficiency'!J23)</f>
        <v>971393.75120673247</v>
      </c>
    </row>
    <row r="66" spans="2:9" x14ac:dyDescent="0.25">
      <c r="B66" s="36">
        <v>2024</v>
      </c>
      <c r="C66" s="56">
        <f>('Historical Data'!AB$24/'Historical Data'!$AG$24)*$H66</f>
        <v>3108.8002214601684</v>
      </c>
      <c r="D66" s="56">
        <f>('Historical Data'!AC$24/'Historical Data'!$AG$24)*$H66</f>
        <v>147174.32865098072</v>
      </c>
      <c r="E66" s="56">
        <f>('Historical Data'!AD$24/'Historical Data'!$AG$24)*$H66</f>
        <v>27320.58332502003</v>
      </c>
      <c r="F66" s="56">
        <f>('Historical Data'!AE$24/'Historical Data'!$AG$24)*$H66</f>
        <v>625646.87585274805</v>
      </c>
      <c r="G66" s="56">
        <f>('Historical Data'!AF$24/'Historical Data'!$AG$24)*$H66</f>
        <v>181603.27592969069</v>
      </c>
      <c r="H66" s="56">
        <f>('Hist Reg (Neigh Isl)'!$P$66+'Hist Reg (Neigh Isl)'!$P$67*'Projected Econometric Drivers'!J27+'Hist Reg (Neigh Isl)'!$P$68*'Projected Econometric Drivers'!H27+'Hist Reg (Neigh Isl)'!$P$69*'Projected Econometric Drivers'!E27)*('Historical Data'!$AG$24/SUM('Historical Data'!$X$24,'Historical Data'!$AG$24,'Historical Data'!$AN$24))</f>
        <v>984853.86397989967</v>
      </c>
      <c r="I66" s="56">
        <f>H66-'Energy Efficiency'!N24*(SUM('Energy Efficiency'!G24:I24)/'Energy Efficiency'!J24)</f>
        <v>984780.43114386429</v>
      </c>
    </row>
    <row r="67" spans="2:9" x14ac:dyDescent="0.25">
      <c r="B67" s="36">
        <v>2025</v>
      </c>
      <c r="C67" s="56">
        <f>('Historical Data'!AB$24/'Historical Data'!$AG$24)*$H67</f>
        <v>3152.290442184802</v>
      </c>
      <c r="D67" s="56">
        <f>('Historical Data'!AC$24/'Historical Data'!$AG$24)*$H67</f>
        <v>149233.20782689142</v>
      </c>
      <c r="E67" s="56">
        <f>('Historical Data'!AD$24/'Historical Data'!$AG$24)*$H67</f>
        <v>27702.781637709544</v>
      </c>
      <c r="F67" s="56">
        <f>('Historical Data'!AE$24/'Historical Data'!$AG$24)*$H67</f>
        <v>634399.29440273554</v>
      </c>
      <c r="G67" s="56">
        <f>('Historical Data'!AF$24/'Historical Data'!$AG$24)*$H67</f>
        <v>184143.79509846159</v>
      </c>
      <c r="H67" s="56">
        <f>('Hist Reg (Neigh Isl)'!$P$66+'Hist Reg (Neigh Isl)'!$P$67*'Projected Econometric Drivers'!J28+'Hist Reg (Neigh Isl)'!$P$68*'Projected Econometric Drivers'!H28+'Hist Reg (Neigh Isl)'!$P$69*'Projected Econometric Drivers'!E28)*('Historical Data'!$AG$24/SUM('Historical Data'!$X$24,'Historical Data'!$AG$24,'Historical Data'!$AN$24))</f>
        <v>998631.36940798291</v>
      </c>
      <c r="I67" s="56">
        <f>H67-'Energy Efficiency'!N25*(SUM('Energy Efficiency'!G25:I25)/'Energy Efficiency'!J25)</f>
        <v>998531.4536277334</v>
      </c>
    </row>
    <row r="68" spans="2:9" x14ac:dyDescent="0.25">
      <c r="B68" s="36">
        <v>2026</v>
      </c>
      <c r="C68" s="56">
        <f>('Historical Data'!AB$24/'Historical Data'!$AG$24)*$H68</f>
        <v>3196.9617883708092</v>
      </c>
      <c r="D68" s="56">
        <f>('Historical Data'!AC$24/'Historical Data'!$AG$24)*$H68</f>
        <v>151348.00289782498</v>
      </c>
      <c r="E68" s="56">
        <f>('Historical Data'!AD$24/'Historical Data'!$AG$24)*$H68</f>
        <v>28095.359850774134</v>
      </c>
      <c r="F68" s="56">
        <f>('Historical Data'!AE$24/'Historical Data'!$AG$24)*$H68</f>
        <v>643389.41476765403</v>
      </c>
      <c r="G68" s="56">
        <f>('Historical Data'!AF$24/'Historical Data'!$AG$24)*$H68</f>
        <v>186753.31074104537</v>
      </c>
      <c r="H68" s="56">
        <f>('Hist Reg (Neigh Isl)'!$P$66+'Hist Reg (Neigh Isl)'!$P$67*'Projected Econometric Drivers'!J29+'Hist Reg (Neigh Isl)'!$P$68*'Projected Econometric Drivers'!H29+'Hist Reg (Neigh Isl)'!$P$69*'Projected Econometric Drivers'!E29)*('Historical Data'!$AG$24/SUM('Historical Data'!$X$24,'Historical Data'!$AG$24,'Historical Data'!$AN$24))</f>
        <v>1012783.0500456693</v>
      </c>
      <c r="I68" s="56">
        <f>H68-'Energy Efficiency'!N26*(SUM('Energy Efficiency'!G26:I26)/'Energy Efficiency'!J26)</f>
        <v>1012655.5624250809</v>
      </c>
    </row>
    <row r="69" spans="2:9" x14ac:dyDescent="0.25">
      <c r="B69" s="36">
        <v>2027</v>
      </c>
      <c r="C69" s="56">
        <f>('Historical Data'!AB$24/'Historical Data'!$AG$24)*$H69</f>
        <v>3242.8426757609309</v>
      </c>
      <c r="D69" s="56">
        <f>('Historical Data'!AC$24/'Historical Data'!$AG$24)*$H69</f>
        <v>153520.05909910152</v>
      </c>
      <c r="E69" s="56">
        <f>('Historical Data'!AD$24/'Historical Data'!$AG$24)*$H69</f>
        <v>28498.567685846574</v>
      </c>
      <c r="F69" s="56">
        <f>('Historical Data'!AE$24/'Historical Data'!$AG$24)*$H69</f>
        <v>652622.9556233281</v>
      </c>
      <c r="G69" s="56">
        <f>('Historical Data'!AF$24/'Historical Data'!$AG$24)*$H69</f>
        <v>189433.48278783381</v>
      </c>
      <c r="H69" s="56">
        <f>('Hist Reg (Neigh Isl)'!$P$66+'Hist Reg (Neigh Isl)'!$P$67*'Projected Econometric Drivers'!J30+'Hist Reg (Neigh Isl)'!$P$68*'Projected Econometric Drivers'!H30+'Hist Reg (Neigh Isl)'!$P$69*'Projected Econometric Drivers'!E30)*('Historical Data'!$AG$24/SUM('Historical Data'!$X$24,'Historical Data'!$AG$24,'Historical Data'!$AN$24))</f>
        <v>1027317.907871871</v>
      </c>
      <c r="I69" s="56">
        <f>H69-'Energy Efficiency'!N27*(SUM('Energy Efficiency'!G27:I27)/'Energy Efficiency'!J27)</f>
        <v>1027161.7035250047</v>
      </c>
    </row>
    <row r="70" spans="2:9" x14ac:dyDescent="0.25">
      <c r="B70" s="36">
        <v>2028</v>
      </c>
      <c r="C70" s="56">
        <f>('Historical Data'!AB$24/'Historical Data'!$AG$24)*$H70</f>
        <v>3289.9621826210791</v>
      </c>
      <c r="D70" s="56">
        <f>('Historical Data'!AC$24/'Historical Data'!$AG$24)*$H70</f>
        <v>155750.75303068213</v>
      </c>
      <c r="E70" s="56">
        <f>('Historical Data'!AD$24/'Historical Data'!$AG$24)*$H70</f>
        <v>28912.660686908537</v>
      </c>
      <c r="F70" s="56">
        <f>('Historical Data'!AE$24/'Historical Data'!$AG$24)*$H70</f>
        <v>662105.76897854835</v>
      </c>
      <c r="G70" s="56">
        <f>('Historical Data'!AF$24/'Historical Data'!$AG$24)*$H70</f>
        <v>192186.00987108762</v>
      </c>
      <c r="H70" s="56">
        <f>('Hist Reg (Neigh Isl)'!$P$66+'Hist Reg (Neigh Isl)'!$P$67*'Projected Econometric Drivers'!J31+'Hist Reg (Neigh Isl)'!$P$68*'Projected Econometric Drivers'!H31+'Hist Reg (Neigh Isl)'!$P$69*'Projected Econometric Drivers'!E31)*('Historical Data'!$AG$24/SUM('Historical Data'!$X$24,'Historical Data'!$AG$24,'Historical Data'!$AN$24))</f>
        <v>1042245.1547498477</v>
      </c>
      <c r="I70" s="56">
        <f>H70-'Energy Efficiency'!N28*(SUM('Energy Efficiency'!G28:I28)/'Energy Efficiency'!J28)</f>
        <v>1042059.0297289628</v>
      </c>
    </row>
    <row r="71" spans="2:9" x14ac:dyDescent="0.25">
      <c r="B71" s="36">
        <v>2029</v>
      </c>
      <c r="C71" s="56">
        <f>('Historical Data'!AB$24/'Historical Data'!$AG$24)*$H71</f>
        <v>3338.3500651264203</v>
      </c>
      <c r="D71" s="56">
        <f>('Historical Data'!AC$24/'Historical Data'!$AG$24)*$H71</f>
        <v>158041.49338556451</v>
      </c>
      <c r="E71" s="56">
        <f>('Historical Data'!AD$24/'Historical Data'!$AG$24)*$H71</f>
        <v>29337.900355505681</v>
      </c>
      <c r="F71" s="56">
        <f>('Historical Data'!AE$24/'Historical Data'!$AG$24)*$H71</f>
        <v>671843.84327152336</v>
      </c>
      <c r="G71" s="56">
        <f>('Historical Data'!AF$24/'Historical Data'!$AG$24)*$H71</f>
        <v>195012.63022372755</v>
      </c>
      <c r="H71" s="56">
        <f>('Hist Reg (Neigh Isl)'!$P$66+'Hist Reg (Neigh Isl)'!$P$67*'Projected Econometric Drivers'!J32+'Hist Reg (Neigh Isl)'!$P$68*'Projected Econometric Drivers'!H32+'Hist Reg (Neigh Isl)'!$P$69*'Projected Econometric Drivers'!E32)*('Historical Data'!$AG$24/SUM('Historical Data'!$X$24,'Historical Data'!$AG$24,'Historical Data'!$AN$24))</f>
        <v>1057574.2173014476</v>
      </c>
      <c r="I71" s="56">
        <f>H71-'Energy Efficiency'!N29*(SUM('Energy Efficiency'!G29:I29)/'Energy Efficiency'!J29)</f>
        <v>1057356.9053408208</v>
      </c>
    </row>
    <row r="72" spans="2:9" x14ac:dyDescent="0.25">
      <c r="B72" s="36">
        <v>2030</v>
      </c>
      <c r="C72" s="56">
        <f>('Historical Data'!AB$24/'Historical Data'!$AG$24)*$H72</f>
        <v>3388.0367731066931</v>
      </c>
      <c r="D72" s="56">
        <f>('Historical Data'!AC$24/'Historical Data'!$AG$24)*$H72</f>
        <v>160393.72169518529</v>
      </c>
      <c r="E72" s="56">
        <f>('Historical Data'!AD$24/'Historical Data'!$AG$24)*$H72</f>
        <v>29774.554289119784</v>
      </c>
      <c r="F72" s="56">
        <f>('Historical Data'!AE$24/'Historical Data'!$AG$24)*$H72</f>
        <v>681843.30653863051</v>
      </c>
      <c r="G72" s="56">
        <f>('Historical Data'!AF$24/'Historical Data'!$AG$24)*$H72</f>
        <v>197915.12259911132</v>
      </c>
      <c r="H72" s="56">
        <f>('Hist Reg (Neigh Isl)'!$P$66+'Hist Reg (Neigh Isl)'!$P$67*'Projected Econometric Drivers'!J33+'Hist Reg (Neigh Isl)'!$P$68*'Projected Econometric Drivers'!H33+'Hist Reg (Neigh Isl)'!$P$69*'Projected Econometric Drivers'!E33)*('Historical Data'!$AG$24/SUM('Historical Data'!$X$24,'Historical Data'!$AG$24,'Historical Data'!$AN$24))</f>
        <v>1073314.7418951537</v>
      </c>
      <c r="I72" s="56">
        <f>H72-'Energy Efficiency'!N30*(SUM('Energy Efficiency'!G30:I30)/'Energy Efficiency'!J30)</f>
        <v>1073064.9109588095</v>
      </c>
    </row>
    <row r="73" spans="2:9" x14ac:dyDescent="0.25">
      <c r="B73" s="36">
        <v>2031</v>
      </c>
      <c r="C73" s="56">
        <f>('Historical Data'!AB$24/'Historical Data'!$AG$24)*$H73</f>
        <v>3439.0534661592123</v>
      </c>
      <c r="D73" s="56">
        <f>('Historical Data'!AC$24/'Historical Data'!$AG$24)*$H73</f>
        <v>162808.91309222882</v>
      </c>
      <c r="E73" s="56">
        <f>('Historical Data'!AD$24/'Historical Data'!$AG$24)*$H73</f>
        <v>30222.896322772132</v>
      </c>
      <c r="F73" s="56">
        <f>('Historical Data'!AE$24/'Historical Data'!$AG$24)*$H73</f>
        <v>692110.42965716124</v>
      </c>
      <c r="G73" s="56">
        <f>('Historical Data'!AF$24/'Historical Data'!$AG$24)*$H73</f>
        <v>200895.30721228835</v>
      </c>
      <c r="H73" s="56">
        <f>('Hist Reg (Neigh Isl)'!$P$66+'Hist Reg (Neigh Isl)'!$P$67*'Projected Econometric Drivers'!J34+'Hist Reg (Neigh Isl)'!$P$68*'Projected Econometric Drivers'!H34+'Hist Reg (Neigh Isl)'!$P$69*'Projected Econometric Drivers'!E34)*('Historical Data'!$AG$24/SUM('Historical Data'!$X$24,'Historical Data'!$AG$24,'Historical Data'!$AN$24))</f>
        <v>1089476.5997506098</v>
      </c>
      <c r="I73" s="56">
        <f>H73-'Energy Efficiency'!N31*(SUM('Energy Efficiency'!G31:I31)/'Energy Efficiency'!J31)</f>
        <v>1089192.8483712585</v>
      </c>
    </row>
    <row r="74" spans="2:9" x14ac:dyDescent="0.25">
      <c r="B74" s="36">
        <v>2032</v>
      </c>
      <c r="C74" s="56">
        <f>('Historical Data'!AB$24/'Historical Data'!$AG$24)*$H74</f>
        <v>3491.4320301382172</v>
      </c>
      <c r="D74" s="56">
        <f>('Historical Data'!AC$24/'Historical Data'!$AG$24)*$H74</f>
        <v>165288.57709125278</v>
      </c>
      <c r="E74" s="56">
        <f>('Historical Data'!AD$24/'Historical Data'!$AG$24)*$H74</f>
        <v>30683.206673934281</v>
      </c>
      <c r="F74" s="56">
        <f>('Historical Data'!AE$24/'Historical Data'!$AG$24)*$H74</f>
        <v>702651.62966380746</v>
      </c>
      <c r="G74" s="56">
        <f>('Historical Data'!AF$24/'Historical Data'!$AG$24)*$H74</f>
        <v>203955.04670323976</v>
      </c>
      <c r="H74" s="56">
        <f>('Hist Reg (Neigh Isl)'!$P$66+'Hist Reg (Neigh Isl)'!$P$67*'Projected Econometric Drivers'!J35+'Hist Reg (Neigh Isl)'!$P$68*'Projected Econometric Drivers'!H35+'Hist Reg (Neigh Isl)'!$P$69*'Projected Econometric Drivers'!E35)*('Historical Data'!$AG$24/SUM('Historical Data'!$X$24,'Historical Data'!$AG$24,'Historical Data'!$AN$24))</f>
        <v>1106069.8921623726</v>
      </c>
      <c r="I74" s="56">
        <f>H74-'Energy Efficiency'!N32*(SUM('Energy Efficiency'!G32:I32)/'Energy Efficiency'!J32)</f>
        <v>1105750.7455579808</v>
      </c>
    </row>
    <row r="75" spans="2:9" x14ac:dyDescent="0.25">
      <c r="B75" s="36">
        <v>2033</v>
      </c>
      <c r="C75" s="56">
        <f>('Historical Data'!AB$24/'Historical Data'!$AG$24)*$H75</f>
        <v>3545.2050940294207</v>
      </c>
      <c r="D75" s="56">
        <f>('Historical Data'!AC$24/'Historical Data'!$AG$24)*$H75</f>
        <v>167834.25838754949</v>
      </c>
      <c r="E75" s="56">
        <f>('Historical Data'!AD$24/'Historical Data'!$AG$24)*$H75</f>
        <v>31155.772090824023</v>
      </c>
      <c r="F75" s="56">
        <f>('Historical Data'!AE$24/'Historical Data'!$AG$24)*$H75</f>
        <v>713473.47315066878</v>
      </c>
      <c r="G75" s="56">
        <f>('Historical Data'!AF$24/'Historical Data'!$AG$24)*$H75</f>
        <v>207096.24712261971</v>
      </c>
      <c r="H75" s="56">
        <f>('Hist Reg (Neigh Isl)'!$P$66+'Hist Reg (Neigh Isl)'!$P$67*'Projected Econometric Drivers'!J36+'Hist Reg (Neigh Isl)'!$P$68*'Projected Econometric Drivers'!H36+'Hist Reg (Neigh Isl)'!$P$69*'Projected Econometric Drivers'!E36)*('Historical Data'!$AG$24/SUM('Historical Data'!$X$24,'Historical Data'!$AG$24,'Historical Data'!$AN$24))</f>
        <v>1123104.9558456915</v>
      </c>
      <c r="I75" s="56">
        <f>H75-'Energy Efficiency'!N33*(SUM('Energy Efficiency'!G33:I33)/'Energy Efficiency'!J33)</f>
        <v>1122748.8617991866</v>
      </c>
    </row>
    <row r="76" spans="2:9" x14ac:dyDescent="0.25">
      <c r="B76" s="36">
        <v>2034</v>
      </c>
      <c r="C76" s="56">
        <f>('Historical Data'!AB$24/'Historical Data'!$AG$24)*$H76</f>
        <v>3600.4060472188453</v>
      </c>
      <c r="D76" s="56">
        <f>('Historical Data'!AC$24/'Historical Data'!$AG$24)*$H76</f>
        <v>170447.53767467328</v>
      </c>
      <c r="E76" s="56">
        <f>('Historical Data'!AD$24/'Historical Data'!$AG$24)*$H76</f>
        <v>31640.886004166405</v>
      </c>
      <c r="F76" s="56">
        <f>('Historical Data'!AE$24/'Historical Data'!$AG$24)*$H76</f>
        <v>724582.67974061042</v>
      </c>
      <c r="G76" s="56">
        <f>('Historical Data'!AF$24/'Historical Data'!$AG$24)*$H76</f>
        <v>210320.85894052946</v>
      </c>
      <c r="H76" s="56">
        <f>('Hist Reg (Neigh Isl)'!$P$66+'Hist Reg (Neigh Isl)'!$P$67*'Projected Econometric Drivers'!J37+'Hist Reg (Neigh Isl)'!$P$68*'Projected Econometric Drivers'!H37+'Hist Reg (Neigh Isl)'!$P$69*'Projected Econometric Drivers'!E37)*('Historical Data'!$AG$24/SUM('Historical Data'!$X$24,'Historical Data'!$AG$24,'Historical Data'!$AN$24))</f>
        <v>1140592.3684071985</v>
      </c>
      <c r="I76" s="56">
        <f>H76-'Energy Efficiency'!N34*(SUM('Energy Efficiency'!G34:I34)/'Energy Efficiency'!J34)</f>
        <v>1140197.6928938082</v>
      </c>
    </row>
    <row r="77" spans="2:9" x14ac:dyDescent="0.25">
      <c r="B77" s="36">
        <v>2035</v>
      </c>
      <c r="C77" s="56">
        <f>('Historical Data'!AB$24/'Historical Data'!$AG$24)*$H77</f>
        <v>3657.0690571652231</v>
      </c>
      <c r="D77" s="56">
        <f>('Historical Data'!AC$24/'Historical Data'!$AG$24)*$H77</f>
        <v>173130.03248107326</v>
      </c>
      <c r="E77" s="56">
        <f>('Historical Data'!AD$24/'Historical Data'!$AG$24)*$H77</f>
        <v>32138.848682501313</v>
      </c>
      <c r="F77" s="56">
        <f>('Historical Data'!AE$24/'Historical Data'!$AG$24)*$H77</f>
        <v>735986.12564383855</v>
      </c>
      <c r="G77" s="56">
        <f>('Historical Data'!AF$24/'Historical Data'!$AG$24)*$H77</f>
        <v>213630.87807886628</v>
      </c>
      <c r="H77" s="56">
        <f>('Hist Reg (Neigh Isl)'!$P$66+'Hist Reg (Neigh Isl)'!$P$67*'Projected Econometric Drivers'!J38+'Hist Reg (Neigh Isl)'!$P$68*'Projected Econometric Drivers'!H38+'Hist Reg (Neigh Isl)'!$P$69*'Projected Econometric Drivers'!E38)*('Historical Data'!$AG$24/SUM('Historical Data'!$X$24,'Historical Data'!$AG$24,'Historical Data'!$AN$24))</f>
        <v>1158542.9539434446</v>
      </c>
      <c r="I77" s="56">
        <f>H77-'Energy Efficiency'!N35*(SUM('Energy Efficiency'!G35:I35)/'Energy Efficiency'!J35)</f>
        <v>1158107.9764891157</v>
      </c>
    </row>
    <row r="78" spans="2:9" x14ac:dyDescent="0.25">
      <c r="B78" s="36">
        <v>2036</v>
      </c>
      <c r="C78" s="56">
        <f>('Historical Data'!AB$24/'Historical Data'!$AG$24)*$H78</f>
        <v>3715.2290874854689</v>
      </c>
      <c r="D78" s="56">
        <f>('Historical Data'!AC$24/'Historical Data'!$AG$24)*$H78</f>
        <v>175883.39802628109</v>
      </c>
      <c r="E78" s="56">
        <f>('Historical Data'!AD$24/'Historical Data'!$AG$24)*$H78</f>
        <v>32649.967391121208</v>
      </c>
      <c r="F78" s="56">
        <f>('Historical Data'!AE$24/'Historical Data'!$AG$24)*$H78</f>
        <v>747690.84729760629</v>
      </c>
      <c r="G78" s="56">
        <f>('Historical Data'!AF$24/'Historical Data'!$AG$24)*$H78</f>
        <v>217028.3469678018</v>
      </c>
      <c r="H78" s="56">
        <f>('Hist Reg (Neigh Isl)'!$P$66+'Hist Reg (Neigh Isl)'!$P$67*'Projected Econometric Drivers'!J39+'Hist Reg (Neigh Isl)'!$P$68*'Projected Econometric Drivers'!H39+'Hist Reg (Neigh Isl)'!$P$69*'Projected Econometric Drivers'!E39)*('Historical Data'!$AG$24/SUM('Historical Data'!$X$24,'Historical Data'!$AG$24,'Historical Data'!$AN$24))</f>
        <v>1176967.7887702959</v>
      </c>
      <c r="I78" s="56">
        <f>H78-'Energy Efficiency'!N36*(SUM('Energy Efficiency'!G36:I36)/'Energy Efficiency'!J36)</f>
        <v>1176490.6975234894</v>
      </c>
    </row>
    <row r="79" spans="2:9" x14ac:dyDescent="0.25">
      <c r="B79" s="36">
        <v>2037</v>
      </c>
      <c r="C79" s="56">
        <f>('Historical Data'!AB$24/'Historical Data'!$AG$24)*$H79</f>
        <v>3774.9219164629781</v>
      </c>
      <c r="D79" s="56">
        <f>('Historical Data'!AC$24/'Historical Data'!$AG$24)*$H79</f>
        <v>178709.32809711606</v>
      </c>
      <c r="E79" s="56">
        <f>('Historical Data'!AD$24/'Historical Data'!$AG$24)*$H79</f>
        <v>33174.556554724717</v>
      </c>
      <c r="F79" s="56">
        <f>('Historical Data'!AE$24/'Historical Data'!$AG$24)*$H79</f>
        <v>759704.04509101401</v>
      </c>
      <c r="G79" s="56">
        <f>('Historical Data'!AF$24/'Historical Data'!$AG$24)*$H79</f>
        <v>220515.35562696061</v>
      </c>
      <c r="H79" s="56">
        <f>('Hist Reg (Neigh Isl)'!$P$66+'Hist Reg (Neigh Isl)'!$P$67*'Projected Econometric Drivers'!J40+'Hist Reg (Neigh Isl)'!$P$68*'Projected Econometric Drivers'!H40+'Hist Reg (Neigh Isl)'!$P$69*'Projected Econometric Drivers'!E40)*('Historical Data'!$AG$24/SUM('Historical Data'!$X$24,'Historical Data'!$AG$24,'Historical Data'!$AN$24))</f>
        <v>1195878.2072862785</v>
      </c>
      <c r="I79" s="56">
        <f>H79-'Energy Efficiency'!N37*(SUM('Energy Efficiency'!G37:I37)/'Energy Efficiency'!J37)</f>
        <v>1195357.0937842214</v>
      </c>
    </row>
    <row r="80" spans="2:9" x14ac:dyDescent="0.25">
      <c r="B80" s="36">
        <v>2038</v>
      </c>
      <c r="C80" s="56">
        <f>('Historical Data'!AB$24/'Historical Data'!$AG$24)*$H80</f>
        <v>3836.1841559886866</v>
      </c>
      <c r="D80" s="56">
        <f>('Historical Data'!AC$24/'Historical Data'!$AG$24)*$H80</f>
        <v>181609.55594437764</v>
      </c>
      <c r="E80" s="56">
        <f>('Historical Data'!AD$24/'Historical Data'!$AG$24)*$H80</f>
        <v>33712.937923873404</v>
      </c>
      <c r="F80" s="56">
        <f>('Historical Data'!AE$24/'Historical Data'!$AG$24)*$H80</f>
        <v>772033.08717690269</v>
      </c>
      <c r="G80" s="56">
        <f>('Historical Data'!AF$24/'Historical Data'!$AG$24)*$H80</f>
        <v>224094.04277187871</v>
      </c>
      <c r="H80" s="56">
        <f>('Hist Reg (Neigh Isl)'!$P$66+'Hist Reg (Neigh Isl)'!$P$67*'Projected Econometric Drivers'!J41+'Hist Reg (Neigh Isl)'!$P$68*'Projected Econometric Drivers'!H41+'Hist Reg (Neigh Isl)'!$P$69*'Projected Econometric Drivers'!E41)*('Historical Data'!$AG$24/SUM('Historical Data'!$X$24,'Historical Data'!$AG$24,'Historical Data'!$AN$24))</f>
        <v>1215285.8079730212</v>
      </c>
      <c r="I80" s="56">
        <f>H80-'Energy Efficiency'!N38*(SUM('Energy Efficiency'!G38:I38)/'Energy Efficiency'!J38)</f>
        <v>1214718.6615821896</v>
      </c>
    </row>
    <row r="81" spans="2:9" x14ac:dyDescent="0.25">
      <c r="B81" s="36">
        <v>2039</v>
      </c>
      <c r="C81" s="56">
        <f>('Historical Data'!AB$24/'Historical Data'!$AG$24)*$H81</f>
        <v>3899.0532709451286</v>
      </c>
      <c r="D81" s="56">
        <f>('Historical Data'!AC$24/'Historical Data'!$AG$24)*$H81</f>
        <v>184585.85520050989</v>
      </c>
      <c r="E81" s="56">
        <f>('Historical Data'!AD$24/'Historical Data'!$AG$24)*$H81</f>
        <v>34265.440745341613</v>
      </c>
      <c r="F81" s="56">
        <f>('Historical Data'!AE$24/'Historical Data'!$AG$24)*$H81</f>
        <v>784685.51337290008</v>
      </c>
      <c r="G81" s="56">
        <f>('Historical Data'!AF$24/'Historical Data'!$AG$24)*$H81</f>
        <v>227766.59694634014</v>
      </c>
      <c r="H81" s="56">
        <f>('Hist Reg (Neigh Isl)'!$P$66+'Hist Reg (Neigh Isl)'!$P$67*'Projected Econometric Drivers'!J42+'Hist Reg (Neigh Isl)'!$P$68*'Projected Econometric Drivers'!H42+'Hist Reg (Neigh Isl)'!$P$69*'Projected Econometric Drivers'!E42)*('Historical Data'!$AG$24/SUM('Historical Data'!$X$24,'Historical Data'!$AG$24,'Historical Data'!$AN$24))</f>
        <v>1235202.4595360369</v>
      </c>
      <c r="I81" s="56">
        <f>H81-'Energy Efficiency'!N39*(SUM('Energy Efficiency'!G39:I39)/'Energy Efficiency'!J39)</f>
        <v>1234587.1615452401</v>
      </c>
    </row>
    <row r="82" spans="2:9" x14ac:dyDescent="0.25">
      <c r="B82" s="36">
        <v>2040</v>
      </c>
      <c r="C82" s="56">
        <f>('Historical Data'!AB$24/'Historical Data'!$AG$24)*$H82</f>
        <v>3963.5675990439167</v>
      </c>
      <c r="D82" s="56">
        <f>('Historical Data'!AC$24/'Historical Data'!$AG$24)*$H82</f>
        <v>187640.04081873162</v>
      </c>
      <c r="E82" s="56">
        <f>('Historical Data'!AD$24/'Historical Data'!$AG$24)*$H82</f>
        <v>34832.401936451141</v>
      </c>
      <c r="F82" s="56">
        <f>('Historical Data'!AE$24/'Historical Data'!$AG$24)*$H82</f>
        <v>797669.03915371979</v>
      </c>
      <c r="G82" s="56">
        <f>('Historical Data'!AF$24/'Historical Data'!$AG$24)*$H82</f>
        <v>231535.25768120072</v>
      </c>
      <c r="H82" s="56">
        <f>('Hist Reg (Neigh Isl)'!$P$66+'Hist Reg (Neigh Isl)'!$P$67*'Projected Econometric Drivers'!J43+'Hist Reg (Neigh Isl)'!$P$68*'Projected Econometric Drivers'!H43+'Hist Reg (Neigh Isl)'!$P$69*'Projected Econometric Drivers'!E43)*('Historical Data'!$AG$24/SUM('Historical Data'!$X$24,'Historical Data'!$AG$24,'Historical Data'!$AN$24))</f>
        <v>1255640.3071891472</v>
      </c>
      <c r="I82" s="56">
        <f>H82-'Energy Efficiency'!N40*(SUM('Energy Efficiency'!G40:I40)/'Energy Efficiency'!J40)</f>
        <v>1254974.6245320893</v>
      </c>
    </row>
    <row r="83" spans="2:9" x14ac:dyDescent="0.25">
      <c r="B83" s="36">
        <v>2041</v>
      </c>
      <c r="C83" s="56">
        <f>('Historical Data'!AB$24/'Historical Data'!$AG$24)*$H83</f>
        <v>4029.7663711273467</v>
      </c>
      <c r="D83" s="56">
        <f>('Historical Data'!AC$24/'Historical Data'!$AG$24)*$H83</f>
        <v>190773.97003413874</v>
      </c>
      <c r="E83" s="56">
        <f>('Historical Data'!AD$24/'Historical Data'!$AG$24)*$H83</f>
        <v>35414.166263484636</v>
      </c>
      <c r="F83" s="56">
        <f>('Historical Data'!AE$24/'Historical Data'!$AG$24)*$H83</f>
        <v>810991.55973686383</v>
      </c>
      <c r="G83" s="56">
        <f>('Historical Data'!AF$24/'Historical Data'!$AG$24)*$H83</f>
        <v>235402.31668032397</v>
      </c>
      <c r="H83" s="56">
        <f>('Hist Reg (Neigh Isl)'!$P$66+'Hist Reg (Neigh Isl)'!$P$67*'Projected Econometric Drivers'!J44+'Hist Reg (Neigh Isl)'!$P$68*'Projected Econometric Drivers'!H44+'Hist Reg (Neigh Isl)'!$P$69*'Projected Econometric Drivers'!E44)*('Historical Data'!$AG$24/SUM('Historical Data'!$X$24,'Historical Data'!$AG$24,'Historical Data'!$AN$24))</f>
        <v>1276611.7790859386</v>
      </c>
      <c r="I83" s="56">
        <f>H83-'Energy Efficiency'!N41*(SUM('Energy Efficiency'!G41:I41)/'Energy Efficiency'!J41)</f>
        <v>1275893.3576685241</v>
      </c>
    </row>
    <row r="84" spans="2:9" x14ac:dyDescent="0.25">
      <c r="B84" s="36">
        <v>2042</v>
      </c>
      <c r="C84" s="56">
        <f>('Historical Data'!AB$24/'Historical Data'!$AG$24)*$H84</f>
        <v>4097.6897319450691</v>
      </c>
      <c r="D84" s="56">
        <f>('Historical Data'!AC$24/'Historical Data'!$AG$24)*$H84</f>
        <v>193989.54334729663</v>
      </c>
      <c r="E84" s="56">
        <f>('Historical Data'!AD$24/'Historical Data'!$AG$24)*$H84</f>
        <v>36011.086524273982</v>
      </c>
      <c r="F84" s="56">
        <f>('Historical Data'!AE$24/'Historical Data'!$AG$24)*$H84</f>
        <v>824661.15426393412</v>
      </c>
      <c r="G84" s="56">
        <f>('Historical Data'!AF$24/'Historical Data'!$AG$24)*$H84</f>
        <v>239370.11903426843</v>
      </c>
      <c r="H84" s="56">
        <f>('Hist Reg (Neigh Isl)'!$P$66+'Hist Reg (Neigh Isl)'!$P$67*'Projected Econometric Drivers'!J45+'Hist Reg (Neigh Isl)'!$P$68*'Projected Econometric Drivers'!H45+'Hist Reg (Neigh Isl)'!$P$69*'Projected Econometric Drivers'!E45)*('Historical Data'!$AG$24/SUM('Historical Data'!$X$24,'Historical Data'!$AG$24,'Historical Data'!$AN$24))</f>
        <v>1298129.5929017183</v>
      </c>
      <c r="I84" s="56">
        <f>H84-'Energy Efficiency'!N42*(SUM('Energy Efficiency'!G42:I42)/'Energy Efficiency'!J42)</f>
        <v>1297355.9505076483</v>
      </c>
    </row>
    <row r="85" spans="2:9" x14ac:dyDescent="0.25">
      <c r="B85" s="36">
        <v>2043</v>
      </c>
      <c r="C85" s="56">
        <f>('Historical Data'!AB$24/'Historical Data'!$AG$24)*$H85</f>
        <v>4167.3787614170615</v>
      </c>
      <c r="D85" s="56">
        <f>('Historical Data'!AC$24/'Historical Data'!$AG$24)*$H85</f>
        <v>197288.70553085484</v>
      </c>
      <c r="E85" s="56">
        <f>('Historical Data'!AD$24/'Historical Data'!$AG$24)*$H85</f>
        <v>36623.523735062357</v>
      </c>
      <c r="F85" s="56">
        <f>('Historical Data'!AE$24/'Historical Data'!$AG$24)*$H85</f>
        <v>838686.09007981082</v>
      </c>
      <c r="G85" s="56">
        <f>('Historical Data'!AF$24/'Historical Data'!$AG$24)*$H85</f>
        <v>243441.06446238293</v>
      </c>
      <c r="H85" s="56">
        <f>('Hist Reg (Neigh Isl)'!$P$66+'Hist Reg (Neigh Isl)'!$P$67*'Projected Econometric Drivers'!J46+'Hist Reg (Neigh Isl)'!$P$68*'Projected Econometric Drivers'!H46+'Hist Reg (Neigh Isl)'!$P$69*'Projected Econometric Drivers'!E46)*('Historical Data'!$AG$24/SUM('Historical Data'!$X$24,'Historical Data'!$AG$24,'Historical Data'!$AN$24))</f>
        <v>1320206.7625695281</v>
      </c>
      <c r="I85" s="56">
        <f>H85-'Energy Efficiency'!N43*(SUM('Energy Efficiency'!G43:I43)/'Energy Efficiency'!J43)</f>
        <v>1319375.2813158925</v>
      </c>
    </row>
    <row r="86" spans="2:9" x14ac:dyDescent="0.25">
      <c r="B86" s="36">
        <v>2044</v>
      </c>
      <c r="C86" s="56">
        <f>('Historical Data'!AB$24/'Historical Data'!$AG$24)*$H86</f>
        <v>4238.8754963943329</v>
      </c>
      <c r="D86" s="56">
        <f>('Historical Data'!AC$24/'Historical Data'!$AG$24)*$H86</f>
        <v>200673.44665972507</v>
      </c>
      <c r="E86" s="56">
        <f>('Historical Data'!AD$24/'Historical Data'!$AG$24)*$H86</f>
        <v>37251.847321740432</v>
      </c>
      <c r="F86" s="56">
        <f>('Historical Data'!AE$24/'Historical Data'!$AG$24)*$H86</f>
        <v>853074.82711200009</v>
      </c>
      <c r="G86" s="56">
        <f>('Historical Data'!AF$24/'Historical Data'!$AG$24)*$H86</f>
        <v>247617.60858397689</v>
      </c>
      <c r="H86" s="56">
        <f>('Hist Reg (Neigh Isl)'!$P$66+'Hist Reg (Neigh Isl)'!$P$67*'Projected Econometric Drivers'!J47+'Hist Reg (Neigh Isl)'!$P$68*'Projected Econometric Drivers'!H47+'Hist Reg (Neigh Isl)'!$P$69*'Projected Econometric Drivers'!E47)*('Historical Data'!$AG$24/SUM('Historical Data'!$X$24,'Historical Data'!$AG$24,'Historical Data'!$AN$24))</f>
        <v>1342856.6051738369</v>
      </c>
      <c r="I86" s="56">
        <f>H86-'Energy Efficiency'!N44*(SUM('Energy Efficiency'!G44:I44)/'Energy Efficiency'!J44)</f>
        <v>1341964.5234864347</v>
      </c>
    </row>
    <row r="87" spans="2:9" x14ac:dyDescent="0.25">
      <c r="B87" s="36">
        <v>2045</v>
      </c>
      <c r="C87" s="56">
        <f>('Historical Data'!AB$24/'Historical Data'!$AG$24)*$H87</f>
        <v>4312.2229529291644</v>
      </c>
      <c r="D87" s="56">
        <f>('Historical Data'!AC$24/'Historical Data'!$AG$24)*$H87</f>
        <v>204145.8031653807</v>
      </c>
      <c r="E87" s="56">
        <f>('Historical Data'!AD$24/'Historical Data'!$AG$24)*$H87</f>
        <v>37896.435315560419</v>
      </c>
      <c r="F87" s="56">
        <f>('Historical Data'!AE$24/'Historical Data'!$AG$24)*$H87</f>
        <v>867836.02235252562</v>
      </c>
      <c r="G87" s="56">
        <f>('Historical Data'!AF$24/'Historical Data'!$AG$24)*$H87</f>
        <v>251902.26421925591</v>
      </c>
      <c r="H87" s="56">
        <f>('Hist Reg (Neigh Isl)'!$P$66+'Hist Reg (Neigh Isl)'!$P$67*'Projected Econometric Drivers'!J48+'Hist Reg (Neigh Isl)'!$P$68*'Projected Econometric Drivers'!H48+'Hist Reg (Neigh Isl)'!$P$69*'Projected Econometric Drivers'!E48)*('Historical Data'!$AG$24/SUM('Historical Data'!$X$24,'Historical Data'!$AG$24,'Historical Data'!$AN$24))</f>
        <v>1366092.7480056519</v>
      </c>
      <c r="I87" s="56">
        <f>H87-'Energy Efficiency'!N45*(SUM('Energy Efficiency'!G45:I45)/'Energy Efficiency'!J45)</f>
        <v>1365137.1520816511</v>
      </c>
    </row>
    <row r="91" spans="2:9" x14ac:dyDescent="0.25">
      <c r="B91" s="549" t="s">
        <v>200</v>
      </c>
      <c r="C91" s="549"/>
      <c r="D91" s="549"/>
      <c r="E91" s="549"/>
      <c r="F91" s="549"/>
      <c r="G91" s="549"/>
    </row>
    <row r="92" spans="2:9" x14ac:dyDescent="0.25">
      <c r="B92" s="55" t="s">
        <v>173</v>
      </c>
      <c r="C92" s="55" t="s">
        <v>194</v>
      </c>
      <c r="D92" s="55" t="s">
        <v>195</v>
      </c>
      <c r="E92" s="55" t="s">
        <v>197</v>
      </c>
      <c r="F92" s="55" t="s">
        <v>185</v>
      </c>
      <c r="G92" s="36" t="s">
        <v>186</v>
      </c>
    </row>
    <row r="93" spans="2:9" x14ac:dyDescent="0.25">
      <c r="B93" s="36">
        <v>2022</v>
      </c>
      <c r="C93" s="56">
        <f>('Historical Data'!AK$24/'Historical Data'!$AN$24)*$F93</f>
        <v>1163.6137979478835</v>
      </c>
      <c r="D93" s="56">
        <f>('Historical Data'!AL$24/'Historical Data'!$AN$24)*$F93</f>
        <v>163715.61065166557</v>
      </c>
      <c r="E93" s="56">
        <f>('Historical Data'!AM$24/'Historical Data'!$AN$24)*$F93</f>
        <v>115051.13640128204</v>
      </c>
      <c r="F93" s="56">
        <f>('Hist Reg (Neigh Isl)'!$P$66+'Hist Reg (Neigh Isl)'!$P$67*'Projected Econometric Drivers'!J25+'Hist Reg (Neigh Isl)'!$P$68*'Projected Econometric Drivers'!H25+'Hist Reg (Neigh Isl)'!$P$69*'Projected Econometric Drivers'!E25)*('Historical Data'!$AN$24/SUM('Historical Data'!$AN$24,'Historical Data'!$AG$24,'Historical Data'!$X$24))</f>
        <v>279930.36085089546</v>
      </c>
      <c r="G93" s="56">
        <f>F93-('Energy Efficiency'!F22/'Energy Efficiency'!J22)*'Energy Efficiency'!N22</f>
        <v>279881.12319155369</v>
      </c>
    </row>
    <row r="94" spans="2:9" x14ac:dyDescent="0.25">
      <c r="B94" s="36">
        <v>2023</v>
      </c>
      <c r="C94" s="56">
        <f>('Historical Data'!AK$24/'Historical Data'!$AN$24)*$F94</f>
        <v>1179.4647948347365</v>
      </c>
      <c r="D94" s="56">
        <f>('Historical Data'!AL$24/'Historical Data'!$AN$24)*$F94</f>
        <v>165945.77983610233</v>
      </c>
      <c r="E94" s="56">
        <f>('Historical Data'!AM$24/'Historical Data'!$AN$24)*$F94</f>
        <v>116618.3876732606</v>
      </c>
      <c r="F94" s="56">
        <f>('Hist Reg (Neigh Isl)'!$P$66+'Hist Reg (Neigh Isl)'!$P$67*'Projected Econometric Drivers'!J26+'Hist Reg (Neigh Isl)'!$P$68*'Projected Econometric Drivers'!H26+'Hist Reg (Neigh Isl)'!$P$69*'Projected Econometric Drivers'!E26)*('Historical Data'!$AN$24/SUM('Historical Data'!$AN$24,'Historical Data'!$AG$24,'Historical Data'!$X$24))</f>
        <v>283743.63230419764</v>
      </c>
      <c r="G94" s="56">
        <f>F94-('Energy Efficiency'!F23/'Energy Efficiency'!J23)*'Energy Efficiency'!N23</f>
        <v>283641.14053400763</v>
      </c>
    </row>
    <row r="95" spans="2:9" x14ac:dyDescent="0.25">
      <c r="B95" s="36">
        <v>2024</v>
      </c>
      <c r="C95" s="56">
        <f>('Historical Data'!AK$24/'Historical Data'!$AN$24)*$F95</f>
        <v>1195.7489744300383</v>
      </c>
      <c r="D95" s="56">
        <f>('Historical Data'!AL$24/'Historical Data'!$AN$24)*$F95</f>
        <v>168236.89602182293</v>
      </c>
      <c r="E95" s="56">
        <f>('Historical Data'!AM$24/'Historical Data'!$AN$24)*$F95</f>
        <v>118228.46944704682</v>
      </c>
      <c r="F95" s="56">
        <f>('Hist Reg (Neigh Isl)'!$P$66+'Hist Reg (Neigh Isl)'!$P$67*'Projected Econometric Drivers'!J27+'Hist Reg (Neigh Isl)'!$P$68*'Projected Econometric Drivers'!H27+'Hist Reg (Neigh Isl)'!$P$69*'Projected Econometric Drivers'!E27)*('Historical Data'!$AN$24/SUM('Historical Data'!$AN$24,'Historical Data'!$AG$24,'Historical Data'!$X$24))</f>
        <v>287661.11444329977</v>
      </c>
      <c r="G95" s="56">
        <f>F95-('Energy Efficiency'!F24/'Energy Efficiency'!J24)*'Energy Efficiency'!N24</f>
        <v>287501.07581537991</v>
      </c>
    </row>
    <row r="96" spans="2:9" x14ac:dyDescent="0.25">
      <c r="B96" s="36">
        <v>2025</v>
      </c>
      <c r="C96" s="56">
        <f>('Historical Data'!AK$24/'Historical Data'!$AN$24)*$F96</f>
        <v>1212.4767739426072</v>
      </c>
      <c r="D96" s="56">
        <f>('Historical Data'!AL$24/'Historical Data'!$AN$24)*$F96</f>
        <v>170590.42768059886</v>
      </c>
      <c r="E96" s="56">
        <f>('Historical Data'!AM$24/'Historical Data'!$AN$24)*$F96</f>
        <v>119882.41369109751</v>
      </c>
      <c r="F96" s="56">
        <f>('Hist Reg (Neigh Isl)'!$P$66+'Hist Reg (Neigh Isl)'!$P$67*'Projected Econometric Drivers'!J28+'Hist Reg (Neigh Isl)'!$P$68*'Projected Econometric Drivers'!H28+'Hist Reg (Neigh Isl)'!$P$69*'Projected Econometric Drivers'!E28)*('Historical Data'!$AN$24/SUM('Historical Data'!$AN$24,'Historical Data'!$AG$24,'Historical Data'!$X$24))</f>
        <v>291685.31814563897</v>
      </c>
      <c r="G96" s="56">
        <f>F96-('Energy Efficiency'!F25/'Energy Efficiency'!J25)*'Energy Efficiency'!N25</f>
        <v>291463.14530157053</v>
      </c>
    </row>
    <row r="97" spans="2:7" x14ac:dyDescent="0.25">
      <c r="B97" s="36">
        <v>2026</v>
      </c>
      <c r="C97" s="56">
        <f>('Historical Data'!AK$24/'Historical Data'!$AN$24)*$F97</f>
        <v>1229.658873975796</v>
      </c>
      <c r="D97" s="56">
        <f>('Historical Data'!AL$24/'Historical Data'!$AN$24)*$F97</f>
        <v>173007.87752879798</v>
      </c>
      <c r="E97" s="56">
        <f>('Historical Data'!AM$24/'Historical Data'!$AN$24)*$F97</f>
        <v>121581.27643925771</v>
      </c>
      <c r="F97" s="56">
        <f>('Hist Reg (Neigh Isl)'!$P$66+'Hist Reg (Neigh Isl)'!$P$67*'Projected Econometric Drivers'!J29+'Hist Reg (Neigh Isl)'!$P$68*'Projected Econometric Drivers'!H29+'Hist Reg (Neigh Isl)'!$P$69*'Projected Econometric Drivers'!E29)*('Historical Data'!$AN$24/SUM('Historical Data'!$AN$24,'Historical Data'!$AG$24,'Historical Data'!$X$24))</f>
        <v>295818.81284203148</v>
      </c>
      <c r="G97" s="56">
        <f>F97-('Energy Efficiency'!F26/'Energy Efficiency'!J26)*'Energy Efficiency'!N26</f>
        <v>295529.60429240688</v>
      </c>
    </row>
    <row r="98" spans="2:7" x14ac:dyDescent="0.25">
      <c r="B98" s="36">
        <v>2027</v>
      </c>
      <c r="C98" s="56">
        <f>('Historical Data'!AK$24/'Historical Data'!$AN$24)*$F98</f>
        <v>1247.3062041786065</v>
      </c>
      <c r="D98" s="56">
        <f>('Historical Data'!AL$24/'Historical Data'!$AN$24)*$F98</f>
        <v>175490.78332247277</v>
      </c>
      <c r="E98" s="56">
        <f>('Historical Data'!AM$24/'Historical Data'!$AN$24)*$F98</f>
        <v>123326.13834950894</v>
      </c>
      <c r="F98" s="56">
        <f>('Hist Reg (Neigh Isl)'!$P$66+'Hist Reg (Neigh Isl)'!$P$67*'Projected Econometric Drivers'!J30+'Hist Reg (Neigh Isl)'!$P$68*'Projected Econometric Drivers'!H30+'Hist Reg (Neigh Isl)'!$P$69*'Projected Econometric Drivers'!E30)*('Historical Data'!$AN$24/SUM('Historical Data'!$AN$24,'Historical Data'!$AG$24,'Historical Data'!$X$24))</f>
        <v>300064.22787616029</v>
      </c>
      <c r="G98" s="56">
        <f>F98-('Energy Efficiency'!F27/'Energy Efficiency'!J27)*'Energy Efficiency'!N27</f>
        <v>299702.74719900155</v>
      </c>
    </row>
    <row r="99" spans="2:7" x14ac:dyDescent="0.25">
      <c r="B99" s="36">
        <v>2028</v>
      </c>
      <c r="C99" s="56">
        <f>('Historical Data'!AK$24/'Historical Data'!$AN$24)*$F99</f>
        <v>1265.4299490287044</v>
      </c>
      <c r="D99" s="56">
        <f>('Historical Data'!AL$24/'Historical Data'!$AN$24)*$F99</f>
        <v>178040.71867100635</v>
      </c>
      <c r="E99" s="56">
        <f>('Historical Data'!AM$24/'Historical Data'!$AN$24)*$F99</f>
        <v>125118.10527575883</v>
      </c>
      <c r="F99" s="56">
        <f>('Hist Reg (Neigh Isl)'!$P$66+'Hist Reg (Neigh Isl)'!$P$67*'Projected Econometric Drivers'!J31+'Hist Reg (Neigh Isl)'!$P$68*'Projected Econometric Drivers'!H31+'Hist Reg (Neigh Isl)'!$P$69*'Projected Econometric Drivers'!E31)*('Historical Data'!$AN$24/SUM('Historical Data'!$AN$24,'Historical Data'!$AG$24,'Historical Data'!$X$24))</f>
        <v>304424.25389579387</v>
      </c>
      <c r="G99" s="56">
        <f>F99-('Energy Efficiency'!F28/'Energy Efficiency'!J28)*'Energy Efficiency'!N28</f>
        <v>303984.90756884177</v>
      </c>
    </row>
    <row r="100" spans="2:7" x14ac:dyDescent="0.25">
      <c r="B100" s="36">
        <v>2029</v>
      </c>
      <c r="C100" s="56">
        <f>('Historical Data'!AK$24/'Historical Data'!$AN$24)*$F100</f>
        <v>1284.0415537504216</v>
      </c>
      <c r="D100" s="56">
        <f>('Historical Data'!AL$24/'Historical Data'!$AN$24)*$F100</f>
        <v>180659.29386975095</v>
      </c>
      <c r="E100" s="56">
        <f>('Historical Data'!AM$24/'Historical Data'!$AN$24)*$F100</f>
        <v>126958.30885297777</v>
      </c>
      <c r="F100" s="56">
        <f>('Hist Reg (Neigh Isl)'!$P$66+'Hist Reg (Neigh Isl)'!$P$67*'Projected Econometric Drivers'!J32+'Hist Reg (Neigh Isl)'!$P$68*'Projected Econometric Drivers'!H32+'Hist Reg (Neigh Isl)'!$P$69*'Projected Econometric Drivers'!E32)*('Historical Data'!$AN$24/SUM('Historical Data'!$AN$24,'Historical Data'!$AG$24,'Historical Data'!$X$24))</f>
        <v>308901.64427647914</v>
      </c>
      <c r="G100" s="56">
        <f>F100-('Energy Efficiency'!F29/'Energy Efficiency'!J29)*'Energy Efficiency'!N29</f>
        <v>308378.45805386041</v>
      </c>
    </row>
    <row r="101" spans="2:7" x14ac:dyDescent="0.25">
      <c r="B101" s="36">
        <v>2030</v>
      </c>
      <c r="C101" s="56">
        <f>('Historical Data'!AK$24/'Historical Data'!$AN$24)*$F101</f>
        <v>1303.1527303709343</v>
      </c>
      <c r="D101" s="56">
        <f>('Historical Data'!AL$24/'Historical Data'!$AN$24)*$F101</f>
        <v>183348.15675210673</v>
      </c>
      <c r="E101" s="56">
        <f>('Historical Data'!AM$24/'Historical Data'!$AN$24)*$F101</f>
        <v>128847.90709599732</v>
      </c>
      <c r="F101" s="56">
        <f>('Hist Reg (Neigh Isl)'!$P$66+'Hist Reg (Neigh Isl)'!$P$67*'Projected Econometric Drivers'!J33+'Hist Reg (Neigh Isl)'!$P$68*'Projected Econometric Drivers'!H33+'Hist Reg (Neigh Isl)'!$P$69*'Projected Econometric Drivers'!E33)*('Historical Data'!$AN$24/SUM('Historical Data'!$AN$24,'Historical Data'!$AG$24,'Historical Data'!$X$24))</f>
        <v>313499.21657847497</v>
      </c>
      <c r="G101" s="56">
        <f>F101-('Energy Efficiency'!F30/'Energy Efficiency'!J30)*'Energy Efficiency'!N30</f>
        <v>312885.81031640148</v>
      </c>
    </row>
    <row r="102" spans="2:7" x14ac:dyDescent="0.25">
      <c r="B102" s="36">
        <v>2031</v>
      </c>
      <c r="C102" s="56">
        <f>('Historical Data'!AK$24/'Historical Data'!$AN$24)*$F102</f>
        <v>1322.7754639178681</v>
      </c>
      <c r="D102" s="56">
        <f>('Historical Data'!AL$24/'Historical Data'!$AN$24)*$F102</f>
        <v>186108.99356149897</v>
      </c>
      <c r="E102" s="56">
        <f>('Historical Data'!AM$24/'Historical Data'!$AN$24)*$F102</f>
        <v>130788.08501229204</v>
      </c>
      <c r="F102" s="56">
        <f>('Hist Reg (Neigh Isl)'!$P$66+'Hist Reg (Neigh Isl)'!$P$67*'Projected Econometric Drivers'!J34+'Hist Reg (Neigh Isl)'!$P$68*'Projected Econometric Drivers'!H34+'Hist Reg (Neigh Isl)'!$P$69*'Projected Econometric Drivers'!E34)*('Historical Data'!$AN$24/SUM('Historical Data'!$AN$24,'Historical Data'!$AG$24,'Historical Data'!$X$24))</f>
        <v>318219.85403770884</v>
      </c>
      <c r="G102" s="56">
        <f>F102-('Energy Efficiency'!F31/'Energy Efficiency'!J31)*'Energy Efficiency'!N31</f>
        <v>317509.41486762842</v>
      </c>
    </row>
    <row r="103" spans="2:7" x14ac:dyDescent="0.25">
      <c r="B103" s="36">
        <v>2032</v>
      </c>
      <c r="C103" s="56">
        <f>('Historical Data'!AK$24/'Historical Data'!$AN$24)*$F103</f>
        <v>1342.9220187616515</v>
      </c>
      <c r="D103" s="56">
        <f>('Historical Data'!AL$24/'Historical Data'!$AN$24)*$F103</f>
        <v>188943.52984372084</v>
      </c>
      <c r="E103" s="56">
        <f>('Historical Data'!AM$24/'Historical Data'!$AN$24)*$F103</f>
        <v>132780.05522907339</v>
      </c>
      <c r="F103" s="56">
        <f>('Hist Reg (Neigh Isl)'!$P$66+'Hist Reg (Neigh Isl)'!$P$67*'Projected Econometric Drivers'!J35+'Hist Reg (Neigh Isl)'!$P$68*'Projected Econometric Drivers'!H35+'Hist Reg (Neigh Isl)'!$P$69*'Projected Econometric Drivers'!E35)*('Historical Data'!$AN$24/SUM('Historical Data'!$AN$24,'Historical Data'!$AG$24,'Historical Data'!$X$24))</f>
        <v>323066.50709155586</v>
      </c>
      <c r="G103" s="56">
        <f>F103-('Energy Efficiency'!F32/'Energy Efficiency'!J32)*'Energy Efficiency'!N32</f>
        <v>322251.76083253144</v>
      </c>
    </row>
    <row r="104" spans="2:7" x14ac:dyDescent="0.25">
      <c r="B104" s="36">
        <v>2033</v>
      </c>
      <c r="C104" s="56">
        <f>('Historical Data'!AK$24/'Historical Data'!$AN$24)*$F104</f>
        <v>1363.6049451060364</v>
      </c>
      <c r="D104" s="56">
        <f>('Historical Data'!AL$24/'Historical Data'!$AN$24)*$F104</f>
        <v>191853.53136012264</v>
      </c>
      <c r="E104" s="56">
        <f>('Historical Data'!AM$24/'Historical Data'!$AN$24)*$F104</f>
        <v>134825.05863503343</v>
      </c>
      <c r="F104" s="56">
        <f>('Hist Reg (Neigh Isl)'!$P$66+'Hist Reg (Neigh Isl)'!$P$67*'Projected Econometric Drivers'!J36+'Hist Reg (Neigh Isl)'!$P$68*'Projected Econometric Drivers'!H36+'Hist Reg (Neigh Isl)'!$P$69*'Projected Econometric Drivers'!E36)*('Historical Data'!$AN$24/SUM('Historical Data'!$AN$24,'Historical Data'!$AG$24,'Historical Data'!$X$24))</f>
        <v>328042.19494026207</v>
      </c>
      <c r="G104" s="56">
        <f>F104-('Energy Efficiency'!F33/'Energy Efficiency'!J33)*'Energy Efficiency'!N33</f>
        <v>327115.37563528126</v>
      </c>
    </row>
    <row r="105" spans="2:7" x14ac:dyDescent="0.25">
      <c r="B105" s="36">
        <v>2034</v>
      </c>
      <c r="C105" s="56">
        <f>('Historical Data'!AK$24/'Historical Data'!$AN$24)*$F105</f>
        <v>1384.8370856302713</v>
      </c>
      <c r="D105" s="56">
        <f>('Historical Data'!AL$24/'Historical Data'!$AN$24)*$F105</f>
        <v>194840.80502213773</v>
      </c>
      <c r="E105" s="56">
        <f>('Historical Data'!AM$24/'Historical Data'!$AN$24)*$F105</f>
        <v>136924.36503708275</v>
      </c>
      <c r="F105" s="56">
        <f>('Hist Reg (Neigh Isl)'!$P$66+'Hist Reg (Neigh Isl)'!$P$67*'Projected Econometric Drivers'!J37+'Hist Reg (Neigh Isl)'!$P$68*'Projected Econometric Drivers'!H37+'Hist Reg (Neigh Isl)'!$P$69*'Projected Econometric Drivers'!E37)*('Historical Data'!$AN$24/SUM('Historical Data'!$AN$24,'Historical Data'!$AG$24,'Historical Data'!$X$24))</f>
        <v>333150.00714485074</v>
      </c>
      <c r="G105" s="56">
        <f>F105-('Energy Efficiency'!F34/'Energy Efficiency'!J34)*'Energy Efficiency'!N34</f>
        <v>332102.82459823153</v>
      </c>
    </row>
    <row r="106" spans="2:7" x14ac:dyDescent="0.25">
      <c r="B106" s="36">
        <v>2035</v>
      </c>
      <c r="C106" s="56">
        <f>('Historical Data'!AK$24/'Historical Data'!$AN$24)*$F106</f>
        <v>1406.6315822865015</v>
      </c>
      <c r="D106" s="56">
        <f>('Historical Data'!AL$24/'Historical Data'!$AN$24)*$F106</f>
        <v>197907.19984764856</v>
      </c>
      <c r="E106" s="56">
        <f>('Historical Data'!AM$24/'Historical Data'!$AN$24)*$F106</f>
        <v>139079.2738324368</v>
      </c>
      <c r="F106" s="56">
        <f>('Hist Reg (Neigh Isl)'!$P$66+'Hist Reg (Neigh Isl)'!$P$67*'Projected Econometric Drivers'!J38+'Hist Reg (Neigh Isl)'!$P$68*'Projected Econometric Drivers'!H38+'Hist Reg (Neigh Isl)'!$P$69*'Projected Econometric Drivers'!E38)*('Historical Data'!$AN$24/SUM('Historical Data'!$AN$24,'Historical Data'!$AG$24,'Historical Data'!$X$24))</f>
        <v>338393.10526237183</v>
      </c>
      <c r="G106" s="56">
        <f>F106-('Energy Efficiency'!F35/'Energy Efficiency'!J35)*'Energy Efficiency'!N35</f>
        <v>337216.71044740017</v>
      </c>
    </row>
    <row r="107" spans="2:7" x14ac:dyDescent="0.25">
      <c r="B107" s="36">
        <v>2036</v>
      </c>
      <c r="C107" s="56">
        <f>('Historical Data'!AK$24/'Historical Data'!$AN$24)*$F107</f>
        <v>1429.0018832560468</v>
      </c>
      <c r="D107" s="56">
        <f>('Historical Data'!AL$24/'Historical Data'!$AN$24)*$F107</f>
        <v>201054.60793970583</v>
      </c>
      <c r="E107" s="56">
        <f>('Historical Data'!AM$24/'Historical Data'!$AN$24)*$F107</f>
        <v>141291.1146964106</v>
      </c>
      <c r="F107" s="56">
        <f>('Hist Reg (Neigh Isl)'!$P$66+'Hist Reg (Neigh Isl)'!$P$67*'Projected Econometric Drivers'!J39+'Hist Reg (Neigh Isl)'!$P$68*'Projected Econometric Drivers'!H39+'Hist Reg (Neigh Isl)'!$P$69*'Projected Econometric Drivers'!E39)*('Historical Data'!$AN$24/SUM('Historical Data'!$AN$24,'Historical Data'!$AG$24,'Historical Data'!$X$24))</f>
        <v>343774.72451937245</v>
      </c>
      <c r="G107" s="56">
        <f>F107-('Energy Efficiency'!F36/'Energy Efficiency'!J36)*'Energy Efficiency'!N36</f>
        <v>342459.67271675699</v>
      </c>
    </row>
    <row r="108" spans="2:7" x14ac:dyDescent="0.25">
      <c r="B108" s="36">
        <v>2037</v>
      </c>
      <c r="C108" s="56">
        <f>('Historical Data'!AK$24/'Historical Data'!$AN$24)*$F108</f>
        <v>1451.9617500683178</v>
      </c>
      <c r="D108" s="56">
        <f>('Historical Data'!AL$24/'Historical Data'!$AN$24)*$F108</f>
        <v>204284.96548813037</v>
      </c>
      <c r="E108" s="56">
        <f>('Historical Data'!AM$24/'Historical Data'!$AN$24)*$F108</f>
        <v>143561.24828629452</v>
      </c>
      <c r="F108" s="56">
        <f>('Hist Reg (Neigh Isl)'!$P$66+'Hist Reg (Neigh Isl)'!$P$67*'Projected Econometric Drivers'!J40+'Hist Reg (Neigh Isl)'!$P$68*'Projected Econometric Drivers'!H40+'Hist Reg (Neigh Isl)'!$P$69*'Projected Econometric Drivers'!E40)*('Historical Data'!$AN$24/SUM('Historical Data'!$AN$24,'Historical Data'!$AG$24,'Historical Data'!$X$24))</f>
        <v>349298.17552449316</v>
      </c>
      <c r="G108" s="56">
        <f>F108-('Energy Efficiency'!F37/'Energy Efficiency'!J37)*'Energy Efficiency'!N37</f>
        <v>347834.38704311085</v>
      </c>
    </row>
    <row r="109" spans="2:7" x14ac:dyDescent="0.25">
      <c r="B109" s="36">
        <v>2038</v>
      </c>
      <c r="C109" s="56">
        <f>('Historical Data'!AK$24/'Historical Data'!$AN$24)*$F109</f>
        <v>1475.525264886181</v>
      </c>
      <c r="D109" s="56">
        <f>('Historical Data'!AL$24/'Historical Data'!$AN$24)*$F109</f>
        <v>207600.25379453358</v>
      </c>
      <c r="E109" s="56">
        <f>('Historical Data'!AM$24/'Historical Data'!$AN$24)*$F109</f>
        <v>145891.0669616872</v>
      </c>
      <c r="F109" s="56">
        <f>('Hist Reg (Neigh Isl)'!$P$66+'Hist Reg (Neigh Isl)'!$P$67*'Projected Econometric Drivers'!J41+'Hist Reg (Neigh Isl)'!$P$68*'Projected Econometric Drivers'!H41+'Hist Reg (Neigh Isl)'!$P$69*'Projected Econometric Drivers'!E41)*('Historical Data'!$AN$24/SUM('Historical Data'!$AN$24,'Historical Data'!$AG$24,'Historical Data'!$X$24))</f>
        <v>354966.84602110693</v>
      </c>
      <c r="G109" s="56">
        <f>F109-('Energy Efficiency'!F38/'Energy Efficiency'!J38)*'Energy Efficiency'!N38</f>
        <v>353343.56434281112</v>
      </c>
    </row>
    <row r="110" spans="2:7" x14ac:dyDescent="0.25">
      <c r="B110" s="36">
        <v>2039</v>
      </c>
      <c r="C110" s="56">
        <f>('Historical Data'!AK$24/'Historical Data'!$AN$24)*$F110</f>
        <v>1499.7068379617199</v>
      </c>
      <c r="D110" s="56">
        <f>('Historical Data'!AL$24/'Historical Data'!$AN$24)*$F110</f>
        <v>211002.50032131205</v>
      </c>
      <c r="E110" s="56">
        <f>('Historical Data'!AM$24/'Historical Data'!$AN$24)*$F110</f>
        <v>148281.99552167664</v>
      </c>
      <c r="F110" s="56">
        <f>('Hist Reg (Neigh Isl)'!$P$66+'Hist Reg (Neigh Isl)'!$P$67*'Projected Econometric Drivers'!J42+'Hist Reg (Neigh Isl)'!$P$68*'Projected Econometric Drivers'!H42+'Hist Reg (Neigh Isl)'!$P$69*'Projected Econometric Drivers'!E42)*('Historical Data'!$AN$24/SUM('Historical Data'!$AN$24,'Historical Data'!$AG$24,'Historical Data'!$X$24))</f>
        <v>360784.2026809504</v>
      </c>
      <c r="G110" s="56">
        <f>F110-('Energy Efficiency'!F39/'Energy Efficiency'!J39)*'Energy Efficiency'!N39</f>
        <v>358989.94986087509</v>
      </c>
    </row>
    <row r="111" spans="2:7" x14ac:dyDescent="0.25">
      <c r="B111" s="36">
        <v>2040</v>
      </c>
      <c r="C111" s="56">
        <f>('Historical Data'!AK$24/'Historical Data'!$AN$24)*$F111</f>
        <v>1524.5212152663942</v>
      </c>
      <c r="D111" s="56">
        <f>('Historical Data'!AL$24/'Historical Data'!$AN$24)*$F111</f>
        <v>214493.77976517918</v>
      </c>
      <c r="E111" s="56">
        <f>('Historical Data'!AM$24/'Historical Data'!$AN$24)*$F111</f>
        <v>150735.4919592643</v>
      </c>
      <c r="F111" s="56">
        <f>('Hist Reg (Neigh Isl)'!$P$66+'Hist Reg (Neigh Isl)'!$P$67*'Projected Econometric Drivers'!J43+'Hist Reg (Neigh Isl)'!$P$68*'Projected Econometric Drivers'!H43+'Hist Reg (Neigh Isl)'!$P$69*'Projected Econometric Drivers'!E43)*('Historical Data'!$AN$24/SUM('Historical Data'!$AN$24,'Historical Data'!$AG$24,'Historical Data'!$X$24))</f>
        <v>366753.79293970985</v>
      </c>
      <c r="G111" s="56">
        <f>F111-('Energy Efficiency'!F40/'Energy Efficiency'!J40)*'Energy Efficiency'!N40</f>
        <v>364776.32208249473</v>
      </c>
    </row>
    <row r="112" spans="2:7" x14ac:dyDescent="0.25">
      <c r="B112" s="36">
        <v>2041</v>
      </c>
      <c r="C112" s="56">
        <f>('Historical Data'!AK$24/'Historical Data'!$AN$24)*$F112</f>
        <v>1549.9834862997225</v>
      </c>
      <c r="D112" s="56">
        <f>('Historical Data'!AL$24/'Historical Data'!$AN$24)*$F112</f>
        <v>218076.21515581405</v>
      </c>
      <c r="E112" s="56">
        <f>('Historical Data'!AM$24/'Historical Data'!$AN$24)*$F112</f>
        <v>153253.04823344064</v>
      </c>
      <c r="F112" s="56">
        <f>('Hist Reg (Neigh Isl)'!$P$66+'Hist Reg (Neigh Isl)'!$P$67*'Projected Econometric Drivers'!J44+'Hist Reg (Neigh Isl)'!$P$68*'Projected Econometric Drivers'!H44+'Hist Reg (Neigh Isl)'!$P$69*'Projected Econometric Drivers'!E44)*('Historical Data'!$AN$24/SUM('Historical Data'!$AN$24,'Historical Data'!$AG$24,'Historical Data'!$X$24))</f>
        <v>372879.24687555438</v>
      </c>
      <c r="G112" s="56">
        <f>F112-('Energy Efficiency'!F41/'Energy Efficiency'!J41)*'Energy Efficiency'!N41</f>
        <v>370705.49149618734</v>
      </c>
    </row>
    <row r="113" spans="2:7" x14ac:dyDescent="0.25">
      <c r="B113" s="36">
        <v>2042</v>
      </c>
      <c r="C113" s="56">
        <f>('Historical Data'!AK$24/'Historical Data'!$AN$24)*$F113</f>
        <v>1576.1090920806837</v>
      </c>
      <c r="D113" s="56">
        <f>('Historical Data'!AL$24/'Historical Data'!$AN$24)*$F113</f>
        <v>221751.97898021856</v>
      </c>
      <c r="E113" s="56">
        <f>('Historical Data'!AM$24/'Historical Data'!$AN$24)*$F113</f>
        <v>155836.19105932704</v>
      </c>
      <c r="F113" s="56">
        <f>('Hist Reg (Neigh Isl)'!$P$66+'Hist Reg (Neigh Isl)'!$P$67*'Projected Econometric Drivers'!J45+'Hist Reg (Neigh Isl)'!$P$68*'Projected Econometric Drivers'!H45+'Hist Reg (Neigh Isl)'!$P$69*'Projected Econometric Drivers'!E45)*('Historical Data'!$AN$24/SUM('Historical Data'!$AN$24,'Historical Data'!$AG$24,'Historical Data'!$X$24))</f>
        <v>379164.27913162624</v>
      </c>
      <c r="G113" s="56">
        <f>F113-('Energy Efficiency'!F42/'Energy Efficiency'!J42)*'Energy Efficiency'!N42</f>
        <v>376780.29919710814</v>
      </c>
    </row>
    <row r="114" spans="2:7" x14ac:dyDescent="0.25">
      <c r="B114" s="36">
        <v>2043</v>
      </c>
      <c r="C114" s="56">
        <f>('Historical Data'!AK$24/'Historical Data'!$AN$24)*$F114</f>
        <v>1602.9138333261728</v>
      </c>
      <c r="D114" s="56">
        <f>('Historical Data'!AL$24/'Historical Data'!$AN$24)*$F114</f>
        <v>225523.29433339182</v>
      </c>
      <c r="E114" s="56">
        <f>('Historical Data'!AM$24/'Historical Data'!$AN$24)*$F114</f>
        <v>158486.48271681214</v>
      </c>
      <c r="F114" s="56">
        <f>('Hist Reg (Neigh Isl)'!$P$66+'Hist Reg (Neigh Isl)'!$P$67*'Projected Econometric Drivers'!J46+'Hist Reg (Neigh Isl)'!$P$68*'Projected Econometric Drivers'!H46+'Hist Reg (Neigh Isl)'!$P$69*'Projected Econometric Drivers'!E46)*('Historical Data'!$AN$24/SUM('Historical Data'!$AN$24,'Historical Data'!$AG$24,'Historical Data'!$X$24))</f>
        <v>385612.69088353013</v>
      </c>
      <c r="G114" s="56">
        <f>F114-('Energy Efficiency'!F43/'Energy Efficiency'!J43)*'Energy Efficiency'!N43</f>
        <v>383003.61531826132</v>
      </c>
    </row>
    <row r="115" spans="2:7" x14ac:dyDescent="0.25">
      <c r="B115" s="36">
        <v>2044</v>
      </c>
      <c r="C115" s="56">
        <f>('Historical Data'!AK$24/'Historical Data'!$AN$24)*$F115</f>
        <v>1630.4138788208988</v>
      </c>
      <c r="D115" s="56">
        <f>('Historical Data'!AL$24/'Historical Data'!$AN$24)*$F115</f>
        <v>229392.43609594018</v>
      </c>
      <c r="E115" s="56">
        <f>('Historical Data'!AM$24/'Historical Data'!$AN$24)*$F115</f>
        <v>161205.5218781172</v>
      </c>
      <c r="F115" s="56">
        <f>('Hist Reg (Neigh Isl)'!$P$66+'Hist Reg (Neigh Isl)'!$P$67*'Projected Econometric Drivers'!J47+'Hist Reg (Neigh Isl)'!$P$68*'Projected Econometric Drivers'!H47+'Hist Reg (Neigh Isl)'!$P$69*'Projected Econometric Drivers'!E47)*('Historical Data'!$AN$24/SUM('Historical Data'!$AN$24,'Historical Data'!$AG$24,'Historical Data'!$X$24))</f>
        <v>392228.37185287825</v>
      </c>
      <c r="G115" s="56">
        <f>F115-('Energy Efficiency'!F44/'Energy Efficiency'!J44)*'Energy Efficiency'!N44</f>
        <v>389378.3372764946</v>
      </c>
    </row>
    <row r="116" spans="2:7" x14ac:dyDescent="0.25">
      <c r="B116" s="36">
        <v>2045</v>
      </c>
      <c r="C116" s="56">
        <f>('Historical Data'!AK$24/'Historical Data'!$AN$24)*$F116</f>
        <v>1658.6257739832656</v>
      </c>
      <c r="D116" s="56">
        <f>('Historical Data'!AL$24/'Historical Data'!$AN$24)*$F116</f>
        <v>233361.73213926065</v>
      </c>
      <c r="E116" s="56">
        <f>('Historical Data'!AM$24/'Historical Data'!$AN$24)*$F116</f>
        <v>163994.9444547387</v>
      </c>
      <c r="F116" s="56">
        <f>('Hist Reg (Neigh Isl)'!$P$66+'Hist Reg (Neigh Isl)'!$P$67*'Projected Econometric Drivers'!J48+'Hist Reg (Neigh Isl)'!$P$68*'Projected Econometric Drivers'!H48+'Hist Reg (Neigh Isl)'!$P$69*'Projected Econometric Drivers'!E48)*('Historical Data'!$AN$24/SUM('Historical Data'!$AN$24,'Historical Data'!$AG$24,'Historical Data'!$X$24))</f>
        <v>399015.30236798257</v>
      </c>
      <c r="G116" s="56">
        <f>F116-('Energy Efficiency'!F45/'Energy Efficiency'!J45)*'Energy Efficiency'!N45</f>
        <v>395907.38781927287</v>
      </c>
    </row>
  </sheetData>
  <mergeCells count="4">
    <mergeCell ref="C3:N3"/>
    <mergeCell ref="B33:H33"/>
    <mergeCell ref="B62:H62"/>
    <mergeCell ref="B91:G91"/>
  </mergeCells>
  <hyperlinks>
    <hyperlink ref="U6" r:id="rId1" display="https://www.eia.gov/environment/emissions/co2_vol_mass.php" xr:uid="{4128B72E-C11B-4BEB-A3A6-9ED253CDD06F}"/>
    <hyperlink ref="U8" r:id="rId2" display="https://www.eia.gov/environment/emissions/co2_vol_mass.php" xr:uid="{166D897D-8E2A-4EE2-AD04-84501C52199B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4FB8C-CC7C-4CC5-9AC0-9D6AFCCB7A6B}">
  <sheetPr codeName="Sheet13"/>
  <dimension ref="B2:S58"/>
  <sheetViews>
    <sheetView topLeftCell="A34" workbookViewId="0"/>
  </sheetViews>
  <sheetFormatPr defaultRowHeight="15" x14ac:dyDescent="0.25"/>
  <cols>
    <col min="2" max="2" width="50.28515625" customWidth="1"/>
    <col min="3" max="3" width="15.140625" customWidth="1"/>
    <col min="4" max="4" width="12.140625" customWidth="1"/>
    <col min="5" max="8" width="10.7109375" customWidth="1"/>
    <col min="9" max="9" width="30.140625" customWidth="1"/>
    <col min="10" max="10" width="23.140625" bestFit="1" customWidth="1"/>
    <col min="11" max="11" width="12.5703125" customWidth="1"/>
    <col min="12" max="12" width="10.7109375" customWidth="1"/>
  </cols>
  <sheetData>
    <row r="2" spans="2:12" ht="15.75" thickBot="1" x14ac:dyDescent="0.3">
      <c r="B2" t="s">
        <v>205</v>
      </c>
    </row>
    <row r="3" spans="2:12" ht="90.75" customHeight="1" x14ac:dyDescent="0.25">
      <c r="B3" s="62"/>
      <c r="C3" s="63" t="s">
        <v>206</v>
      </c>
      <c r="D3" s="63" t="s">
        <v>207</v>
      </c>
      <c r="E3" s="63" t="s">
        <v>208</v>
      </c>
      <c r="F3" s="63" t="s">
        <v>209</v>
      </c>
      <c r="G3" s="63" t="s">
        <v>210</v>
      </c>
      <c r="H3" s="63" t="s">
        <v>211</v>
      </c>
      <c r="I3" s="63" t="s">
        <v>212</v>
      </c>
      <c r="J3" s="63" t="s">
        <v>213</v>
      </c>
      <c r="K3" s="63" t="s">
        <v>214</v>
      </c>
      <c r="L3" s="63" t="s">
        <v>215</v>
      </c>
    </row>
    <row r="4" spans="2:12" x14ac:dyDescent="0.25">
      <c r="B4" t="s">
        <v>206</v>
      </c>
      <c r="C4">
        <v>1</v>
      </c>
    </row>
    <row r="5" spans="2:12" x14ac:dyDescent="0.25">
      <c r="B5" t="s">
        <v>207</v>
      </c>
      <c r="C5" s="64">
        <v>0.98751778945982915</v>
      </c>
      <c r="D5" s="64">
        <v>1</v>
      </c>
      <c r="E5" s="64"/>
      <c r="F5" s="64"/>
      <c r="G5" s="64"/>
      <c r="H5" s="64"/>
      <c r="I5" s="64"/>
      <c r="J5" s="64"/>
      <c r="K5" s="64"/>
      <c r="L5" s="64"/>
    </row>
    <row r="6" spans="2:12" x14ac:dyDescent="0.25">
      <c r="B6" t="s">
        <v>208</v>
      </c>
      <c r="C6" s="64">
        <v>0.23951946705381566</v>
      </c>
      <c r="D6" s="64">
        <v>0.11845948759938019</v>
      </c>
      <c r="E6" s="64">
        <v>1</v>
      </c>
      <c r="F6" s="64"/>
      <c r="G6" s="64"/>
      <c r="H6" s="64"/>
      <c r="I6" s="64"/>
      <c r="J6" s="64"/>
      <c r="K6" s="64"/>
      <c r="L6" s="64"/>
    </row>
    <row r="7" spans="2:12" x14ac:dyDescent="0.25">
      <c r="B7" t="s">
        <v>209</v>
      </c>
      <c r="C7" s="64">
        <v>0.97949085393658275</v>
      </c>
      <c r="D7" s="64">
        <v>0.98993740951604392</v>
      </c>
      <c r="E7" s="64">
        <v>0.12573471921474721</v>
      </c>
      <c r="F7" s="64">
        <v>1</v>
      </c>
      <c r="G7" s="64"/>
      <c r="H7" s="64"/>
      <c r="I7" s="64"/>
      <c r="J7" s="64"/>
      <c r="K7" s="64"/>
      <c r="L7" s="64"/>
    </row>
    <row r="8" spans="2:12" x14ac:dyDescent="0.25">
      <c r="B8" t="s">
        <v>210</v>
      </c>
      <c r="C8" s="64">
        <v>-0.55980152021987073</v>
      </c>
      <c r="D8" s="64">
        <v>-0.57679388728163117</v>
      </c>
      <c r="E8" s="64">
        <v>0.15281112465271196</v>
      </c>
      <c r="F8" s="64">
        <v>-0.53562508725223557</v>
      </c>
      <c r="G8" s="64">
        <v>1</v>
      </c>
      <c r="H8" s="64"/>
      <c r="I8" s="64"/>
      <c r="J8" s="64"/>
      <c r="K8" s="64"/>
      <c r="L8" s="64"/>
    </row>
    <row r="9" spans="2:12" x14ac:dyDescent="0.25">
      <c r="B9" t="s">
        <v>216</v>
      </c>
      <c r="C9" s="64">
        <v>0.22489897218530011</v>
      </c>
      <c r="D9" s="64">
        <v>0.24019100874787533</v>
      </c>
      <c r="E9" s="64">
        <v>0.18643387119071972</v>
      </c>
      <c r="F9" s="64">
        <v>0.15552621106074485</v>
      </c>
      <c r="G9" s="64">
        <v>-0.14529777046730466</v>
      </c>
      <c r="H9" s="64">
        <v>1</v>
      </c>
      <c r="I9" s="64"/>
      <c r="J9" s="64"/>
      <c r="K9" s="64"/>
      <c r="L9" s="64"/>
    </row>
    <row r="10" spans="2:12" x14ac:dyDescent="0.25">
      <c r="B10" t="s">
        <v>217</v>
      </c>
      <c r="C10" s="64">
        <v>0.97564106680439588</v>
      </c>
      <c r="D10" s="64">
        <v>0.94664269371980903</v>
      </c>
      <c r="E10" s="64">
        <v>0.29287548906704292</v>
      </c>
      <c r="F10" s="64">
        <v>0.92315248541604011</v>
      </c>
      <c r="G10" s="64">
        <v>-0.53963303145372854</v>
      </c>
      <c r="H10" s="64">
        <v>0.24165705217708933</v>
      </c>
      <c r="I10" s="64">
        <v>1</v>
      </c>
      <c r="J10" s="64"/>
      <c r="K10" s="64"/>
      <c r="L10" s="64"/>
    </row>
    <row r="11" spans="2:12" x14ac:dyDescent="0.25">
      <c r="B11" t="s">
        <v>213</v>
      </c>
      <c r="C11" s="64">
        <v>0.86342350737670459</v>
      </c>
      <c r="D11" s="64">
        <v>0.86071653318260455</v>
      </c>
      <c r="E11" s="64">
        <v>0.32869713351158381</v>
      </c>
      <c r="F11" s="64">
        <v>0.8136124599975364</v>
      </c>
      <c r="G11" s="64">
        <v>-0.35712614324756903</v>
      </c>
      <c r="H11" s="64">
        <v>0.60015275671656265</v>
      </c>
      <c r="I11" s="64">
        <v>0.87527714437538928</v>
      </c>
      <c r="J11" s="64">
        <v>1</v>
      </c>
      <c r="K11" s="64"/>
      <c r="L11" s="64"/>
    </row>
    <row r="12" spans="2:12" x14ac:dyDescent="0.25">
      <c r="B12" t="s">
        <v>214</v>
      </c>
      <c r="C12" s="64">
        <v>0.32418394952960217</v>
      </c>
      <c r="D12" s="64">
        <v>0.20535696150864383</v>
      </c>
      <c r="E12" s="64">
        <v>0.69138782633406615</v>
      </c>
      <c r="F12" s="64">
        <v>0.18238683143736911</v>
      </c>
      <c r="G12" s="64">
        <v>0.2251064729840119</v>
      </c>
      <c r="H12" s="64">
        <v>0.13971787394827401</v>
      </c>
      <c r="I12" s="64">
        <v>0.43526578080682943</v>
      </c>
      <c r="J12" s="64">
        <v>0.37690005752724398</v>
      </c>
      <c r="K12" s="64">
        <v>1</v>
      </c>
      <c r="L12" s="64"/>
    </row>
    <row r="13" spans="2:12" ht="15.75" thickBot="1" x14ac:dyDescent="0.3">
      <c r="B13" s="65" t="s">
        <v>215</v>
      </c>
      <c r="C13" s="66">
        <v>-0.15334721530009524</v>
      </c>
      <c r="D13" s="66">
        <v>-9.4196478301845118E-2</v>
      </c>
      <c r="E13" s="66">
        <v>-0.11699309844991514</v>
      </c>
      <c r="F13" s="66">
        <v>-0.17611439216502106</v>
      </c>
      <c r="G13" s="66">
        <v>3.0005054363796833E-2</v>
      </c>
      <c r="H13" s="67">
        <v>0.86877868532582769</v>
      </c>
      <c r="I13" s="66">
        <v>-0.16569774344033605</v>
      </c>
      <c r="J13" s="67">
        <v>0.26872081095192146</v>
      </c>
      <c r="K13" s="67">
        <v>-0.199601463347167</v>
      </c>
      <c r="L13" s="66">
        <v>1</v>
      </c>
    </row>
    <row r="16" spans="2:12" ht="15.75" thickBot="1" x14ac:dyDescent="0.3">
      <c r="B16" t="s">
        <v>218</v>
      </c>
    </row>
    <row r="17" spans="2:19" ht="101.25" customHeight="1" x14ac:dyDescent="0.25">
      <c r="B17" s="62"/>
      <c r="C17" s="63" t="s">
        <v>206</v>
      </c>
      <c r="D17" s="63" t="s">
        <v>207</v>
      </c>
      <c r="E17" s="63" t="s">
        <v>208</v>
      </c>
      <c r="F17" s="63" t="s">
        <v>209</v>
      </c>
      <c r="G17" s="63" t="s">
        <v>210</v>
      </c>
      <c r="H17" s="63" t="s">
        <v>214</v>
      </c>
      <c r="I17" s="63" t="s">
        <v>212</v>
      </c>
      <c r="J17" s="63" t="s">
        <v>213</v>
      </c>
      <c r="K17" s="63" t="s">
        <v>216</v>
      </c>
      <c r="L17" s="63" t="s">
        <v>219</v>
      </c>
      <c r="M17" s="63"/>
    </row>
    <row r="18" spans="2:19" x14ac:dyDescent="0.25">
      <c r="B18" t="s">
        <v>206</v>
      </c>
      <c r="C18" s="60">
        <v>1</v>
      </c>
    </row>
    <row r="19" spans="2:19" x14ac:dyDescent="0.25">
      <c r="B19" t="s">
        <v>207</v>
      </c>
      <c r="C19" s="64">
        <v>0.98751778945982915</v>
      </c>
      <c r="D19" s="64">
        <v>1</v>
      </c>
      <c r="E19" s="64"/>
      <c r="F19" s="64"/>
      <c r="G19" s="64"/>
      <c r="H19" s="64"/>
      <c r="I19" s="64"/>
      <c r="J19" s="64"/>
      <c r="K19" s="64"/>
      <c r="L19" s="64"/>
    </row>
    <row r="20" spans="2:19" x14ac:dyDescent="0.25">
      <c r="B20" t="s">
        <v>220</v>
      </c>
      <c r="C20" s="64">
        <v>0.23951946705381566</v>
      </c>
      <c r="D20" s="64">
        <v>0.11845948759938019</v>
      </c>
      <c r="E20" s="64">
        <v>1</v>
      </c>
      <c r="F20" s="64"/>
      <c r="G20" s="64"/>
      <c r="H20" s="64"/>
      <c r="I20" s="64"/>
      <c r="J20" s="64"/>
      <c r="K20" s="64"/>
      <c r="L20" s="64"/>
    </row>
    <row r="21" spans="2:19" x14ac:dyDescent="0.25">
      <c r="B21" t="s">
        <v>209</v>
      </c>
      <c r="C21" s="64">
        <v>0.97949085393658275</v>
      </c>
      <c r="D21" s="64">
        <v>0.98993740951604392</v>
      </c>
      <c r="E21" s="64">
        <v>0.12573471921474721</v>
      </c>
      <c r="F21" s="64">
        <v>1</v>
      </c>
      <c r="G21" s="64"/>
      <c r="H21" s="64"/>
      <c r="I21" s="64"/>
      <c r="J21" s="64"/>
      <c r="K21" s="64"/>
      <c r="L21" s="64"/>
    </row>
    <row r="22" spans="2:19" x14ac:dyDescent="0.25">
      <c r="B22" t="s">
        <v>210</v>
      </c>
      <c r="C22" s="64">
        <v>-0.55980152021987073</v>
      </c>
      <c r="D22" s="64">
        <v>-0.57679388728163117</v>
      </c>
      <c r="E22" s="64">
        <v>0.15281112465271196</v>
      </c>
      <c r="F22" s="64">
        <v>-0.53562508725223557</v>
      </c>
      <c r="G22" s="64">
        <v>1</v>
      </c>
      <c r="H22" s="64"/>
      <c r="I22" s="64"/>
      <c r="J22" s="64"/>
      <c r="K22" s="64"/>
      <c r="L22" s="64"/>
    </row>
    <row r="23" spans="2:19" x14ac:dyDescent="0.25">
      <c r="B23" t="s">
        <v>214</v>
      </c>
      <c r="C23" s="64">
        <v>0.32418394952960217</v>
      </c>
      <c r="D23" s="64">
        <v>0.20535696150864383</v>
      </c>
      <c r="E23" s="64">
        <v>0.69138782633406615</v>
      </c>
      <c r="F23" s="64">
        <v>0.18238683143736911</v>
      </c>
      <c r="G23" s="64">
        <v>0.2251064729840119</v>
      </c>
      <c r="H23" s="64">
        <v>1</v>
      </c>
      <c r="I23" s="64"/>
      <c r="J23" s="64"/>
      <c r="K23" s="64"/>
      <c r="L23" s="64"/>
    </row>
    <row r="24" spans="2:19" x14ac:dyDescent="0.25">
      <c r="B24" t="s">
        <v>212</v>
      </c>
      <c r="C24" s="64">
        <v>0.97564106680439588</v>
      </c>
      <c r="D24" s="64">
        <v>0.94664269371980903</v>
      </c>
      <c r="E24" s="64">
        <v>0.29287548906704292</v>
      </c>
      <c r="F24" s="64">
        <v>0.92315248541604011</v>
      </c>
      <c r="G24" s="64">
        <v>-0.53963303145372854</v>
      </c>
      <c r="H24" s="64">
        <v>0.43526578080682943</v>
      </c>
      <c r="I24" s="64">
        <v>1</v>
      </c>
      <c r="J24" s="64"/>
      <c r="K24" s="64"/>
      <c r="L24" s="64"/>
    </row>
    <row r="25" spans="2:19" x14ac:dyDescent="0.25">
      <c r="B25" t="s">
        <v>213</v>
      </c>
      <c r="C25" s="64">
        <v>0.86342350737670459</v>
      </c>
      <c r="D25" s="64">
        <v>0.86071653318260455</v>
      </c>
      <c r="E25" s="64">
        <v>0.32869713351158381</v>
      </c>
      <c r="F25" s="64">
        <v>0.8136124599975364</v>
      </c>
      <c r="G25" s="64">
        <v>-0.35712614324756903</v>
      </c>
      <c r="H25" s="64">
        <v>0.37690005752724398</v>
      </c>
      <c r="I25" s="64">
        <v>0.87527714437538928</v>
      </c>
      <c r="J25" s="64">
        <v>1</v>
      </c>
      <c r="K25" s="64"/>
      <c r="L25" s="64"/>
    </row>
    <row r="26" spans="2:19" x14ac:dyDescent="0.25">
      <c r="B26" t="s">
        <v>216</v>
      </c>
      <c r="C26" s="64">
        <v>0.22489897218530011</v>
      </c>
      <c r="D26" s="64">
        <v>0.24019100874787533</v>
      </c>
      <c r="E26" s="64">
        <v>0.18643387119071972</v>
      </c>
      <c r="F26" s="64">
        <v>0.15552621106074485</v>
      </c>
      <c r="G26" s="64">
        <v>-0.14529777046730466</v>
      </c>
      <c r="H26" s="64">
        <v>0.13971787394827401</v>
      </c>
      <c r="I26" s="64">
        <v>0.24165705217708933</v>
      </c>
      <c r="J26" s="64">
        <v>0.60015275671656265</v>
      </c>
      <c r="K26" s="64">
        <v>1</v>
      </c>
      <c r="L26" s="64"/>
    </row>
    <row r="27" spans="2:19" ht="15.75" thickBot="1" x14ac:dyDescent="0.3">
      <c r="B27" s="65" t="s">
        <v>219</v>
      </c>
      <c r="C27" s="66">
        <v>0.58804571295546548</v>
      </c>
      <c r="D27" s="66">
        <v>0.61981902344130413</v>
      </c>
      <c r="E27" s="66">
        <v>0.17749693239128558</v>
      </c>
      <c r="F27" s="67">
        <v>0.58680673067889433</v>
      </c>
      <c r="G27" s="66">
        <v>-0.37791141371615705</v>
      </c>
      <c r="H27" s="66">
        <v>-3.3633562833917281E-3</v>
      </c>
      <c r="I27" s="68">
        <v>0.52793305034895821</v>
      </c>
      <c r="J27" s="67">
        <v>0.74601174110923896</v>
      </c>
      <c r="K27" s="67">
        <v>0.80441642745211228</v>
      </c>
      <c r="L27" s="66">
        <v>1</v>
      </c>
    </row>
    <row r="31" spans="2:19" x14ac:dyDescent="0.25">
      <c r="S31" t="s">
        <v>20</v>
      </c>
    </row>
    <row r="32" spans="2:19" ht="15.75" thickBot="1" x14ac:dyDescent="0.3"/>
    <row r="33" spans="2:13" x14ac:dyDescent="0.25">
      <c r="B33" s="62"/>
      <c r="C33" s="62" t="s">
        <v>206</v>
      </c>
      <c r="D33" s="62" t="s">
        <v>207</v>
      </c>
      <c r="E33" s="62" t="s">
        <v>221</v>
      </c>
      <c r="F33" s="62" t="s">
        <v>222</v>
      </c>
      <c r="G33" s="62" t="s">
        <v>223</v>
      </c>
      <c r="H33" s="62" t="s">
        <v>224</v>
      </c>
      <c r="I33" s="62" t="s">
        <v>225</v>
      </c>
      <c r="J33" s="62" t="s">
        <v>226</v>
      </c>
      <c r="K33" s="62" t="s">
        <v>227</v>
      </c>
      <c r="L33" s="62" t="s">
        <v>228</v>
      </c>
      <c r="M33" s="62" t="s">
        <v>215</v>
      </c>
    </row>
    <row r="34" spans="2:13" x14ac:dyDescent="0.25">
      <c r="B34" t="s">
        <v>206</v>
      </c>
      <c r="C34">
        <v>1</v>
      </c>
    </row>
    <row r="35" spans="2:13" x14ac:dyDescent="0.25">
      <c r="B35" t="s">
        <v>207</v>
      </c>
      <c r="C35" s="64">
        <v>0.98751778945982915</v>
      </c>
      <c r="D35" s="64">
        <v>1</v>
      </c>
      <c r="E35" s="64"/>
      <c r="F35" s="64"/>
      <c r="G35" s="64"/>
      <c r="H35" s="64"/>
      <c r="I35" s="64"/>
      <c r="J35" s="64"/>
      <c r="K35" s="64"/>
      <c r="L35" s="64"/>
    </row>
    <row r="36" spans="2:13" x14ac:dyDescent="0.25">
      <c r="B36" t="s">
        <v>221</v>
      </c>
      <c r="C36" s="64">
        <v>0.23951946705381566</v>
      </c>
      <c r="D36" s="64">
        <v>0.11845948759938019</v>
      </c>
      <c r="E36" s="64">
        <v>1</v>
      </c>
      <c r="F36" s="64"/>
      <c r="G36" s="64"/>
      <c r="H36" s="64"/>
      <c r="I36" s="64"/>
      <c r="J36" s="64"/>
      <c r="K36" s="64"/>
      <c r="L36" s="64"/>
    </row>
    <row r="37" spans="2:13" x14ac:dyDescent="0.25">
      <c r="B37" t="s">
        <v>222</v>
      </c>
      <c r="C37" s="64">
        <v>-0.55980152021987073</v>
      </c>
      <c r="D37" s="64">
        <v>-0.57679388728163117</v>
      </c>
      <c r="E37" s="64">
        <v>0.15281112465271196</v>
      </c>
      <c r="F37" s="64">
        <v>1</v>
      </c>
      <c r="G37" s="64"/>
      <c r="H37" s="64"/>
      <c r="I37" s="64"/>
      <c r="J37" s="64"/>
      <c r="K37" s="64"/>
      <c r="L37" s="64"/>
    </row>
    <row r="38" spans="2:13" x14ac:dyDescent="0.25">
      <c r="B38" t="s">
        <v>223</v>
      </c>
      <c r="C38" s="64">
        <v>0.97564106680439588</v>
      </c>
      <c r="D38" s="64">
        <v>0.94664269371980903</v>
      </c>
      <c r="E38" s="64">
        <v>0.29287548906704292</v>
      </c>
      <c r="F38" s="64">
        <v>-0.53963303145372854</v>
      </c>
      <c r="G38" s="64">
        <v>1</v>
      </c>
      <c r="H38" s="64"/>
      <c r="I38" s="64"/>
      <c r="J38" s="64"/>
      <c r="K38" s="64"/>
      <c r="L38" s="64"/>
    </row>
    <row r="39" spans="2:13" x14ac:dyDescent="0.25">
      <c r="B39" t="s">
        <v>224</v>
      </c>
      <c r="C39" s="64">
        <v>0.97949085393658275</v>
      </c>
      <c r="D39" s="64">
        <v>0.98993740951604392</v>
      </c>
      <c r="E39" s="64">
        <v>0.12573471921474721</v>
      </c>
      <c r="F39" s="64">
        <v>-0.53562508725223557</v>
      </c>
      <c r="G39" s="64">
        <v>0.92315248541604011</v>
      </c>
      <c r="H39" s="64">
        <v>1</v>
      </c>
      <c r="I39" s="64"/>
      <c r="J39" s="64"/>
      <c r="K39" s="64"/>
      <c r="L39" s="64"/>
    </row>
    <row r="40" spans="2:13" x14ac:dyDescent="0.25">
      <c r="B40" t="s">
        <v>225</v>
      </c>
      <c r="C40" s="64">
        <v>0.32418394952960217</v>
      </c>
      <c r="D40" s="64">
        <v>0.20535696150864383</v>
      </c>
      <c r="E40" s="64">
        <v>0.69138782633406615</v>
      </c>
      <c r="F40" s="64">
        <v>0.2251064729840119</v>
      </c>
      <c r="G40" s="64">
        <v>0.43526578080682943</v>
      </c>
      <c r="H40" s="64">
        <v>0.18238683143736911</v>
      </c>
      <c r="I40" s="64">
        <v>1</v>
      </c>
      <c r="J40" s="64"/>
      <c r="K40" s="64"/>
      <c r="L40" s="64"/>
    </row>
    <row r="41" spans="2:13" x14ac:dyDescent="0.25">
      <c r="B41" t="s">
        <v>229</v>
      </c>
      <c r="C41" s="64">
        <v>0.39306135563966493</v>
      </c>
      <c r="D41" s="64">
        <v>0.27594605466427818</v>
      </c>
      <c r="E41" s="64">
        <v>0.69036175828368973</v>
      </c>
      <c r="F41" s="64">
        <v>9.0225211355809909E-2</v>
      </c>
      <c r="G41" s="64">
        <v>0.50297116471624048</v>
      </c>
      <c r="H41" s="64">
        <v>0.24408761789332284</v>
      </c>
      <c r="I41" s="64">
        <v>0.9845950099426094</v>
      </c>
      <c r="J41" s="64">
        <v>1</v>
      </c>
      <c r="K41" s="64"/>
      <c r="L41" s="64"/>
    </row>
    <row r="42" spans="2:13" x14ac:dyDescent="0.25">
      <c r="B42" t="s">
        <v>227</v>
      </c>
      <c r="C42" s="64">
        <v>0.86342350737670459</v>
      </c>
      <c r="D42" s="64">
        <v>0.86071653318260455</v>
      </c>
      <c r="E42" s="64">
        <v>0.32869713351158381</v>
      </c>
      <c r="F42" s="64">
        <v>-0.35712614324756903</v>
      </c>
      <c r="G42" s="64">
        <v>0.87527714437538928</v>
      </c>
      <c r="H42" s="64">
        <v>0.8136124599975364</v>
      </c>
      <c r="I42" s="64">
        <v>0.37690005752724398</v>
      </c>
      <c r="J42" s="64">
        <v>0.41582539001760094</v>
      </c>
      <c r="K42" s="64">
        <v>1</v>
      </c>
      <c r="L42" s="64"/>
    </row>
    <row r="43" spans="2:13" x14ac:dyDescent="0.25">
      <c r="B43" t="s">
        <v>228</v>
      </c>
      <c r="C43" s="64">
        <v>0.22489897218530011</v>
      </c>
      <c r="D43" s="64">
        <v>0.24019100874787533</v>
      </c>
      <c r="E43" s="64">
        <v>0.18643387119071972</v>
      </c>
      <c r="F43" s="64">
        <v>-0.14529777046730466</v>
      </c>
      <c r="G43" s="64">
        <v>0.24165705217708933</v>
      </c>
      <c r="H43" s="64">
        <v>0.15552621106074485</v>
      </c>
      <c r="I43" s="64">
        <v>0.13971787394827401</v>
      </c>
      <c r="J43" s="64">
        <v>0.15506681076259313</v>
      </c>
      <c r="K43" s="64">
        <v>0.60015275671656265</v>
      </c>
      <c r="L43" s="64">
        <v>1</v>
      </c>
    </row>
    <row r="44" spans="2:13" ht="15.75" thickBot="1" x14ac:dyDescent="0.3">
      <c r="B44" s="65" t="s">
        <v>215</v>
      </c>
      <c r="C44" s="66">
        <v>-0.15334721530009518</v>
      </c>
      <c r="D44" s="66">
        <v>-9.4196478301845132E-2</v>
      </c>
      <c r="E44" s="66">
        <v>-0.11699309844991497</v>
      </c>
      <c r="F44" s="66">
        <v>3.0005054363796739E-2</v>
      </c>
      <c r="G44" s="66">
        <v>-0.16569774344033597</v>
      </c>
      <c r="H44" s="67">
        <v>-0.17611439216502114</v>
      </c>
      <c r="I44" s="66">
        <v>-0.1996014633471668</v>
      </c>
      <c r="J44" s="67">
        <v>-0.20728536091656832</v>
      </c>
      <c r="K44" s="67">
        <v>0.26872081095192152</v>
      </c>
      <c r="L44" s="66">
        <v>0.86877868532582792</v>
      </c>
      <c r="M44" s="66">
        <v>1</v>
      </c>
    </row>
    <row r="46" spans="2:13" ht="15.75" thickBot="1" x14ac:dyDescent="0.3"/>
    <row r="47" spans="2:13" x14ac:dyDescent="0.25">
      <c r="B47" s="62"/>
      <c r="C47" s="62" t="s">
        <v>206</v>
      </c>
      <c r="D47" s="62" t="s">
        <v>207</v>
      </c>
      <c r="E47" s="62" t="s">
        <v>221</v>
      </c>
      <c r="F47" s="62" t="s">
        <v>222</v>
      </c>
      <c r="G47" s="62" t="s">
        <v>223</v>
      </c>
      <c r="H47" s="62" t="s">
        <v>224</v>
      </c>
      <c r="I47" s="62" t="s">
        <v>225</v>
      </c>
      <c r="J47" s="62" t="s">
        <v>229</v>
      </c>
      <c r="K47" s="62" t="s">
        <v>227</v>
      </c>
      <c r="L47" s="62" t="s">
        <v>228</v>
      </c>
      <c r="M47" s="62" t="s">
        <v>215</v>
      </c>
    </row>
    <row r="48" spans="2:13" x14ac:dyDescent="0.25">
      <c r="B48" t="s">
        <v>206</v>
      </c>
      <c r="C48">
        <v>1</v>
      </c>
    </row>
    <row r="49" spans="2:13" x14ac:dyDescent="0.25">
      <c r="B49" t="s">
        <v>207</v>
      </c>
      <c r="C49" s="64">
        <v>0.98751778945982915</v>
      </c>
      <c r="D49" s="64">
        <v>1</v>
      </c>
      <c r="E49" s="64"/>
      <c r="F49" s="64"/>
      <c r="G49" s="64"/>
      <c r="H49" s="64"/>
      <c r="I49" s="64"/>
      <c r="J49" s="64"/>
      <c r="K49" s="64"/>
      <c r="L49" s="64"/>
    </row>
    <row r="50" spans="2:13" x14ac:dyDescent="0.25">
      <c r="B50" t="s">
        <v>221</v>
      </c>
      <c r="C50" s="64">
        <v>0.23951946705381566</v>
      </c>
      <c r="D50" s="64">
        <v>0.11845948759938019</v>
      </c>
      <c r="E50" s="64">
        <v>1</v>
      </c>
      <c r="F50" s="64"/>
      <c r="G50" s="64"/>
      <c r="H50" s="64"/>
      <c r="I50" s="64"/>
      <c r="J50" s="64"/>
      <c r="K50" s="64"/>
      <c r="L50" s="64"/>
    </row>
    <row r="51" spans="2:13" x14ac:dyDescent="0.25">
      <c r="B51" t="s">
        <v>222</v>
      </c>
      <c r="C51" s="64">
        <v>-0.55980152021987073</v>
      </c>
      <c r="D51" s="64">
        <v>-0.57679388728163117</v>
      </c>
      <c r="E51" s="64">
        <v>0.15281112465271196</v>
      </c>
      <c r="F51" s="64">
        <v>1</v>
      </c>
      <c r="G51" s="64"/>
      <c r="H51" s="64"/>
      <c r="I51" s="64"/>
      <c r="J51" s="64"/>
      <c r="K51" s="64"/>
      <c r="L51" s="64"/>
    </row>
    <row r="52" spans="2:13" x14ac:dyDescent="0.25">
      <c r="B52" t="s">
        <v>223</v>
      </c>
      <c r="C52" s="64">
        <v>0.97564106680439588</v>
      </c>
      <c r="D52" s="64">
        <v>0.94664269371980903</v>
      </c>
      <c r="E52" s="64">
        <v>0.29287548906704292</v>
      </c>
      <c r="F52" s="64">
        <v>-0.53963303145372854</v>
      </c>
      <c r="G52" s="64">
        <v>1</v>
      </c>
      <c r="H52" s="64"/>
      <c r="I52" s="64"/>
      <c r="J52" s="64"/>
      <c r="K52" s="64"/>
      <c r="L52" s="64"/>
    </row>
    <row r="53" spans="2:13" x14ac:dyDescent="0.25">
      <c r="B53" t="s">
        <v>224</v>
      </c>
      <c r="C53" s="64">
        <v>0.97949085393658275</v>
      </c>
      <c r="D53" s="64">
        <v>0.98993740951604392</v>
      </c>
      <c r="E53" s="64">
        <v>0.12573471921474721</v>
      </c>
      <c r="F53" s="64">
        <v>-0.53562508725223557</v>
      </c>
      <c r="G53" s="64">
        <v>0.92315248541604011</v>
      </c>
      <c r="H53" s="64">
        <v>1</v>
      </c>
      <c r="I53" s="64"/>
      <c r="J53" s="64"/>
      <c r="K53" s="64"/>
      <c r="L53" s="64"/>
    </row>
    <row r="54" spans="2:13" x14ac:dyDescent="0.25">
      <c r="B54" t="s">
        <v>225</v>
      </c>
      <c r="C54" s="64">
        <v>0.32418394952960217</v>
      </c>
      <c r="D54" s="64">
        <v>0.20535696150864383</v>
      </c>
      <c r="E54" s="64">
        <v>0.69138782633406615</v>
      </c>
      <c r="F54" s="64">
        <v>0.2251064729840119</v>
      </c>
      <c r="G54" s="64">
        <v>0.43526578080682943</v>
      </c>
      <c r="H54" s="64">
        <v>0.18238683143736911</v>
      </c>
      <c r="I54" s="64">
        <v>1</v>
      </c>
      <c r="J54" s="64"/>
      <c r="K54" s="64"/>
      <c r="L54" s="64"/>
    </row>
    <row r="55" spans="2:13" x14ac:dyDescent="0.25">
      <c r="B55" t="s">
        <v>229</v>
      </c>
      <c r="C55" s="64">
        <v>0.39306135563966493</v>
      </c>
      <c r="D55" s="64">
        <v>0.27594605466427818</v>
      </c>
      <c r="E55" s="64">
        <v>0.69036175828368973</v>
      </c>
      <c r="F55" s="64">
        <v>9.0225211355809909E-2</v>
      </c>
      <c r="G55" s="64">
        <v>0.50297116471624048</v>
      </c>
      <c r="H55" s="64">
        <v>0.24408761789332284</v>
      </c>
      <c r="I55" s="64">
        <v>0.9845950099426094</v>
      </c>
      <c r="J55" s="64">
        <v>1</v>
      </c>
      <c r="K55" s="64"/>
      <c r="L55" s="64"/>
    </row>
    <row r="56" spans="2:13" x14ac:dyDescent="0.25">
      <c r="B56" t="s">
        <v>227</v>
      </c>
      <c r="C56" s="64">
        <v>0.86342350737670459</v>
      </c>
      <c r="D56" s="64">
        <v>0.86071653318260455</v>
      </c>
      <c r="E56" s="64">
        <v>0.32869713351158381</v>
      </c>
      <c r="F56" s="64">
        <v>-0.35712614324756903</v>
      </c>
      <c r="G56" s="64">
        <v>0.87527714437538928</v>
      </c>
      <c r="H56" s="64">
        <v>0.8136124599975364</v>
      </c>
      <c r="I56" s="64">
        <v>0.37690005752724398</v>
      </c>
      <c r="J56" s="64">
        <v>0.41582539001760094</v>
      </c>
      <c r="K56" s="64">
        <v>1</v>
      </c>
      <c r="L56" s="64"/>
    </row>
    <row r="57" spans="2:13" x14ac:dyDescent="0.25">
      <c r="B57" t="s">
        <v>228</v>
      </c>
      <c r="C57" s="64">
        <v>0.22489897218530011</v>
      </c>
      <c r="D57" s="64">
        <v>0.24019100874787533</v>
      </c>
      <c r="E57" s="64">
        <v>0.18643387119071972</v>
      </c>
      <c r="F57" s="64">
        <v>-0.14529777046730466</v>
      </c>
      <c r="G57" s="64">
        <v>0.24165705217708933</v>
      </c>
      <c r="H57" s="64">
        <v>0.15552621106074485</v>
      </c>
      <c r="I57" s="64">
        <v>0.13971787394827401</v>
      </c>
      <c r="J57" s="64">
        <v>0.15506681076259313</v>
      </c>
      <c r="K57" s="64">
        <v>0.60015275671656265</v>
      </c>
      <c r="L57" s="64">
        <v>1</v>
      </c>
    </row>
    <row r="58" spans="2:13" ht="15.75" thickBot="1" x14ac:dyDescent="0.3">
      <c r="B58" s="65" t="s">
        <v>215</v>
      </c>
      <c r="C58" s="66">
        <v>-0.9586313886078055</v>
      </c>
      <c r="D58" s="66">
        <v>-0.94909633448275632</v>
      </c>
      <c r="E58" s="66">
        <v>-0.19023699847614481</v>
      </c>
      <c r="F58" s="66">
        <v>0.58286433012721373</v>
      </c>
      <c r="G58" s="66">
        <v>-0.9665618858492544</v>
      </c>
      <c r="H58" s="67">
        <v>-0.90866587056509129</v>
      </c>
      <c r="I58" s="66">
        <v>-0.37753926887024325</v>
      </c>
      <c r="J58" s="67">
        <v>-0.44853444918187901</v>
      </c>
      <c r="K58" s="67">
        <v>-0.89620838916221657</v>
      </c>
      <c r="L58" s="66">
        <v>-0.3653491701924913</v>
      </c>
      <c r="M58" s="66">
        <v>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F0834-CAF6-41E7-BC24-470F998C2184}">
  <sheetPr codeName="Sheet14"/>
  <dimension ref="A1:AO40"/>
  <sheetViews>
    <sheetView workbookViewId="0">
      <selection activeCell="L32" sqref="L32"/>
    </sheetView>
  </sheetViews>
  <sheetFormatPr defaultRowHeight="15" x14ac:dyDescent="0.25"/>
  <cols>
    <col min="3" max="3" width="11.7109375" bestFit="1" customWidth="1"/>
    <col min="4" max="4" width="15.28515625" customWidth="1"/>
    <col min="5" max="5" width="13.42578125" bestFit="1" customWidth="1"/>
    <col min="6" max="6" width="14.42578125" bestFit="1" customWidth="1"/>
    <col min="7" max="7" width="11.7109375" bestFit="1" customWidth="1"/>
    <col min="8" max="8" width="13.42578125" bestFit="1" customWidth="1"/>
    <col min="9" max="9" width="11.7109375" bestFit="1" customWidth="1"/>
    <col min="10" max="10" width="10.28515625" bestFit="1" customWidth="1"/>
    <col min="11" max="11" width="10.7109375" bestFit="1" customWidth="1"/>
    <col min="12" max="12" width="13.42578125" bestFit="1" customWidth="1"/>
    <col min="13" max="13" width="11.7109375" bestFit="1" customWidth="1"/>
    <col min="14" max="14" width="14.28515625" bestFit="1" customWidth="1"/>
    <col min="15" max="15" width="10.5703125" bestFit="1" customWidth="1"/>
    <col min="17" max="17" width="5" bestFit="1" customWidth="1"/>
    <col min="19" max="19" width="17.42578125" bestFit="1" customWidth="1"/>
    <col min="20" max="20" width="17.140625" bestFit="1" customWidth="1"/>
    <col min="21" max="21" width="15.28515625" bestFit="1" customWidth="1"/>
    <col min="22" max="22" width="13.5703125" bestFit="1" customWidth="1"/>
    <col min="23" max="23" width="12.5703125" bestFit="1" customWidth="1"/>
    <col min="24" max="24" width="12.5703125" customWidth="1"/>
    <col min="28" max="28" width="17.42578125" bestFit="1" customWidth="1"/>
    <col min="29" max="29" width="17.140625" bestFit="1" customWidth="1"/>
    <col min="30" max="30" width="15.28515625" bestFit="1" customWidth="1"/>
    <col min="31" max="31" width="13.5703125" bestFit="1" customWidth="1"/>
    <col min="32" max="32" width="12.5703125" bestFit="1" customWidth="1"/>
    <col min="33" max="33" width="12.42578125" bestFit="1" customWidth="1"/>
    <col min="37" max="37" width="17.42578125" bestFit="1" customWidth="1"/>
    <col min="38" max="38" width="17.140625" bestFit="1" customWidth="1"/>
    <col min="39" max="39" width="13.5703125" bestFit="1" customWidth="1"/>
    <col min="40" max="40" width="12.85546875" customWidth="1"/>
  </cols>
  <sheetData>
    <row r="1" spans="1:41" x14ac:dyDescent="0.25">
      <c r="A1" t="s">
        <v>201</v>
      </c>
    </row>
    <row r="2" spans="1:41" x14ac:dyDescent="0.25">
      <c r="A2" t="s">
        <v>202</v>
      </c>
    </row>
    <row r="3" spans="1:41" x14ac:dyDescent="0.25">
      <c r="B3" s="35"/>
      <c r="C3" s="548" t="s">
        <v>203</v>
      </c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35"/>
      <c r="R3" s="549" t="s">
        <v>193</v>
      </c>
      <c r="S3" s="549"/>
      <c r="T3" s="549"/>
      <c r="U3" s="549"/>
      <c r="V3" s="549"/>
      <c r="W3" s="549"/>
      <c r="X3" s="549"/>
      <c r="AA3" s="549" t="s">
        <v>199</v>
      </c>
      <c r="AB3" s="549"/>
      <c r="AC3" s="549"/>
      <c r="AD3" s="549"/>
      <c r="AE3" s="549"/>
      <c r="AF3" s="549"/>
      <c r="AG3" s="549"/>
      <c r="AJ3" s="549" t="s">
        <v>200</v>
      </c>
      <c r="AK3" s="549"/>
      <c r="AL3" s="549"/>
      <c r="AM3" s="549"/>
      <c r="AN3" s="549"/>
    </row>
    <row r="4" spans="1:41" x14ac:dyDescent="0.25">
      <c r="B4" s="55" t="s">
        <v>173</v>
      </c>
      <c r="C4" s="55" t="s">
        <v>174</v>
      </c>
      <c r="D4" s="55" t="s">
        <v>175</v>
      </c>
      <c r="E4" s="55" t="s">
        <v>176</v>
      </c>
      <c r="F4" s="55" t="s">
        <v>177</v>
      </c>
      <c r="G4" s="55" t="s">
        <v>178</v>
      </c>
      <c r="H4" s="55" t="s">
        <v>179</v>
      </c>
      <c r="I4" s="55" t="s">
        <v>180</v>
      </c>
      <c r="J4" s="55" t="s">
        <v>181</v>
      </c>
      <c r="K4" s="55" t="s">
        <v>182</v>
      </c>
      <c r="L4" s="55" t="s">
        <v>183</v>
      </c>
      <c r="M4" s="55" t="s">
        <v>184</v>
      </c>
      <c r="N4" s="55" t="s">
        <v>67</v>
      </c>
      <c r="R4" s="55" t="s">
        <v>173</v>
      </c>
      <c r="S4" s="55" t="s">
        <v>194</v>
      </c>
      <c r="T4" s="55" t="s">
        <v>195</v>
      </c>
      <c r="U4" s="55" t="s">
        <v>196</v>
      </c>
      <c r="V4" s="55" t="s">
        <v>197</v>
      </c>
      <c r="W4" s="55" t="s">
        <v>198</v>
      </c>
      <c r="X4" s="55" t="s">
        <v>67</v>
      </c>
      <c r="AA4" s="55" t="s">
        <v>173</v>
      </c>
      <c r="AB4" s="55" t="s">
        <v>194</v>
      </c>
      <c r="AC4" s="55" t="s">
        <v>195</v>
      </c>
      <c r="AD4" s="55" t="s">
        <v>196</v>
      </c>
      <c r="AE4" s="55" t="s">
        <v>197</v>
      </c>
      <c r="AF4" s="55" t="s">
        <v>198</v>
      </c>
      <c r="AG4" s="55" t="s">
        <v>67</v>
      </c>
      <c r="AJ4" s="55" t="s">
        <v>173</v>
      </c>
      <c r="AK4" s="55" t="s">
        <v>194</v>
      </c>
      <c r="AL4" s="55" t="s">
        <v>195</v>
      </c>
      <c r="AM4" s="55" t="s">
        <v>197</v>
      </c>
      <c r="AN4" s="55" t="s">
        <v>67</v>
      </c>
    </row>
    <row r="5" spans="1:41" x14ac:dyDescent="0.25">
      <c r="B5" s="36">
        <v>2002</v>
      </c>
      <c r="C5" s="44">
        <v>292475</v>
      </c>
      <c r="D5" s="44">
        <v>4962040</v>
      </c>
      <c r="E5" s="44">
        <v>2620137</v>
      </c>
      <c r="F5" s="44">
        <v>11981853</v>
      </c>
      <c r="G5" s="44">
        <v>642075</v>
      </c>
      <c r="H5" s="44">
        <v>5917098</v>
      </c>
      <c r="I5" s="44">
        <v>125346</v>
      </c>
      <c r="J5" s="44">
        <v>1638</v>
      </c>
      <c r="K5" s="44">
        <v>39036</v>
      </c>
      <c r="L5" s="44">
        <v>3594243</v>
      </c>
      <c r="M5" s="44">
        <v>675968</v>
      </c>
      <c r="N5" s="44">
        <f t="shared" ref="N5:N24" si="0">SUM(C5:M5)</f>
        <v>30851909</v>
      </c>
      <c r="O5" s="37"/>
      <c r="R5" s="36">
        <v>2002</v>
      </c>
      <c r="S5" s="44">
        <v>15816</v>
      </c>
      <c r="T5" s="44">
        <v>226031</v>
      </c>
      <c r="U5" s="44">
        <v>305549</v>
      </c>
      <c r="V5" s="44">
        <v>1113365</v>
      </c>
      <c r="W5" s="44">
        <v>521345</v>
      </c>
      <c r="X5" s="44">
        <f>SUM(S5:W5)</f>
        <v>2182106</v>
      </c>
      <c r="AA5" s="36">
        <v>2002</v>
      </c>
      <c r="AB5" s="44">
        <v>4474</v>
      </c>
      <c r="AC5" s="44">
        <v>82362</v>
      </c>
      <c r="AD5" s="44">
        <v>36079</v>
      </c>
      <c r="AE5" s="44">
        <v>492975</v>
      </c>
      <c r="AF5" s="44">
        <v>237559</v>
      </c>
      <c r="AG5" s="44">
        <f>SUM(AB5:AF5)</f>
        <v>853449</v>
      </c>
      <c r="AJ5" s="36">
        <v>2002</v>
      </c>
      <c r="AK5" s="44">
        <v>0</v>
      </c>
      <c r="AL5" s="44">
        <v>86581</v>
      </c>
      <c r="AM5" s="44">
        <v>0</v>
      </c>
      <c r="AN5" s="44">
        <f t="shared" ref="AN5:AN24" si="1">SUM(AK5:AM5)</f>
        <v>86581</v>
      </c>
    </row>
    <row r="6" spans="1:41" x14ac:dyDescent="0.25">
      <c r="B6" s="36">
        <v>2003</v>
      </c>
      <c r="C6" s="44">
        <v>284207</v>
      </c>
      <c r="D6" s="44">
        <v>4780907</v>
      </c>
      <c r="E6" s="44">
        <v>2703479</v>
      </c>
      <c r="F6" s="44">
        <v>12157186</v>
      </c>
      <c r="G6" s="44">
        <v>660667</v>
      </c>
      <c r="H6" s="44">
        <v>5816170</v>
      </c>
      <c r="I6" s="44">
        <v>190325</v>
      </c>
      <c r="J6" s="44">
        <v>2248</v>
      </c>
      <c r="K6" s="44">
        <v>72129</v>
      </c>
      <c r="L6" s="44">
        <v>3175125</v>
      </c>
      <c r="M6" s="44">
        <v>627406</v>
      </c>
      <c r="N6" s="44">
        <f t="shared" si="0"/>
        <v>30469849</v>
      </c>
      <c r="O6" s="37"/>
      <c r="R6" s="36">
        <v>2003</v>
      </c>
      <c r="S6" s="44">
        <v>21097</v>
      </c>
      <c r="T6" s="44">
        <v>217593</v>
      </c>
      <c r="U6" s="44">
        <v>311757</v>
      </c>
      <c r="V6" s="44">
        <v>1087827</v>
      </c>
      <c r="W6" s="44">
        <v>510191</v>
      </c>
      <c r="X6" s="44">
        <f t="shared" ref="X6:X24" si="2">SUM(S6:W6)</f>
        <v>2148465</v>
      </c>
      <c r="AA6" s="36">
        <v>2003</v>
      </c>
      <c r="AB6" s="44">
        <v>3531</v>
      </c>
      <c r="AC6" s="44">
        <v>83951</v>
      </c>
      <c r="AD6" s="44">
        <v>32494</v>
      </c>
      <c r="AE6" s="44">
        <v>475244</v>
      </c>
      <c r="AF6" s="44">
        <v>254867</v>
      </c>
      <c r="AG6" s="44">
        <f t="shared" ref="AG6:AG24" si="3">SUM(AB6:AF6)</f>
        <v>850087</v>
      </c>
      <c r="AJ6" s="36">
        <v>2003</v>
      </c>
      <c r="AK6" s="44">
        <v>0</v>
      </c>
      <c r="AL6" s="44">
        <v>87230</v>
      </c>
      <c r="AM6" s="44">
        <v>0</v>
      </c>
      <c r="AN6" s="44">
        <f t="shared" si="1"/>
        <v>87230</v>
      </c>
    </row>
    <row r="7" spans="1:41" x14ac:dyDescent="0.25">
      <c r="B7" s="36">
        <v>2004</v>
      </c>
      <c r="C7" s="44">
        <v>306576</v>
      </c>
      <c r="D7" s="44">
        <v>4700559</v>
      </c>
      <c r="E7" s="44">
        <v>2745946</v>
      </c>
      <c r="F7" s="44">
        <v>12468051</v>
      </c>
      <c r="G7" s="44">
        <v>627873</v>
      </c>
      <c r="H7" s="44">
        <v>6053801</v>
      </c>
      <c r="I7" s="44">
        <v>320500</v>
      </c>
      <c r="J7" s="44">
        <v>3046</v>
      </c>
      <c r="K7" s="44">
        <v>62124</v>
      </c>
      <c r="L7" s="44">
        <v>3075183</v>
      </c>
      <c r="M7" s="44">
        <v>647770</v>
      </c>
      <c r="N7" s="44">
        <f t="shared" si="0"/>
        <v>31011429</v>
      </c>
      <c r="O7" s="37"/>
      <c r="R7" s="36">
        <v>2004</v>
      </c>
      <c r="S7" s="44">
        <v>18982</v>
      </c>
      <c r="T7" s="44">
        <v>213653</v>
      </c>
      <c r="U7" s="44">
        <v>290880</v>
      </c>
      <c r="V7" s="44">
        <v>1159816</v>
      </c>
      <c r="W7" s="44">
        <v>592094</v>
      </c>
      <c r="X7" s="44">
        <f t="shared" si="2"/>
        <v>2275425</v>
      </c>
      <c r="AA7" s="36">
        <v>2004</v>
      </c>
      <c r="AB7" s="44">
        <v>2494</v>
      </c>
      <c r="AC7" s="44">
        <v>82366</v>
      </c>
      <c r="AD7" s="44">
        <v>33286</v>
      </c>
      <c r="AE7" s="44">
        <v>475998</v>
      </c>
      <c r="AF7" s="44">
        <v>269745</v>
      </c>
      <c r="AG7" s="44">
        <f t="shared" si="3"/>
        <v>863889</v>
      </c>
      <c r="AJ7" s="36">
        <v>2004</v>
      </c>
      <c r="AK7" s="44">
        <v>0</v>
      </c>
      <c r="AL7" s="44">
        <v>89962</v>
      </c>
      <c r="AM7" s="44">
        <v>0</v>
      </c>
      <c r="AN7" s="44">
        <f t="shared" si="1"/>
        <v>89962</v>
      </c>
    </row>
    <row r="8" spans="1:41" x14ac:dyDescent="0.25">
      <c r="B8" s="36">
        <v>2005</v>
      </c>
      <c r="C8" s="44">
        <v>283393</v>
      </c>
      <c r="D8" s="44">
        <v>4641441</v>
      </c>
      <c r="E8" s="44">
        <v>2727063</v>
      </c>
      <c r="F8" s="44">
        <v>12705134</v>
      </c>
      <c r="G8" s="44">
        <v>588191</v>
      </c>
      <c r="H8" s="44">
        <v>5993254</v>
      </c>
      <c r="I8" s="44">
        <v>335451</v>
      </c>
      <c r="J8" s="44">
        <v>2061</v>
      </c>
      <c r="K8" s="44">
        <v>66803</v>
      </c>
      <c r="L8" s="44">
        <v>2973705</v>
      </c>
      <c r="M8" s="44">
        <v>648688</v>
      </c>
      <c r="N8" s="44">
        <f t="shared" si="0"/>
        <v>30965184</v>
      </c>
      <c r="O8" s="37"/>
      <c r="R8" s="36">
        <v>2005</v>
      </c>
      <c r="S8" s="44">
        <v>19782</v>
      </c>
      <c r="T8" s="44">
        <v>221228</v>
      </c>
      <c r="U8" s="44">
        <v>305724</v>
      </c>
      <c r="V8" s="44">
        <v>1219007</v>
      </c>
      <c r="W8" s="44">
        <v>584249</v>
      </c>
      <c r="X8" s="44">
        <f t="shared" si="2"/>
        <v>2349990</v>
      </c>
      <c r="AA8" s="36">
        <v>2005</v>
      </c>
      <c r="AB8" s="44">
        <v>3700</v>
      </c>
      <c r="AC8" s="44">
        <v>88024</v>
      </c>
      <c r="AD8" s="44">
        <v>32917</v>
      </c>
      <c r="AE8" s="44">
        <v>481410</v>
      </c>
      <c r="AF8" s="44">
        <v>237211</v>
      </c>
      <c r="AG8" s="44">
        <f t="shared" si="3"/>
        <v>843262</v>
      </c>
      <c r="AJ8" s="36">
        <v>2005</v>
      </c>
      <c r="AK8" s="44">
        <v>0</v>
      </c>
      <c r="AL8" s="44">
        <v>91293</v>
      </c>
      <c r="AM8" s="44">
        <v>0</v>
      </c>
      <c r="AN8" s="44">
        <f t="shared" si="1"/>
        <v>91293</v>
      </c>
    </row>
    <row r="9" spans="1:41" x14ac:dyDescent="0.25">
      <c r="B9" s="36">
        <v>2006</v>
      </c>
      <c r="C9" s="44">
        <v>283702</v>
      </c>
      <c r="D9" s="44">
        <v>4529590</v>
      </c>
      <c r="E9" s="44">
        <v>2709106.82</v>
      </c>
      <c r="F9" s="44">
        <v>12685949</v>
      </c>
      <c r="G9" s="44">
        <v>578026</v>
      </c>
      <c r="H9" s="44">
        <v>5911059</v>
      </c>
      <c r="I9" s="44">
        <v>259206</v>
      </c>
      <c r="J9" s="44">
        <v>2715</v>
      </c>
      <c r="K9" s="44">
        <v>92334</v>
      </c>
      <c r="L9" s="44">
        <v>3226428</v>
      </c>
      <c r="M9" s="44">
        <v>657028</v>
      </c>
      <c r="N9" s="44">
        <f t="shared" si="0"/>
        <v>30935143.82</v>
      </c>
      <c r="O9" s="37"/>
      <c r="R9" s="36">
        <v>2006</v>
      </c>
      <c r="S9" s="44">
        <v>17626</v>
      </c>
      <c r="T9" s="44">
        <v>270629</v>
      </c>
      <c r="U9" s="44">
        <v>316093</v>
      </c>
      <c r="V9" s="44">
        <v>1351335</v>
      </c>
      <c r="W9" s="44">
        <v>540615</v>
      </c>
      <c r="X9" s="44">
        <f t="shared" si="2"/>
        <v>2496298</v>
      </c>
      <c r="AA9" s="36">
        <v>2006</v>
      </c>
      <c r="AB9" s="44">
        <v>4932</v>
      </c>
      <c r="AC9" s="44">
        <v>90649</v>
      </c>
      <c r="AD9" s="44">
        <v>31943</v>
      </c>
      <c r="AE9" s="44">
        <v>496683</v>
      </c>
      <c r="AF9" s="44">
        <v>192107</v>
      </c>
      <c r="AG9" s="44">
        <f t="shared" si="3"/>
        <v>816314</v>
      </c>
      <c r="AJ9" s="36">
        <v>2006</v>
      </c>
      <c r="AK9" s="44">
        <v>0</v>
      </c>
      <c r="AL9" s="44">
        <v>91522</v>
      </c>
      <c r="AM9" s="44">
        <v>0</v>
      </c>
      <c r="AN9" s="44">
        <f t="shared" si="1"/>
        <v>91522</v>
      </c>
    </row>
    <row r="10" spans="1:41" x14ac:dyDescent="0.25">
      <c r="B10" s="36">
        <v>2007</v>
      </c>
      <c r="C10" s="44">
        <v>265462</v>
      </c>
      <c r="D10" s="44">
        <v>4459259</v>
      </c>
      <c r="E10" s="44">
        <v>2663163.44</v>
      </c>
      <c r="F10" s="44">
        <v>12917598</v>
      </c>
      <c r="G10" s="44">
        <v>303734</v>
      </c>
      <c r="H10" s="44">
        <v>5793314</v>
      </c>
      <c r="I10" s="44">
        <v>129861</v>
      </c>
      <c r="J10" s="44">
        <v>2688</v>
      </c>
      <c r="K10" s="44">
        <v>46207</v>
      </c>
      <c r="L10" s="44">
        <v>4295458.42</v>
      </c>
      <c r="M10" s="44">
        <v>469482</v>
      </c>
      <c r="N10" s="44">
        <f t="shared" si="0"/>
        <v>31346226.859999999</v>
      </c>
      <c r="O10" s="37"/>
      <c r="R10" s="36">
        <v>2007</v>
      </c>
      <c r="S10" s="44">
        <v>14581</v>
      </c>
      <c r="T10" s="44">
        <v>288151</v>
      </c>
      <c r="U10" s="44">
        <v>300928</v>
      </c>
      <c r="V10" s="44">
        <v>1340747</v>
      </c>
      <c r="W10" s="44">
        <v>484749</v>
      </c>
      <c r="X10" s="44">
        <f t="shared" si="2"/>
        <v>2429156</v>
      </c>
      <c r="AA10" s="36">
        <v>2007</v>
      </c>
      <c r="AB10" s="44">
        <v>6535</v>
      </c>
      <c r="AC10" s="44">
        <v>97445</v>
      </c>
      <c r="AD10" s="44">
        <v>30411</v>
      </c>
      <c r="AE10" s="44">
        <v>478764</v>
      </c>
      <c r="AF10" s="44">
        <v>207993</v>
      </c>
      <c r="AG10" s="44">
        <f t="shared" si="3"/>
        <v>821148</v>
      </c>
      <c r="AJ10" s="36">
        <v>2007</v>
      </c>
      <c r="AK10" s="44">
        <v>0</v>
      </c>
      <c r="AL10" s="44">
        <v>89815</v>
      </c>
      <c r="AM10" s="44">
        <v>0</v>
      </c>
      <c r="AN10" s="44">
        <f t="shared" si="1"/>
        <v>89815</v>
      </c>
    </row>
    <row r="11" spans="1:41" x14ac:dyDescent="0.25">
      <c r="B11" s="36">
        <v>2008</v>
      </c>
      <c r="C11" s="44">
        <v>253059.97</v>
      </c>
      <c r="D11" s="44">
        <v>4318360.3100000005</v>
      </c>
      <c r="E11" s="44">
        <v>2647323.29</v>
      </c>
      <c r="F11" s="44">
        <v>12577833.699999999</v>
      </c>
      <c r="G11" s="44">
        <v>283466.13</v>
      </c>
      <c r="H11" s="44">
        <v>5560410.8300000001</v>
      </c>
      <c r="I11" s="44">
        <v>60516.72</v>
      </c>
      <c r="J11" s="44">
        <v>2048.85</v>
      </c>
      <c r="K11" s="44">
        <v>62562.33</v>
      </c>
      <c r="L11" s="44">
        <v>3863264.44</v>
      </c>
      <c r="M11" s="44">
        <v>290715.36</v>
      </c>
      <c r="N11" s="44">
        <f t="shared" si="0"/>
        <v>29919561.929999996</v>
      </c>
      <c r="O11" s="37"/>
      <c r="R11" s="36">
        <v>2008</v>
      </c>
      <c r="S11" s="44">
        <v>11847.46</v>
      </c>
      <c r="T11" s="44">
        <v>289524.25</v>
      </c>
      <c r="U11" s="44">
        <v>265299.81</v>
      </c>
      <c r="V11" s="44">
        <v>1256995.81</v>
      </c>
      <c r="W11" s="44">
        <v>476963.77999999997</v>
      </c>
      <c r="X11" s="44">
        <f t="shared" si="2"/>
        <v>2300631.11</v>
      </c>
      <c r="AA11" s="36">
        <v>2008</v>
      </c>
      <c r="AB11" s="44">
        <v>5933.85</v>
      </c>
      <c r="AC11" s="44">
        <v>107638.24</v>
      </c>
      <c r="AD11" s="44">
        <v>30630.36</v>
      </c>
      <c r="AE11" s="44">
        <v>478167.17</v>
      </c>
      <c r="AF11" s="44">
        <v>165968.29</v>
      </c>
      <c r="AG11" s="44">
        <f t="shared" si="3"/>
        <v>788337.91</v>
      </c>
      <c r="AJ11" s="36">
        <v>2008</v>
      </c>
      <c r="AK11" s="44">
        <v>0</v>
      </c>
      <c r="AL11" s="44">
        <v>89626.709999999992</v>
      </c>
      <c r="AM11" s="44">
        <v>0</v>
      </c>
      <c r="AN11" s="44">
        <f t="shared" si="1"/>
        <v>89626.709999999992</v>
      </c>
    </row>
    <row r="12" spans="1:41" x14ac:dyDescent="0.25">
      <c r="B12" s="36">
        <v>2009</v>
      </c>
      <c r="C12" s="44">
        <v>252842</v>
      </c>
      <c r="D12" s="44">
        <v>4249406</v>
      </c>
      <c r="E12" s="44">
        <v>2719481</v>
      </c>
      <c r="F12" s="44">
        <v>12462334</v>
      </c>
      <c r="G12" s="44">
        <v>226577</v>
      </c>
      <c r="H12" s="44">
        <v>5425971</v>
      </c>
      <c r="I12" s="44">
        <v>41105</v>
      </c>
      <c r="J12" s="44">
        <v>3152</v>
      </c>
      <c r="K12" s="44">
        <v>63802</v>
      </c>
      <c r="L12" s="44">
        <v>3225128</v>
      </c>
      <c r="M12" s="44">
        <v>183644</v>
      </c>
      <c r="N12" s="44">
        <f t="shared" si="0"/>
        <v>28853442</v>
      </c>
      <c r="O12" s="37"/>
      <c r="R12" s="36">
        <v>2009</v>
      </c>
      <c r="S12" s="44">
        <v>13346</v>
      </c>
      <c r="T12" s="44">
        <v>293936</v>
      </c>
      <c r="U12" s="44">
        <v>272615</v>
      </c>
      <c r="V12" s="44">
        <v>1159549</v>
      </c>
      <c r="W12" s="44">
        <v>539729</v>
      </c>
      <c r="X12" s="44">
        <f t="shared" si="2"/>
        <v>2279175</v>
      </c>
      <c r="AA12" s="36">
        <v>2009</v>
      </c>
      <c r="AB12" s="44">
        <v>3843</v>
      </c>
      <c r="AC12" s="44">
        <v>113672</v>
      </c>
      <c r="AD12" s="44">
        <v>25589</v>
      </c>
      <c r="AE12" s="44">
        <v>471868</v>
      </c>
      <c r="AF12" s="44">
        <v>158261</v>
      </c>
      <c r="AG12" s="44">
        <f t="shared" si="3"/>
        <v>773233</v>
      </c>
      <c r="AJ12" s="36">
        <v>2009</v>
      </c>
      <c r="AK12" s="44">
        <v>137</v>
      </c>
      <c r="AL12" s="44">
        <v>89230</v>
      </c>
      <c r="AM12" s="44">
        <v>0</v>
      </c>
      <c r="AN12" s="44">
        <f t="shared" si="1"/>
        <v>89367</v>
      </c>
    </row>
    <row r="13" spans="1:41" x14ac:dyDescent="0.25">
      <c r="B13" s="36">
        <v>2010</v>
      </c>
      <c r="C13" s="44">
        <v>336042.78999999986</v>
      </c>
      <c r="D13" s="44">
        <v>4226598.9000000497</v>
      </c>
      <c r="E13" s="44">
        <v>2759925.9699999997</v>
      </c>
      <c r="F13" s="44">
        <v>12468716.710000006</v>
      </c>
      <c r="G13" s="44">
        <v>217675.79</v>
      </c>
      <c r="H13" s="44">
        <v>5708220.7400000002</v>
      </c>
      <c r="I13" s="44">
        <v>15103</v>
      </c>
      <c r="J13" s="44">
        <v>1412.3299999999997</v>
      </c>
      <c r="K13" s="44">
        <v>26949.440000000002</v>
      </c>
      <c r="L13" s="44">
        <v>3031461.2600000002</v>
      </c>
      <c r="M13" s="44">
        <v>188862.96999999997</v>
      </c>
      <c r="N13" s="44">
        <f t="shared" si="0"/>
        <v>28980969.900000058</v>
      </c>
      <c r="O13" s="37"/>
      <c r="R13" s="36">
        <v>2010</v>
      </c>
      <c r="S13" s="44">
        <v>13226.760000000002</v>
      </c>
      <c r="T13" s="44">
        <v>304925.84000000014</v>
      </c>
      <c r="U13" s="44">
        <v>237489.06999999998</v>
      </c>
      <c r="V13" s="44">
        <v>1098202.96</v>
      </c>
      <c r="W13" s="44">
        <v>620199.93000000005</v>
      </c>
      <c r="X13" s="44">
        <f t="shared" si="2"/>
        <v>2274044.56</v>
      </c>
      <c r="AA13" s="36">
        <v>2010</v>
      </c>
      <c r="AB13" s="44">
        <v>1750.42</v>
      </c>
      <c r="AC13" s="44">
        <v>121586.39</v>
      </c>
      <c r="AD13" s="44">
        <v>25856.329999999998</v>
      </c>
      <c r="AE13" s="44">
        <v>604286.73</v>
      </c>
      <c r="AF13" s="44">
        <v>137034.23999999999</v>
      </c>
      <c r="AG13" s="44">
        <f t="shared" si="3"/>
        <v>890514.11</v>
      </c>
      <c r="AJ13" s="36">
        <v>2010</v>
      </c>
      <c r="AK13" s="44">
        <v>1917.3100000000002</v>
      </c>
      <c r="AL13" s="44">
        <v>90563.480000000185</v>
      </c>
      <c r="AM13" s="44">
        <v>47296.06</v>
      </c>
      <c r="AN13" s="44">
        <f t="shared" si="1"/>
        <v>139776.85000000018</v>
      </c>
      <c r="AO13" s="37"/>
    </row>
    <row r="14" spans="1:41" x14ac:dyDescent="0.25">
      <c r="B14" s="36">
        <v>2011</v>
      </c>
      <c r="C14" s="44">
        <v>334743.99</v>
      </c>
      <c r="D14" s="44">
        <v>4045669.629999951</v>
      </c>
      <c r="E14" s="44">
        <v>2674175.63</v>
      </c>
      <c r="F14" s="44">
        <v>12576534.829999996</v>
      </c>
      <c r="G14" s="44">
        <v>195924.93</v>
      </c>
      <c r="H14" s="44">
        <v>5706035.0800000001</v>
      </c>
      <c r="I14" s="44">
        <v>3474</v>
      </c>
      <c r="J14" s="44">
        <v>1750.69</v>
      </c>
      <c r="K14" s="44">
        <v>36068.869999999995</v>
      </c>
      <c r="L14" s="44">
        <v>3351382.57</v>
      </c>
      <c r="M14" s="44">
        <v>185841.68999999997</v>
      </c>
      <c r="N14" s="44">
        <f t="shared" si="0"/>
        <v>29111601.909999948</v>
      </c>
      <c r="O14" s="37"/>
      <c r="R14" s="36">
        <v>2011</v>
      </c>
      <c r="S14" s="44">
        <v>13167.509999999998</v>
      </c>
      <c r="T14" s="44">
        <v>288818.66000000015</v>
      </c>
      <c r="U14" s="44">
        <v>236714.38</v>
      </c>
      <c r="V14" s="44">
        <v>1088451.97</v>
      </c>
      <c r="W14" s="44">
        <v>653391.82000000007</v>
      </c>
      <c r="X14" s="44">
        <f t="shared" si="2"/>
        <v>2280544.34</v>
      </c>
      <c r="AA14" s="36">
        <v>2011</v>
      </c>
      <c r="AB14" s="44">
        <v>1716.1100000000001</v>
      </c>
      <c r="AC14" s="44">
        <v>122051.61000000002</v>
      </c>
      <c r="AD14" s="44">
        <v>26385.329999999998</v>
      </c>
      <c r="AE14" s="44">
        <v>598379.37999999989</v>
      </c>
      <c r="AF14" s="44">
        <v>122679.95999999999</v>
      </c>
      <c r="AG14" s="44">
        <f t="shared" si="3"/>
        <v>871212.3899999999</v>
      </c>
      <c r="AJ14" s="36">
        <v>2011</v>
      </c>
      <c r="AK14" s="44">
        <v>2219.7999999999997</v>
      </c>
      <c r="AL14" s="44">
        <v>91056.260000000242</v>
      </c>
      <c r="AM14" s="44">
        <v>56248.989999999991</v>
      </c>
      <c r="AN14" s="44">
        <f t="shared" si="1"/>
        <v>149525.05000000022</v>
      </c>
      <c r="AO14" s="37"/>
    </row>
    <row r="15" spans="1:41" x14ac:dyDescent="0.25">
      <c r="B15" s="36">
        <v>2012</v>
      </c>
      <c r="C15" s="44">
        <v>286576.73999999993</v>
      </c>
      <c r="D15" s="44">
        <v>4081680.3600000152</v>
      </c>
      <c r="E15" s="44">
        <v>2636409.2200000002</v>
      </c>
      <c r="F15" s="44">
        <v>12958823.799999999</v>
      </c>
      <c r="G15" s="44">
        <v>176183.30000000002</v>
      </c>
      <c r="H15" s="44">
        <v>6264903.6999999993</v>
      </c>
      <c r="I15" s="44">
        <v>0</v>
      </c>
      <c r="J15" s="44">
        <v>1508.9099999999996</v>
      </c>
      <c r="K15" s="44">
        <v>28398.28</v>
      </c>
      <c r="L15" s="44">
        <v>3363074.9999999995</v>
      </c>
      <c r="M15" s="44">
        <v>104577.76000000001</v>
      </c>
      <c r="N15" s="44">
        <f t="shared" si="0"/>
        <v>29902137.070000015</v>
      </c>
      <c r="O15" s="37"/>
      <c r="R15" s="36">
        <v>2012</v>
      </c>
      <c r="S15" s="44">
        <v>16710.920000000002</v>
      </c>
      <c r="T15" s="44">
        <v>296200.69000000041</v>
      </c>
      <c r="U15" s="44">
        <v>262350.47000000003</v>
      </c>
      <c r="V15" s="44">
        <v>1130188.8699999999</v>
      </c>
      <c r="W15" s="44">
        <v>657942.61</v>
      </c>
      <c r="X15" s="44">
        <f t="shared" si="2"/>
        <v>2363393.56</v>
      </c>
      <c r="AA15" s="36">
        <v>2012</v>
      </c>
      <c r="AB15" s="44">
        <v>1738.5799999999997</v>
      </c>
      <c r="AC15" s="44">
        <v>128892.21000000002</v>
      </c>
      <c r="AD15" s="44">
        <v>26524.81</v>
      </c>
      <c r="AE15" s="44">
        <v>618771.78000000014</v>
      </c>
      <c r="AF15" s="44">
        <v>129528.04</v>
      </c>
      <c r="AG15" s="44">
        <f t="shared" si="3"/>
        <v>905455.42000000016</v>
      </c>
      <c r="AJ15" s="36">
        <v>2012</v>
      </c>
      <c r="AK15" s="44">
        <v>2050.3700000000003</v>
      </c>
      <c r="AL15" s="44">
        <v>94928.220000000219</v>
      </c>
      <c r="AM15" s="44">
        <v>58625.32</v>
      </c>
      <c r="AN15" s="44">
        <f t="shared" si="1"/>
        <v>155603.91000000021</v>
      </c>
      <c r="AO15" s="37"/>
    </row>
    <row r="16" spans="1:41" x14ac:dyDescent="0.25">
      <c r="B16" s="36">
        <v>2013</v>
      </c>
      <c r="C16" s="44">
        <v>265864.63</v>
      </c>
      <c r="D16" s="44">
        <v>3922276.9200000111</v>
      </c>
      <c r="E16" s="44">
        <v>2483469.4000000004</v>
      </c>
      <c r="F16" s="44">
        <v>12849705.159999991</v>
      </c>
      <c r="G16" s="44">
        <v>162324.18</v>
      </c>
      <c r="H16" s="44">
        <v>6394943.9700000007</v>
      </c>
      <c r="I16" s="44">
        <v>0</v>
      </c>
      <c r="J16" s="44">
        <v>1705.8999999999999</v>
      </c>
      <c r="K16" s="44">
        <v>26390.879999999994</v>
      </c>
      <c r="L16" s="44">
        <v>3483217.0700000003</v>
      </c>
      <c r="M16" s="44">
        <v>110090.28</v>
      </c>
      <c r="N16" s="44">
        <f t="shared" si="0"/>
        <v>29699988.390000004</v>
      </c>
      <c r="O16" s="37"/>
      <c r="R16" s="36">
        <v>2013</v>
      </c>
      <c r="S16" s="44">
        <v>48655.61</v>
      </c>
      <c r="T16" s="44">
        <v>300792.97000000026</v>
      </c>
      <c r="U16" s="44">
        <v>240371.74</v>
      </c>
      <c r="V16" s="44">
        <v>1138317.5599999998</v>
      </c>
      <c r="W16" s="44">
        <v>624401.43999999994</v>
      </c>
      <c r="X16" s="44">
        <f t="shared" si="2"/>
        <v>2352539.3200000003</v>
      </c>
      <c r="AA16" s="36">
        <v>2013</v>
      </c>
      <c r="AB16" s="44">
        <v>1974</v>
      </c>
      <c r="AC16" s="44">
        <v>124659.46000000002</v>
      </c>
      <c r="AD16" s="44">
        <v>26826.019999999997</v>
      </c>
      <c r="AE16" s="44">
        <v>610181.07000000007</v>
      </c>
      <c r="AF16" s="44">
        <v>130459.14999999997</v>
      </c>
      <c r="AG16" s="44">
        <f t="shared" si="3"/>
        <v>894099.7</v>
      </c>
      <c r="AJ16" s="36">
        <v>2013</v>
      </c>
      <c r="AK16" s="44">
        <v>2079.0899999999997</v>
      </c>
      <c r="AL16" s="44">
        <v>99708.160000000251</v>
      </c>
      <c r="AM16" s="44">
        <v>57441.790000000008</v>
      </c>
      <c r="AN16" s="44">
        <f t="shared" si="1"/>
        <v>159229.04000000027</v>
      </c>
      <c r="AO16" s="37"/>
    </row>
    <row r="17" spans="2:41" x14ac:dyDescent="0.25">
      <c r="B17" s="36">
        <v>2014</v>
      </c>
      <c r="C17" s="44">
        <v>276877.47999999986</v>
      </c>
      <c r="D17" s="44">
        <v>3792017.6899999813</v>
      </c>
      <c r="E17" s="44">
        <v>2414389.17</v>
      </c>
      <c r="F17" s="44">
        <v>13008370.210000003</v>
      </c>
      <c r="G17" s="44">
        <v>151097.51999999999</v>
      </c>
      <c r="H17" s="44">
        <v>6382281.1100000003</v>
      </c>
      <c r="I17" s="44">
        <v>0</v>
      </c>
      <c r="J17" s="44">
        <v>2851.6600000000003</v>
      </c>
      <c r="K17" s="44">
        <v>38504.089999999997</v>
      </c>
      <c r="L17" s="44">
        <v>3549364.55</v>
      </c>
      <c r="M17" s="44">
        <v>86598.73</v>
      </c>
      <c r="N17" s="44">
        <f t="shared" si="0"/>
        <v>29702352.209999982</v>
      </c>
      <c r="O17" s="37"/>
      <c r="R17" s="36">
        <v>2014</v>
      </c>
      <c r="S17" s="44">
        <v>59594.8</v>
      </c>
      <c r="T17" s="44">
        <v>298891.33000000019</v>
      </c>
      <c r="U17" s="44">
        <v>241545.96</v>
      </c>
      <c r="V17" s="44">
        <v>1150350.1599999999</v>
      </c>
      <c r="W17" s="44">
        <v>598858.52</v>
      </c>
      <c r="X17" s="44">
        <f t="shared" si="2"/>
        <v>2349240.77</v>
      </c>
      <c r="AA17" s="36">
        <v>2014</v>
      </c>
      <c r="AB17" s="44">
        <v>2055.7600000000002</v>
      </c>
      <c r="AC17" s="44">
        <v>122027.7</v>
      </c>
      <c r="AD17" s="44">
        <v>27716.6</v>
      </c>
      <c r="AE17" s="44">
        <v>615515.94000000006</v>
      </c>
      <c r="AF17" s="44">
        <v>152299.93</v>
      </c>
      <c r="AG17" s="44">
        <f t="shared" si="3"/>
        <v>919615.92999999993</v>
      </c>
      <c r="AJ17" s="36">
        <v>2014</v>
      </c>
      <c r="AK17" s="44">
        <v>2144.9299999999998</v>
      </c>
      <c r="AL17" s="44">
        <v>101537.79000000021</v>
      </c>
      <c r="AM17" s="44">
        <v>54104.95</v>
      </c>
      <c r="AN17" s="44">
        <f t="shared" si="1"/>
        <v>157787.67000000022</v>
      </c>
      <c r="AO17" s="37"/>
    </row>
    <row r="18" spans="2:41" x14ac:dyDescent="0.25">
      <c r="B18" s="36">
        <v>2015</v>
      </c>
      <c r="C18" s="44">
        <v>299145.28999999992</v>
      </c>
      <c r="D18" s="44">
        <v>3776670.4700000375</v>
      </c>
      <c r="E18" s="44">
        <v>2389112.6299999994</v>
      </c>
      <c r="F18" s="44">
        <v>13258769.420000011</v>
      </c>
      <c r="G18" s="44">
        <v>141466.79999999999</v>
      </c>
      <c r="H18" s="44">
        <v>6587637.9000000004</v>
      </c>
      <c r="I18" s="44">
        <v>0</v>
      </c>
      <c r="J18" s="44">
        <v>1865.54</v>
      </c>
      <c r="K18" s="44">
        <v>23922.890000000003</v>
      </c>
      <c r="L18" s="44">
        <v>4057147.32</v>
      </c>
      <c r="M18" s="44">
        <v>97761.099999999977</v>
      </c>
      <c r="N18" s="44">
        <f t="shared" si="0"/>
        <v>30633499.360000052</v>
      </c>
      <c r="O18" s="37"/>
      <c r="R18" s="36">
        <v>2015</v>
      </c>
      <c r="S18" s="44">
        <v>55423.22</v>
      </c>
      <c r="T18" s="44">
        <v>303577.8800000003</v>
      </c>
      <c r="U18" s="44">
        <v>247200.01</v>
      </c>
      <c r="V18" s="44">
        <v>1181415.6300000001</v>
      </c>
      <c r="W18" s="44">
        <v>597245.40999999992</v>
      </c>
      <c r="X18" s="44">
        <f t="shared" si="2"/>
        <v>2384862.1500000004</v>
      </c>
      <c r="AA18" s="36">
        <v>2015</v>
      </c>
      <c r="AB18" s="44">
        <v>2397.83</v>
      </c>
      <c r="AC18" s="44">
        <v>117652.02</v>
      </c>
      <c r="AD18" s="44">
        <v>24393.570000000003</v>
      </c>
      <c r="AE18" s="44">
        <v>577812.1399999999</v>
      </c>
      <c r="AF18" s="44">
        <v>135213.21</v>
      </c>
      <c r="AG18" s="44">
        <f t="shared" si="3"/>
        <v>857468.7699999999</v>
      </c>
      <c r="AJ18" s="36">
        <v>2015</v>
      </c>
      <c r="AK18" s="44">
        <v>2080.1200000000003</v>
      </c>
      <c r="AL18" s="44">
        <v>101580.10000000028</v>
      </c>
      <c r="AM18" s="44">
        <v>65921.73000000001</v>
      </c>
      <c r="AN18" s="44">
        <f t="shared" si="1"/>
        <v>169581.9500000003</v>
      </c>
      <c r="AO18" s="37"/>
    </row>
    <row r="19" spans="2:41" x14ac:dyDescent="0.25">
      <c r="B19" s="36">
        <v>2016</v>
      </c>
      <c r="C19" s="44">
        <v>308556.88999999996</v>
      </c>
      <c r="D19" s="44">
        <v>3798388.9000000493</v>
      </c>
      <c r="E19" s="44">
        <v>2369169.1999999997</v>
      </c>
      <c r="F19" s="44">
        <v>13519613.75</v>
      </c>
      <c r="G19" s="44">
        <v>144549.36000000002</v>
      </c>
      <c r="H19" s="44">
        <v>6773249.1400000006</v>
      </c>
      <c r="I19" s="44">
        <v>0</v>
      </c>
      <c r="J19" s="44">
        <v>1175.48</v>
      </c>
      <c r="K19" s="44">
        <v>26901.599999999999</v>
      </c>
      <c r="L19" s="44">
        <v>5015200.6499999994</v>
      </c>
      <c r="M19" s="44">
        <v>103157.49999999999</v>
      </c>
      <c r="N19" s="44">
        <f t="shared" si="0"/>
        <v>32059962.470000047</v>
      </c>
      <c r="O19" s="37"/>
      <c r="R19" s="36">
        <v>2016</v>
      </c>
      <c r="S19" s="44">
        <v>57491.170000000006</v>
      </c>
      <c r="T19" s="44">
        <v>321365.66000000027</v>
      </c>
      <c r="U19" s="44">
        <v>231371.25000000003</v>
      </c>
      <c r="V19" s="44">
        <v>1237152.9799999997</v>
      </c>
      <c r="W19" s="44">
        <v>617170.80000000005</v>
      </c>
      <c r="X19" s="44">
        <f t="shared" si="2"/>
        <v>2464551.8600000003</v>
      </c>
      <c r="AA19" s="36">
        <v>2016</v>
      </c>
      <c r="AB19" s="44">
        <v>2187.71</v>
      </c>
      <c r="AC19" s="44">
        <v>118179.92000000001</v>
      </c>
      <c r="AD19" s="44">
        <v>29019.190000000002</v>
      </c>
      <c r="AE19" s="44">
        <v>572720.12000000011</v>
      </c>
      <c r="AF19" s="44">
        <v>106368.23</v>
      </c>
      <c r="AG19" s="44">
        <f t="shared" si="3"/>
        <v>828475.17000000016</v>
      </c>
      <c r="AJ19" s="36">
        <v>2016</v>
      </c>
      <c r="AK19" s="44">
        <v>1509.16</v>
      </c>
      <c r="AL19" s="44">
        <v>112972.71000000025</v>
      </c>
      <c r="AM19" s="44">
        <v>70003.199999999983</v>
      </c>
      <c r="AN19" s="44">
        <f t="shared" si="1"/>
        <v>184485.07000000024</v>
      </c>
      <c r="AO19" s="37"/>
    </row>
    <row r="20" spans="2:41" x14ac:dyDescent="0.25">
      <c r="B20" s="36">
        <v>2017</v>
      </c>
      <c r="C20" s="44">
        <v>259613.87000000002</v>
      </c>
      <c r="D20" s="44">
        <v>3752440.617499995</v>
      </c>
      <c r="E20" s="44">
        <v>2389385.79</v>
      </c>
      <c r="F20" s="44">
        <v>14034336.600000003</v>
      </c>
      <c r="G20" s="44">
        <v>139006.90999999997</v>
      </c>
      <c r="H20" s="44">
        <v>6885384.0099999998</v>
      </c>
      <c r="I20" s="44">
        <v>0</v>
      </c>
      <c r="J20" s="44">
        <v>9326.8499999999967</v>
      </c>
      <c r="K20" s="44">
        <v>50617.770000000004</v>
      </c>
      <c r="L20" s="44">
        <v>4925321.7</v>
      </c>
      <c r="M20" s="44">
        <v>107944.14</v>
      </c>
      <c r="N20" s="44">
        <f t="shared" si="0"/>
        <v>32553378.2575</v>
      </c>
      <c r="O20" s="37"/>
      <c r="R20" s="36">
        <v>2017</v>
      </c>
      <c r="S20" s="44">
        <v>52885.04</v>
      </c>
      <c r="T20" s="44">
        <v>361903.26000000007</v>
      </c>
      <c r="U20" s="44">
        <v>210972.37999999998</v>
      </c>
      <c r="V20" s="44">
        <v>1390181.24</v>
      </c>
      <c r="W20" s="44">
        <v>670699.1399999999</v>
      </c>
      <c r="X20" s="44">
        <f t="shared" si="2"/>
        <v>2686641.0599999996</v>
      </c>
      <c r="AA20" s="36">
        <v>2017</v>
      </c>
      <c r="AB20" s="44">
        <v>2408.9699999999998</v>
      </c>
      <c r="AC20" s="44">
        <v>122082.87000000001</v>
      </c>
      <c r="AD20" s="44">
        <v>29959.449999999997</v>
      </c>
      <c r="AE20" s="44">
        <v>570685</v>
      </c>
      <c r="AF20" s="44">
        <v>137745.51999999487</v>
      </c>
      <c r="AG20" s="44">
        <f t="shared" si="3"/>
        <v>862881.80999999493</v>
      </c>
      <c r="AJ20" s="36">
        <v>2017</v>
      </c>
      <c r="AK20" s="44">
        <v>720.67</v>
      </c>
      <c r="AL20" s="44">
        <v>117776.04</v>
      </c>
      <c r="AM20" s="44">
        <v>75172.649999999994</v>
      </c>
      <c r="AN20" s="44">
        <f t="shared" si="1"/>
        <v>193669.36</v>
      </c>
    </row>
    <row r="21" spans="2:41" x14ac:dyDescent="0.25">
      <c r="B21" s="36">
        <v>2018</v>
      </c>
      <c r="C21" s="44">
        <v>271621.88</v>
      </c>
      <c r="D21" s="44">
        <v>3729335.3200000101</v>
      </c>
      <c r="E21" s="44">
        <v>2486508.16</v>
      </c>
      <c r="F21" s="44">
        <v>14096762.899999999</v>
      </c>
      <c r="G21" s="44">
        <v>145101.37000000002</v>
      </c>
      <c r="H21" s="44">
        <v>7109431.8200000003</v>
      </c>
      <c r="I21" s="44">
        <v>0</v>
      </c>
      <c r="J21" s="59">
        <v>-8216.0599999999977</v>
      </c>
      <c r="K21" s="44">
        <v>32676.890000000003</v>
      </c>
      <c r="L21" s="44">
        <v>5664888.2800000012</v>
      </c>
      <c r="M21" s="44">
        <v>125599.23000000001</v>
      </c>
      <c r="N21" s="44">
        <f t="shared" si="0"/>
        <v>33653709.790000014</v>
      </c>
      <c r="O21" s="37"/>
      <c r="R21" s="36">
        <v>2018</v>
      </c>
      <c r="S21" s="44">
        <v>41670.22</v>
      </c>
      <c r="T21" s="44">
        <v>377145.73</v>
      </c>
      <c r="U21" s="44">
        <v>218609.33</v>
      </c>
      <c r="V21" s="44">
        <v>1365956.2599999998</v>
      </c>
      <c r="W21" s="44">
        <v>669556.03</v>
      </c>
      <c r="X21" s="44">
        <f t="shared" si="2"/>
        <v>2672937.5699999994</v>
      </c>
      <c r="AA21" s="36">
        <v>2018</v>
      </c>
      <c r="AB21" s="44">
        <v>2366.62</v>
      </c>
      <c r="AC21" s="44">
        <v>120691.17000000001</v>
      </c>
      <c r="AD21" s="44">
        <v>26374.309999999994</v>
      </c>
      <c r="AE21" s="44">
        <v>604926.75</v>
      </c>
      <c r="AF21" s="44">
        <v>157906.85000000516</v>
      </c>
      <c r="AG21" s="44">
        <f t="shared" si="3"/>
        <v>912265.70000000508</v>
      </c>
      <c r="AJ21" s="36">
        <v>2018</v>
      </c>
      <c r="AK21" s="44">
        <v>470.68</v>
      </c>
      <c r="AL21" s="44">
        <v>130963.15</v>
      </c>
      <c r="AM21" s="44">
        <v>74410.26999999999</v>
      </c>
      <c r="AN21" s="44">
        <f t="shared" si="1"/>
        <v>205844.09999999998</v>
      </c>
    </row>
    <row r="22" spans="2:41" x14ac:dyDescent="0.25">
      <c r="B22" s="36">
        <v>2019</v>
      </c>
      <c r="C22" s="44">
        <v>272808.63</v>
      </c>
      <c r="D22" s="44">
        <v>3564633.6800000006</v>
      </c>
      <c r="E22" s="44">
        <v>2454071.9300000002</v>
      </c>
      <c r="F22" s="44">
        <v>13764579.859999999</v>
      </c>
      <c r="G22" s="44">
        <v>164003.56</v>
      </c>
      <c r="H22" s="44">
        <v>7379370.7999999989</v>
      </c>
      <c r="I22" s="44">
        <v>0</v>
      </c>
      <c r="J22" s="44">
        <v>635.18999999999983</v>
      </c>
      <c r="K22" s="44">
        <v>28041.58</v>
      </c>
      <c r="L22" s="44">
        <v>5502417.0300000003</v>
      </c>
      <c r="M22" s="44">
        <v>137755.13</v>
      </c>
      <c r="N22" s="44">
        <f t="shared" si="0"/>
        <v>33268317.390000001</v>
      </c>
      <c r="O22" s="37"/>
      <c r="R22" s="36">
        <v>2019</v>
      </c>
      <c r="S22" s="44">
        <v>28663.799999999996</v>
      </c>
      <c r="T22" s="44">
        <v>371625.14</v>
      </c>
      <c r="U22" s="44">
        <v>206121.82000000004</v>
      </c>
      <c r="V22" s="44">
        <v>1300176.1199999999</v>
      </c>
      <c r="W22" s="44">
        <v>762273.83999999985</v>
      </c>
      <c r="X22" s="44">
        <f t="shared" si="2"/>
        <v>2668860.7199999997</v>
      </c>
      <c r="AA22" s="36">
        <v>2019</v>
      </c>
      <c r="AB22" s="44">
        <v>3080.72</v>
      </c>
      <c r="AC22" s="44">
        <v>123519.82</v>
      </c>
      <c r="AD22" s="44">
        <v>27553.55</v>
      </c>
      <c r="AE22" s="44">
        <v>628195.36</v>
      </c>
      <c r="AF22" s="44">
        <v>177460.35</v>
      </c>
      <c r="AG22" s="44">
        <f t="shared" si="3"/>
        <v>959809.79999999993</v>
      </c>
      <c r="AJ22" s="36">
        <v>2019</v>
      </c>
      <c r="AK22" s="44">
        <v>347.29</v>
      </c>
      <c r="AL22" s="44">
        <v>133386.54999999999</v>
      </c>
      <c r="AM22" s="44">
        <v>90808.31</v>
      </c>
      <c r="AN22" s="44">
        <f t="shared" si="1"/>
        <v>224542.15</v>
      </c>
    </row>
    <row r="23" spans="2:41" x14ac:dyDescent="0.25">
      <c r="B23" s="36">
        <v>2020</v>
      </c>
      <c r="C23" s="44">
        <v>244757.58999999997</v>
      </c>
      <c r="D23" s="44">
        <v>3757438.5</v>
      </c>
      <c r="E23" s="44">
        <v>2427335.3099999996</v>
      </c>
      <c r="F23" s="44">
        <v>9968477.4599999972</v>
      </c>
      <c r="G23" s="44">
        <v>284823.26</v>
      </c>
      <c r="H23" s="44">
        <v>4691856.3000000007</v>
      </c>
      <c r="I23" s="44">
        <v>0</v>
      </c>
      <c r="J23" s="44">
        <v>1938.8400000000001</v>
      </c>
      <c r="K23" s="44">
        <v>61346.990000000005</v>
      </c>
      <c r="L23" s="44">
        <v>2712238.0800000005</v>
      </c>
      <c r="M23" s="44">
        <v>166042.95000000001</v>
      </c>
      <c r="N23" s="44">
        <f t="shared" si="0"/>
        <v>24316255.279999994</v>
      </c>
      <c r="O23" s="37"/>
      <c r="R23" s="36">
        <v>2020</v>
      </c>
      <c r="S23" s="44">
        <v>24861.200000000001</v>
      </c>
      <c r="T23" s="44">
        <v>372285.75</v>
      </c>
      <c r="U23" s="44">
        <v>187816.09999999998</v>
      </c>
      <c r="V23" s="44">
        <v>975736.96</v>
      </c>
      <c r="W23" s="44">
        <v>453941.89</v>
      </c>
      <c r="X23" s="44">
        <f t="shared" si="2"/>
        <v>2014641.9</v>
      </c>
      <c r="AA23" s="36">
        <v>2020</v>
      </c>
      <c r="AB23" s="44">
        <v>3246.1400000000003</v>
      </c>
      <c r="AC23" s="44">
        <v>125746.18</v>
      </c>
      <c r="AD23" s="44">
        <v>19183.310000000001</v>
      </c>
      <c r="AE23" s="44">
        <v>408044.44000000006</v>
      </c>
      <c r="AF23" s="44">
        <v>98437.349999999991</v>
      </c>
      <c r="AG23" s="44">
        <f t="shared" si="3"/>
        <v>654657.42000000004</v>
      </c>
      <c r="AJ23" s="36">
        <v>2020</v>
      </c>
      <c r="AK23" s="44">
        <v>293.25</v>
      </c>
      <c r="AL23" s="44">
        <v>137627.69</v>
      </c>
      <c r="AM23" s="44">
        <v>100120.10999999999</v>
      </c>
      <c r="AN23" s="44">
        <f t="shared" si="1"/>
        <v>238041.05</v>
      </c>
    </row>
    <row r="24" spans="2:41" x14ac:dyDescent="0.25">
      <c r="B24" s="36">
        <v>2021</v>
      </c>
      <c r="C24" s="44">
        <v>264537.8</v>
      </c>
      <c r="D24" s="44">
        <v>3727069.2699999996</v>
      </c>
      <c r="E24" s="44">
        <v>2521445.2100000004</v>
      </c>
      <c r="F24" s="44">
        <v>11491760.699999999</v>
      </c>
      <c r="G24" s="44">
        <v>369423.56</v>
      </c>
      <c r="H24" s="44">
        <v>5725541.3000000017</v>
      </c>
      <c r="I24" s="44">
        <v>0</v>
      </c>
      <c r="J24" s="44">
        <v>1744.09</v>
      </c>
      <c r="K24" s="44">
        <v>50980.83</v>
      </c>
      <c r="L24" s="44">
        <v>3462407.71</v>
      </c>
      <c r="M24" s="44">
        <v>193357.44</v>
      </c>
      <c r="N24" s="44">
        <f t="shared" si="0"/>
        <v>27808267.909999996</v>
      </c>
      <c r="O24" s="37"/>
      <c r="R24" s="36">
        <v>2021</v>
      </c>
      <c r="S24" s="44">
        <v>29460.57</v>
      </c>
      <c r="T24" s="44">
        <v>468637.08</v>
      </c>
      <c r="U24" s="44">
        <v>195623.73</v>
      </c>
      <c r="V24" s="44">
        <v>1092811.2499999998</v>
      </c>
      <c r="W24" s="44">
        <v>780303.01</v>
      </c>
      <c r="X24" s="44">
        <f t="shared" si="2"/>
        <v>2566835.6399999997</v>
      </c>
      <c r="AA24" s="36">
        <v>2021</v>
      </c>
      <c r="AB24" s="44">
        <v>3085.2999999999997</v>
      </c>
      <c r="AC24" s="44">
        <v>146061.79999999999</v>
      </c>
      <c r="AD24" s="44">
        <v>27114.06</v>
      </c>
      <c r="AE24" s="44">
        <v>620917.45000000007</v>
      </c>
      <c r="AF24" s="44">
        <v>180230.49</v>
      </c>
      <c r="AG24" s="44">
        <f t="shared" si="3"/>
        <v>977409.10000000009</v>
      </c>
      <c r="AJ24" s="36">
        <v>2021</v>
      </c>
      <c r="AK24" s="44">
        <v>1186.71</v>
      </c>
      <c r="AL24" s="44">
        <v>166965.15</v>
      </c>
      <c r="AM24" s="44">
        <v>117334.75</v>
      </c>
      <c r="AN24" s="44">
        <f t="shared" si="1"/>
        <v>285486.61</v>
      </c>
    </row>
    <row r="25" spans="2:41" x14ac:dyDescent="0.25">
      <c r="B25" s="60"/>
    </row>
    <row r="26" spans="2:41" x14ac:dyDescent="0.25">
      <c r="B26" s="60"/>
    </row>
    <row r="27" spans="2:41" x14ac:dyDescent="0.25">
      <c r="B27" s="60"/>
    </row>
    <row r="28" spans="2:41" x14ac:dyDescent="0.25">
      <c r="B28" s="60"/>
      <c r="C28" s="61" t="s">
        <v>204</v>
      </c>
    </row>
    <row r="29" spans="2:41" x14ac:dyDescent="0.25">
      <c r="C29" s="60" t="s">
        <v>174</v>
      </c>
      <c r="D29" s="38" t="s">
        <v>161</v>
      </c>
      <c r="E29" s="60"/>
    </row>
    <row r="30" spans="2:41" x14ac:dyDescent="0.25">
      <c r="C30" s="60" t="s">
        <v>175</v>
      </c>
      <c r="D30" s="38" t="s">
        <v>162</v>
      </c>
      <c r="E30" s="60"/>
    </row>
    <row r="31" spans="2:41" x14ac:dyDescent="0.25">
      <c r="C31" s="60" t="s">
        <v>176</v>
      </c>
      <c r="D31" s="38" t="s">
        <v>163</v>
      </c>
      <c r="E31" s="60"/>
      <c r="S31" t="s">
        <v>20</v>
      </c>
    </row>
    <row r="32" spans="2:41" x14ac:dyDescent="0.25">
      <c r="C32" s="60" t="s">
        <v>177</v>
      </c>
      <c r="D32" s="38" t="s">
        <v>164</v>
      </c>
      <c r="E32" s="60"/>
    </row>
    <row r="33" spans="3:5" x14ac:dyDescent="0.25">
      <c r="C33" s="60" t="s">
        <v>178</v>
      </c>
      <c r="D33" s="38" t="s">
        <v>165</v>
      </c>
      <c r="E33" s="60"/>
    </row>
    <row r="34" spans="3:5" x14ac:dyDescent="0.25">
      <c r="C34" s="60" t="s">
        <v>179</v>
      </c>
      <c r="D34" s="38" t="s">
        <v>166</v>
      </c>
      <c r="E34" s="60"/>
    </row>
    <row r="35" spans="3:5" x14ac:dyDescent="0.25">
      <c r="C35" s="60" t="s">
        <v>180</v>
      </c>
      <c r="D35" s="38" t="s">
        <v>167</v>
      </c>
      <c r="E35" s="60"/>
    </row>
    <row r="36" spans="3:5" x14ac:dyDescent="0.25">
      <c r="C36" s="60" t="s">
        <v>181</v>
      </c>
      <c r="D36" s="38" t="s">
        <v>168</v>
      </c>
      <c r="E36" s="60"/>
    </row>
    <row r="37" spans="3:5" x14ac:dyDescent="0.25">
      <c r="C37" s="60" t="s">
        <v>182</v>
      </c>
      <c r="D37" s="38" t="s">
        <v>169</v>
      </c>
      <c r="E37" s="60"/>
    </row>
    <row r="38" spans="3:5" x14ac:dyDescent="0.25">
      <c r="C38" s="60" t="s">
        <v>183</v>
      </c>
      <c r="D38" s="38" t="s">
        <v>170</v>
      </c>
      <c r="E38" s="60"/>
    </row>
    <row r="39" spans="3:5" x14ac:dyDescent="0.25">
      <c r="C39" s="60" t="s">
        <v>184</v>
      </c>
      <c r="D39" s="38" t="s">
        <v>171</v>
      </c>
      <c r="E39" s="60"/>
    </row>
    <row r="40" spans="3:5" x14ac:dyDescent="0.25">
      <c r="C40" s="60" t="s">
        <v>0</v>
      </c>
      <c r="D40" s="38" t="s">
        <v>0</v>
      </c>
      <c r="E40" s="60"/>
    </row>
  </sheetData>
  <mergeCells count="4">
    <mergeCell ref="C3:M3"/>
    <mergeCell ref="R3:X3"/>
    <mergeCell ref="AA3:AG3"/>
    <mergeCell ref="AJ3:AN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B27DB-D2F7-479B-A4FB-9C9B8B785FE2}">
  <sheetPr codeName="Sheet15"/>
  <dimension ref="A1:X139"/>
  <sheetViews>
    <sheetView topLeftCell="F37" workbookViewId="0"/>
  </sheetViews>
  <sheetFormatPr defaultRowHeight="15" x14ac:dyDescent="0.25"/>
  <cols>
    <col min="3" max="3" width="40.85546875" bestFit="1" customWidth="1"/>
    <col min="4" max="4" width="31.28515625" customWidth="1"/>
    <col min="5" max="5" width="26.85546875" customWidth="1"/>
    <col min="6" max="7" width="16.5703125" customWidth="1"/>
    <col min="8" max="8" width="24.7109375" customWidth="1"/>
    <col min="9" max="10" width="16.5703125" customWidth="1"/>
    <col min="11" max="11" width="20.85546875" bestFit="1" customWidth="1"/>
    <col min="12" max="12" width="21.140625" customWidth="1"/>
    <col min="13" max="13" width="18.85546875" bestFit="1" customWidth="1"/>
    <col min="16" max="16" width="40.85546875" bestFit="1" customWidth="1"/>
    <col min="17" max="17" width="18.85546875" bestFit="1" customWidth="1"/>
    <col min="18" max="18" width="17" bestFit="1" customWidth="1"/>
    <col min="19" max="19" width="12.85546875" customWidth="1"/>
    <col min="20" max="20" width="15.7109375" customWidth="1"/>
    <col min="21" max="21" width="14.7109375" customWidth="1"/>
    <col min="22" max="24" width="16.42578125" bestFit="1" customWidth="1"/>
  </cols>
  <sheetData>
    <row r="1" spans="1:21" x14ac:dyDescent="0.25">
      <c r="A1" t="s">
        <v>230</v>
      </c>
    </row>
    <row r="4" spans="1:21" ht="60" x14ac:dyDescent="0.25">
      <c r="B4" s="69" t="s">
        <v>173</v>
      </c>
      <c r="C4" s="70" t="s">
        <v>206</v>
      </c>
      <c r="D4" s="70" t="s">
        <v>207</v>
      </c>
      <c r="E4" s="70" t="s">
        <v>221</v>
      </c>
      <c r="F4" s="70" t="s">
        <v>222</v>
      </c>
      <c r="G4" s="70" t="s">
        <v>223</v>
      </c>
      <c r="H4" s="70" t="s">
        <v>224</v>
      </c>
      <c r="I4" s="70" t="s">
        <v>225</v>
      </c>
      <c r="J4" s="70" t="s">
        <v>229</v>
      </c>
      <c r="K4" s="70" t="s">
        <v>227</v>
      </c>
      <c r="L4" s="70" t="s">
        <v>228</v>
      </c>
      <c r="M4" s="70" t="s">
        <v>215</v>
      </c>
      <c r="P4" s="54" t="s">
        <v>231</v>
      </c>
      <c r="Q4" s="54"/>
    </row>
    <row r="5" spans="1:21" x14ac:dyDescent="0.25">
      <c r="B5" s="60">
        <v>2002</v>
      </c>
      <c r="C5" s="71">
        <v>179.875</v>
      </c>
      <c r="D5" s="71">
        <v>10977.525000000001</v>
      </c>
      <c r="E5" s="72">
        <v>26.18</v>
      </c>
      <c r="F5" s="72">
        <v>3.96</v>
      </c>
      <c r="G5" s="15">
        <v>1239613</v>
      </c>
      <c r="H5" s="15">
        <v>31257</v>
      </c>
      <c r="I5" s="72">
        <f>D34</f>
        <v>25.98</v>
      </c>
      <c r="J5" s="72">
        <v>24.46</v>
      </c>
      <c r="K5" s="15">
        <v>56990.8</v>
      </c>
      <c r="L5" s="15">
        <v>6389058</v>
      </c>
      <c r="M5" s="43">
        <f>SUM('Historical Data'!D5:F5)</f>
        <v>19564030</v>
      </c>
      <c r="P5" t="s">
        <v>232</v>
      </c>
    </row>
    <row r="6" spans="1:21" ht="15.75" thickBot="1" x14ac:dyDescent="0.3">
      <c r="B6" s="60">
        <v>2003</v>
      </c>
      <c r="C6" s="71">
        <v>183.95833333333334</v>
      </c>
      <c r="D6" s="71">
        <v>11510.675000000001</v>
      </c>
      <c r="E6" s="72">
        <v>31.08</v>
      </c>
      <c r="F6" s="72">
        <v>3.38</v>
      </c>
      <c r="G6" s="15">
        <v>1251154</v>
      </c>
      <c r="H6" s="15">
        <v>32467</v>
      </c>
      <c r="I6" s="72">
        <v>26.18</v>
      </c>
      <c r="J6" s="72">
        <v>24.99</v>
      </c>
      <c r="K6" s="15">
        <v>59978.8</v>
      </c>
      <c r="L6" s="15">
        <v>6380439</v>
      </c>
      <c r="M6" s="43">
        <f>SUM('Historical Data'!D6:F6)</f>
        <v>19641572</v>
      </c>
    </row>
    <row r="7" spans="1:21" x14ac:dyDescent="0.25">
      <c r="B7" s="60">
        <v>2004</v>
      </c>
      <c r="C7" s="71">
        <v>188.88333333333335</v>
      </c>
      <c r="D7" s="71">
        <v>12274.925000000001</v>
      </c>
      <c r="E7" s="72">
        <v>41.51</v>
      </c>
      <c r="F7" s="72">
        <v>5.47</v>
      </c>
      <c r="G7" s="15">
        <v>1273569</v>
      </c>
      <c r="H7" s="15">
        <v>34277</v>
      </c>
      <c r="I7" s="72">
        <v>31.08</v>
      </c>
      <c r="J7" s="72">
        <v>28.85</v>
      </c>
      <c r="K7" s="15">
        <v>63318.1</v>
      </c>
      <c r="L7" s="15">
        <v>6912094</v>
      </c>
      <c r="M7" s="43">
        <f>SUM('Historical Data'!D7:F7)</f>
        <v>19914556</v>
      </c>
      <c r="P7" s="73" t="s">
        <v>233</v>
      </c>
      <c r="Q7" s="73"/>
    </row>
    <row r="8" spans="1:21" x14ac:dyDescent="0.25">
      <c r="B8" s="60">
        <v>2005</v>
      </c>
      <c r="C8" s="71">
        <v>195.29166666666671</v>
      </c>
      <c r="D8" s="71">
        <v>13093.699999999999</v>
      </c>
      <c r="E8" s="72">
        <v>56.64</v>
      </c>
      <c r="F8" s="72">
        <v>5.89</v>
      </c>
      <c r="G8" s="15">
        <v>1292729</v>
      </c>
      <c r="H8" s="15">
        <v>36375</v>
      </c>
      <c r="I8" s="72">
        <v>41.51</v>
      </c>
      <c r="J8" s="72">
        <v>38.26</v>
      </c>
      <c r="K8" s="15">
        <v>67123.899999999994</v>
      </c>
      <c r="L8" s="15">
        <v>7416574</v>
      </c>
      <c r="M8" s="43">
        <f>SUM('Historical Data'!D8:F8)</f>
        <v>20073638</v>
      </c>
      <c r="P8" t="s">
        <v>234</v>
      </c>
      <c r="Q8" s="64">
        <v>0.98125689142025585</v>
      </c>
    </row>
    <row r="9" spans="1:21" x14ac:dyDescent="0.25">
      <c r="B9" s="60">
        <v>2006</v>
      </c>
      <c r="C9" s="71">
        <v>201.5916666666667</v>
      </c>
      <c r="D9" s="71">
        <v>13855.9</v>
      </c>
      <c r="E9" s="72">
        <v>66.05</v>
      </c>
      <c r="F9" s="72">
        <v>8.69</v>
      </c>
      <c r="G9" s="15">
        <v>1309731</v>
      </c>
      <c r="H9" s="15">
        <v>38480</v>
      </c>
      <c r="I9" s="72">
        <v>56.64</v>
      </c>
      <c r="J9" s="72">
        <v>54.57</v>
      </c>
      <c r="K9" s="15">
        <v>68759.3</v>
      </c>
      <c r="L9" s="15">
        <v>7528106</v>
      </c>
      <c r="M9" s="43">
        <f>SUM('Historical Data'!D9:F9)</f>
        <v>19924645.82</v>
      </c>
      <c r="P9" t="s">
        <v>235</v>
      </c>
      <c r="Q9" s="64">
        <v>0.96286508695974371</v>
      </c>
    </row>
    <row r="10" spans="1:21" x14ac:dyDescent="0.25">
      <c r="B10" s="60">
        <v>2007</v>
      </c>
      <c r="C10" s="71">
        <v>207.34241666666671</v>
      </c>
      <c r="D10" s="71">
        <v>14477.624999999998</v>
      </c>
      <c r="E10" s="72">
        <v>72.34</v>
      </c>
      <c r="F10" s="72">
        <v>6.73</v>
      </c>
      <c r="G10" s="15">
        <v>1315675</v>
      </c>
      <c r="H10" s="15">
        <v>40490</v>
      </c>
      <c r="I10" s="72">
        <v>66.05</v>
      </c>
      <c r="J10" s="72">
        <v>65.16</v>
      </c>
      <c r="K10" s="15">
        <v>70080.399999999994</v>
      </c>
      <c r="L10" s="15">
        <v>7496820</v>
      </c>
      <c r="M10" s="43">
        <f>SUM('Historical Data'!D10:F10)</f>
        <v>20040020.439999998</v>
      </c>
      <c r="P10" t="s">
        <v>236</v>
      </c>
      <c r="Q10" s="64">
        <v>0.95296244348234205</v>
      </c>
    </row>
    <row r="11" spans="1:21" x14ac:dyDescent="0.25">
      <c r="B11" s="60">
        <v>2008</v>
      </c>
      <c r="C11" s="71">
        <v>215.30250000000001</v>
      </c>
      <c r="D11" s="71">
        <v>14718.574999999999</v>
      </c>
      <c r="E11" s="72">
        <v>99.67</v>
      </c>
      <c r="F11" s="72">
        <v>6.97</v>
      </c>
      <c r="G11" s="15">
        <v>1332213</v>
      </c>
      <c r="H11" s="15">
        <v>41969</v>
      </c>
      <c r="I11" s="72">
        <v>72.34</v>
      </c>
      <c r="J11" s="72">
        <v>72.44</v>
      </c>
      <c r="K11" s="15">
        <v>70460.800000000003</v>
      </c>
      <c r="L11" s="15">
        <v>6713436</v>
      </c>
      <c r="M11" s="43">
        <f>SUM('Historical Data'!D11:F11)</f>
        <v>19543517.300000001</v>
      </c>
      <c r="P11" t="s">
        <v>237</v>
      </c>
      <c r="Q11" s="74">
        <v>442749.76999683352</v>
      </c>
    </row>
    <row r="12" spans="1:21" ht="15.75" thickBot="1" x14ac:dyDescent="0.3">
      <c r="B12" s="60">
        <v>2009</v>
      </c>
      <c r="C12" s="71">
        <v>214.53700000000001</v>
      </c>
      <c r="D12" s="71">
        <v>14418.725</v>
      </c>
      <c r="E12" s="72">
        <v>61.95</v>
      </c>
      <c r="F12" s="72">
        <v>8.86</v>
      </c>
      <c r="G12" s="15">
        <v>1346717</v>
      </c>
      <c r="H12" s="15">
        <v>41082</v>
      </c>
      <c r="I12" s="72">
        <v>99.67</v>
      </c>
      <c r="J12" s="72">
        <v>96.94</v>
      </c>
      <c r="K12" s="15">
        <v>67927.5</v>
      </c>
      <c r="L12" s="15">
        <v>6420448</v>
      </c>
      <c r="M12" s="43">
        <f>SUM('Historical Data'!D12:F12)</f>
        <v>19431221</v>
      </c>
      <c r="P12" s="65" t="s">
        <v>238</v>
      </c>
      <c r="Q12" s="75">
        <v>20</v>
      </c>
    </row>
    <row r="13" spans="1:21" x14ac:dyDescent="0.25">
      <c r="B13" s="60">
        <v>2010</v>
      </c>
      <c r="C13" s="71">
        <v>218.05550000000002</v>
      </c>
      <c r="D13" s="71">
        <v>14964.400000000003</v>
      </c>
      <c r="E13" s="72">
        <v>79.48</v>
      </c>
      <c r="F13" s="72">
        <v>3.94</v>
      </c>
      <c r="G13" s="15">
        <v>1364004</v>
      </c>
      <c r="H13" s="15">
        <v>41574</v>
      </c>
      <c r="I13" s="72">
        <v>61.95</v>
      </c>
      <c r="J13" s="72">
        <v>61.74</v>
      </c>
      <c r="K13" s="15">
        <v>69628.100000000006</v>
      </c>
      <c r="L13" s="15">
        <v>6916894</v>
      </c>
      <c r="M13" s="43">
        <f>SUM('Historical Data'!D13:F13)</f>
        <v>19455241.580000058</v>
      </c>
    </row>
    <row r="14" spans="1:21" ht="15.75" thickBot="1" x14ac:dyDescent="0.3">
      <c r="B14" s="60">
        <v>2011</v>
      </c>
      <c r="C14" s="71">
        <v>224.93916666666667</v>
      </c>
      <c r="D14" s="71">
        <v>15517.924999999997</v>
      </c>
      <c r="E14" s="72">
        <v>94.88</v>
      </c>
      <c r="F14" s="72">
        <v>4.37</v>
      </c>
      <c r="G14" s="15">
        <v>1379562</v>
      </c>
      <c r="H14" s="15">
        <v>42809</v>
      </c>
      <c r="I14" s="72">
        <v>79.48</v>
      </c>
      <c r="J14" s="72">
        <v>79.61</v>
      </c>
      <c r="K14" s="15">
        <v>70646.600000000006</v>
      </c>
      <c r="L14" s="15">
        <v>7174397</v>
      </c>
      <c r="M14" s="43">
        <f>SUM('Historical Data'!D14:F14)</f>
        <v>19296380.089999948</v>
      </c>
      <c r="P14" t="s">
        <v>239</v>
      </c>
    </row>
    <row r="15" spans="1:21" x14ac:dyDescent="0.25">
      <c r="B15" s="60">
        <v>2012</v>
      </c>
      <c r="C15" s="71">
        <v>229.5939166666667</v>
      </c>
      <c r="D15" s="71">
        <v>16155.249999999995</v>
      </c>
      <c r="E15" s="72">
        <v>94.05</v>
      </c>
      <c r="F15" s="72">
        <v>4</v>
      </c>
      <c r="G15" s="15">
        <v>1395199</v>
      </c>
      <c r="H15" s="15">
        <v>43812</v>
      </c>
      <c r="I15" s="72">
        <v>94.88</v>
      </c>
      <c r="J15" s="72">
        <v>111.26</v>
      </c>
      <c r="K15" s="15">
        <v>71905.3</v>
      </c>
      <c r="L15" s="15">
        <v>7867143</v>
      </c>
      <c r="M15" s="43">
        <f>SUM('Historical Data'!D15:F15)</f>
        <v>19676913.380000014</v>
      </c>
      <c r="P15" s="62"/>
      <c r="Q15" s="62" t="s">
        <v>240</v>
      </c>
      <c r="R15" s="62" t="s">
        <v>241</v>
      </c>
      <c r="S15" s="62" t="s">
        <v>242</v>
      </c>
      <c r="T15" s="62" t="s">
        <v>243</v>
      </c>
      <c r="U15" s="62" t="s">
        <v>244</v>
      </c>
    </row>
    <row r="16" spans="1:21" x14ac:dyDescent="0.25">
      <c r="B16" s="60">
        <v>2013</v>
      </c>
      <c r="C16" s="71">
        <v>232.95708333333332</v>
      </c>
      <c r="D16" s="71">
        <v>16691.499999999996</v>
      </c>
      <c r="E16" s="72">
        <v>97.98</v>
      </c>
      <c r="F16" s="72">
        <v>2.75</v>
      </c>
      <c r="G16" s="15">
        <v>1408822</v>
      </c>
      <c r="H16" s="15">
        <v>43931</v>
      </c>
      <c r="I16" s="72">
        <v>94.05</v>
      </c>
      <c r="J16" s="72">
        <v>111.63</v>
      </c>
      <c r="K16" s="15">
        <v>73063.199999999997</v>
      </c>
      <c r="L16" s="15">
        <v>8003474</v>
      </c>
      <c r="M16" s="43">
        <f>SUM('Historical Data'!D16:F16)</f>
        <v>19255451.480000004</v>
      </c>
      <c r="P16" t="s">
        <v>245</v>
      </c>
      <c r="Q16">
        <v>4</v>
      </c>
      <c r="R16">
        <v>76241419915493.984</v>
      </c>
      <c r="S16">
        <v>19060354978873.496</v>
      </c>
      <c r="T16">
        <v>97.233136703047933</v>
      </c>
      <c r="U16">
        <v>1.5428315796075476E-10</v>
      </c>
    </row>
    <row r="17" spans="2:24" x14ac:dyDescent="0.25">
      <c r="B17" s="60">
        <v>2014</v>
      </c>
      <c r="C17" s="71">
        <v>236.73616666666666</v>
      </c>
      <c r="D17" s="71">
        <v>17393.100000000002</v>
      </c>
      <c r="E17" s="72">
        <v>93.17</v>
      </c>
      <c r="F17" s="72">
        <v>3.73</v>
      </c>
      <c r="G17" s="15">
        <v>1415335</v>
      </c>
      <c r="H17" s="15">
        <v>46044</v>
      </c>
      <c r="I17" s="72">
        <v>97.98</v>
      </c>
      <c r="J17" s="72">
        <v>108.56</v>
      </c>
      <c r="K17" s="15">
        <v>73512.399999999994</v>
      </c>
      <c r="L17" s="15">
        <v>8196342</v>
      </c>
      <c r="M17" s="43">
        <f>SUM('Historical Data'!D17:F17)</f>
        <v>19214777.069999985</v>
      </c>
      <c r="P17" t="s">
        <v>246</v>
      </c>
      <c r="Q17">
        <v>15</v>
      </c>
      <c r="R17">
        <v>2940410382483.7349</v>
      </c>
      <c r="S17">
        <v>196027358832.24899</v>
      </c>
    </row>
    <row r="18" spans="2:24" ht="15.75" thickBot="1" x14ac:dyDescent="0.3">
      <c r="B18" s="60">
        <v>2015</v>
      </c>
      <c r="C18" s="71">
        <v>237.01700000000002</v>
      </c>
      <c r="D18" s="71">
        <v>18036.649999999998</v>
      </c>
      <c r="E18" s="72">
        <v>48.66</v>
      </c>
      <c r="F18" s="72">
        <v>4.37</v>
      </c>
      <c r="G18" s="15">
        <v>1422999</v>
      </c>
      <c r="H18" s="15">
        <v>47777</v>
      </c>
      <c r="I18" s="72">
        <v>93.17</v>
      </c>
      <c r="J18" s="72">
        <v>98.97</v>
      </c>
      <c r="K18" s="15">
        <v>75869.5</v>
      </c>
      <c r="L18" s="15">
        <v>8563018</v>
      </c>
      <c r="M18" s="43">
        <f>SUM('Historical Data'!D18:F18)</f>
        <v>19424552.520000048</v>
      </c>
      <c r="P18" s="65" t="s">
        <v>67</v>
      </c>
      <c r="Q18" s="65">
        <v>19</v>
      </c>
      <c r="R18" s="65">
        <v>79181830297977.719</v>
      </c>
      <c r="S18" s="65"/>
      <c r="T18" s="65"/>
      <c r="U18" s="65"/>
    </row>
    <row r="19" spans="2:24" ht="15.75" thickBot="1" x14ac:dyDescent="0.3">
      <c r="B19" s="60">
        <v>2016</v>
      </c>
      <c r="C19" s="71">
        <v>240.00716666666662</v>
      </c>
      <c r="D19" s="71">
        <v>18569.099999999999</v>
      </c>
      <c r="E19" s="72">
        <v>43.29</v>
      </c>
      <c r="F19" s="72">
        <v>2.62</v>
      </c>
      <c r="G19" s="15">
        <v>1428885</v>
      </c>
      <c r="H19" s="15">
        <v>49122</v>
      </c>
      <c r="I19" s="72">
        <v>48.66</v>
      </c>
      <c r="J19" s="72">
        <v>52.32</v>
      </c>
      <c r="K19" s="15">
        <v>77303.899999999994</v>
      </c>
      <c r="L19" s="15">
        <v>8821802</v>
      </c>
      <c r="M19" s="43">
        <f>SUM('Historical Data'!D19:F19)</f>
        <v>19687171.85000005</v>
      </c>
    </row>
    <row r="20" spans="2:24" x14ac:dyDescent="0.25">
      <c r="B20" s="60">
        <v>2017</v>
      </c>
      <c r="C20" s="71">
        <v>245.11958333333334</v>
      </c>
      <c r="D20" s="71">
        <v>19386.800749999999</v>
      </c>
      <c r="E20" s="72">
        <v>50.8</v>
      </c>
      <c r="F20" s="72">
        <v>2.52</v>
      </c>
      <c r="G20" s="15">
        <v>1425763</v>
      </c>
      <c r="H20" s="15">
        <v>51055</v>
      </c>
      <c r="I20" s="72">
        <v>43.29</v>
      </c>
      <c r="J20" s="72">
        <v>43.64</v>
      </c>
      <c r="K20" s="15">
        <v>78941.600000000006</v>
      </c>
      <c r="L20" s="15">
        <v>9277613</v>
      </c>
      <c r="M20" s="43">
        <f>SUM('Historical Data'!D20:F20)</f>
        <v>20176163.0075</v>
      </c>
      <c r="P20" s="62"/>
      <c r="Q20" s="62" t="s">
        <v>247</v>
      </c>
      <c r="R20" s="62" t="s">
        <v>237</v>
      </c>
      <c r="S20" s="62" t="s">
        <v>248</v>
      </c>
      <c r="T20" s="62" t="s">
        <v>249</v>
      </c>
      <c r="U20" s="62" t="s">
        <v>250</v>
      </c>
      <c r="V20" s="62" t="s">
        <v>251</v>
      </c>
      <c r="W20" s="62" t="s">
        <v>252</v>
      </c>
      <c r="X20" s="62" t="s">
        <v>253</v>
      </c>
    </row>
    <row r="21" spans="2:24" x14ac:dyDescent="0.25">
      <c r="B21" s="60">
        <v>2018</v>
      </c>
      <c r="C21" s="71">
        <v>249.41435539608369</v>
      </c>
      <c r="D21" s="71">
        <v>19910.244332048809</v>
      </c>
      <c r="E21" s="72">
        <v>65.23</v>
      </c>
      <c r="F21" s="72">
        <v>2.99</v>
      </c>
      <c r="G21" s="15">
        <v>1423102</v>
      </c>
      <c r="H21" s="15">
        <v>52174</v>
      </c>
      <c r="I21" s="72">
        <v>50.8</v>
      </c>
      <c r="J21" s="72">
        <v>54.13</v>
      </c>
      <c r="K21" s="15">
        <v>79854.7</v>
      </c>
      <c r="L21" s="15">
        <v>9761448</v>
      </c>
      <c r="M21" s="43">
        <f>SUM('Historical Data'!D21:F21)</f>
        <v>20312606.38000001</v>
      </c>
      <c r="P21" t="s">
        <v>254</v>
      </c>
      <c r="Q21">
        <v>36965903.4123004</v>
      </c>
      <c r="R21">
        <v>3914522.6795524661</v>
      </c>
      <c r="S21">
        <v>9.4432722552335768</v>
      </c>
      <c r="T21">
        <v>1.0559899510180977E-7</v>
      </c>
      <c r="U21">
        <v>28622295.825884867</v>
      </c>
      <c r="V21">
        <v>45309510.998715937</v>
      </c>
      <c r="W21">
        <v>28622295.825884867</v>
      </c>
      <c r="X21">
        <v>45309510.998715937</v>
      </c>
    </row>
    <row r="22" spans="2:24" x14ac:dyDescent="0.25">
      <c r="B22" s="60">
        <v>2019</v>
      </c>
      <c r="C22" s="71">
        <v>253.15557072702492</v>
      </c>
      <c r="D22" s="71">
        <v>20408.000440350028</v>
      </c>
      <c r="E22" s="72">
        <v>56.99</v>
      </c>
      <c r="F22" s="72">
        <v>3.15</v>
      </c>
      <c r="G22" s="15">
        <v>1415615</v>
      </c>
      <c r="H22" s="15">
        <v>53888</v>
      </c>
      <c r="I22" s="72">
        <v>65.23</v>
      </c>
      <c r="J22" s="72">
        <v>71.34</v>
      </c>
      <c r="K22" s="15">
        <v>79175.399999999994</v>
      </c>
      <c r="L22" s="15">
        <v>10243165</v>
      </c>
      <c r="M22" s="43">
        <f>SUM('Historical Data'!D22:F22)</f>
        <v>19783285.469999999</v>
      </c>
      <c r="P22" t="s">
        <v>208</v>
      </c>
      <c r="Q22">
        <v>-3160.0715352801903</v>
      </c>
      <c r="R22">
        <v>7658.5605963804874</v>
      </c>
      <c r="S22">
        <v>-0.41261951191894619</v>
      </c>
      <c r="T22" s="76">
        <v>0.68572262437170317</v>
      </c>
      <c r="U22">
        <v>-19483.907038077374</v>
      </c>
      <c r="V22">
        <v>13163.763967516992</v>
      </c>
      <c r="W22">
        <v>-19483.907038077374</v>
      </c>
      <c r="X22">
        <v>13163.763967516992</v>
      </c>
    </row>
    <row r="23" spans="2:24" x14ac:dyDescent="0.25">
      <c r="B23" s="60">
        <v>2020</v>
      </c>
      <c r="C23" s="71">
        <v>258.21868214156541</v>
      </c>
      <c r="D23" s="71">
        <v>20918.200451358778</v>
      </c>
      <c r="E23" s="72">
        <v>39.159999999999997</v>
      </c>
      <c r="F23" s="72">
        <v>2.56</v>
      </c>
      <c r="G23" s="15">
        <v>1451911</v>
      </c>
      <c r="H23" s="15">
        <v>56840</v>
      </c>
      <c r="I23" s="72">
        <v>56.99</v>
      </c>
      <c r="J23" s="72">
        <v>64.3</v>
      </c>
      <c r="K23" s="15">
        <v>70625.2</v>
      </c>
      <c r="L23" s="15">
        <v>2678073</v>
      </c>
      <c r="M23" s="43">
        <f>SUM('Historical Data'!D23:F23)</f>
        <v>16153251.269999996</v>
      </c>
      <c r="P23" t="s">
        <v>255</v>
      </c>
      <c r="Q23">
        <v>-111412.24595322712</v>
      </c>
      <c r="R23">
        <v>41944.209658733416</v>
      </c>
      <c r="S23">
        <v>-2.6562008644268116</v>
      </c>
      <c r="T23" s="77">
        <v>1.7967301238836744E-2</v>
      </c>
      <c r="U23">
        <v>-200814.21256919834</v>
      </c>
      <c r="V23">
        <v>-22010.279337255881</v>
      </c>
      <c r="W23">
        <v>-200814.21256919834</v>
      </c>
      <c r="X23">
        <v>-22010.279337255881</v>
      </c>
    </row>
    <row r="24" spans="2:24" x14ac:dyDescent="0.25">
      <c r="B24" s="60">
        <v>2021</v>
      </c>
      <c r="C24" s="71">
        <v>263.38305578439673</v>
      </c>
      <c r="D24" s="71">
        <v>21441.155462642746</v>
      </c>
      <c r="E24" s="72">
        <v>68.13</v>
      </c>
      <c r="F24" s="72">
        <v>2.0299999999999998</v>
      </c>
      <c r="G24" s="15">
        <v>1441553</v>
      </c>
      <c r="H24" s="15">
        <v>60389</v>
      </c>
      <c r="I24" s="72">
        <v>39.159999999999997</v>
      </c>
      <c r="J24" s="72">
        <v>41.96</v>
      </c>
      <c r="K24" s="15">
        <v>73879.5</v>
      </c>
      <c r="L24" s="15">
        <v>6840000</v>
      </c>
      <c r="M24" s="43">
        <f>SUM('Historical Data'!D24:F24)</f>
        <v>17740275.18</v>
      </c>
      <c r="P24" t="s">
        <v>256</v>
      </c>
      <c r="Q24">
        <v>583.07120330562168</v>
      </c>
      <c r="R24">
        <v>319.12238885034401</v>
      </c>
      <c r="S24">
        <v>1.8271084188300539</v>
      </c>
      <c r="T24" s="77">
        <v>8.7646480278849234E-2</v>
      </c>
      <c r="U24">
        <v>-97.122067387393599</v>
      </c>
      <c r="V24">
        <v>1263.264473998637</v>
      </c>
      <c r="W24">
        <v>-97.122067387393599</v>
      </c>
      <c r="X24">
        <v>1263.264473998637</v>
      </c>
    </row>
    <row r="25" spans="2:24" ht="15.75" thickBot="1" x14ac:dyDescent="0.3">
      <c r="B25" s="60"/>
      <c r="F25" s="78" t="s">
        <v>0</v>
      </c>
      <c r="H25" s="79"/>
      <c r="I25" s="78"/>
      <c r="J25" s="78"/>
      <c r="P25" s="65" t="s">
        <v>228</v>
      </c>
      <c r="Q25" s="65">
        <v>1.177252149565162</v>
      </c>
      <c r="R25" s="65">
        <v>6.5081052833627973E-2</v>
      </c>
      <c r="S25" s="65">
        <v>18.089015132786315</v>
      </c>
      <c r="T25" s="80">
        <v>1.3449184787181656E-11</v>
      </c>
      <c r="U25" s="65">
        <v>1.038535169078374</v>
      </c>
      <c r="V25" s="65">
        <v>1.31596913005195</v>
      </c>
      <c r="W25" s="65">
        <v>1.038535169078374</v>
      </c>
      <c r="X25" s="65">
        <v>1.31596913005195</v>
      </c>
    </row>
    <row r="30" spans="2:24" x14ac:dyDescent="0.25">
      <c r="P30" s="81" t="s">
        <v>257</v>
      </c>
    </row>
    <row r="31" spans="2:24" x14ac:dyDescent="0.25">
      <c r="P31" t="s">
        <v>232</v>
      </c>
      <c r="S31" t="s">
        <v>20</v>
      </c>
    </row>
    <row r="32" spans="2:24" ht="15.75" thickBot="1" x14ac:dyDescent="0.3"/>
    <row r="33" spans="2:24" ht="30" x14ac:dyDescent="0.25">
      <c r="B33" s="55" t="s">
        <v>173</v>
      </c>
      <c r="C33" s="70" t="s">
        <v>258</v>
      </c>
      <c r="D33" s="70" t="s">
        <v>221</v>
      </c>
      <c r="P33" s="73" t="s">
        <v>233</v>
      </c>
      <c r="Q33" s="73"/>
    </row>
    <row r="34" spans="2:24" x14ac:dyDescent="0.25">
      <c r="B34" s="36">
        <v>2001</v>
      </c>
      <c r="C34" s="72">
        <v>3.96</v>
      </c>
      <c r="D34" s="72">
        <v>25.98</v>
      </c>
      <c r="P34" t="s">
        <v>234</v>
      </c>
      <c r="Q34" s="82">
        <v>0.86877868532582792</v>
      </c>
    </row>
    <row r="35" spans="2:24" x14ac:dyDescent="0.25">
      <c r="B35" s="36">
        <v>2002</v>
      </c>
      <c r="C35" s="72">
        <v>3.38</v>
      </c>
      <c r="D35" s="72">
        <v>26.18</v>
      </c>
      <c r="P35" t="s">
        <v>235</v>
      </c>
      <c r="Q35" s="82">
        <v>0.75477640407647395</v>
      </c>
    </row>
    <row r="36" spans="2:24" x14ac:dyDescent="0.25">
      <c r="B36" s="36">
        <v>2003</v>
      </c>
      <c r="C36" s="72">
        <v>5.47</v>
      </c>
      <c r="D36" s="72">
        <v>31.08</v>
      </c>
      <c r="P36" t="s">
        <v>236</v>
      </c>
      <c r="Q36" s="82">
        <v>0.74115287096961135</v>
      </c>
    </row>
    <row r="37" spans="2:24" x14ac:dyDescent="0.25">
      <c r="B37" s="36">
        <v>2004</v>
      </c>
      <c r="C37" s="72">
        <v>5.89</v>
      </c>
      <c r="D37" s="72">
        <v>41.51</v>
      </c>
      <c r="P37" t="s">
        <v>237</v>
      </c>
      <c r="Q37" s="57">
        <v>1040074.7977868854</v>
      </c>
    </row>
    <row r="38" spans="2:24" ht="15.75" thickBot="1" x14ac:dyDescent="0.3">
      <c r="B38" s="36">
        <v>2005</v>
      </c>
      <c r="C38" s="72">
        <v>8.69</v>
      </c>
      <c r="D38" s="72">
        <v>56.64</v>
      </c>
      <c r="P38" s="65" t="s">
        <v>238</v>
      </c>
      <c r="Q38" s="65">
        <v>20</v>
      </c>
    </row>
    <row r="39" spans="2:24" x14ac:dyDescent="0.25">
      <c r="B39" s="36">
        <v>2006</v>
      </c>
      <c r="C39" s="72">
        <v>6.73</v>
      </c>
      <c r="D39" s="72">
        <v>66.05</v>
      </c>
    </row>
    <row r="40" spans="2:24" ht="15.75" thickBot="1" x14ac:dyDescent="0.3">
      <c r="B40" s="36">
        <v>2007</v>
      </c>
      <c r="C40" s="72">
        <v>6.97</v>
      </c>
      <c r="D40" s="72">
        <v>72.34</v>
      </c>
      <c r="P40" t="s">
        <v>239</v>
      </c>
    </row>
    <row r="41" spans="2:24" x14ac:dyDescent="0.25">
      <c r="B41" s="36">
        <v>2008</v>
      </c>
      <c r="C41" s="72">
        <v>8.86</v>
      </c>
      <c r="D41" s="72">
        <v>99.67</v>
      </c>
      <c r="P41" s="62"/>
      <c r="Q41" s="62" t="s">
        <v>240</v>
      </c>
      <c r="R41" s="62" t="s">
        <v>241</v>
      </c>
      <c r="S41" s="62" t="s">
        <v>242</v>
      </c>
      <c r="T41" s="62" t="s">
        <v>243</v>
      </c>
      <c r="U41" s="62" t="s">
        <v>244</v>
      </c>
    </row>
    <row r="42" spans="2:24" x14ac:dyDescent="0.25">
      <c r="B42" s="36">
        <v>2009</v>
      </c>
      <c r="C42" s="72">
        <v>3.94</v>
      </c>
      <c r="D42" s="72">
        <v>61.95</v>
      </c>
      <c r="P42" t="s">
        <v>245</v>
      </c>
      <c r="Q42">
        <v>1</v>
      </c>
      <c r="R42">
        <v>59931853515898.047</v>
      </c>
      <c r="S42">
        <v>59931853515898.047</v>
      </c>
      <c r="T42">
        <v>55.402398053135833</v>
      </c>
      <c r="U42">
        <v>6.7392420728129567E-7</v>
      </c>
    </row>
    <row r="43" spans="2:24" x14ac:dyDescent="0.25">
      <c r="B43" s="36">
        <v>2010</v>
      </c>
      <c r="C43" s="72">
        <v>4.37</v>
      </c>
      <c r="D43" s="72">
        <v>79.48</v>
      </c>
      <c r="P43" t="s">
        <v>246</v>
      </c>
      <c r="Q43">
        <v>18</v>
      </c>
      <c r="R43">
        <v>19471600529845.75</v>
      </c>
      <c r="S43">
        <v>1081755584991.4305</v>
      </c>
    </row>
    <row r="44" spans="2:24" ht="15.75" thickBot="1" x14ac:dyDescent="0.3">
      <c r="B44" s="36">
        <v>2011</v>
      </c>
      <c r="C44" s="72">
        <v>4</v>
      </c>
      <c r="D44" s="72">
        <v>94.88</v>
      </c>
      <c r="P44" s="65" t="s">
        <v>67</v>
      </c>
      <c r="Q44" s="65">
        <v>19</v>
      </c>
      <c r="R44" s="65">
        <v>79403454045743.797</v>
      </c>
      <c r="S44" s="65"/>
      <c r="T44" s="65"/>
      <c r="U44" s="65"/>
    </row>
    <row r="45" spans="2:24" ht="15.75" thickBot="1" x14ac:dyDescent="0.3">
      <c r="B45" s="36">
        <v>2012</v>
      </c>
      <c r="C45" s="72">
        <v>2.75</v>
      </c>
      <c r="D45" s="72">
        <v>94.05</v>
      </c>
    </row>
    <row r="46" spans="2:24" x14ac:dyDescent="0.25">
      <c r="B46" s="36">
        <v>2013</v>
      </c>
      <c r="C46" s="72">
        <v>3.73</v>
      </c>
      <c r="D46" s="72">
        <v>97.98</v>
      </c>
      <c r="P46" s="62"/>
      <c r="Q46" s="62" t="s">
        <v>247</v>
      </c>
      <c r="R46" s="62" t="s">
        <v>237</v>
      </c>
      <c r="S46" s="62" t="s">
        <v>248</v>
      </c>
      <c r="T46" s="62" t="s">
        <v>249</v>
      </c>
      <c r="U46" s="62" t="s">
        <v>250</v>
      </c>
      <c r="V46" s="62" t="s">
        <v>251</v>
      </c>
      <c r="W46" s="62" t="s">
        <v>252</v>
      </c>
      <c r="X46" s="62" t="s">
        <v>253</v>
      </c>
    </row>
    <row r="47" spans="2:24" x14ac:dyDescent="0.25">
      <c r="B47" s="36">
        <v>2014</v>
      </c>
      <c r="C47" s="72">
        <v>4.37</v>
      </c>
      <c r="D47" s="72">
        <v>93.17</v>
      </c>
      <c r="P47" t="s">
        <v>254</v>
      </c>
      <c r="Q47" s="83">
        <v>21969915.387290359</v>
      </c>
      <c r="R47" s="83">
        <v>1143335.3114568463</v>
      </c>
      <c r="S47" s="83">
        <v>19.215636189261161</v>
      </c>
      <c r="T47" s="83">
        <v>1.9194717006881651E-13</v>
      </c>
      <c r="U47" s="83">
        <v>19567857.032064818</v>
      </c>
      <c r="V47" s="83">
        <v>24371973.742515899</v>
      </c>
      <c r="W47" s="83">
        <v>19567857.032064818</v>
      </c>
      <c r="X47" s="83">
        <v>24371973.742515899</v>
      </c>
    </row>
    <row r="48" spans="2:24" ht="15.75" thickBot="1" x14ac:dyDescent="0.3">
      <c r="B48" s="36">
        <v>2015</v>
      </c>
      <c r="C48" s="72">
        <v>2.62</v>
      </c>
      <c r="D48" s="72">
        <v>48.66</v>
      </c>
      <c r="P48" s="84" t="s">
        <v>216</v>
      </c>
      <c r="Q48" s="85">
        <v>1.1139337874897726</v>
      </c>
      <c r="R48" s="85">
        <v>0.14965633155776054</v>
      </c>
      <c r="S48" s="85">
        <v>7.4432787166097603</v>
      </c>
      <c r="T48" s="85">
        <v>6.7392420728129567E-7</v>
      </c>
      <c r="U48" s="85">
        <v>0.79951750205845307</v>
      </c>
      <c r="V48" s="85">
        <v>1.4283500729210921</v>
      </c>
      <c r="W48" s="85">
        <v>0.79951750205845307</v>
      </c>
      <c r="X48" s="85">
        <v>1.4283500729210921</v>
      </c>
    </row>
    <row r="49" spans="2:21" x14ac:dyDescent="0.25">
      <c r="B49" s="36">
        <v>2016</v>
      </c>
      <c r="C49" s="72">
        <v>2.52</v>
      </c>
      <c r="D49" s="72">
        <v>43.29</v>
      </c>
    </row>
    <row r="50" spans="2:21" x14ac:dyDescent="0.25">
      <c r="B50" s="36">
        <v>2017</v>
      </c>
      <c r="C50" s="72">
        <v>2.99</v>
      </c>
      <c r="D50" s="72">
        <v>50.8</v>
      </c>
    </row>
    <row r="51" spans="2:21" x14ac:dyDescent="0.25">
      <c r="B51" s="36">
        <v>2018</v>
      </c>
      <c r="C51" s="72">
        <v>3.15</v>
      </c>
      <c r="D51" s="72">
        <v>65.23</v>
      </c>
      <c r="P51" s="81" t="s">
        <v>259</v>
      </c>
    </row>
    <row r="52" spans="2:21" x14ac:dyDescent="0.25">
      <c r="B52" s="36">
        <v>2019</v>
      </c>
      <c r="C52" s="72">
        <v>2.56</v>
      </c>
      <c r="D52" s="72">
        <v>56.99</v>
      </c>
      <c r="P52" t="s">
        <v>232</v>
      </c>
    </row>
    <row r="53" spans="2:21" ht="15.75" thickBot="1" x14ac:dyDescent="0.3">
      <c r="B53" s="36">
        <v>2020</v>
      </c>
      <c r="C53" s="72">
        <v>2.0299999999999998</v>
      </c>
      <c r="D53" s="72">
        <v>39.159999999999997</v>
      </c>
    </row>
    <row r="54" spans="2:21" x14ac:dyDescent="0.25">
      <c r="B54" s="36">
        <v>2021</v>
      </c>
      <c r="C54" s="72">
        <v>3.89</v>
      </c>
      <c r="D54" s="72">
        <v>68.13</v>
      </c>
      <c r="P54" s="73" t="s">
        <v>233</v>
      </c>
      <c r="Q54" s="73"/>
    </row>
    <row r="55" spans="2:21" x14ac:dyDescent="0.25">
      <c r="P55" t="s">
        <v>234</v>
      </c>
      <c r="Q55" s="64">
        <v>0.92442712559057516</v>
      </c>
    </row>
    <row r="56" spans="2:21" x14ac:dyDescent="0.25">
      <c r="P56" t="s">
        <v>235</v>
      </c>
      <c r="Q56" s="64">
        <v>0.85456551052765306</v>
      </c>
    </row>
    <row r="57" spans="2:21" x14ac:dyDescent="0.25">
      <c r="P57" t="s">
        <v>236</v>
      </c>
      <c r="Q57" s="64">
        <v>0.83745557058972986</v>
      </c>
    </row>
    <row r="58" spans="2:21" x14ac:dyDescent="0.25">
      <c r="P58" t="s">
        <v>237</v>
      </c>
      <c r="Q58" s="57">
        <v>824193.03854931914</v>
      </c>
    </row>
    <row r="59" spans="2:21" ht="15.75" thickBot="1" x14ac:dyDescent="0.3">
      <c r="P59" s="65" t="s">
        <v>238</v>
      </c>
      <c r="Q59" s="65">
        <v>20</v>
      </c>
    </row>
    <row r="61" spans="2:21" ht="15.75" thickBot="1" x14ac:dyDescent="0.3">
      <c r="P61" t="s">
        <v>239</v>
      </c>
    </row>
    <row r="62" spans="2:21" x14ac:dyDescent="0.25">
      <c r="P62" s="62"/>
      <c r="Q62" s="62" t="s">
        <v>240</v>
      </c>
      <c r="R62" s="62" t="s">
        <v>241</v>
      </c>
      <c r="S62" s="62" t="s">
        <v>242</v>
      </c>
      <c r="T62" s="62" t="s">
        <v>243</v>
      </c>
      <c r="U62" s="62" t="s">
        <v>244</v>
      </c>
    </row>
    <row r="63" spans="2:21" x14ac:dyDescent="0.25">
      <c r="P63" t="s">
        <v>245</v>
      </c>
      <c r="Q63">
        <v>2</v>
      </c>
      <c r="R63">
        <v>67855453244260.086</v>
      </c>
      <c r="S63">
        <v>33927726622130.043</v>
      </c>
      <c r="T63">
        <v>49.945558758716565</v>
      </c>
      <c r="U63">
        <v>7.6326085796403957E-8</v>
      </c>
    </row>
    <row r="64" spans="2:21" x14ac:dyDescent="0.25">
      <c r="P64" t="s">
        <v>246</v>
      </c>
      <c r="Q64">
        <v>17</v>
      </c>
      <c r="R64">
        <v>11548000801483.713</v>
      </c>
      <c r="S64">
        <v>679294164793.15955</v>
      </c>
    </row>
    <row r="65" spans="16:24" ht="15.75" thickBot="1" x14ac:dyDescent="0.3">
      <c r="P65" s="65" t="s">
        <v>67</v>
      </c>
      <c r="Q65" s="65">
        <v>19</v>
      </c>
      <c r="R65" s="65">
        <v>79403454045743.797</v>
      </c>
      <c r="S65" s="65"/>
      <c r="T65" s="65"/>
      <c r="U65" s="65"/>
    </row>
    <row r="66" spans="16:24" ht="15.75" thickBot="1" x14ac:dyDescent="0.3"/>
    <row r="67" spans="16:24" x14ac:dyDescent="0.25">
      <c r="P67" s="62"/>
      <c r="Q67" s="62" t="s">
        <v>247</v>
      </c>
      <c r="R67" s="62" t="s">
        <v>237</v>
      </c>
      <c r="S67" s="62" t="s">
        <v>248</v>
      </c>
      <c r="T67" s="62" t="s">
        <v>249</v>
      </c>
      <c r="U67" s="62" t="s">
        <v>250</v>
      </c>
      <c r="V67" s="62" t="s">
        <v>251</v>
      </c>
      <c r="W67" s="62" t="s">
        <v>252</v>
      </c>
      <c r="X67" s="62" t="s">
        <v>253</v>
      </c>
    </row>
    <row r="68" spans="16:24" x14ac:dyDescent="0.25">
      <c r="P68" t="s">
        <v>254</v>
      </c>
      <c r="Q68" s="86">
        <v>29128047.441605292</v>
      </c>
      <c r="R68" s="86">
        <v>2283332.1277132439</v>
      </c>
      <c r="S68" s="86">
        <v>12.756815834224264</v>
      </c>
      <c r="T68" s="86">
        <v>3.9260827506011077E-10</v>
      </c>
      <c r="U68" s="86">
        <v>24310637.749188598</v>
      </c>
      <c r="V68" s="86">
        <v>33945457.13402199</v>
      </c>
      <c r="W68" s="86">
        <v>24310637.749188598</v>
      </c>
      <c r="X68" s="86">
        <v>33945457.13402199</v>
      </c>
    </row>
    <row r="69" spans="16:24" x14ac:dyDescent="0.25">
      <c r="P69" t="s">
        <v>260</v>
      </c>
      <c r="Q69" s="87">
        <v>-132.92437831673632</v>
      </c>
      <c r="R69" s="87">
        <v>38.919953756311564</v>
      </c>
      <c r="S69" s="87">
        <v>-3.4153272418824563</v>
      </c>
      <c r="T69" s="87">
        <v>3.2965742481058133E-3</v>
      </c>
      <c r="U69" s="87">
        <v>-215.03830304035478</v>
      </c>
      <c r="V69" s="87">
        <v>-50.81045359311787</v>
      </c>
      <c r="W69" s="87">
        <v>-215.03830304035478</v>
      </c>
      <c r="X69" s="87">
        <v>-50.81045359311787</v>
      </c>
    </row>
    <row r="70" spans="16:24" ht="15.75" thickBot="1" x14ac:dyDescent="0.3">
      <c r="P70" s="65" t="s">
        <v>216</v>
      </c>
      <c r="Q70" s="88">
        <v>1.4178303703891695</v>
      </c>
      <c r="R70" s="88">
        <v>0.14826262642309432</v>
      </c>
      <c r="S70" s="88">
        <v>9.5629654255761878</v>
      </c>
      <c r="T70" s="88">
        <v>2.9685822388410073E-8</v>
      </c>
      <c r="U70" s="88">
        <v>1.1050235715512435</v>
      </c>
      <c r="V70" s="88">
        <v>1.7306371692270954</v>
      </c>
      <c r="W70" s="88">
        <v>1.1050235715512435</v>
      </c>
      <c r="X70" s="88">
        <v>1.7306371692270954</v>
      </c>
    </row>
    <row r="74" spans="16:24" x14ac:dyDescent="0.25">
      <c r="P74" s="81" t="s">
        <v>261</v>
      </c>
    </row>
    <row r="75" spans="16:24" x14ac:dyDescent="0.25">
      <c r="P75" t="s">
        <v>232</v>
      </c>
    </row>
    <row r="76" spans="16:24" ht="15.75" thickBot="1" x14ac:dyDescent="0.3"/>
    <row r="77" spans="16:24" x14ac:dyDescent="0.25">
      <c r="P77" s="73" t="s">
        <v>233</v>
      </c>
      <c r="Q77" s="73"/>
    </row>
    <row r="78" spans="16:24" x14ac:dyDescent="0.25">
      <c r="P78" t="s">
        <v>234</v>
      </c>
      <c r="Q78" s="89">
        <v>0.95097228645052612</v>
      </c>
    </row>
    <row r="79" spans="16:24" x14ac:dyDescent="0.25">
      <c r="P79" t="s">
        <v>235</v>
      </c>
      <c r="Q79" s="89">
        <v>0.90434828959694158</v>
      </c>
    </row>
    <row r="80" spans="16:24" x14ac:dyDescent="0.25">
      <c r="P80" t="s">
        <v>236</v>
      </c>
      <c r="Q80" s="89">
        <v>0.8864135938963682</v>
      </c>
    </row>
    <row r="81" spans="16:24" x14ac:dyDescent="0.25">
      <c r="P81" t="s">
        <v>237</v>
      </c>
      <c r="Q81" s="57">
        <v>688979.14479440369</v>
      </c>
    </row>
    <row r="82" spans="16:24" ht="15.75" thickBot="1" x14ac:dyDescent="0.3">
      <c r="P82" s="65" t="s">
        <v>238</v>
      </c>
      <c r="Q82" s="65">
        <v>20</v>
      </c>
    </row>
    <row r="84" spans="16:24" ht="15.75" thickBot="1" x14ac:dyDescent="0.3">
      <c r="P84" t="s">
        <v>239</v>
      </c>
    </row>
    <row r="85" spans="16:24" x14ac:dyDescent="0.25">
      <c r="P85" s="62"/>
      <c r="Q85" s="62" t="s">
        <v>240</v>
      </c>
      <c r="R85" s="62" t="s">
        <v>241</v>
      </c>
      <c r="S85" s="62" t="s">
        <v>242</v>
      </c>
      <c r="T85" s="62" t="s">
        <v>243</v>
      </c>
      <c r="U85" s="62" t="s">
        <v>244</v>
      </c>
    </row>
    <row r="86" spans="16:24" x14ac:dyDescent="0.25">
      <c r="P86" t="s">
        <v>245</v>
      </c>
      <c r="Q86">
        <v>3</v>
      </c>
      <c r="R86">
        <v>71808377854357.75</v>
      </c>
      <c r="S86">
        <v>23936125951452.582</v>
      </c>
      <c r="T86">
        <v>50.424512614843259</v>
      </c>
      <c r="U86">
        <v>2.2376314382178694E-8</v>
      </c>
    </row>
    <row r="87" spans="16:24" x14ac:dyDescent="0.25">
      <c r="P87" t="s">
        <v>246</v>
      </c>
      <c r="Q87">
        <v>16</v>
      </c>
      <c r="R87">
        <v>7595076191386.0449</v>
      </c>
      <c r="S87">
        <v>474692261961.62781</v>
      </c>
    </row>
    <row r="88" spans="16:24" ht="15.75" thickBot="1" x14ac:dyDescent="0.3">
      <c r="P88" s="65" t="s">
        <v>67</v>
      </c>
      <c r="Q88" s="65">
        <v>19</v>
      </c>
      <c r="R88" s="65">
        <v>79403454045743.797</v>
      </c>
      <c r="S88" s="65"/>
      <c r="T88" s="65"/>
      <c r="U88" s="65"/>
    </row>
    <row r="89" spans="16:24" ht="15.75" thickBot="1" x14ac:dyDescent="0.3"/>
    <row r="90" spans="16:24" x14ac:dyDescent="0.25">
      <c r="P90" s="62"/>
      <c r="Q90" s="62" t="s">
        <v>247</v>
      </c>
      <c r="R90" s="62" t="s">
        <v>237</v>
      </c>
      <c r="S90" s="62" t="s">
        <v>248</v>
      </c>
      <c r="T90" s="62" t="s">
        <v>249</v>
      </c>
      <c r="U90" s="62" t="s">
        <v>250</v>
      </c>
      <c r="V90" s="62" t="s">
        <v>251</v>
      </c>
      <c r="W90" s="62" t="s">
        <v>252</v>
      </c>
      <c r="X90" s="62" t="s">
        <v>253</v>
      </c>
    </row>
    <row r="91" spans="16:24" x14ac:dyDescent="0.25">
      <c r="P91" t="s">
        <v>254</v>
      </c>
      <c r="Q91" s="86">
        <v>28048746.674043611</v>
      </c>
      <c r="R91" s="86">
        <v>1945036.3761994394</v>
      </c>
      <c r="S91" s="86">
        <v>14.420679745255088</v>
      </c>
      <c r="T91" s="90">
        <v>1.3772514348728783E-10</v>
      </c>
      <c r="U91" s="86">
        <v>23925453.752960313</v>
      </c>
      <c r="V91" s="86">
        <v>32172039.595126908</v>
      </c>
      <c r="W91" s="86">
        <v>23925453.752960313</v>
      </c>
      <c r="X91" s="86">
        <v>32172039.595126908</v>
      </c>
    </row>
    <row r="92" spans="16:24" x14ac:dyDescent="0.25">
      <c r="P92" t="s">
        <v>214</v>
      </c>
      <c r="Q92" s="91">
        <v>-20227.186267096338</v>
      </c>
      <c r="R92" s="91">
        <v>7009.423239550425</v>
      </c>
      <c r="S92" s="91">
        <v>-2.8857133569799509</v>
      </c>
      <c r="T92" s="90">
        <v>1.0755098642738381E-2</v>
      </c>
      <c r="U92" s="91">
        <v>-35086.499737103899</v>
      </c>
      <c r="V92" s="91">
        <v>-5367.8727970887758</v>
      </c>
      <c r="W92" s="91">
        <v>-35086.499737103899</v>
      </c>
      <c r="X92" s="91">
        <v>-5367.8727970887758</v>
      </c>
    </row>
    <row r="93" spans="16:24" x14ac:dyDescent="0.25">
      <c r="P93" t="s">
        <v>213</v>
      </c>
      <c r="Q93" s="91">
        <v>-95.533785002109923</v>
      </c>
      <c r="R93" s="91">
        <v>35.020095345114903</v>
      </c>
      <c r="S93" s="91">
        <v>-2.727970442702873</v>
      </c>
      <c r="T93" s="90">
        <v>1.4892967424505745E-2</v>
      </c>
      <c r="U93" s="91">
        <v>-169.77307070345262</v>
      </c>
      <c r="V93" s="91">
        <v>-21.294499300767228</v>
      </c>
      <c r="W93" s="91">
        <v>-169.77307070345262</v>
      </c>
      <c r="X93" s="91">
        <v>-21.294499300767228</v>
      </c>
    </row>
    <row r="94" spans="16:24" ht="15.75" thickBot="1" x14ac:dyDescent="0.3">
      <c r="P94" s="65" t="s">
        <v>216</v>
      </c>
      <c r="Q94" s="92">
        <v>1.3757966983969354</v>
      </c>
      <c r="R94" s="92">
        <v>0.12479225512272117</v>
      </c>
      <c r="S94" s="92">
        <v>11.024696180415779</v>
      </c>
      <c r="T94" s="93">
        <v>6.9543216962663497E-9</v>
      </c>
      <c r="U94" s="92">
        <v>1.111248935460508</v>
      </c>
      <c r="V94" s="92">
        <v>1.6403444613333629</v>
      </c>
      <c r="W94" s="92">
        <v>1.111248935460508</v>
      </c>
      <c r="X94" s="92">
        <v>1.6403444613333629</v>
      </c>
    </row>
    <row r="97" spans="16:21" x14ac:dyDescent="0.25">
      <c r="P97" s="81" t="s">
        <v>262</v>
      </c>
    </row>
    <row r="98" spans="16:21" x14ac:dyDescent="0.25">
      <c r="P98" t="s">
        <v>232</v>
      </c>
    </row>
    <row r="99" spans="16:21" ht="15.75" thickBot="1" x14ac:dyDescent="0.3"/>
    <row r="100" spans="16:21" x14ac:dyDescent="0.25">
      <c r="P100" s="73" t="s">
        <v>233</v>
      </c>
      <c r="Q100" s="73"/>
    </row>
    <row r="101" spans="16:21" x14ac:dyDescent="0.25">
      <c r="P101" t="s">
        <v>234</v>
      </c>
      <c r="Q101">
        <v>0.96924460819509872</v>
      </c>
    </row>
    <row r="102" spans="16:21" x14ac:dyDescent="0.25">
      <c r="P102" t="s">
        <v>235</v>
      </c>
      <c r="Q102">
        <v>0.9394351105152704</v>
      </c>
    </row>
    <row r="103" spans="16:21" x14ac:dyDescent="0.25">
      <c r="P103" t="s">
        <v>236</v>
      </c>
      <c r="Q103">
        <v>0.92328447331934238</v>
      </c>
    </row>
    <row r="104" spans="16:21" x14ac:dyDescent="0.25">
      <c r="P104" t="s">
        <v>237</v>
      </c>
      <c r="Q104">
        <v>566219.12242442428</v>
      </c>
    </row>
    <row r="105" spans="16:21" ht="15.75" thickBot="1" x14ac:dyDescent="0.3">
      <c r="P105" s="65" t="s">
        <v>238</v>
      </c>
      <c r="Q105" s="65">
        <v>20</v>
      </c>
    </row>
    <row r="107" spans="16:21" ht="15.75" thickBot="1" x14ac:dyDescent="0.3">
      <c r="P107" t="s">
        <v>239</v>
      </c>
    </row>
    <row r="108" spans="16:21" x14ac:dyDescent="0.25">
      <c r="P108" s="62"/>
      <c r="Q108" s="62" t="s">
        <v>240</v>
      </c>
      <c r="R108" s="62" t="s">
        <v>241</v>
      </c>
      <c r="S108" s="62" t="s">
        <v>242</v>
      </c>
      <c r="T108" s="62" t="s">
        <v>243</v>
      </c>
      <c r="U108" s="62" t="s">
        <v>244</v>
      </c>
    </row>
    <row r="109" spans="16:21" x14ac:dyDescent="0.25">
      <c r="P109" t="s">
        <v>245</v>
      </c>
      <c r="Q109">
        <v>4</v>
      </c>
      <c r="R109">
        <v>74594392626757.516</v>
      </c>
      <c r="S109">
        <v>18648598156689.379</v>
      </c>
      <c r="T109">
        <v>58.167061715195551</v>
      </c>
      <c r="U109">
        <v>5.9186712985056637E-9</v>
      </c>
    </row>
    <row r="110" spans="16:21" x14ac:dyDescent="0.25">
      <c r="P110" t="s">
        <v>246</v>
      </c>
      <c r="Q110">
        <v>15</v>
      </c>
      <c r="R110">
        <v>4809061418986.2773</v>
      </c>
      <c r="S110">
        <v>320604094599.08514</v>
      </c>
    </row>
    <row r="111" spans="16:21" ht="15.75" thickBot="1" x14ac:dyDescent="0.3">
      <c r="P111" s="65" t="s">
        <v>67</v>
      </c>
      <c r="Q111" s="65">
        <v>19</v>
      </c>
      <c r="R111" s="65">
        <v>79403454045743.797</v>
      </c>
      <c r="S111" s="65"/>
      <c r="T111" s="65"/>
      <c r="U111" s="65"/>
    </row>
    <row r="112" spans="16:21" ht="15.75" thickBot="1" x14ac:dyDescent="0.3"/>
    <row r="113" spans="16:24" x14ac:dyDescent="0.25">
      <c r="P113" s="62"/>
      <c r="Q113" s="62" t="s">
        <v>247</v>
      </c>
      <c r="R113" s="62" t="s">
        <v>237</v>
      </c>
      <c r="S113" s="62" t="s">
        <v>248</v>
      </c>
      <c r="T113" s="62" t="s">
        <v>249</v>
      </c>
      <c r="U113" s="62" t="s">
        <v>250</v>
      </c>
      <c r="V113" s="62" t="s">
        <v>251</v>
      </c>
      <c r="W113" s="62" t="s">
        <v>252</v>
      </c>
      <c r="X113" s="62" t="s">
        <v>253</v>
      </c>
    </row>
    <row r="114" spans="16:24" x14ac:dyDescent="0.25">
      <c r="P114" t="s">
        <v>254</v>
      </c>
      <c r="Q114">
        <v>22151085.97393921</v>
      </c>
      <c r="R114">
        <v>2560811.2311893897</v>
      </c>
      <c r="S114">
        <v>8.6500268759173462</v>
      </c>
      <c r="T114">
        <v>3.2480414718559138E-7</v>
      </c>
      <c r="U114">
        <v>16692846.038956219</v>
      </c>
      <c r="V114">
        <v>27609325.908922203</v>
      </c>
      <c r="W114">
        <v>16692846.038956219</v>
      </c>
      <c r="X114">
        <v>27609325.908922203</v>
      </c>
    </row>
    <row r="115" spans="16:24" x14ac:dyDescent="0.25">
      <c r="P115" t="s">
        <v>224</v>
      </c>
      <c r="Q115">
        <v>-132.97454484973849</v>
      </c>
      <c r="R115">
        <v>45.108806581733091</v>
      </c>
      <c r="S115">
        <v>-2.9478621787255799</v>
      </c>
      <c r="T115">
        <v>9.9766728741957529E-3</v>
      </c>
      <c r="U115">
        <v>-229.12169013911722</v>
      </c>
      <c r="V115">
        <v>-36.827399560359751</v>
      </c>
      <c r="W115">
        <v>-229.12169013911722</v>
      </c>
      <c r="X115">
        <v>-36.827399560359751</v>
      </c>
    </row>
    <row r="116" spans="16:24" x14ac:dyDescent="0.25">
      <c r="P116" t="s">
        <v>225</v>
      </c>
      <c r="Q116">
        <v>-28854.806136586827</v>
      </c>
      <c r="R116">
        <v>6461.3652024676358</v>
      </c>
      <c r="S116">
        <v>-4.4657445032772634</v>
      </c>
      <c r="T116">
        <v>4.5323298556309395E-4</v>
      </c>
      <c r="U116">
        <v>-42626.880061082207</v>
      </c>
      <c r="V116">
        <v>-15082.732212091447</v>
      </c>
      <c r="W116">
        <v>-42626.880061082207</v>
      </c>
      <c r="X116">
        <v>-15082.732212091447</v>
      </c>
    </row>
    <row r="117" spans="16:24" x14ac:dyDescent="0.25">
      <c r="P117" t="s">
        <v>227</v>
      </c>
      <c r="Q117">
        <v>116.42185434769156</v>
      </c>
      <c r="R117">
        <v>77.447592432100066</v>
      </c>
      <c r="S117">
        <v>1.5032340023966666</v>
      </c>
      <c r="T117" s="94">
        <v>0.15353893253463277</v>
      </c>
      <c r="U117">
        <v>-48.653781346406717</v>
      </c>
      <c r="V117">
        <v>281.49749004178983</v>
      </c>
      <c r="W117">
        <v>-48.653781346406717</v>
      </c>
      <c r="X117">
        <v>281.49749004178983</v>
      </c>
    </row>
    <row r="118" spans="16:24" ht="15.75" thickBot="1" x14ac:dyDescent="0.3">
      <c r="P118" s="65" t="s">
        <v>228</v>
      </c>
      <c r="Q118" s="65">
        <v>1.012904715385784</v>
      </c>
      <c r="R118" s="65">
        <v>0.16022619538627905</v>
      </c>
      <c r="S118" s="65">
        <v>6.3217173255836041</v>
      </c>
      <c r="T118" s="65">
        <v>1.3702332338174677E-5</v>
      </c>
      <c r="U118" s="65">
        <v>0.67139066404292791</v>
      </c>
      <c r="V118" s="65">
        <v>1.35441876672864</v>
      </c>
      <c r="W118" s="65">
        <v>0.67139066404292791</v>
      </c>
      <c r="X118" s="65">
        <v>1.35441876672864</v>
      </c>
    </row>
    <row r="139" spans="14:14" x14ac:dyDescent="0.25">
      <c r="N139" t="s">
        <v>0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364F1-D293-4E11-9C1C-BF96ADFF090A}">
  <sheetPr codeName="Sheet16"/>
  <dimension ref="A1:W69"/>
  <sheetViews>
    <sheetView topLeftCell="F40" workbookViewId="0">
      <selection activeCell="G24" sqref="G24"/>
    </sheetView>
  </sheetViews>
  <sheetFormatPr defaultRowHeight="15" x14ac:dyDescent="0.25"/>
  <cols>
    <col min="3" max="3" width="40.85546875" bestFit="1" customWidth="1"/>
    <col min="4" max="4" width="31.28515625" customWidth="1"/>
    <col min="5" max="5" width="26.85546875" customWidth="1"/>
    <col min="6" max="6" width="16.5703125" customWidth="1"/>
    <col min="7" max="7" width="20.7109375" customWidth="1"/>
    <col min="8" max="8" width="16.5703125" customWidth="1"/>
    <col min="9" max="9" width="24.7109375" customWidth="1"/>
    <col min="10" max="10" width="20.85546875" bestFit="1" customWidth="1"/>
    <col min="11" max="11" width="21.140625" customWidth="1"/>
    <col min="12" max="12" width="18.85546875" bestFit="1" customWidth="1"/>
    <col min="15" max="15" width="22.140625" bestFit="1" customWidth="1"/>
    <col min="19" max="19" width="14.85546875" bestFit="1" customWidth="1"/>
  </cols>
  <sheetData>
    <row r="1" spans="1:20" x14ac:dyDescent="0.25">
      <c r="A1" t="s">
        <v>230</v>
      </c>
    </row>
    <row r="4" spans="1:20" ht="45" x14ac:dyDescent="0.25">
      <c r="B4" s="69" t="s">
        <v>173</v>
      </c>
      <c r="C4" s="70" t="s">
        <v>206</v>
      </c>
      <c r="D4" s="70" t="s">
        <v>207</v>
      </c>
      <c r="E4" s="70" t="s">
        <v>221</v>
      </c>
      <c r="F4" s="70" t="s">
        <v>222</v>
      </c>
      <c r="G4" s="70" t="s">
        <v>225</v>
      </c>
      <c r="H4" s="70" t="s">
        <v>223</v>
      </c>
      <c r="I4" s="70" t="s">
        <v>224</v>
      </c>
      <c r="J4" s="70" t="s">
        <v>227</v>
      </c>
      <c r="K4" s="70" t="s">
        <v>228</v>
      </c>
      <c r="L4" s="70" t="s">
        <v>219</v>
      </c>
      <c r="O4" s="81" t="s">
        <v>257</v>
      </c>
    </row>
    <row r="5" spans="1:20" x14ac:dyDescent="0.25">
      <c r="B5" s="60">
        <v>2002</v>
      </c>
      <c r="C5" s="71">
        <v>179.875</v>
      </c>
      <c r="D5" s="71">
        <v>10977.525000000001</v>
      </c>
      <c r="E5" s="72">
        <v>26.18</v>
      </c>
      <c r="F5" s="72">
        <v>3.96</v>
      </c>
      <c r="G5" s="72">
        <f>D34</f>
        <v>25.98</v>
      </c>
      <c r="H5" s="15">
        <v>1239613</v>
      </c>
      <c r="I5" s="15">
        <v>31257</v>
      </c>
      <c r="J5" s="15">
        <v>56990.8</v>
      </c>
      <c r="K5" s="15">
        <v>6389058</v>
      </c>
      <c r="L5" s="79">
        <f>SUM('Historical Data'!AG5,'Historical Data'!AN5,'Historical Data'!X5)</f>
        <v>3122136</v>
      </c>
      <c r="O5" t="s">
        <v>232</v>
      </c>
    </row>
    <row r="6" spans="1:20" ht="15.75" thickBot="1" x14ac:dyDescent="0.3">
      <c r="B6" s="60">
        <v>2003</v>
      </c>
      <c r="C6" s="71">
        <v>183.95833333333334</v>
      </c>
      <c r="D6" s="71">
        <v>11510.675000000001</v>
      </c>
      <c r="E6" s="72">
        <v>31.08</v>
      </c>
      <c r="F6" s="72">
        <v>3.38</v>
      </c>
      <c r="G6" s="72">
        <v>26.18</v>
      </c>
      <c r="H6" s="15">
        <v>1251154</v>
      </c>
      <c r="I6" s="15">
        <v>32467</v>
      </c>
      <c r="J6" s="15">
        <v>59978.8</v>
      </c>
      <c r="K6" s="15">
        <v>6380439</v>
      </c>
      <c r="L6" s="79">
        <f>SUM('Historical Data'!AG6,'Historical Data'!AN6,'Historical Data'!X6)</f>
        <v>3085782</v>
      </c>
    </row>
    <row r="7" spans="1:20" x14ac:dyDescent="0.25">
      <c r="B7" s="60">
        <v>2004</v>
      </c>
      <c r="C7" s="71">
        <v>188.88333333333335</v>
      </c>
      <c r="D7" s="71">
        <v>12274.925000000001</v>
      </c>
      <c r="E7" s="72">
        <v>41.51</v>
      </c>
      <c r="F7" s="72">
        <v>5.47</v>
      </c>
      <c r="G7" s="72">
        <v>31.08</v>
      </c>
      <c r="H7" s="15">
        <v>1273569</v>
      </c>
      <c r="I7" s="15">
        <v>34277</v>
      </c>
      <c r="J7" s="15">
        <v>63318.1</v>
      </c>
      <c r="K7" s="15">
        <v>6912094</v>
      </c>
      <c r="L7" s="79">
        <f>SUM('Historical Data'!AG7,'Historical Data'!AN7,'Historical Data'!X7)</f>
        <v>3229276</v>
      </c>
      <c r="O7" s="73" t="s">
        <v>233</v>
      </c>
      <c r="P7" s="73"/>
    </row>
    <row r="8" spans="1:20" x14ac:dyDescent="0.25">
      <c r="B8" s="60">
        <v>2005</v>
      </c>
      <c r="C8" s="71">
        <v>195.29166666666671</v>
      </c>
      <c r="D8" s="71">
        <v>13093.699999999999</v>
      </c>
      <c r="E8" s="72">
        <v>56.64</v>
      </c>
      <c r="F8" s="72">
        <v>5.89</v>
      </c>
      <c r="G8" s="72">
        <v>41.51</v>
      </c>
      <c r="H8" s="15">
        <v>1292729</v>
      </c>
      <c r="I8" s="15">
        <v>36375</v>
      </c>
      <c r="J8" s="15">
        <v>67123.899999999994</v>
      </c>
      <c r="K8" s="15">
        <v>7416574</v>
      </c>
      <c r="L8" s="79">
        <f>SUM('Historical Data'!AG8,'Historical Data'!AN8,'Historical Data'!X8)</f>
        <v>3284545</v>
      </c>
      <c r="O8" t="s">
        <v>234</v>
      </c>
      <c r="P8">
        <v>0.8044164274521125</v>
      </c>
    </row>
    <row r="9" spans="1:20" x14ac:dyDescent="0.25">
      <c r="B9" s="60">
        <v>2006</v>
      </c>
      <c r="C9" s="71">
        <v>201.5916666666667</v>
      </c>
      <c r="D9" s="71">
        <v>13855.9</v>
      </c>
      <c r="E9" s="72">
        <v>66.05</v>
      </c>
      <c r="F9" s="72">
        <v>8.69</v>
      </c>
      <c r="G9" s="72">
        <v>56.64</v>
      </c>
      <c r="H9" s="15">
        <v>1309731</v>
      </c>
      <c r="I9" s="15">
        <v>38480</v>
      </c>
      <c r="J9" s="15">
        <v>68759.3</v>
      </c>
      <c r="K9" s="15">
        <v>7528106</v>
      </c>
      <c r="L9" s="79">
        <f>SUM('Historical Data'!AG9,'Historical Data'!AN9,'Historical Data'!X9)</f>
        <v>3404134</v>
      </c>
      <c r="O9" t="s">
        <v>235</v>
      </c>
      <c r="P9">
        <v>0.6470857887548197</v>
      </c>
    </row>
    <row r="10" spans="1:20" x14ac:dyDescent="0.25">
      <c r="B10" s="60">
        <v>2007</v>
      </c>
      <c r="C10" s="71">
        <v>207.34241666666671</v>
      </c>
      <c r="D10" s="71">
        <v>14477.624999999998</v>
      </c>
      <c r="E10" s="72">
        <v>72.34</v>
      </c>
      <c r="F10" s="72">
        <v>6.73</v>
      </c>
      <c r="G10" s="72">
        <v>66.05</v>
      </c>
      <c r="H10" s="15">
        <v>1315675</v>
      </c>
      <c r="I10" s="15">
        <v>40490</v>
      </c>
      <c r="J10" s="15">
        <v>70080.399999999994</v>
      </c>
      <c r="K10" s="15">
        <v>7496820</v>
      </c>
      <c r="L10" s="79">
        <f>SUM('Historical Data'!AG10,'Historical Data'!AN10,'Historical Data'!X10)</f>
        <v>3340119</v>
      </c>
      <c r="O10" t="s">
        <v>236</v>
      </c>
      <c r="P10">
        <v>0.62747944368564301</v>
      </c>
    </row>
    <row r="11" spans="1:20" x14ac:dyDescent="0.25">
      <c r="B11" s="60">
        <v>2008</v>
      </c>
      <c r="C11" s="71">
        <v>215.30250000000001</v>
      </c>
      <c r="D11" s="71">
        <v>14718.574999999999</v>
      </c>
      <c r="E11" s="72">
        <v>99.67</v>
      </c>
      <c r="F11" s="72">
        <v>6.97</v>
      </c>
      <c r="G11" s="72">
        <v>72.34</v>
      </c>
      <c r="H11" s="15">
        <v>1332213</v>
      </c>
      <c r="I11" s="15">
        <v>41969</v>
      </c>
      <c r="J11" s="15">
        <v>70460.800000000003</v>
      </c>
      <c r="K11" s="15">
        <v>6713436</v>
      </c>
      <c r="L11" s="79">
        <f>SUM('Historical Data'!AG11,'Historical Data'!AN11,'Historical Data'!X11)</f>
        <v>3178595.73</v>
      </c>
      <c r="O11" t="s">
        <v>237</v>
      </c>
      <c r="P11">
        <v>157294.20663825504</v>
      </c>
    </row>
    <row r="12" spans="1:20" ht="15.75" thickBot="1" x14ac:dyDescent="0.3">
      <c r="B12" s="60">
        <v>2009</v>
      </c>
      <c r="C12" s="71">
        <v>214.53700000000001</v>
      </c>
      <c r="D12" s="71">
        <v>14418.725</v>
      </c>
      <c r="E12" s="72">
        <v>61.95</v>
      </c>
      <c r="F12" s="72">
        <v>8.86</v>
      </c>
      <c r="G12" s="72">
        <v>99.67</v>
      </c>
      <c r="H12" s="15">
        <v>1346717</v>
      </c>
      <c r="I12" s="15">
        <v>41082</v>
      </c>
      <c r="J12" s="15">
        <v>67927.5</v>
      </c>
      <c r="K12" s="15">
        <v>6420448</v>
      </c>
      <c r="L12" s="79">
        <f>SUM('Historical Data'!AG12,'Historical Data'!AN12,'Historical Data'!X12)</f>
        <v>3141775</v>
      </c>
      <c r="O12" s="65" t="s">
        <v>238</v>
      </c>
      <c r="P12" s="65">
        <v>20</v>
      </c>
    </row>
    <row r="13" spans="1:20" x14ac:dyDescent="0.25">
      <c r="B13" s="60">
        <v>2010</v>
      </c>
      <c r="C13" s="71">
        <v>218.05550000000002</v>
      </c>
      <c r="D13" s="71">
        <v>14964.400000000003</v>
      </c>
      <c r="E13" s="72">
        <v>79.48</v>
      </c>
      <c r="F13" s="72">
        <v>3.94</v>
      </c>
      <c r="G13" s="72">
        <v>61.95</v>
      </c>
      <c r="H13" s="15">
        <v>1364004</v>
      </c>
      <c r="I13" s="15">
        <v>41574</v>
      </c>
      <c r="J13" s="15">
        <v>69628.100000000006</v>
      </c>
      <c r="K13" s="15">
        <v>6916894</v>
      </c>
      <c r="L13" s="79">
        <f>SUM('Historical Data'!AG13,'Historical Data'!AN13,'Historical Data'!X13)</f>
        <v>3304335.5200000005</v>
      </c>
    </row>
    <row r="14" spans="1:20" ht="15.75" thickBot="1" x14ac:dyDescent="0.3">
      <c r="B14" s="60">
        <v>2011</v>
      </c>
      <c r="C14" s="71">
        <v>224.93916666666667</v>
      </c>
      <c r="D14" s="71">
        <v>15517.924999999997</v>
      </c>
      <c r="E14" s="72">
        <v>94.88</v>
      </c>
      <c r="F14" s="72">
        <v>4.37</v>
      </c>
      <c r="G14" s="72">
        <v>79.48</v>
      </c>
      <c r="H14" s="15">
        <v>1379562</v>
      </c>
      <c r="I14" s="15">
        <v>42809</v>
      </c>
      <c r="J14" s="15">
        <v>70646.600000000006</v>
      </c>
      <c r="K14" s="15">
        <v>7174397</v>
      </c>
      <c r="L14" s="79">
        <f>SUM('Historical Data'!AG14,'Historical Data'!AN14,'Historical Data'!X14)</f>
        <v>3301281.7800000003</v>
      </c>
      <c r="O14" t="s">
        <v>239</v>
      </c>
    </row>
    <row r="15" spans="1:20" x14ac:dyDescent="0.25">
      <c r="B15" s="60">
        <v>2012</v>
      </c>
      <c r="C15" s="71">
        <v>229.5939166666667</v>
      </c>
      <c r="D15" s="71">
        <v>16155.249999999995</v>
      </c>
      <c r="E15" s="72">
        <v>94.05</v>
      </c>
      <c r="F15" s="72">
        <v>4</v>
      </c>
      <c r="G15" s="72">
        <v>94.88</v>
      </c>
      <c r="H15" s="15">
        <v>1395199</v>
      </c>
      <c r="I15" s="15">
        <v>43812</v>
      </c>
      <c r="J15" s="15">
        <v>71905.3</v>
      </c>
      <c r="K15" s="15">
        <v>7867143</v>
      </c>
      <c r="L15" s="79">
        <f>SUM('Historical Data'!AG15,'Historical Data'!AN15,'Historical Data'!X15)</f>
        <v>3424452.8900000006</v>
      </c>
      <c r="O15" s="62"/>
      <c r="P15" s="62" t="s">
        <v>240</v>
      </c>
      <c r="Q15" s="62" t="s">
        <v>241</v>
      </c>
      <c r="R15" s="62" t="s">
        <v>242</v>
      </c>
      <c r="S15" s="62" t="s">
        <v>243</v>
      </c>
      <c r="T15" s="62" t="s">
        <v>244</v>
      </c>
    </row>
    <row r="16" spans="1:20" x14ac:dyDescent="0.25">
      <c r="B16" s="60">
        <v>2013</v>
      </c>
      <c r="C16" s="71">
        <v>232.95708333333332</v>
      </c>
      <c r="D16" s="71">
        <v>16691.499999999996</v>
      </c>
      <c r="E16" s="72">
        <v>97.98</v>
      </c>
      <c r="F16" s="72">
        <v>2.75</v>
      </c>
      <c r="G16" s="72">
        <v>94.05</v>
      </c>
      <c r="H16" s="15">
        <v>1408822</v>
      </c>
      <c r="I16" s="15">
        <v>43931</v>
      </c>
      <c r="J16" s="15">
        <v>73063.199999999997</v>
      </c>
      <c r="K16" s="15">
        <v>8003474</v>
      </c>
      <c r="L16" s="79">
        <f>SUM('Historical Data'!AG16,'Historical Data'!AN16,'Historical Data'!X16)</f>
        <v>3405868.0600000005</v>
      </c>
      <c r="O16" t="s">
        <v>245</v>
      </c>
      <c r="P16">
        <v>1</v>
      </c>
      <c r="Q16">
        <v>816564837461.74438</v>
      </c>
      <c r="R16">
        <v>816564837461.74438</v>
      </c>
      <c r="S16">
        <v>33.003896772790618</v>
      </c>
      <c r="T16">
        <v>1.9081990391040855E-5</v>
      </c>
    </row>
    <row r="17" spans="2:23" x14ac:dyDescent="0.25">
      <c r="B17" s="60">
        <v>2014</v>
      </c>
      <c r="C17" s="71">
        <v>236.73616666666666</v>
      </c>
      <c r="D17" s="71">
        <v>17393.100000000002</v>
      </c>
      <c r="E17" s="72">
        <v>93.17</v>
      </c>
      <c r="F17" s="72">
        <v>3.73</v>
      </c>
      <c r="G17" s="72">
        <v>97.98</v>
      </c>
      <c r="H17" s="15">
        <v>1415335</v>
      </c>
      <c r="I17" s="15">
        <v>46044</v>
      </c>
      <c r="J17" s="15">
        <v>73512.399999999994</v>
      </c>
      <c r="K17" s="15">
        <v>8196342</v>
      </c>
      <c r="L17" s="79">
        <f>SUM('Historical Data'!AG17,'Historical Data'!AN17,'Historical Data'!X17)</f>
        <v>3426644.37</v>
      </c>
      <c r="O17" t="s">
        <v>246</v>
      </c>
      <c r="P17">
        <v>18</v>
      </c>
      <c r="Q17">
        <v>445346413955.24536</v>
      </c>
      <c r="R17">
        <v>24741467441.958076</v>
      </c>
    </row>
    <row r="18" spans="2:23" ht="15.75" thickBot="1" x14ac:dyDescent="0.3">
      <c r="B18" s="60">
        <v>2015</v>
      </c>
      <c r="C18" s="71">
        <v>237.01700000000002</v>
      </c>
      <c r="D18" s="71">
        <v>18036.649999999998</v>
      </c>
      <c r="E18" s="72">
        <v>48.66</v>
      </c>
      <c r="F18" s="72">
        <v>4.37</v>
      </c>
      <c r="G18" s="72">
        <v>93.17</v>
      </c>
      <c r="H18" s="15">
        <v>1422999</v>
      </c>
      <c r="I18" s="15">
        <v>47777</v>
      </c>
      <c r="J18" s="15">
        <v>75869.5</v>
      </c>
      <c r="K18" s="15">
        <v>8563018</v>
      </c>
      <c r="L18" s="79">
        <f>SUM('Historical Data'!AG18,'Historical Data'!AN18,'Historical Data'!X18)</f>
        <v>3411912.8700000006</v>
      </c>
      <c r="O18" s="65" t="s">
        <v>67</v>
      </c>
      <c r="P18" s="65">
        <v>19</v>
      </c>
      <c r="Q18" s="65">
        <v>1261911251416.9897</v>
      </c>
      <c r="R18" s="65"/>
      <c r="S18" s="65"/>
      <c r="T18" s="65"/>
    </row>
    <row r="19" spans="2:23" ht="15.75" thickBot="1" x14ac:dyDescent="0.3">
      <c r="B19" s="60">
        <v>2016</v>
      </c>
      <c r="C19" s="71">
        <v>240.00716666666662</v>
      </c>
      <c r="D19" s="71">
        <v>18569.099999999999</v>
      </c>
      <c r="E19" s="72">
        <v>43.29</v>
      </c>
      <c r="F19" s="72">
        <v>2.62</v>
      </c>
      <c r="G19" s="72">
        <v>48.66</v>
      </c>
      <c r="H19" s="15">
        <v>1428885</v>
      </c>
      <c r="I19" s="15">
        <v>49122</v>
      </c>
      <c r="J19" s="15">
        <v>77303.899999999994</v>
      </c>
      <c r="K19" s="15">
        <v>8821802</v>
      </c>
      <c r="L19" s="79">
        <f>SUM('Historical Data'!AG19,'Historical Data'!AN19,'Historical Data'!X19)</f>
        <v>3477512.1000000006</v>
      </c>
    </row>
    <row r="20" spans="2:23" x14ac:dyDescent="0.25">
      <c r="B20" s="60">
        <v>2017</v>
      </c>
      <c r="C20" s="71">
        <v>245.11958333333334</v>
      </c>
      <c r="D20" s="71">
        <v>19386.800749999999</v>
      </c>
      <c r="E20" s="72">
        <v>50.8</v>
      </c>
      <c r="F20" s="72">
        <v>2.52</v>
      </c>
      <c r="G20" s="72">
        <v>43.29</v>
      </c>
      <c r="H20" s="15">
        <v>1425763</v>
      </c>
      <c r="I20" s="15">
        <v>51055</v>
      </c>
      <c r="J20" s="15">
        <v>78941.600000000006</v>
      </c>
      <c r="K20" s="15">
        <v>9277613</v>
      </c>
      <c r="L20" s="79">
        <f>SUM('Historical Data'!AG20,'Historical Data'!AN20,'Historical Data'!X20)</f>
        <v>3743192.2299999944</v>
      </c>
      <c r="O20" s="62"/>
      <c r="P20" s="62" t="s">
        <v>247</v>
      </c>
      <c r="Q20" s="62" t="s">
        <v>237</v>
      </c>
      <c r="R20" s="62" t="s">
        <v>248</v>
      </c>
      <c r="S20" s="62" t="s">
        <v>249</v>
      </c>
      <c r="T20" s="62" t="s">
        <v>250</v>
      </c>
      <c r="U20" s="62" t="s">
        <v>251</v>
      </c>
      <c r="V20" s="62" t="s">
        <v>252</v>
      </c>
      <c r="W20" s="62" t="s">
        <v>253</v>
      </c>
    </row>
    <row r="21" spans="2:23" x14ac:dyDescent="0.25">
      <c r="B21" s="60">
        <v>2018</v>
      </c>
      <c r="C21" s="71">
        <v>249.41435539608369</v>
      </c>
      <c r="D21" s="71">
        <v>19910.244332048809</v>
      </c>
      <c r="E21" s="72">
        <v>65.23</v>
      </c>
      <c r="F21" s="72">
        <v>2.99</v>
      </c>
      <c r="G21" s="72">
        <v>50.8</v>
      </c>
      <c r="H21" s="15">
        <v>1423102</v>
      </c>
      <c r="I21" s="15">
        <v>52174</v>
      </c>
      <c r="J21" s="15">
        <v>79854.7</v>
      </c>
      <c r="K21" s="15">
        <v>9761448</v>
      </c>
      <c r="L21" s="79">
        <f>SUM('Historical Data'!AG21,'Historical Data'!AN21,'Historical Data'!X21)</f>
        <v>3791047.3700000043</v>
      </c>
      <c r="O21" t="s">
        <v>254</v>
      </c>
      <c r="P21">
        <v>2410557.7247946276</v>
      </c>
      <c r="Q21">
        <v>172910.66096378642</v>
      </c>
      <c r="R21">
        <v>13.941058991726852</v>
      </c>
      <c r="S21">
        <v>4.3595581706194086E-11</v>
      </c>
      <c r="T21">
        <v>2047285.9061831632</v>
      </c>
      <c r="U21">
        <v>2773829.5434060921</v>
      </c>
      <c r="V21">
        <v>2047285.9061831632</v>
      </c>
      <c r="W21">
        <v>2773829.5434060921</v>
      </c>
    </row>
    <row r="22" spans="2:23" ht="15.75" thickBot="1" x14ac:dyDescent="0.3">
      <c r="B22" s="60">
        <v>2019</v>
      </c>
      <c r="C22" s="71">
        <v>253.15557072702492</v>
      </c>
      <c r="D22" s="71">
        <v>20408.000440350028</v>
      </c>
      <c r="E22" s="72">
        <v>56.99</v>
      </c>
      <c r="F22" s="72">
        <v>3.15</v>
      </c>
      <c r="G22" s="72">
        <v>65.23</v>
      </c>
      <c r="H22" s="15">
        <v>1415615</v>
      </c>
      <c r="I22" s="15">
        <v>53888</v>
      </c>
      <c r="J22" s="15">
        <v>79175.399999999994</v>
      </c>
      <c r="K22" s="15">
        <v>10243165</v>
      </c>
      <c r="L22" s="79">
        <f>SUM('Historical Data'!AG22,'Historical Data'!AN22,'Historical Data'!X22)</f>
        <v>3853212.67</v>
      </c>
      <c r="O22" s="65" t="s">
        <v>228</v>
      </c>
      <c r="P22" s="65">
        <v>0.13002469977012515</v>
      </c>
      <c r="Q22" s="65">
        <v>2.2633058690451062E-2</v>
      </c>
      <c r="R22" s="65">
        <v>5.7449018070625542</v>
      </c>
      <c r="S22" s="65">
        <v>1.9081990391040889E-5</v>
      </c>
      <c r="T22" s="65">
        <v>8.2474407929287563E-2</v>
      </c>
      <c r="U22" s="65">
        <v>0.17757499161096274</v>
      </c>
      <c r="V22" s="65">
        <v>8.2474407929287563E-2</v>
      </c>
      <c r="W22" s="65">
        <v>0.17757499161096274</v>
      </c>
    </row>
    <row r="23" spans="2:23" x14ac:dyDescent="0.25">
      <c r="B23" s="60">
        <v>2020</v>
      </c>
      <c r="C23" s="71">
        <v>258.21868214156541</v>
      </c>
      <c r="D23" s="71">
        <v>20918.200451358778</v>
      </c>
      <c r="E23" s="72">
        <v>39.159999999999997</v>
      </c>
      <c r="F23" s="72">
        <v>2.56</v>
      </c>
      <c r="G23" s="72">
        <v>56.99</v>
      </c>
      <c r="H23" s="15">
        <v>1451911</v>
      </c>
      <c r="I23" s="15">
        <v>56840</v>
      </c>
      <c r="J23" s="15">
        <v>70625.2</v>
      </c>
      <c r="K23" s="15">
        <v>2678073</v>
      </c>
      <c r="L23" s="79">
        <f>SUM('Historical Data'!AG23,'Historical Data'!AN23,'Historical Data'!X23)</f>
        <v>2907340.37</v>
      </c>
    </row>
    <row r="24" spans="2:23" x14ac:dyDescent="0.25">
      <c r="B24" s="60">
        <v>2021</v>
      </c>
      <c r="C24" s="71">
        <v>263.38305578439673</v>
      </c>
      <c r="D24" s="71">
        <v>21441.155462642746</v>
      </c>
      <c r="E24" s="72">
        <v>68.13</v>
      </c>
      <c r="F24" s="72">
        <v>2.0299999999999998</v>
      </c>
      <c r="G24" s="72">
        <v>39.159999999999997</v>
      </c>
      <c r="H24" s="15">
        <v>1441553</v>
      </c>
      <c r="I24" s="15">
        <v>60389</v>
      </c>
      <c r="J24" s="15">
        <v>73879.5</v>
      </c>
      <c r="K24" s="15">
        <v>6840000</v>
      </c>
      <c r="L24" s="79">
        <f>SUM('Historical Data'!AG24,'Historical Data'!AN24,'Historical Data'!X24)</f>
        <v>3829731.3499999996</v>
      </c>
    </row>
    <row r="25" spans="2:23" x14ac:dyDescent="0.25">
      <c r="B25" s="60"/>
      <c r="F25" s="78" t="s">
        <v>0</v>
      </c>
      <c r="G25" s="78"/>
      <c r="I25" s="79"/>
    </row>
    <row r="27" spans="2:23" x14ac:dyDescent="0.25">
      <c r="O27" s="81" t="s">
        <v>259</v>
      </c>
    </row>
    <row r="29" spans="2:23" x14ac:dyDescent="0.25">
      <c r="O29" t="s">
        <v>232</v>
      </c>
    </row>
    <row r="30" spans="2:23" ht="15.75" thickBot="1" x14ac:dyDescent="0.3"/>
    <row r="31" spans="2:23" x14ac:dyDescent="0.25">
      <c r="O31" s="73" t="s">
        <v>233</v>
      </c>
      <c r="P31" s="73"/>
      <c r="S31" t="s">
        <v>20</v>
      </c>
    </row>
    <row r="32" spans="2:23" x14ac:dyDescent="0.25">
      <c r="B32" t="s">
        <v>263</v>
      </c>
      <c r="O32" t="s">
        <v>234</v>
      </c>
      <c r="P32">
        <v>0.86913169124293144</v>
      </c>
    </row>
    <row r="33" spans="2:23" ht="30" x14ac:dyDescent="0.25">
      <c r="B33" s="55" t="s">
        <v>173</v>
      </c>
      <c r="C33" s="70" t="s">
        <v>258</v>
      </c>
      <c r="D33" s="70" t="s">
        <v>221</v>
      </c>
      <c r="O33" t="s">
        <v>235</v>
      </c>
      <c r="P33">
        <v>0.75538989672279822</v>
      </c>
    </row>
    <row r="34" spans="2:23" x14ac:dyDescent="0.25">
      <c r="B34" s="36">
        <v>2001</v>
      </c>
      <c r="C34" s="72">
        <v>3.96</v>
      </c>
      <c r="D34" s="72">
        <v>25.98</v>
      </c>
      <c r="O34" t="s">
        <v>236</v>
      </c>
      <c r="P34">
        <v>0.72661223751371562</v>
      </c>
    </row>
    <row r="35" spans="2:23" x14ac:dyDescent="0.25">
      <c r="B35" s="36">
        <v>2002</v>
      </c>
      <c r="C35" s="72">
        <v>3.38</v>
      </c>
      <c r="D35" s="72">
        <v>26.18</v>
      </c>
      <c r="O35" t="s">
        <v>237</v>
      </c>
      <c r="P35">
        <v>134749.49340421477</v>
      </c>
    </row>
    <row r="36" spans="2:23" ht="15.75" thickBot="1" x14ac:dyDescent="0.3">
      <c r="B36" s="36">
        <v>2003</v>
      </c>
      <c r="C36" s="72">
        <v>5.47</v>
      </c>
      <c r="D36" s="72">
        <v>31.08</v>
      </c>
      <c r="O36" s="65" t="s">
        <v>238</v>
      </c>
      <c r="P36" s="65">
        <v>20</v>
      </c>
    </row>
    <row r="37" spans="2:23" x14ac:dyDescent="0.25">
      <c r="B37" s="36">
        <v>2004</v>
      </c>
      <c r="C37" s="72">
        <v>5.89</v>
      </c>
      <c r="D37" s="72">
        <v>41.51</v>
      </c>
    </row>
    <row r="38" spans="2:23" ht="15.75" thickBot="1" x14ac:dyDescent="0.3">
      <c r="B38" s="36">
        <v>2005</v>
      </c>
      <c r="C38" s="72">
        <v>8.69</v>
      </c>
      <c r="D38" s="72">
        <v>56.64</v>
      </c>
      <c r="O38" t="s">
        <v>239</v>
      </c>
    </row>
    <row r="39" spans="2:23" x14ac:dyDescent="0.25">
      <c r="B39" s="36">
        <v>2006</v>
      </c>
      <c r="C39" s="72">
        <v>6.73</v>
      </c>
      <c r="D39" s="72">
        <v>66.05</v>
      </c>
      <c r="O39" s="62"/>
      <c r="P39" s="62" t="s">
        <v>240</v>
      </c>
      <c r="Q39" s="62" t="s">
        <v>241</v>
      </c>
      <c r="R39" s="62" t="s">
        <v>242</v>
      </c>
      <c r="S39" s="62" t="s">
        <v>243</v>
      </c>
      <c r="T39" s="62" t="s">
        <v>244</v>
      </c>
    </row>
    <row r="40" spans="2:23" x14ac:dyDescent="0.25">
      <c r="B40" s="36">
        <v>2007</v>
      </c>
      <c r="C40" s="72">
        <v>6.97</v>
      </c>
      <c r="D40" s="72">
        <v>72.34</v>
      </c>
      <c r="O40" t="s">
        <v>245</v>
      </c>
      <c r="P40">
        <v>2</v>
      </c>
      <c r="Q40">
        <v>953235009881.21692</v>
      </c>
      <c r="R40">
        <v>476617504940.60846</v>
      </c>
      <c r="S40">
        <v>26.249177920780586</v>
      </c>
      <c r="T40">
        <v>6.3391689035924332E-6</v>
      </c>
    </row>
    <row r="41" spans="2:23" x14ac:dyDescent="0.25">
      <c r="B41" s="36">
        <v>2008</v>
      </c>
      <c r="C41" s="72">
        <v>8.86</v>
      </c>
      <c r="D41" s="72">
        <v>99.67</v>
      </c>
      <c r="O41" t="s">
        <v>246</v>
      </c>
      <c r="P41">
        <v>17</v>
      </c>
      <c r="Q41">
        <v>308676241535.77283</v>
      </c>
      <c r="R41">
        <v>18157425972.69252</v>
      </c>
    </row>
    <row r="42" spans="2:23" ht="15.75" thickBot="1" x14ac:dyDescent="0.3">
      <c r="B42" s="36">
        <v>2009</v>
      </c>
      <c r="C42" s="72">
        <v>3.94</v>
      </c>
      <c r="D42" s="72">
        <v>61.95</v>
      </c>
      <c r="O42" s="65" t="s">
        <v>67</v>
      </c>
      <c r="P42" s="65">
        <v>19</v>
      </c>
      <c r="Q42" s="65">
        <v>1261911251416.9897</v>
      </c>
      <c r="R42" s="65"/>
      <c r="S42" s="65"/>
      <c r="T42" s="65"/>
    </row>
    <row r="43" spans="2:23" ht="15.75" thickBot="1" x14ac:dyDescent="0.3">
      <c r="B43" s="36">
        <v>2010</v>
      </c>
      <c r="C43" s="72">
        <v>4.37</v>
      </c>
      <c r="D43" s="72">
        <v>79.48</v>
      </c>
    </row>
    <row r="44" spans="2:23" x14ac:dyDescent="0.25">
      <c r="B44" s="36">
        <v>2011</v>
      </c>
      <c r="C44" s="72">
        <v>4</v>
      </c>
      <c r="D44" s="72">
        <v>94.88</v>
      </c>
      <c r="O44" s="62"/>
      <c r="P44" s="62" t="s">
        <v>247</v>
      </c>
      <c r="Q44" s="62" t="s">
        <v>237</v>
      </c>
      <c r="R44" s="62" t="s">
        <v>248</v>
      </c>
      <c r="S44" s="62" t="s">
        <v>249</v>
      </c>
      <c r="T44" s="62" t="s">
        <v>250</v>
      </c>
      <c r="U44" s="62" t="s">
        <v>251</v>
      </c>
      <c r="V44" s="62" t="s">
        <v>252</v>
      </c>
      <c r="W44" s="62" t="s">
        <v>253</v>
      </c>
    </row>
    <row r="45" spans="2:23" x14ac:dyDescent="0.25">
      <c r="B45" s="36">
        <v>2012</v>
      </c>
      <c r="C45" s="72">
        <v>2.75</v>
      </c>
      <c r="D45" s="72">
        <v>94.05</v>
      </c>
      <c r="O45" t="s">
        <v>254</v>
      </c>
      <c r="P45">
        <v>1470454.9966327774</v>
      </c>
      <c r="Q45">
        <v>373307.99107995152</v>
      </c>
      <c r="R45">
        <v>3.9389861234388883</v>
      </c>
      <c r="S45">
        <v>1.0583120486369502E-3</v>
      </c>
      <c r="T45">
        <v>682843.98172263475</v>
      </c>
      <c r="U45">
        <v>2258066.01154292</v>
      </c>
      <c r="V45">
        <v>682843.98172263475</v>
      </c>
      <c r="W45">
        <v>2258066.01154292</v>
      </c>
    </row>
    <row r="46" spans="2:23" x14ac:dyDescent="0.25">
      <c r="B46" s="36">
        <v>2013</v>
      </c>
      <c r="C46" s="72">
        <v>3.73</v>
      </c>
      <c r="D46" s="72">
        <v>97.98</v>
      </c>
      <c r="O46" t="s">
        <v>227</v>
      </c>
      <c r="P46">
        <v>17.457427405164161</v>
      </c>
      <c r="Q46">
        <v>6.3631258779002957</v>
      </c>
      <c r="R46">
        <v>2.7435301045662737</v>
      </c>
      <c r="S46">
        <v>1.3854582664102E-2</v>
      </c>
      <c r="T46">
        <v>4.0324053042558159</v>
      </c>
      <c r="U46">
        <v>30.882449506072504</v>
      </c>
      <c r="V46">
        <v>4.0324053042558159</v>
      </c>
      <c r="W46">
        <v>30.882449506072504</v>
      </c>
    </row>
    <row r="47" spans="2:23" ht="15.75" thickBot="1" x14ac:dyDescent="0.3">
      <c r="B47" s="36">
        <v>2014</v>
      </c>
      <c r="C47" s="72">
        <v>4.37</v>
      </c>
      <c r="D47" s="72">
        <v>93.17</v>
      </c>
      <c r="O47" s="65" t="s">
        <v>228</v>
      </c>
      <c r="P47" s="65">
        <v>9.0112889748323488E-2</v>
      </c>
      <c r="Q47" s="65">
        <v>2.4239847786696415E-2</v>
      </c>
      <c r="R47" s="65">
        <v>3.7175517990579237</v>
      </c>
      <c r="S47" s="65">
        <v>1.7113522121738169E-3</v>
      </c>
      <c r="T47" s="65">
        <v>3.8971281283642939E-2</v>
      </c>
      <c r="U47" s="65">
        <v>0.14125449821300404</v>
      </c>
      <c r="V47" s="65">
        <v>3.8971281283642939E-2</v>
      </c>
      <c r="W47" s="65">
        <v>0.14125449821300404</v>
      </c>
    </row>
    <row r="48" spans="2:23" x14ac:dyDescent="0.25">
      <c r="B48" s="36">
        <v>2015</v>
      </c>
      <c r="C48" s="72">
        <v>2.62</v>
      </c>
      <c r="D48" s="72">
        <v>48.66</v>
      </c>
    </row>
    <row r="49" spans="2:20" x14ac:dyDescent="0.25">
      <c r="B49" s="36">
        <v>2016</v>
      </c>
      <c r="C49" s="72">
        <v>2.52</v>
      </c>
      <c r="D49" s="72">
        <v>43.29</v>
      </c>
      <c r="O49" s="81" t="s">
        <v>261</v>
      </c>
    </row>
    <row r="50" spans="2:20" x14ac:dyDescent="0.25">
      <c r="B50" s="36">
        <v>2017</v>
      </c>
      <c r="C50" s="72">
        <v>2.99</v>
      </c>
      <c r="D50" s="72">
        <v>50.8</v>
      </c>
      <c r="O50" t="s">
        <v>232</v>
      </c>
    </row>
    <row r="51" spans="2:20" ht="15.75" thickBot="1" x14ac:dyDescent="0.3">
      <c r="B51" s="36">
        <v>2018</v>
      </c>
      <c r="C51" s="72">
        <v>3.15</v>
      </c>
      <c r="D51" s="72">
        <v>65.23</v>
      </c>
    </row>
    <row r="52" spans="2:20" x14ac:dyDescent="0.25">
      <c r="B52" s="36">
        <v>2019</v>
      </c>
      <c r="C52" s="72">
        <v>2.56</v>
      </c>
      <c r="D52" s="72">
        <v>56.99</v>
      </c>
      <c r="O52" s="73" t="s">
        <v>233</v>
      </c>
      <c r="P52" s="73"/>
    </row>
    <row r="53" spans="2:20" x14ac:dyDescent="0.25">
      <c r="B53" s="36">
        <v>2020</v>
      </c>
      <c r="C53" s="72">
        <v>2.0299999999999998</v>
      </c>
      <c r="D53" s="72">
        <v>39.159999999999997</v>
      </c>
      <c r="O53" t="s">
        <v>234</v>
      </c>
      <c r="P53">
        <v>0.95976117217716805</v>
      </c>
    </row>
    <row r="54" spans="2:20" x14ac:dyDescent="0.25">
      <c r="B54" s="36">
        <v>2021</v>
      </c>
      <c r="C54" s="72">
        <v>3.89</v>
      </c>
      <c r="D54" s="72">
        <v>68.13</v>
      </c>
      <c r="O54" t="s">
        <v>235</v>
      </c>
      <c r="P54">
        <v>0.92114150761889158</v>
      </c>
    </row>
    <row r="55" spans="2:20" x14ac:dyDescent="0.25">
      <c r="O55" t="s">
        <v>236</v>
      </c>
      <c r="P55">
        <v>0.9063555402974337</v>
      </c>
    </row>
    <row r="56" spans="2:20" x14ac:dyDescent="0.25">
      <c r="O56" t="s">
        <v>237</v>
      </c>
      <c r="P56">
        <v>78863.972606912605</v>
      </c>
    </row>
    <row r="57" spans="2:20" ht="15.75" thickBot="1" x14ac:dyDescent="0.3">
      <c r="O57" s="65" t="s">
        <v>238</v>
      </c>
      <c r="P57" s="65">
        <v>20</v>
      </c>
    </row>
    <row r="59" spans="2:20" ht="15.75" thickBot="1" x14ac:dyDescent="0.3">
      <c r="O59" t="s">
        <v>239</v>
      </c>
    </row>
    <row r="60" spans="2:20" x14ac:dyDescent="0.25">
      <c r="O60" s="62"/>
      <c r="P60" s="62" t="s">
        <v>240</v>
      </c>
      <c r="Q60" s="62" t="s">
        <v>241</v>
      </c>
      <c r="R60" s="62" t="s">
        <v>242</v>
      </c>
      <c r="S60" s="62" t="s">
        <v>243</v>
      </c>
      <c r="T60" s="62" t="s">
        <v>244</v>
      </c>
    </row>
    <row r="61" spans="2:20" x14ac:dyDescent="0.25">
      <c r="O61" t="s">
        <v>245</v>
      </c>
      <c r="P61">
        <v>3</v>
      </c>
      <c r="Q61">
        <v>1162398832611.488</v>
      </c>
      <c r="R61">
        <v>387466277537.16266</v>
      </c>
      <c r="S61">
        <v>62.29835949130652</v>
      </c>
      <c r="T61">
        <v>4.8144914510930989E-9</v>
      </c>
    </row>
    <row r="62" spans="2:20" x14ac:dyDescent="0.25">
      <c r="O62" t="s">
        <v>246</v>
      </c>
      <c r="P62">
        <v>16</v>
      </c>
      <c r="Q62">
        <v>99512418805.501801</v>
      </c>
      <c r="R62">
        <v>6219526175.3438625</v>
      </c>
    </row>
    <row r="63" spans="2:20" ht="15.75" thickBot="1" x14ac:dyDescent="0.3">
      <c r="O63" s="65" t="s">
        <v>67</v>
      </c>
      <c r="P63" s="65">
        <v>19</v>
      </c>
      <c r="Q63" s="65">
        <v>1261911251416.9897</v>
      </c>
      <c r="R63" s="65"/>
      <c r="S63" s="65"/>
      <c r="T63" s="65"/>
    </row>
    <row r="64" spans="2:20" ht="15.75" thickBot="1" x14ac:dyDescent="0.3"/>
    <row r="65" spans="15:23" x14ac:dyDescent="0.25">
      <c r="O65" s="62"/>
      <c r="P65" s="62" t="s">
        <v>247</v>
      </c>
      <c r="Q65" s="62" t="s">
        <v>237</v>
      </c>
      <c r="R65" s="62" t="s">
        <v>248</v>
      </c>
      <c r="S65" s="62" t="s">
        <v>249</v>
      </c>
      <c r="T65" s="62" t="s">
        <v>250</v>
      </c>
      <c r="U65" s="62" t="s">
        <v>251</v>
      </c>
      <c r="V65" s="62" t="s">
        <v>252</v>
      </c>
      <c r="W65" s="62" t="s">
        <v>253</v>
      </c>
    </row>
    <row r="66" spans="15:23" x14ac:dyDescent="0.25">
      <c r="O66" t="s">
        <v>254</v>
      </c>
      <c r="P66" s="95">
        <v>2798679.0615576338</v>
      </c>
      <c r="Q66" s="95">
        <v>316533.21640597226</v>
      </c>
      <c r="R66" s="95">
        <v>8.8416599475240076</v>
      </c>
      <c r="S66" s="95">
        <v>1.4797532736122352E-7</v>
      </c>
      <c r="T66" s="95">
        <v>2127658.6187190646</v>
      </c>
      <c r="U66" s="95">
        <v>3469699.504396203</v>
      </c>
      <c r="V66" s="95">
        <v>2127658.6187190646</v>
      </c>
      <c r="W66" s="95">
        <v>3469699.504396203</v>
      </c>
    </row>
    <row r="67" spans="15:23" x14ac:dyDescent="0.25">
      <c r="O67" t="s">
        <v>224</v>
      </c>
      <c r="P67" s="95">
        <v>32.483030667626622</v>
      </c>
      <c r="Q67" s="95">
        <v>5.6013396364692882</v>
      </c>
      <c r="R67" s="95">
        <v>5.7991539124204516</v>
      </c>
      <c r="S67" s="95">
        <v>2.714731149531781E-5</v>
      </c>
      <c r="T67" s="95">
        <v>20.608721089537319</v>
      </c>
      <c r="U67" s="95">
        <v>44.357340245715925</v>
      </c>
      <c r="V67" s="95">
        <v>20.608721089537319</v>
      </c>
      <c r="W67" s="95">
        <v>44.357340245715925</v>
      </c>
    </row>
    <row r="68" spans="15:23" x14ac:dyDescent="0.25">
      <c r="O68" t="s">
        <v>227</v>
      </c>
      <c r="P68" s="95">
        <v>-30.423227206968857</v>
      </c>
      <c r="Q68" s="95">
        <v>9.0575155087487964</v>
      </c>
      <c r="R68" s="95">
        <v>-3.3588931951132279</v>
      </c>
      <c r="S68" s="95">
        <v>3.9917256342123968E-3</v>
      </c>
      <c r="T68" s="95">
        <v>-49.624302331744133</v>
      </c>
      <c r="U68" s="95">
        <v>-11.222152082193581</v>
      </c>
      <c r="V68" s="95">
        <v>-49.624302331744133</v>
      </c>
      <c r="W68" s="95">
        <v>-11.222152082193581</v>
      </c>
    </row>
    <row r="69" spans="15:23" ht="15.75" thickBot="1" x14ac:dyDescent="0.3">
      <c r="O69" s="65" t="s">
        <v>228</v>
      </c>
      <c r="P69" s="96">
        <v>0.17438050255425058</v>
      </c>
      <c r="Q69" s="96">
        <v>2.0307953293234912E-2</v>
      </c>
      <c r="R69" s="96">
        <v>8.5868083324941011</v>
      </c>
      <c r="S69" s="96">
        <v>2.1876218819259648E-7</v>
      </c>
      <c r="T69" s="96">
        <v>0.13132956475158414</v>
      </c>
      <c r="U69" s="96">
        <v>0.21743144035691703</v>
      </c>
      <c r="V69" s="96">
        <v>0.13132956475158414</v>
      </c>
      <c r="W69" s="96">
        <v>0.21743144035691703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EDACD-DD78-4EB1-89BC-E1A883C3A025}">
  <sheetPr codeName="Sheet17"/>
  <dimension ref="B2:S129"/>
  <sheetViews>
    <sheetView zoomScale="85" zoomScaleNormal="85" workbookViewId="0">
      <selection activeCell="F14" sqref="F14"/>
    </sheetView>
  </sheetViews>
  <sheetFormatPr defaultRowHeight="15" x14ac:dyDescent="0.25"/>
  <cols>
    <col min="2" max="2" width="25.140625" customWidth="1"/>
    <col min="3" max="10" width="32.85546875" customWidth="1"/>
  </cols>
  <sheetData>
    <row r="2" spans="2:10" x14ac:dyDescent="0.25">
      <c r="B2" t="s">
        <v>13</v>
      </c>
      <c r="C2" s="60" t="str">
        <f>'Dash Demand'!C2</f>
        <v>Base</v>
      </c>
    </row>
    <row r="3" spans="2:10" x14ac:dyDescent="0.25">
      <c r="J3" s="97" t="s">
        <v>0</v>
      </c>
    </row>
    <row r="4" spans="2:10" ht="30" x14ac:dyDescent="0.25">
      <c r="B4" s="69" t="s">
        <v>173</v>
      </c>
      <c r="C4" s="98" t="s">
        <v>206</v>
      </c>
      <c r="D4" s="98" t="s">
        <v>207</v>
      </c>
      <c r="E4" s="98" t="s">
        <v>228</v>
      </c>
      <c r="F4" s="98" t="s">
        <v>264</v>
      </c>
      <c r="G4" s="98" t="s">
        <v>223</v>
      </c>
      <c r="H4" s="69" t="s">
        <v>227</v>
      </c>
      <c r="I4" s="98" t="s">
        <v>265</v>
      </c>
      <c r="J4" s="98" t="s">
        <v>224</v>
      </c>
    </row>
    <row r="5" spans="2:10" x14ac:dyDescent="0.25">
      <c r="B5" s="60">
        <v>2002</v>
      </c>
      <c r="C5" s="74">
        <v>179.875</v>
      </c>
      <c r="D5" s="74">
        <v>10977.525000000001</v>
      </c>
      <c r="E5" s="99">
        <v>6389058</v>
      </c>
      <c r="F5" s="100">
        <f>'Hist Reg (Oahu)'!C34</f>
        <v>3.96</v>
      </c>
      <c r="G5" s="101">
        <v>1239613</v>
      </c>
      <c r="H5" s="101">
        <v>56990.8</v>
      </c>
      <c r="I5" s="100">
        <f>'Hist Reg (Oahu)'!D34</f>
        <v>25.98</v>
      </c>
      <c r="J5" s="74">
        <v>31257</v>
      </c>
    </row>
    <row r="6" spans="2:10" x14ac:dyDescent="0.25">
      <c r="B6" s="60">
        <v>2003</v>
      </c>
      <c r="C6" s="74">
        <v>183.95833333333334</v>
      </c>
      <c r="D6" s="74">
        <v>11510.675000000001</v>
      </c>
      <c r="E6" s="99">
        <v>6380439</v>
      </c>
      <c r="F6" s="100">
        <f>'Hist Reg (Oahu)'!C35</f>
        <v>3.38</v>
      </c>
      <c r="G6" s="101">
        <v>1251154</v>
      </c>
      <c r="H6" s="101">
        <v>59978.8</v>
      </c>
      <c r="I6" s="100">
        <f>'Hist Reg (Oahu)'!D35</f>
        <v>26.18</v>
      </c>
      <c r="J6" s="74">
        <v>32467</v>
      </c>
    </row>
    <row r="7" spans="2:10" x14ac:dyDescent="0.25">
      <c r="B7" s="60">
        <v>2004</v>
      </c>
      <c r="C7" s="74">
        <v>188.88333333333335</v>
      </c>
      <c r="D7" s="74">
        <v>12274.925000000001</v>
      </c>
      <c r="E7" s="99">
        <v>6912094</v>
      </c>
      <c r="F7" s="100">
        <f>'Hist Reg (Oahu)'!C36</f>
        <v>5.47</v>
      </c>
      <c r="G7" s="101">
        <v>1273569</v>
      </c>
      <c r="H7" s="101">
        <v>63318.1</v>
      </c>
      <c r="I7" s="100">
        <f>'Hist Reg (Oahu)'!D36</f>
        <v>31.08</v>
      </c>
      <c r="J7" s="74">
        <v>34277</v>
      </c>
    </row>
    <row r="8" spans="2:10" x14ac:dyDescent="0.25">
      <c r="B8" s="60">
        <v>2005</v>
      </c>
      <c r="C8" s="74">
        <v>195.29166666666671</v>
      </c>
      <c r="D8" s="74">
        <v>13093.699999999999</v>
      </c>
      <c r="E8" s="99">
        <v>7416574</v>
      </c>
      <c r="F8" s="100">
        <f>'Hist Reg (Oahu)'!C37</f>
        <v>5.89</v>
      </c>
      <c r="G8" s="101">
        <v>1292729</v>
      </c>
      <c r="H8" s="101">
        <v>67123.899999999994</v>
      </c>
      <c r="I8" s="100">
        <f>'Hist Reg (Oahu)'!D37</f>
        <v>41.51</v>
      </c>
      <c r="J8" s="74">
        <v>36375</v>
      </c>
    </row>
    <row r="9" spans="2:10" x14ac:dyDescent="0.25">
      <c r="B9" s="60">
        <v>2006</v>
      </c>
      <c r="C9" s="74">
        <v>201.5916666666667</v>
      </c>
      <c r="D9" s="74">
        <v>13855.9</v>
      </c>
      <c r="E9" s="99">
        <v>7528106</v>
      </c>
      <c r="F9" s="100">
        <f>'Hist Reg (Oahu)'!C38</f>
        <v>8.69</v>
      </c>
      <c r="G9" s="101">
        <v>1309731</v>
      </c>
      <c r="H9" s="101">
        <v>68759.3</v>
      </c>
      <c r="I9" s="100">
        <f>'Hist Reg (Oahu)'!D38</f>
        <v>56.64</v>
      </c>
      <c r="J9" s="74">
        <v>38480</v>
      </c>
    </row>
    <row r="10" spans="2:10" x14ac:dyDescent="0.25">
      <c r="B10" s="60">
        <v>2007</v>
      </c>
      <c r="C10" s="74">
        <v>207.34241666666671</v>
      </c>
      <c r="D10" s="74">
        <v>14477.624999999998</v>
      </c>
      <c r="E10" s="99">
        <v>7496820</v>
      </c>
      <c r="F10" s="100">
        <f>'Hist Reg (Oahu)'!C39</f>
        <v>6.73</v>
      </c>
      <c r="G10" s="101">
        <v>1315675</v>
      </c>
      <c r="H10" s="101">
        <v>70080.399999999994</v>
      </c>
      <c r="I10" s="100">
        <f>'Hist Reg (Oahu)'!D39</f>
        <v>66.05</v>
      </c>
      <c r="J10" s="74">
        <v>40490</v>
      </c>
    </row>
    <row r="11" spans="2:10" x14ac:dyDescent="0.25">
      <c r="B11" s="60">
        <v>2008</v>
      </c>
      <c r="C11" s="74">
        <v>215.30250000000001</v>
      </c>
      <c r="D11" s="74">
        <v>14718.574999999999</v>
      </c>
      <c r="E11" s="99">
        <v>6713436</v>
      </c>
      <c r="F11" s="100">
        <f>'Hist Reg (Oahu)'!C40</f>
        <v>6.97</v>
      </c>
      <c r="G11" s="101">
        <v>1332213</v>
      </c>
      <c r="H11" s="101">
        <v>70460.800000000003</v>
      </c>
      <c r="I11" s="100">
        <f>'Hist Reg (Oahu)'!D40</f>
        <v>72.34</v>
      </c>
      <c r="J11" s="74">
        <v>41969</v>
      </c>
    </row>
    <row r="12" spans="2:10" x14ac:dyDescent="0.25">
      <c r="B12" s="60">
        <v>2009</v>
      </c>
      <c r="C12" s="74">
        <v>214.53700000000001</v>
      </c>
      <c r="D12" s="74">
        <v>14418.725</v>
      </c>
      <c r="E12" s="99">
        <v>6420448</v>
      </c>
      <c r="F12" s="100">
        <f>'Hist Reg (Oahu)'!C41</f>
        <v>8.86</v>
      </c>
      <c r="G12" s="101">
        <v>1346717</v>
      </c>
      <c r="H12" s="101">
        <v>67927.5</v>
      </c>
      <c r="I12" s="100">
        <f>'Hist Reg (Oahu)'!D41</f>
        <v>99.67</v>
      </c>
      <c r="J12" s="74">
        <v>41082</v>
      </c>
    </row>
    <row r="13" spans="2:10" x14ac:dyDescent="0.25">
      <c r="B13" s="60">
        <v>2010</v>
      </c>
      <c r="C13" s="74">
        <v>218.05550000000002</v>
      </c>
      <c r="D13" s="74">
        <v>14964.400000000003</v>
      </c>
      <c r="E13" s="99">
        <v>6916894</v>
      </c>
      <c r="F13" s="100">
        <f>'Hist Reg (Oahu)'!C42</f>
        <v>3.94</v>
      </c>
      <c r="G13" s="101">
        <v>1364004</v>
      </c>
      <c r="H13" s="101">
        <v>69628.100000000006</v>
      </c>
      <c r="I13" s="100">
        <f>'Hist Reg (Oahu)'!D42</f>
        <v>61.95</v>
      </c>
      <c r="J13" s="74">
        <v>41574</v>
      </c>
    </row>
    <row r="14" spans="2:10" x14ac:dyDescent="0.25">
      <c r="B14" s="60">
        <v>2011</v>
      </c>
      <c r="C14" s="74">
        <v>224.93916666666667</v>
      </c>
      <c r="D14" s="74">
        <v>15517.924999999997</v>
      </c>
      <c r="E14" s="99">
        <v>7174397</v>
      </c>
      <c r="F14" s="100">
        <f>'Hist Reg (Oahu)'!C43</f>
        <v>4.37</v>
      </c>
      <c r="G14" s="101">
        <v>1379562</v>
      </c>
      <c r="H14" s="101">
        <v>70646.600000000006</v>
      </c>
      <c r="I14" s="100">
        <f>'Hist Reg (Oahu)'!D43</f>
        <v>79.48</v>
      </c>
      <c r="J14" s="74">
        <v>42809</v>
      </c>
    </row>
    <row r="15" spans="2:10" x14ac:dyDescent="0.25">
      <c r="B15" s="60">
        <v>2012</v>
      </c>
      <c r="C15" s="74">
        <v>229.5939166666667</v>
      </c>
      <c r="D15" s="74">
        <v>16155.249999999995</v>
      </c>
      <c r="E15" s="99">
        <v>7867143</v>
      </c>
      <c r="F15" s="100">
        <f>'Hist Reg (Oahu)'!C44</f>
        <v>4</v>
      </c>
      <c r="G15" s="101">
        <v>1395199</v>
      </c>
      <c r="H15" s="101">
        <v>71905.3</v>
      </c>
      <c r="I15" s="100">
        <f>'Hist Reg (Oahu)'!D44</f>
        <v>94.88</v>
      </c>
      <c r="J15" s="74">
        <v>43812</v>
      </c>
    </row>
    <row r="16" spans="2:10" x14ac:dyDescent="0.25">
      <c r="B16" s="60">
        <v>2013</v>
      </c>
      <c r="C16" s="74">
        <v>232.95708333333332</v>
      </c>
      <c r="D16" s="74">
        <v>16691.499999999996</v>
      </c>
      <c r="E16" s="99">
        <v>8003474</v>
      </c>
      <c r="F16" s="100">
        <f>'Hist Reg (Oahu)'!C45</f>
        <v>2.75</v>
      </c>
      <c r="G16" s="101">
        <v>1408822</v>
      </c>
      <c r="H16" s="101">
        <v>73063.199999999997</v>
      </c>
      <c r="I16" s="100">
        <f>'Hist Reg (Oahu)'!D45</f>
        <v>94.05</v>
      </c>
      <c r="J16" s="74">
        <v>43931</v>
      </c>
    </row>
    <row r="17" spans="2:19" x14ac:dyDescent="0.25">
      <c r="B17" s="60">
        <v>2014</v>
      </c>
      <c r="C17" s="74">
        <v>236.73616666666666</v>
      </c>
      <c r="D17" s="74">
        <v>17393.100000000002</v>
      </c>
      <c r="E17" s="99">
        <v>8196342</v>
      </c>
      <c r="F17" s="100">
        <f>'Hist Reg (Oahu)'!C46</f>
        <v>3.73</v>
      </c>
      <c r="G17" s="101">
        <v>1415335</v>
      </c>
      <c r="H17" s="101">
        <v>73512.399999999994</v>
      </c>
      <c r="I17" s="100">
        <f>'Hist Reg (Oahu)'!D46</f>
        <v>97.98</v>
      </c>
      <c r="J17" s="74">
        <v>46044</v>
      </c>
    </row>
    <row r="18" spans="2:19" x14ac:dyDescent="0.25">
      <c r="B18" s="60">
        <v>2015</v>
      </c>
      <c r="C18" s="74">
        <v>237.01700000000002</v>
      </c>
      <c r="D18" s="74">
        <v>18036.649999999998</v>
      </c>
      <c r="E18" s="99">
        <v>8563018</v>
      </c>
      <c r="F18" s="100">
        <f>'Hist Reg (Oahu)'!C47</f>
        <v>4.37</v>
      </c>
      <c r="G18" s="101">
        <v>1422999</v>
      </c>
      <c r="H18" s="101">
        <v>75869.5</v>
      </c>
      <c r="I18" s="100">
        <f>'Hist Reg (Oahu)'!D47</f>
        <v>93.17</v>
      </c>
      <c r="J18" s="74">
        <v>47777</v>
      </c>
    </row>
    <row r="19" spans="2:19" x14ac:dyDescent="0.25">
      <c r="B19" s="60">
        <v>2016</v>
      </c>
      <c r="C19" s="74">
        <v>240.00716666666662</v>
      </c>
      <c r="D19" s="74">
        <v>18569.099999999999</v>
      </c>
      <c r="E19" s="99">
        <v>8821802</v>
      </c>
      <c r="F19" s="100">
        <f>'Hist Reg (Oahu)'!C48</f>
        <v>2.62</v>
      </c>
      <c r="G19" s="101">
        <v>1428885</v>
      </c>
      <c r="H19" s="101">
        <v>77303.899999999994</v>
      </c>
      <c r="I19" s="100">
        <f>'Hist Reg (Oahu)'!D48</f>
        <v>48.66</v>
      </c>
      <c r="J19" s="74">
        <v>49122</v>
      </c>
    </row>
    <row r="20" spans="2:19" x14ac:dyDescent="0.25">
      <c r="B20" s="60">
        <v>2017</v>
      </c>
      <c r="C20" s="74">
        <v>245.11958333333334</v>
      </c>
      <c r="D20" s="74">
        <v>19386.800749999999</v>
      </c>
      <c r="E20" s="99">
        <v>9277613</v>
      </c>
      <c r="F20" s="100">
        <f>'Hist Reg (Oahu)'!C49</f>
        <v>2.52</v>
      </c>
      <c r="G20" s="101">
        <v>1425763</v>
      </c>
      <c r="H20" s="101">
        <v>78941.600000000006</v>
      </c>
      <c r="I20" s="100">
        <f>'Hist Reg (Oahu)'!D49</f>
        <v>43.29</v>
      </c>
      <c r="J20" s="74">
        <v>51055</v>
      </c>
    </row>
    <row r="21" spans="2:19" x14ac:dyDescent="0.25">
      <c r="B21" s="60">
        <v>2018</v>
      </c>
      <c r="C21" s="74">
        <v>249.41435539608369</v>
      </c>
      <c r="D21" s="74">
        <v>19910.244332048809</v>
      </c>
      <c r="E21" s="99">
        <v>9761448</v>
      </c>
      <c r="F21" s="100">
        <f>'Hist Reg (Oahu)'!C50</f>
        <v>2.99</v>
      </c>
      <c r="G21" s="101">
        <v>1423102</v>
      </c>
      <c r="H21" s="101">
        <v>79854.7</v>
      </c>
      <c r="I21" s="100">
        <f>'Hist Reg (Oahu)'!D50</f>
        <v>50.8</v>
      </c>
      <c r="J21" s="74">
        <v>52174</v>
      </c>
    </row>
    <row r="22" spans="2:19" x14ac:dyDescent="0.25">
      <c r="B22" s="60">
        <v>2019</v>
      </c>
      <c r="C22" s="74">
        <v>253.15557072702492</v>
      </c>
      <c r="D22" s="74">
        <v>20408.000440350028</v>
      </c>
      <c r="E22" s="99">
        <v>10243165</v>
      </c>
      <c r="F22" s="100">
        <f>'Hist Reg (Oahu)'!C51</f>
        <v>3.15</v>
      </c>
      <c r="G22" s="101">
        <v>1415615</v>
      </c>
      <c r="H22" s="101">
        <v>79175.399999999994</v>
      </c>
      <c r="I22" s="100">
        <f>'Hist Reg (Oahu)'!D51</f>
        <v>65.23</v>
      </c>
      <c r="J22" s="74">
        <v>53888</v>
      </c>
    </row>
    <row r="23" spans="2:19" x14ac:dyDescent="0.25">
      <c r="B23" s="60">
        <v>2020</v>
      </c>
      <c r="C23" s="74">
        <v>258.21868214156541</v>
      </c>
      <c r="D23" s="74">
        <v>20918.200451358778</v>
      </c>
      <c r="E23" s="99">
        <v>2678073</v>
      </c>
      <c r="F23" s="100">
        <f>'Hist Reg (Oahu)'!C52</f>
        <v>2.56</v>
      </c>
      <c r="G23" s="101">
        <v>1451911</v>
      </c>
      <c r="H23" s="101">
        <v>70625.2</v>
      </c>
      <c r="I23" s="100">
        <f>'Hist Reg (Oahu)'!D52</f>
        <v>56.99</v>
      </c>
      <c r="J23" s="74">
        <v>56840</v>
      </c>
    </row>
    <row r="24" spans="2:19" x14ac:dyDescent="0.25">
      <c r="B24" s="60">
        <v>2021</v>
      </c>
      <c r="C24" s="74">
        <v>263.38305578439673</v>
      </c>
      <c r="D24" s="74">
        <v>21441.155462642746</v>
      </c>
      <c r="E24" s="99">
        <v>6840000</v>
      </c>
      <c r="F24" s="100">
        <f>'Hist Reg (Oahu)'!C53</f>
        <v>2.0299999999999998</v>
      </c>
      <c r="G24" s="101">
        <v>1441553</v>
      </c>
      <c r="H24" s="101">
        <v>73879.5</v>
      </c>
      <c r="I24" s="100">
        <f>'Hist Reg (Oahu)'!D53</f>
        <v>39.159999999999997</v>
      </c>
      <c r="J24" s="74">
        <v>60389</v>
      </c>
    </row>
    <row r="25" spans="2:19" x14ac:dyDescent="0.25">
      <c r="B25" s="60">
        <v>2022</v>
      </c>
      <c r="C25" s="74">
        <f>IF($C$2="Low",C24*1.005,IF($C$2="Base",C24*1.02,IF($C$2="High",C24*1.0244)))</f>
        <v>268.65071690008466</v>
      </c>
      <c r="D25" s="74">
        <f>IF($C$2="Low",D24*1.014,IF($C$2="Base",D24*1.025,IF($C$2="High",D24*1.035)))</f>
        <v>21977.184349208812</v>
      </c>
      <c r="E25" s="99">
        <f>IF($C$2="Low",E24*1.014,IF($C$2="Base",E24*1.025,IF($C$2="High",E24*1.035)))</f>
        <v>7010999.9999999991</v>
      </c>
      <c r="F25" s="100">
        <f>IF($C$2="Low",E66,IF($C$2="Base",D66,IF($C$2="High",C66)))</f>
        <v>6.5</v>
      </c>
      <c r="G25" s="101">
        <f>IF($C$2="Low",G24*1.0066,IF($C$2="Base",G24*1.0033,IF($C$2="High",G24*0.9993)))</f>
        <v>1446310.1249000002</v>
      </c>
      <c r="H25" s="101">
        <f>IF($C$2="Low",H24*1.00099,IF($C$2="Base",H24*1.00857,IF($C$2="High",H24*1.01293)))</f>
        <v>74512.647314999995</v>
      </c>
      <c r="I25" s="100">
        <f>IF($C$2="Low",E100,IF($C$2="Base",D100,IF($C$2="High",C100)))</f>
        <v>68.280997999999997</v>
      </c>
      <c r="J25" s="74">
        <f>IF($C$2="Low",J24*1.005,IF($C$2="Base",J24*1.02,IF($C$2="High",J24*1.0244)))</f>
        <v>61596.78</v>
      </c>
    </row>
    <row r="26" spans="2:19" x14ac:dyDescent="0.25">
      <c r="B26" s="60">
        <v>2023</v>
      </c>
      <c r="C26" s="74">
        <f t="shared" ref="C26:C53" si="0">IF($C$2="Low",C25*1.005,IF($C$2="Base",C25*1.02,IF($C$2="High",C25*1.0244)))</f>
        <v>274.02373123808638</v>
      </c>
      <c r="D26" s="74">
        <f t="shared" ref="D26:E41" si="1">IF($C$2="Low",D25*1.014,IF($C$2="Base",D25*1.025,IF($C$2="High",D25*1.035)))</f>
        <v>22526.613957939029</v>
      </c>
      <c r="E26" s="99">
        <f t="shared" si="1"/>
        <v>7186274.9999999981</v>
      </c>
      <c r="F26" s="100">
        <f t="shared" ref="F26:F53" si="2">IF($C$2="Low",E67,IF($C$2="Base",D67,IF($C$2="High",C67)))</f>
        <v>6.5</v>
      </c>
      <c r="G26" s="101">
        <f t="shared" ref="G26:G53" si="3">IF($C$2="Low",G25*1.0066,IF($C$2="Base",G25*1.0033,IF($C$2="High",G25*0.9993)))</f>
        <v>1451082.9483121703</v>
      </c>
      <c r="H26" s="101">
        <f t="shared" ref="H26:H53" si="4">IF($C$2="Low",H25*1.00099,IF($C$2="Base",H25*1.00857,IF($C$2="High",H25*1.01293)))</f>
        <v>75151.220702489547</v>
      </c>
      <c r="I26" s="100">
        <f t="shared" ref="I26:I53" si="5">IF($C$2="Low",E102,IF($C$2="Base",D102,IF($C$2="High",C102)))</f>
        <v>61.278576000000001</v>
      </c>
      <c r="J26" s="74">
        <f t="shared" ref="J26:J53" si="6">IF($C$2="Low",J25*1.005,IF($C$2="Base",J25*1.02,IF($C$2="High",J25*1.0244)))</f>
        <v>62828.715600000003</v>
      </c>
    </row>
    <row r="27" spans="2:19" x14ac:dyDescent="0.25">
      <c r="B27" s="60">
        <v>2024</v>
      </c>
      <c r="C27" s="74">
        <f t="shared" si="0"/>
        <v>279.5042058628481</v>
      </c>
      <c r="D27" s="74">
        <f t="shared" si="1"/>
        <v>23089.779306887503</v>
      </c>
      <c r="E27" s="99">
        <f t="shared" si="1"/>
        <v>7365931.8749999972</v>
      </c>
      <c r="F27" s="100">
        <f t="shared" si="2"/>
        <v>6.45</v>
      </c>
      <c r="G27" s="101">
        <f t="shared" si="3"/>
        <v>1455871.5220416007</v>
      </c>
      <c r="H27" s="101">
        <f t="shared" si="4"/>
        <v>75795.266663909875</v>
      </c>
      <c r="I27" s="100">
        <f t="shared" si="5"/>
        <v>68.190169999999995</v>
      </c>
      <c r="J27" s="74">
        <f t="shared" si="6"/>
        <v>64085.289912000007</v>
      </c>
    </row>
    <row r="28" spans="2:19" x14ac:dyDescent="0.25">
      <c r="B28" s="60">
        <v>2025</v>
      </c>
      <c r="C28" s="74">
        <f t="shared" si="0"/>
        <v>285.09428998010509</v>
      </c>
      <c r="D28" s="74">
        <f t="shared" si="1"/>
        <v>23667.023789559687</v>
      </c>
      <c r="E28" s="99">
        <f t="shared" si="1"/>
        <v>7550080.1718749963</v>
      </c>
      <c r="F28" s="100">
        <f t="shared" si="2"/>
        <v>6.3999999999999995</v>
      </c>
      <c r="G28" s="101">
        <f t="shared" si="3"/>
        <v>1460675.8980643381</v>
      </c>
      <c r="H28" s="101">
        <f t="shared" si="4"/>
        <v>76444.83209921958</v>
      </c>
      <c r="I28" s="100">
        <f t="shared" si="5"/>
        <v>70.638176000000001</v>
      </c>
      <c r="J28" s="74">
        <f t="shared" si="6"/>
        <v>65366.995710240008</v>
      </c>
    </row>
    <row r="29" spans="2:19" x14ac:dyDescent="0.25">
      <c r="B29" s="60">
        <v>2026</v>
      </c>
      <c r="C29" s="74">
        <f t="shared" si="0"/>
        <v>290.7961757797072</v>
      </c>
      <c r="D29" s="74">
        <f t="shared" si="1"/>
        <v>24258.699384298678</v>
      </c>
      <c r="E29" s="99">
        <f t="shared" si="1"/>
        <v>7738832.1761718709</v>
      </c>
      <c r="F29" s="100">
        <f t="shared" si="2"/>
        <v>6.42</v>
      </c>
      <c r="G29" s="101">
        <f t="shared" si="3"/>
        <v>1465496.1285279505</v>
      </c>
      <c r="H29" s="101">
        <f t="shared" si="4"/>
        <v>77099.964310309893</v>
      </c>
      <c r="I29" s="100">
        <f t="shared" si="5"/>
        <v>73.775024000000002</v>
      </c>
      <c r="J29" s="74">
        <f t="shared" si="6"/>
        <v>66674.335624444808</v>
      </c>
    </row>
    <row r="30" spans="2:19" x14ac:dyDescent="0.25">
      <c r="B30" s="60">
        <v>2027</v>
      </c>
      <c r="C30" s="74">
        <f t="shared" si="0"/>
        <v>296.61209929530133</v>
      </c>
      <c r="D30" s="74">
        <f t="shared" si="1"/>
        <v>24865.166868906141</v>
      </c>
      <c r="E30" s="99">
        <f t="shared" si="1"/>
        <v>7932302.9805761669</v>
      </c>
      <c r="F30" s="100">
        <f t="shared" si="2"/>
        <v>6.4899999999999993</v>
      </c>
      <c r="G30" s="101">
        <f t="shared" si="3"/>
        <v>1470332.2657520929</v>
      </c>
      <c r="H30" s="101">
        <f t="shared" si="4"/>
        <v>77760.711004449244</v>
      </c>
      <c r="I30" s="100">
        <f t="shared" si="5"/>
        <v>77.795546999999999</v>
      </c>
      <c r="J30" s="74">
        <f t="shared" si="6"/>
        <v>68007.822336933707</v>
      </c>
    </row>
    <row r="31" spans="2:19" x14ac:dyDescent="0.25">
      <c r="B31" s="60">
        <v>2028</v>
      </c>
      <c r="C31" s="74">
        <f t="shared" si="0"/>
        <v>302.54434128120738</v>
      </c>
      <c r="D31" s="74">
        <f t="shared" si="1"/>
        <v>25486.796040628793</v>
      </c>
      <c r="E31" s="99">
        <f t="shared" si="1"/>
        <v>8130610.5550905699</v>
      </c>
      <c r="F31" s="100">
        <f t="shared" si="2"/>
        <v>6.6499999999999995</v>
      </c>
      <c r="G31" s="101">
        <f t="shared" si="3"/>
        <v>1475184.362229075</v>
      </c>
      <c r="H31" s="101">
        <f t="shared" si="4"/>
        <v>78427.12029775737</v>
      </c>
      <c r="I31" s="100">
        <f t="shared" si="5"/>
        <v>81.362174999999993</v>
      </c>
      <c r="J31" s="74">
        <f t="shared" si="6"/>
        <v>69367.978783672384</v>
      </c>
      <c r="S31" t="s">
        <v>20</v>
      </c>
    </row>
    <row r="32" spans="2:19" x14ac:dyDescent="0.25">
      <c r="B32" s="60">
        <v>2029</v>
      </c>
      <c r="C32" s="74">
        <f t="shared" si="0"/>
        <v>308.59522810683154</v>
      </c>
      <c r="D32" s="74">
        <f t="shared" si="1"/>
        <v>26123.96594164451</v>
      </c>
      <c r="E32" s="99">
        <f t="shared" si="1"/>
        <v>8333875.8189678332</v>
      </c>
      <c r="F32" s="100">
        <f t="shared" si="2"/>
        <v>6.8999999999999995</v>
      </c>
      <c r="G32" s="101">
        <f t="shared" si="3"/>
        <v>1480052.470624431</v>
      </c>
      <c r="H32" s="101">
        <f t="shared" si="4"/>
        <v>79099.240718709145</v>
      </c>
      <c r="I32" s="100">
        <f t="shared" si="5"/>
        <v>84.567290999999997</v>
      </c>
      <c r="J32" s="74">
        <f t="shared" si="6"/>
        <v>70755.338359345827</v>
      </c>
    </row>
    <row r="33" spans="2:10" x14ac:dyDescent="0.25">
      <c r="B33" s="60">
        <v>2030</v>
      </c>
      <c r="C33" s="74">
        <f t="shared" si="0"/>
        <v>314.7671326689682</v>
      </c>
      <c r="D33" s="74">
        <f t="shared" si="1"/>
        <v>26777.065090185621</v>
      </c>
      <c r="E33" s="99">
        <f t="shared" si="1"/>
        <v>8542222.7144420277</v>
      </c>
      <c r="F33" s="100">
        <f t="shared" si="2"/>
        <v>7.1</v>
      </c>
      <c r="G33" s="101">
        <f t="shared" si="3"/>
        <v>1484936.6437774918</v>
      </c>
      <c r="H33" s="101">
        <f t="shared" si="4"/>
        <v>79777.121211668476</v>
      </c>
      <c r="I33" s="100">
        <f t="shared" si="5"/>
        <v>87.867508000000001</v>
      </c>
      <c r="J33" s="74">
        <f t="shared" si="6"/>
        <v>72170.445126532752</v>
      </c>
    </row>
    <row r="34" spans="2:10" x14ac:dyDescent="0.25">
      <c r="B34" s="60">
        <v>2031</v>
      </c>
      <c r="C34" s="74">
        <f t="shared" si="0"/>
        <v>321.06247532234755</v>
      </c>
      <c r="D34" s="74">
        <f t="shared" si="1"/>
        <v>27446.491717440258</v>
      </c>
      <c r="E34" s="99">
        <f t="shared" si="1"/>
        <v>8755778.2823030781</v>
      </c>
      <c r="F34" s="100">
        <f t="shared" si="2"/>
        <v>7.26</v>
      </c>
      <c r="G34" s="101">
        <f t="shared" si="3"/>
        <v>1489836.9347019575</v>
      </c>
      <c r="H34" s="101">
        <f t="shared" si="4"/>
        <v>80460.811140452468</v>
      </c>
      <c r="I34" s="100">
        <f t="shared" si="5"/>
        <v>91.775176999999999</v>
      </c>
      <c r="J34" s="74">
        <f t="shared" si="6"/>
        <v>73613.854029063412</v>
      </c>
    </row>
    <row r="35" spans="2:10" x14ac:dyDescent="0.25">
      <c r="B35" s="60">
        <v>2032</v>
      </c>
      <c r="C35" s="74">
        <f t="shared" si="0"/>
        <v>327.48372482879449</v>
      </c>
      <c r="D35" s="74">
        <f t="shared" si="1"/>
        <v>28132.654010376264</v>
      </c>
      <c r="E35" s="99">
        <f t="shared" si="1"/>
        <v>8974672.7393606547</v>
      </c>
      <c r="F35" s="100">
        <f t="shared" si="2"/>
        <v>7.4399999999999995</v>
      </c>
      <c r="G35" s="101">
        <f t="shared" si="3"/>
        <v>1494753.396586474</v>
      </c>
      <c r="H35" s="101">
        <f t="shared" si="4"/>
        <v>81150.360291926147</v>
      </c>
      <c r="I35" s="100">
        <f t="shared" si="5"/>
        <v>95.321999000000005</v>
      </c>
      <c r="J35" s="74">
        <f t="shared" si="6"/>
        <v>75086.131109644688</v>
      </c>
    </row>
    <row r="36" spans="2:10" x14ac:dyDescent="0.25">
      <c r="B36" s="60">
        <v>2033</v>
      </c>
      <c r="C36" s="74">
        <f t="shared" si="0"/>
        <v>334.0333993253704</v>
      </c>
      <c r="D36" s="74">
        <f t="shared" si="1"/>
        <v>28835.970360635667</v>
      </c>
      <c r="E36" s="99">
        <f t="shared" si="1"/>
        <v>9199039.5578446705</v>
      </c>
      <c r="F36" s="100">
        <f t="shared" si="2"/>
        <v>7.55</v>
      </c>
      <c r="G36" s="101">
        <f t="shared" si="3"/>
        <v>1499686.0827952095</v>
      </c>
      <c r="H36" s="101">
        <f t="shared" si="4"/>
        <v>81845.818879627957</v>
      </c>
      <c r="I36" s="100">
        <f t="shared" si="5"/>
        <v>98.474007</v>
      </c>
      <c r="J36" s="74">
        <f t="shared" si="6"/>
        <v>76587.853731837589</v>
      </c>
    </row>
    <row r="37" spans="2:10" x14ac:dyDescent="0.25">
      <c r="B37" s="60">
        <v>2034</v>
      </c>
      <c r="C37" s="74">
        <f t="shared" si="0"/>
        <v>340.71406731187778</v>
      </c>
      <c r="D37" s="74">
        <f t="shared" si="1"/>
        <v>29556.869619651556</v>
      </c>
      <c r="E37" s="99">
        <f t="shared" si="1"/>
        <v>9429015.5467907861</v>
      </c>
      <c r="F37" s="100">
        <f t="shared" si="2"/>
        <v>7.6199999999999992</v>
      </c>
      <c r="G37" s="101">
        <f t="shared" si="3"/>
        <v>1504635.0468684337</v>
      </c>
      <c r="H37" s="101">
        <f t="shared" si="4"/>
        <v>82547.237547426368</v>
      </c>
      <c r="I37" s="100">
        <f t="shared" si="5"/>
        <v>101.215805</v>
      </c>
      <c r="J37" s="74">
        <f t="shared" si="6"/>
        <v>78119.610806474346</v>
      </c>
    </row>
    <row r="38" spans="2:10" x14ac:dyDescent="0.25">
      <c r="B38" s="60">
        <v>2035</v>
      </c>
      <c r="C38" s="74">
        <f t="shared" si="0"/>
        <v>347.52834865811536</v>
      </c>
      <c r="D38" s="74">
        <f t="shared" si="1"/>
        <v>30295.791360142841</v>
      </c>
      <c r="E38" s="99">
        <f t="shared" si="1"/>
        <v>9664740.9354605544</v>
      </c>
      <c r="F38" s="100">
        <f t="shared" si="2"/>
        <v>7.64</v>
      </c>
      <c r="G38" s="101">
        <f t="shared" si="3"/>
        <v>1509600.3425230996</v>
      </c>
      <c r="H38" s="101">
        <f t="shared" si="4"/>
        <v>83254.667373207805</v>
      </c>
      <c r="I38" s="100">
        <f t="shared" si="5"/>
        <v>104.440201</v>
      </c>
      <c r="J38" s="74">
        <f t="shared" si="6"/>
        <v>79682.003022603836</v>
      </c>
    </row>
    <row r="39" spans="2:10" x14ac:dyDescent="0.25">
      <c r="B39" s="60">
        <v>2036</v>
      </c>
      <c r="C39" s="74">
        <f t="shared" si="0"/>
        <v>354.47891563127769</v>
      </c>
      <c r="D39" s="74">
        <f t="shared" si="1"/>
        <v>31053.18614414641</v>
      </c>
      <c r="E39" s="99">
        <f t="shared" si="1"/>
        <v>9906359.4588470683</v>
      </c>
      <c r="F39" s="100">
        <f t="shared" si="2"/>
        <v>7.7049999999999992</v>
      </c>
      <c r="G39" s="101">
        <f t="shared" si="3"/>
        <v>1514582.023653426</v>
      </c>
      <c r="H39" s="101">
        <f t="shared" si="4"/>
        <v>83968.159872596196</v>
      </c>
      <c r="I39" s="100">
        <f t="shared" si="5"/>
        <v>108.455223</v>
      </c>
      <c r="J39" s="74">
        <f t="shared" si="6"/>
        <v>81275.643083055911</v>
      </c>
    </row>
    <row r="40" spans="2:10" x14ac:dyDescent="0.25">
      <c r="B40" s="60">
        <v>2037</v>
      </c>
      <c r="C40" s="74">
        <f t="shared" si="0"/>
        <v>361.56849394390326</v>
      </c>
      <c r="D40" s="74">
        <f t="shared" si="1"/>
        <v>31829.515797750068</v>
      </c>
      <c r="E40" s="99">
        <f t="shared" si="1"/>
        <v>10154018.445318244</v>
      </c>
      <c r="F40" s="100">
        <f t="shared" si="2"/>
        <v>7.85</v>
      </c>
      <c r="G40" s="101">
        <f t="shared" si="3"/>
        <v>1519580.1443314825</v>
      </c>
      <c r="H40" s="101">
        <f t="shared" si="4"/>
        <v>84687.76700270435</v>
      </c>
      <c r="I40" s="100">
        <f t="shared" si="5"/>
        <v>112.134308</v>
      </c>
      <c r="J40" s="74">
        <f t="shared" si="6"/>
        <v>82901.155944717029</v>
      </c>
    </row>
    <row r="41" spans="2:10" x14ac:dyDescent="0.25">
      <c r="B41" s="60">
        <v>2038</v>
      </c>
      <c r="C41" s="74">
        <f t="shared" si="0"/>
        <v>368.79986382278133</v>
      </c>
      <c r="D41" s="74">
        <f t="shared" si="1"/>
        <v>32625.253692693816</v>
      </c>
      <c r="E41" s="99">
        <f t="shared" si="1"/>
        <v>10407868.906451199</v>
      </c>
      <c r="F41" s="100">
        <f t="shared" si="2"/>
        <v>7.8999999999999995</v>
      </c>
      <c r="G41" s="101">
        <f t="shared" si="3"/>
        <v>1524594.7588077765</v>
      </c>
      <c r="H41" s="101">
        <f t="shared" si="4"/>
        <v>85413.54116591753</v>
      </c>
      <c r="I41" s="100">
        <f t="shared" si="5"/>
        <v>116.147552</v>
      </c>
      <c r="J41" s="74">
        <f t="shared" si="6"/>
        <v>84559.179063611373</v>
      </c>
    </row>
    <row r="42" spans="2:10" x14ac:dyDescent="0.25">
      <c r="B42" s="60">
        <v>2039</v>
      </c>
      <c r="C42" s="74">
        <f t="shared" si="0"/>
        <v>376.17586109923695</v>
      </c>
      <c r="D42" s="74">
        <f t="shared" ref="D42:E53" si="7">IF($C$2="Low",D41*1.014,IF($C$2="Base",D41*1.025,IF($C$2="High",D41*1.035)))</f>
        <v>33440.885035011161</v>
      </c>
      <c r="E42" s="99">
        <f t="shared" si="7"/>
        <v>10668065.629112478</v>
      </c>
      <c r="F42" s="100">
        <f t="shared" si="2"/>
        <v>7.9989999999999997</v>
      </c>
      <c r="G42" s="101">
        <f t="shared" si="3"/>
        <v>1529625.9215118422</v>
      </c>
      <c r="H42" s="101">
        <f t="shared" si="4"/>
        <v>86145.535213709445</v>
      </c>
      <c r="I42" s="100">
        <f t="shared" si="5"/>
        <v>119.10437</v>
      </c>
      <c r="J42" s="74">
        <f t="shared" si="6"/>
        <v>86250.3626448836</v>
      </c>
    </row>
    <row r="43" spans="2:10" x14ac:dyDescent="0.25">
      <c r="B43" s="60">
        <v>2040</v>
      </c>
      <c r="C43" s="74">
        <f t="shared" si="0"/>
        <v>383.69937832122167</v>
      </c>
      <c r="D43" s="74">
        <f t="shared" si="7"/>
        <v>34276.90716088644</v>
      </c>
      <c r="E43" s="99">
        <f t="shared" si="7"/>
        <v>10934767.269840289</v>
      </c>
      <c r="F43" s="100">
        <f t="shared" si="2"/>
        <v>8.15</v>
      </c>
      <c r="G43" s="101">
        <f t="shared" si="3"/>
        <v>1534673.6870528313</v>
      </c>
      <c r="H43" s="101">
        <f t="shared" si="4"/>
        <v>86883.802450490926</v>
      </c>
      <c r="I43" s="100">
        <f t="shared" si="5"/>
        <v>124.12396200000001</v>
      </c>
      <c r="J43" s="74">
        <f t="shared" si="6"/>
        <v>87975.369897781275</v>
      </c>
    </row>
    <row r="44" spans="2:10" x14ac:dyDescent="0.25">
      <c r="B44" s="60">
        <v>2041</v>
      </c>
      <c r="C44" s="74">
        <f t="shared" si="0"/>
        <v>391.37336588764612</v>
      </c>
      <c r="D44" s="74">
        <f t="shared" si="7"/>
        <v>35133.829839908598</v>
      </c>
      <c r="E44" s="99">
        <f t="shared" si="7"/>
        <v>11208136.451586295</v>
      </c>
      <c r="F44" s="100">
        <f t="shared" si="2"/>
        <v>8.1999999999999993</v>
      </c>
      <c r="G44" s="101">
        <f t="shared" si="3"/>
        <v>1539738.1102201059</v>
      </c>
      <c r="H44" s="101">
        <f t="shared" si="4"/>
        <v>87628.396637491634</v>
      </c>
      <c r="I44" s="100">
        <f t="shared" si="5"/>
        <v>128.38916</v>
      </c>
      <c r="J44" s="74">
        <f t="shared" si="6"/>
        <v>89734.877295736907</v>
      </c>
    </row>
    <row r="45" spans="2:10" x14ac:dyDescent="0.25">
      <c r="B45" s="60">
        <v>2042</v>
      </c>
      <c r="C45" s="74">
        <f t="shared" si="0"/>
        <v>399.20083320539902</v>
      </c>
      <c r="D45" s="74">
        <f t="shared" si="7"/>
        <v>36012.175585906312</v>
      </c>
      <c r="E45" s="99">
        <f t="shared" si="7"/>
        <v>11488339.862875951</v>
      </c>
      <c r="F45" s="100">
        <f t="shared" si="2"/>
        <v>8.16</v>
      </c>
      <c r="G45" s="101">
        <f t="shared" si="3"/>
        <v>1544819.2459838323</v>
      </c>
      <c r="H45" s="101">
        <f t="shared" si="4"/>
        <v>88379.371996674934</v>
      </c>
      <c r="I45" s="100">
        <f t="shared" si="5"/>
        <v>131.94232199999999</v>
      </c>
      <c r="J45" s="74">
        <f t="shared" si="6"/>
        <v>91529.574841651644</v>
      </c>
    </row>
    <row r="46" spans="2:10" x14ac:dyDescent="0.25">
      <c r="B46" s="60">
        <v>2043</v>
      </c>
      <c r="C46" s="74">
        <f t="shared" si="0"/>
        <v>407.18484986950699</v>
      </c>
      <c r="D46" s="74">
        <f t="shared" si="7"/>
        <v>36912.479975553964</v>
      </c>
      <c r="E46" s="99">
        <f t="shared" si="7"/>
        <v>11775548.35944785</v>
      </c>
      <c r="F46" s="100">
        <f t="shared" si="2"/>
        <v>8.1</v>
      </c>
      <c r="G46" s="101">
        <f t="shared" si="3"/>
        <v>1549917.1494955791</v>
      </c>
      <c r="H46" s="101">
        <f t="shared" si="4"/>
        <v>89136.783214686438</v>
      </c>
      <c r="I46" s="100">
        <f t="shared" si="5"/>
        <v>137.30856299999999</v>
      </c>
      <c r="J46" s="74">
        <f t="shared" si="6"/>
        <v>93360.166338484676</v>
      </c>
    </row>
    <row r="47" spans="2:10" x14ac:dyDescent="0.25">
      <c r="B47" s="60">
        <v>2044</v>
      </c>
      <c r="C47" s="74">
        <f t="shared" si="0"/>
        <v>415.32854686689711</v>
      </c>
      <c r="D47" s="74">
        <f t="shared" si="7"/>
        <v>37835.291974942811</v>
      </c>
      <c r="E47" s="99">
        <f t="shared" si="7"/>
        <v>12069937.068434045</v>
      </c>
      <c r="F47" s="100">
        <f t="shared" si="2"/>
        <v>8.1999999999999993</v>
      </c>
      <c r="G47" s="101">
        <f t="shared" si="3"/>
        <v>1555031.8760889147</v>
      </c>
      <c r="H47" s="101">
        <f t="shared" si="4"/>
        <v>89900.685446836302</v>
      </c>
      <c r="I47" s="100">
        <f t="shared" si="5"/>
        <v>143.32762099999999</v>
      </c>
      <c r="J47" s="74">
        <f t="shared" si="6"/>
        <v>95227.369665254373</v>
      </c>
    </row>
    <row r="48" spans="2:10" x14ac:dyDescent="0.25">
      <c r="B48" s="60">
        <v>2045</v>
      </c>
      <c r="C48" s="74">
        <f t="shared" si="0"/>
        <v>423.63511780423505</v>
      </c>
      <c r="D48" s="74">
        <f t="shared" si="7"/>
        <v>38781.174274316378</v>
      </c>
      <c r="E48" s="99">
        <f t="shared" si="7"/>
        <v>12371685.495144894</v>
      </c>
      <c r="F48" s="100">
        <f t="shared" si="2"/>
        <v>8.1999999999999993</v>
      </c>
      <c r="G48" s="101">
        <f t="shared" si="3"/>
        <v>1560163.4812800083</v>
      </c>
      <c r="H48" s="101">
        <f t="shared" si="4"/>
        <v>90671.134321115693</v>
      </c>
      <c r="I48" s="100">
        <f t="shared" si="5"/>
        <v>147.389847</v>
      </c>
      <c r="J48" s="74">
        <f t="shared" si="6"/>
        <v>97131.917058559469</v>
      </c>
    </row>
    <row r="49" spans="2:10" x14ac:dyDescent="0.25">
      <c r="B49" s="60">
        <v>2046</v>
      </c>
      <c r="C49" s="74">
        <f t="shared" si="0"/>
        <v>432.10782016031976</v>
      </c>
      <c r="D49" s="74">
        <f t="shared" si="7"/>
        <v>39750.703631174285</v>
      </c>
      <c r="E49" s="99">
        <f t="shared" si="7"/>
        <v>12680977.632523516</v>
      </c>
      <c r="F49" s="100">
        <f t="shared" si="2"/>
        <v>8.3000000000000007</v>
      </c>
      <c r="G49" s="101">
        <f t="shared" si="3"/>
        <v>1565312.0207682324</v>
      </c>
      <c r="H49" s="101">
        <f t="shared" si="4"/>
        <v>91448.185942247655</v>
      </c>
      <c r="I49" s="100">
        <f t="shared" si="5"/>
        <v>152.94503800000001</v>
      </c>
      <c r="J49" s="74">
        <f t="shared" si="6"/>
        <v>99074.555399730656</v>
      </c>
    </row>
    <row r="50" spans="2:10" x14ac:dyDescent="0.25">
      <c r="B50" s="60">
        <v>2047</v>
      </c>
      <c r="C50" s="74">
        <f t="shared" si="0"/>
        <v>440.74997656352616</v>
      </c>
      <c r="D50" s="74">
        <f t="shared" si="7"/>
        <v>40744.471221953638</v>
      </c>
      <c r="E50" s="99">
        <f t="shared" si="7"/>
        <v>12998002.073336603</v>
      </c>
      <c r="F50" s="100">
        <f t="shared" si="2"/>
        <v>8.35</v>
      </c>
      <c r="G50" s="101">
        <f t="shared" si="3"/>
        <v>1570477.5504367677</v>
      </c>
      <c r="H50" s="101">
        <f t="shared" si="4"/>
        <v>92231.896895772719</v>
      </c>
      <c r="I50" s="100">
        <f t="shared" si="5"/>
        <v>156.33833300000001</v>
      </c>
      <c r="J50" s="74">
        <f t="shared" si="6"/>
        <v>101056.04650772527</v>
      </c>
    </row>
    <row r="51" spans="2:10" x14ac:dyDescent="0.25">
      <c r="B51" s="60">
        <v>2048</v>
      </c>
      <c r="C51" s="74">
        <f t="shared" si="0"/>
        <v>449.56497609479669</v>
      </c>
      <c r="D51" s="74">
        <f t="shared" si="7"/>
        <v>41763.083002502477</v>
      </c>
      <c r="E51" s="99">
        <f t="shared" si="7"/>
        <v>13322952.125170017</v>
      </c>
      <c r="F51" s="100">
        <f t="shared" si="2"/>
        <v>8.3699999999999992</v>
      </c>
      <c r="G51" s="101">
        <f t="shared" si="3"/>
        <v>1575660.1263532091</v>
      </c>
      <c r="H51" s="101">
        <f t="shared" si="4"/>
        <v>93022.324252169492</v>
      </c>
      <c r="I51" s="100">
        <f t="shared" si="5"/>
        <v>160.131393</v>
      </c>
      <c r="J51" s="74">
        <f t="shared" si="6"/>
        <v>103077.16743787978</v>
      </c>
    </row>
    <row r="52" spans="2:10" x14ac:dyDescent="0.25">
      <c r="B52" s="60">
        <v>2049</v>
      </c>
      <c r="C52" s="74">
        <f t="shared" si="0"/>
        <v>458.55627561669263</v>
      </c>
      <c r="D52" s="74">
        <f t="shared" si="7"/>
        <v>42807.160077565037</v>
      </c>
      <c r="E52" s="99">
        <f t="shared" si="7"/>
        <v>13656025.928299265</v>
      </c>
      <c r="F52" s="100">
        <f t="shared" si="2"/>
        <v>8.4204000000000008</v>
      </c>
      <c r="G52" s="101">
        <f t="shared" si="3"/>
        <v>1580859.8047701749</v>
      </c>
      <c r="H52" s="101">
        <f t="shared" si="4"/>
        <v>93819.525571010585</v>
      </c>
      <c r="I52" s="100">
        <f t="shared" si="5"/>
        <v>164.37977599999999</v>
      </c>
      <c r="J52" s="74">
        <f t="shared" si="6"/>
        <v>105138.71078663737</v>
      </c>
    </row>
    <row r="53" spans="2:10" x14ac:dyDescent="0.25">
      <c r="B53" s="60">
        <v>2050</v>
      </c>
      <c r="C53" s="74">
        <f t="shared" si="0"/>
        <v>467.72740112902648</v>
      </c>
      <c r="D53" s="74">
        <f t="shared" si="7"/>
        <v>43877.339079504156</v>
      </c>
      <c r="E53" s="99">
        <f t="shared" si="7"/>
        <v>13997426.576506745</v>
      </c>
      <c r="F53" s="100">
        <f t="shared" si="2"/>
        <v>8.58</v>
      </c>
      <c r="G53" s="101">
        <f t="shared" si="3"/>
        <v>1586076.6421259167</v>
      </c>
      <c r="H53" s="101">
        <f t="shared" si="4"/>
        <v>94623.558905154146</v>
      </c>
      <c r="I53" s="100">
        <f t="shared" si="5"/>
        <v>167.613632</v>
      </c>
      <c r="J53" s="74">
        <f t="shared" si="6"/>
        <v>107241.48500237011</v>
      </c>
    </row>
    <row r="55" spans="2:10" x14ac:dyDescent="0.25">
      <c r="B55" t="s">
        <v>266</v>
      </c>
    </row>
    <row r="56" spans="2:10" x14ac:dyDescent="0.25">
      <c r="B56" t="s">
        <v>267</v>
      </c>
    </row>
    <row r="57" spans="2:10" x14ac:dyDescent="0.25">
      <c r="B57" t="s">
        <v>268</v>
      </c>
    </row>
    <row r="58" spans="2:10" x14ac:dyDescent="0.25">
      <c r="B58" t="s">
        <v>269</v>
      </c>
    </row>
    <row r="59" spans="2:10" x14ac:dyDescent="0.25">
      <c r="B59" t="s">
        <v>270</v>
      </c>
    </row>
    <row r="60" spans="2:10" x14ac:dyDescent="0.25">
      <c r="B60" t="s">
        <v>271</v>
      </c>
    </row>
    <row r="61" spans="2:10" x14ac:dyDescent="0.25">
      <c r="B61" t="s">
        <v>272</v>
      </c>
    </row>
    <row r="64" spans="2:10" x14ac:dyDescent="0.25">
      <c r="B64" s="60" t="s">
        <v>273</v>
      </c>
    </row>
    <row r="65" spans="2:10" x14ac:dyDescent="0.25">
      <c r="C65" s="60" t="s">
        <v>274</v>
      </c>
      <c r="D65" s="60" t="s">
        <v>275</v>
      </c>
      <c r="E65" s="60" t="s">
        <v>276</v>
      </c>
      <c r="H65" s="60" t="s">
        <v>274</v>
      </c>
      <c r="I65" s="60" t="s">
        <v>275</v>
      </c>
      <c r="J65" s="60" t="s">
        <v>276</v>
      </c>
    </row>
    <row r="66" spans="2:10" x14ac:dyDescent="0.25">
      <c r="B66" s="60">
        <v>2021</v>
      </c>
      <c r="C66" s="102">
        <v>3.5549559999999998</v>
      </c>
      <c r="D66" s="102">
        <v>6.5</v>
      </c>
      <c r="E66" s="102">
        <v>6.5</v>
      </c>
      <c r="G66" t="s">
        <v>277</v>
      </c>
      <c r="H66" s="87">
        <f>(G25/G21)^(1/3)</f>
        <v>1.0054067558777269</v>
      </c>
      <c r="I66" s="87">
        <f>(G25/G23)^(1/5)</f>
        <v>0.99922728906857516</v>
      </c>
      <c r="J66" s="87">
        <f>(G25/G15)^(1/10)</f>
        <v>1.0036043314561893</v>
      </c>
    </row>
    <row r="67" spans="2:10" x14ac:dyDescent="0.25">
      <c r="B67" s="60">
        <v>2022</v>
      </c>
      <c r="C67" s="102">
        <v>3.5549559999999998</v>
      </c>
      <c r="D67" s="102">
        <v>6.5</v>
      </c>
      <c r="E67" s="102">
        <v>6.5</v>
      </c>
      <c r="G67" t="s">
        <v>278</v>
      </c>
      <c r="H67" s="87">
        <f>(H22/H20)^(1/3)-1</f>
        <v>9.8625467093982344E-4</v>
      </c>
      <c r="I67" s="87">
        <f>(H22/H18)^(1/5)-1</f>
        <v>8.5666627104006299E-3</v>
      </c>
      <c r="J67" s="87">
        <f>(H22/H13)^(1/10)-1</f>
        <v>1.2932654995431392E-2</v>
      </c>
    </row>
    <row r="68" spans="2:10" x14ac:dyDescent="0.25">
      <c r="B68" s="60">
        <v>2023</v>
      </c>
      <c r="C68" s="102">
        <v>3.0637159999999999</v>
      </c>
      <c r="D68" s="102">
        <v>6.45</v>
      </c>
      <c r="E68" s="102">
        <v>6.45</v>
      </c>
    </row>
    <row r="69" spans="2:10" x14ac:dyDescent="0.25">
      <c r="B69" s="60">
        <v>2024</v>
      </c>
      <c r="C69" s="102">
        <v>2.6523279999999998</v>
      </c>
      <c r="D69" s="102">
        <v>6.3999999999999995</v>
      </c>
      <c r="E69" s="102">
        <v>6.8999999999999995</v>
      </c>
    </row>
    <row r="70" spans="2:10" x14ac:dyDescent="0.25">
      <c r="B70" s="60">
        <v>2025</v>
      </c>
      <c r="C70" s="102">
        <v>2.4580649999999999</v>
      </c>
      <c r="D70" s="102">
        <v>6.42</v>
      </c>
      <c r="E70" s="102">
        <v>7.3999999999999995</v>
      </c>
    </row>
    <row r="71" spans="2:10" x14ac:dyDescent="0.25">
      <c r="B71" s="60">
        <v>2026</v>
      </c>
      <c r="C71" s="102">
        <v>2.3962669999999999</v>
      </c>
      <c r="D71" s="102">
        <v>6.4899999999999993</v>
      </c>
      <c r="E71" s="102">
        <v>7.8999999999999995</v>
      </c>
    </row>
    <row r="72" spans="2:10" x14ac:dyDescent="0.25">
      <c r="B72" s="60">
        <v>2027</v>
      </c>
      <c r="C72" s="102">
        <v>2.4326089999999998</v>
      </c>
      <c r="D72" s="102">
        <v>6.6499999999999995</v>
      </c>
      <c r="E72" s="102">
        <v>8.0947611710323564</v>
      </c>
    </row>
    <row r="73" spans="2:10" x14ac:dyDescent="0.25">
      <c r="B73" s="60">
        <v>2028</v>
      </c>
      <c r="C73" s="102">
        <v>2.5702020000000001</v>
      </c>
      <c r="D73" s="102">
        <v>6.8999999999999995</v>
      </c>
      <c r="E73" s="102">
        <v>8.3990755007704152</v>
      </c>
    </row>
    <row r="74" spans="2:10" x14ac:dyDescent="0.25">
      <c r="B74" s="60">
        <v>2029</v>
      </c>
      <c r="C74" s="102">
        <v>2.6456840000000001</v>
      </c>
      <c r="D74" s="102">
        <v>7.1</v>
      </c>
      <c r="E74" s="102">
        <v>8.6425269645608633</v>
      </c>
    </row>
    <row r="75" spans="2:10" x14ac:dyDescent="0.25">
      <c r="B75" s="60">
        <v>2030</v>
      </c>
      <c r="C75" s="102">
        <v>2.7203430000000002</v>
      </c>
      <c r="D75" s="102">
        <v>7.26</v>
      </c>
      <c r="E75" s="102">
        <v>8.8372881355932211</v>
      </c>
    </row>
    <row r="76" spans="2:10" x14ac:dyDescent="0.25">
      <c r="B76" s="60">
        <v>2031</v>
      </c>
      <c r="C76" s="102">
        <v>2.7483590000000002</v>
      </c>
      <c r="D76" s="102">
        <v>7.4399999999999995</v>
      </c>
      <c r="E76" s="102">
        <v>9.0563944530046232</v>
      </c>
    </row>
    <row r="77" spans="2:10" x14ac:dyDescent="0.25">
      <c r="B77" s="60">
        <v>2032</v>
      </c>
      <c r="C77" s="102">
        <v>2.7582390000000001</v>
      </c>
      <c r="D77" s="102">
        <v>7.55</v>
      </c>
      <c r="E77" s="102">
        <v>9.1902927580893703</v>
      </c>
    </row>
    <row r="78" spans="2:10" x14ac:dyDescent="0.25">
      <c r="B78" s="60">
        <v>2033</v>
      </c>
      <c r="C78" s="102">
        <v>2.8354689999999998</v>
      </c>
      <c r="D78" s="102">
        <v>7.6199999999999992</v>
      </c>
      <c r="E78" s="102">
        <v>9.2755007704160253</v>
      </c>
    </row>
    <row r="79" spans="2:10" x14ac:dyDescent="0.25">
      <c r="B79" s="60">
        <v>2034</v>
      </c>
      <c r="C79" s="102">
        <v>2.8329490000000002</v>
      </c>
      <c r="D79" s="102">
        <v>7.64</v>
      </c>
      <c r="E79" s="102">
        <v>9.2998459167950713</v>
      </c>
    </row>
    <row r="80" spans="2:10" x14ac:dyDescent="0.25">
      <c r="B80" s="60">
        <v>2035</v>
      </c>
      <c r="C80" s="102">
        <v>2.798241</v>
      </c>
      <c r="D80" s="102">
        <v>7.7049999999999992</v>
      </c>
      <c r="E80" s="102">
        <v>9.3789676425269661</v>
      </c>
    </row>
    <row r="81" spans="2:5" x14ac:dyDescent="0.25">
      <c r="B81" s="60">
        <v>2036</v>
      </c>
      <c r="C81" s="102">
        <v>2.7837960000000002</v>
      </c>
      <c r="D81" s="102">
        <v>7.85</v>
      </c>
      <c r="E81" s="102">
        <v>9.5554699537750416</v>
      </c>
    </row>
    <row r="82" spans="2:5" x14ac:dyDescent="0.25">
      <c r="B82" s="60">
        <v>2037</v>
      </c>
      <c r="C82" s="102">
        <v>2.778708</v>
      </c>
      <c r="D82" s="102">
        <v>7.8999999999999995</v>
      </c>
      <c r="E82" s="102">
        <v>9.7352938529700292</v>
      </c>
    </row>
    <row r="83" spans="2:5" x14ac:dyDescent="0.25">
      <c r="B83" s="60">
        <v>2038</v>
      </c>
      <c r="C83" s="102">
        <v>2.7552249999999998</v>
      </c>
      <c r="D83" s="102">
        <v>7.9989999999999997</v>
      </c>
      <c r="E83" s="102">
        <v>9.9185018489052226</v>
      </c>
    </row>
    <row r="84" spans="2:5" x14ac:dyDescent="0.25">
      <c r="B84" s="60">
        <v>2039</v>
      </c>
      <c r="C84" s="102">
        <v>2.7645490000000001</v>
      </c>
      <c r="D84" s="102">
        <v>8.15</v>
      </c>
      <c r="E84" s="102">
        <v>10.105157626723686</v>
      </c>
    </row>
    <row r="85" spans="2:5" x14ac:dyDescent="0.25">
      <c r="B85" s="60">
        <v>2040</v>
      </c>
      <c r="C85" s="102">
        <v>2.7400359999999999</v>
      </c>
      <c r="D85" s="102">
        <v>8.1999999999999993</v>
      </c>
      <c r="E85" s="102">
        <v>10.29532607005593</v>
      </c>
    </row>
    <row r="86" spans="2:5" x14ac:dyDescent="0.25">
      <c r="B86" s="60">
        <v>2041</v>
      </c>
      <c r="C86" s="102">
        <v>2.7011539999999998</v>
      </c>
      <c r="D86" s="102">
        <v>8.16</v>
      </c>
      <c r="E86" s="102">
        <v>10.48907328357418</v>
      </c>
    </row>
    <row r="87" spans="2:5" x14ac:dyDescent="0.25">
      <c r="B87" s="60">
        <v>2042</v>
      </c>
      <c r="C87" s="102">
        <v>2.6390829999999998</v>
      </c>
      <c r="D87" s="102">
        <v>8.1</v>
      </c>
      <c r="E87" s="102">
        <v>10.686466615971099</v>
      </c>
    </row>
    <row r="88" spans="2:5" x14ac:dyDescent="0.25">
      <c r="B88" s="60">
        <v>2043</v>
      </c>
      <c r="C88" s="102">
        <v>2.6164209999999999</v>
      </c>
      <c r="D88" s="102">
        <v>8.1999999999999993</v>
      </c>
      <c r="E88" s="102">
        <v>10.818398302588028</v>
      </c>
    </row>
    <row r="89" spans="2:5" x14ac:dyDescent="0.25">
      <c r="B89" s="60">
        <v>2044</v>
      </c>
      <c r="C89" s="102">
        <v>2.5964399999999999</v>
      </c>
      <c r="D89" s="102">
        <v>8.1999999999999993</v>
      </c>
      <c r="E89" s="102">
        <v>10.818398302588028</v>
      </c>
    </row>
    <row r="90" spans="2:5" x14ac:dyDescent="0.25">
      <c r="B90" s="60">
        <v>2045</v>
      </c>
      <c r="C90" s="102">
        <v>2.5835979999999998</v>
      </c>
      <c r="D90" s="102">
        <v>8.3000000000000007</v>
      </c>
      <c r="E90" s="102">
        <v>10.950329989204958</v>
      </c>
    </row>
    <row r="91" spans="2:5" x14ac:dyDescent="0.25">
      <c r="B91" s="60">
        <v>2046</v>
      </c>
      <c r="C91" s="102">
        <v>2.5650080000000002</v>
      </c>
      <c r="D91" s="102">
        <v>8.35</v>
      </c>
      <c r="E91" s="102">
        <v>11.016295832513419</v>
      </c>
    </row>
    <row r="92" spans="2:5" x14ac:dyDescent="0.25">
      <c r="B92" s="60">
        <v>2047</v>
      </c>
      <c r="C92" s="102">
        <v>2.5245359999999999</v>
      </c>
      <c r="D92" s="102">
        <v>8.3699999999999992</v>
      </c>
      <c r="E92" s="102">
        <v>11.042682169836803</v>
      </c>
    </row>
    <row r="93" spans="2:5" x14ac:dyDescent="0.25">
      <c r="B93" s="60">
        <v>2048</v>
      </c>
      <c r="C93" s="102">
        <v>2.5296560000000001</v>
      </c>
      <c r="D93" s="102">
        <v>8.4204000000000008</v>
      </c>
      <c r="E93" s="102">
        <v>11.109175739891738</v>
      </c>
    </row>
    <row r="94" spans="2:5" x14ac:dyDescent="0.25">
      <c r="B94" s="60">
        <v>2049</v>
      </c>
      <c r="C94" s="102">
        <v>2.532159</v>
      </c>
      <c r="D94" s="102">
        <v>8.58</v>
      </c>
      <c r="E94" s="102">
        <v>11.319738711732352</v>
      </c>
    </row>
    <row r="95" spans="2:5" x14ac:dyDescent="0.25">
      <c r="B95" s="60">
        <v>2050</v>
      </c>
      <c r="C95" s="102">
        <v>2.540432</v>
      </c>
      <c r="D95" s="102">
        <v>8.6199999999999992</v>
      </c>
      <c r="E95" s="102">
        <v>11.372511386379122</v>
      </c>
    </row>
    <row r="98" spans="2:5" x14ac:dyDescent="0.25">
      <c r="B98" s="60" t="s">
        <v>279</v>
      </c>
    </row>
    <row r="99" spans="2:5" x14ac:dyDescent="0.25">
      <c r="C99" s="60" t="s">
        <v>274</v>
      </c>
      <c r="D99" s="60" t="s">
        <v>275</v>
      </c>
      <c r="E99" s="60" t="s">
        <v>276</v>
      </c>
    </row>
    <row r="100" spans="2:5" x14ac:dyDescent="0.25">
      <c r="B100" s="60">
        <v>2021</v>
      </c>
      <c r="C100" s="103">
        <v>68.280997999999997</v>
      </c>
      <c r="D100" s="103">
        <v>68.280997999999997</v>
      </c>
      <c r="E100" s="103">
        <v>114.57240299999999</v>
      </c>
    </row>
    <row r="101" spans="2:5" x14ac:dyDescent="0.25">
      <c r="B101" s="60">
        <v>2022</v>
      </c>
      <c r="C101" s="103">
        <v>68.280997999999997</v>
      </c>
      <c r="D101" s="103">
        <v>68.280997999999997</v>
      </c>
      <c r="E101" s="103">
        <v>114.57240299999999</v>
      </c>
    </row>
    <row r="102" spans="2:5" x14ac:dyDescent="0.25">
      <c r="B102" s="60">
        <v>2023</v>
      </c>
      <c r="C102" s="103">
        <v>59.938369999999999</v>
      </c>
      <c r="D102" s="103">
        <v>61.278576000000001</v>
      </c>
      <c r="E102" s="103">
        <v>126.535072</v>
      </c>
    </row>
    <row r="103" spans="2:5" x14ac:dyDescent="0.25">
      <c r="B103" s="60">
        <v>2024</v>
      </c>
      <c r="C103" s="103">
        <v>63.405537000000002</v>
      </c>
      <c r="D103" s="103">
        <v>68.190169999999995</v>
      </c>
      <c r="E103" s="103">
        <v>137.67392000000001</v>
      </c>
    </row>
    <row r="104" spans="2:5" x14ac:dyDescent="0.25">
      <c r="B104" s="60">
        <v>2025</v>
      </c>
      <c r="C104" s="103">
        <v>64.893242000000001</v>
      </c>
      <c r="D104" s="103">
        <v>70.638176000000001</v>
      </c>
      <c r="E104" s="103">
        <v>143.90632600000001</v>
      </c>
    </row>
    <row r="105" spans="2:5" x14ac:dyDescent="0.25">
      <c r="B105" s="60">
        <v>2026</v>
      </c>
      <c r="C105" s="103">
        <v>67.310730000000007</v>
      </c>
      <c r="D105" s="103">
        <v>73.775024000000002</v>
      </c>
      <c r="E105" s="103">
        <v>153.036057</v>
      </c>
    </row>
    <row r="106" spans="2:5" x14ac:dyDescent="0.25">
      <c r="B106" s="60">
        <v>2027</v>
      </c>
      <c r="C106" s="103">
        <v>69.550255000000007</v>
      </c>
      <c r="D106" s="103">
        <v>77.795546999999999</v>
      </c>
      <c r="E106" s="103">
        <v>161.85566700000001</v>
      </c>
    </row>
    <row r="107" spans="2:5" x14ac:dyDescent="0.25">
      <c r="B107" s="60">
        <v>2028</v>
      </c>
      <c r="C107" s="103">
        <v>70.892212000000001</v>
      </c>
      <c r="D107" s="103">
        <v>81.362174999999993</v>
      </c>
      <c r="E107" s="103">
        <v>169.77269000000001</v>
      </c>
    </row>
    <row r="108" spans="2:5" x14ac:dyDescent="0.25">
      <c r="B108" s="60">
        <v>2029</v>
      </c>
      <c r="C108" s="103">
        <v>72.885329999999996</v>
      </c>
      <c r="D108" s="103">
        <v>84.567290999999997</v>
      </c>
      <c r="E108" s="103">
        <v>179.212616</v>
      </c>
    </row>
    <row r="109" spans="2:5" x14ac:dyDescent="0.25">
      <c r="B109" s="60">
        <v>2030</v>
      </c>
      <c r="C109" s="103">
        <v>74.041083999999998</v>
      </c>
      <c r="D109" s="103">
        <v>87.867508000000001</v>
      </c>
      <c r="E109" s="103">
        <v>185.12403900000001</v>
      </c>
    </row>
    <row r="110" spans="2:5" x14ac:dyDescent="0.25">
      <c r="B110" s="60">
        <v>2031</v>
      </c>
      <c r="C110" s="103">
        <v>77.010497999999998</v>
      </c>
      <c r="D110" s="103">
        <v>91.775176999999999</v>
      </c>
      <c r="E110" s="103">
        <v>189.83784499999999</v>
      </c>
    </row>
    <row r="111" spans="2:5" x14ac:dyDescent="0.25">
      <c r="B111" s="60">
        <v>2032</v>
      </c>
      <c r="C111" s="103">
        <v>80.004981999999998</v>
      </c>
      <c r="D111" s="103">
        <v>95.321999000000005</v>
      </c>
      <c r="E111" s="103">
        <v>197.774689</v>
      </c>
    </row>
    <row r="112" spans="2:5" x14ac:dyDescent="0.25">
      <c r="B112" s="60">
        <v>2033</v>
      </c>
      <c r="C112" s="103">
        <v>82.553925000000007</v>
      </c>
      <c r="D112" s="103">
        <v>98.474007</v>
      </c>
      <c r="E112" s="103">
        <v>204.732361</v>
      </c>
    </row>
    <row r="113" spans="2:5" x14ac:dyDescent="0.25">
      <c r="B113" s="60">
        <v>2034</v>
      </c>
      <c r="C113" s="103">
        <v>85.258865</v>
      </c>
      <c r="D113" s="103">
        <v>101.215805</v>
      </c>
      <c r="E113" s="103">
        <v>213.956512</v>
      </c>
    </row>
    <row r="114" spans="2:5" x14ac:dyDescent="0.25">
      <c r="B114" s="60">
        <v>2035</v>
      </c>
      <c r="C114" s="103">
        <v>87.981178</v>
      </c>
      <c r="D114" s="103">
        <v>104.440201</v>
      </c>
      <c r="E114" s="103">
        <v>222.48202499999999</v>
      </c>
    </row>
    <row r="115" spans="2:5" x14ac:dyDescent="0.25">
      <c r="B115" s="60">
        <v>2036</v>
      </c>
      <c r="C115" s="103">
        <v>90.837692000000004</v>
      </c>
      <c r="D115" s="103">
        <v>108.455223</v>
      </c>
      <c r="E115" s="103">
        <v>234.86909499999999</v>
      </c>
    </row>
    <row r="116" spans="2:5" x14ac:dyDescent="0.25">
      <c r="B116" s="60">
        <v>2037</v>
      </c>
      <c r="C116" s="103">
        <v>94.550719999999998</v>
      </c>
      <c r="D116" s="103">
        <v>112.134308</v>
      </c>
      <c r="E116" s="103">
        <v>246.19596899999999</v>
      </c>
    </row>
    <row r="117" spans="2:5" x14ac:dyDescent="0.25">
      <c r="B117" s="60">
        <v>2038</v>
      </c>
      <c r="C117" s="103">
        <v>98.089438999999999</v>
      </c>
      <c r="D117" s="103">
        <v>116.147552</v>
      </c>
      <c r="E117" s="103">
        <v>257.73361199999999</v>
      </c>
    </row>
    <row r="118" spans="2:5" x14ac:dyDescent="0.25">
      <c r="B118" s="60">
        <v>2039</v>
      </c>
      <c r="C118" s="103">
        <v>100.93470000000001</v>
      </c>
      <c r="D118" s="103">
        <v>119.10437</v>
      </c>
      <c r="E118" s="103">
        <v>269.248718</v>
      </c>
    </row>
    <row r="119" spans="2:5" x14ac:dyDescent="0.25">
      <c r="B119" s="60">
        <v>2040</v>
      </c>
      <c r="C119" s="103">
        <v>106.366623</v>
      </c>
      <c r="D119" s="103">
        <v>124.12396200000001</v>
      </c>
      <c r="E119" s="103">
        <v>281.13931300000002</v>
      </c>
    </row>
    <row r="120" spans="2:5" x14ac:dyDescent="0.25">
      <c r="B120" s="60">
        <v>2041</v>
      </c>
      <c r="C120" s="103">
        <v>109.910042</v>
      </c>
      <c r="D120" s="103">
        <v>128.38916</v>
      </c>
      <c r="E120" s="103">
        <v>291.60723899999999</v>
      </c>
    </row>
    <row r="121" spans="2:5" x14ac:dyDescent="0.25">
      <c r="B121" s="60">
        <v>2042</v>
      </c>
      <c r="C121" s="103">
        <v>112.90113100000001</v>
      </c>
      <c r="D121" s="103">
        <v>131.94232199999999</v>
      </c>
      <c r="E121" s="103">
        <v>305.354401</v>
      </c>
    </row>
    <row r="122" spans="2:5" x14ac:dyDescent="0.25">
      <c r="B122" s="60">
        <v>2043</v>
      </c>
      <c r="C122" s="103">
        <v>117.267624</v>
      </c>
      <c r="D122" s="103">
        <v>137.30856299999999</v>
      </c>
      <c r="E122" s="103">
        <v>317.802368</v>
      </c>
    </row>
    <row r="123" spans="2:5" x14ac:dyDescent="0.25">
      <c r="B123" s="60">
        <v>2044</v>
      </c>
      <c r="C123" s="103">
        <v>121.56317900000001</v>
      </c>
      <c r="D123" s="103">
        <v>143.32762099999999</v>
      </c>
      <c r="E123" s="103">
        <v>327.31372099999999</v>
      </c>
    </row>
    <row r="124" spans="2:5" x14ac:dyDescent="0.25">
      <c r="B124" s="60">
        <v>2045</v>
      </c>
      <c r="C124" s="103">
        <v>125.44199399999999</v>
      </c>
      <c r="D124" s="103">
        <v>147.389847</v>
      </c>
      <c r="E124" s="103">
        <v>341.27331500000003</v>
      </c>
    </row>
    <row r="125" spans="2:5" x14ac:dyDescent="0.25">
      <c r="B125" s="60">
        <v>2046</v>
      </c>
      <c r="C125" s="103">
        <v>129.68589800000001</v>
      </c>
      <c r="D125" s="103">
        <v>152.94503800000001</v>
      </c>
      <c r="E125" s="103">
        <v>355.668091</v>
      </c>
    </row>
    <row r="126" spans="2:5" x14ac:dyDescent="0.25">
      <c r="B126" s="60">
        <v>2047</v>
      </c>
      <c r="C126" s="103">
        <v>131.931534</v>
      </c>
      <c r="D126" s="103">
        <v>156.33833300000001</v>
      </c>
      <c r="E126" s="103">
        <v>370.96758999999997</v>
      </c>
    </row>
    <row r="127" spans="2:5" x14ac:dyDescent="0.25">
      <c r="B127" s="60">
        <v>2048</v>
      </c>
      <c r="C127" s="103">
        <v>135.20794699999999</v>
      </c>
      <c r="D127" s="103">
        <v>160.131393</v>
      </c>
      <c r="E127" s="103">
        <v>386.55584700000003</v>
      </c>
    </row>
    <row r="128" spans="2:5" x14ac:dyDescent="0.25">
      <c r="B128" s="60">
        <v>2049</v>
      </c>
      <c r="C128" s="103">
        <v>139.700424</v>
      </c>
      <c r="D128" s="103">
        <v>164.37977599999999</v>
      </c>
      <c r="E128" s="103">
        <v>401.84811400000001</v>
      </c>
    </row>
    <row r="129" spans="2:5" x14ac:dyDescent="0.25">
      <c r="B129" s="60">
        <v>2050</v>
      </c>
      <c r="C129" s="103">
        <v>142.80479399999999</v>
      </c>
      <c r="D129" s="103">
        <v>167.613632</v>
      </c>
      <c r="E129" s="103">
        <v>416.791382</v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EB30283B-BB5C-43A9-933C-8B48B7835B52}">
          <x14:formula1>
            <xm:f>List!$B$4:$B$6</xm:f>
          </x14:formula1>
          <xm:sqref>C2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54312-4E0B-43B8-AB55-CA194AE0515E}">
  <sheetPr codeName="Sheet18"/>
  <dimension ref="B2:S50"/>
  <sheetViews>
    <sheetView workbookViewId="0">
      <selection activeCell="R27" sqref="R27"/>
    </sheetView>
  </sheetViews>
  <sheetFormatPr defaultRowHeight="15" x14ac:dyDescent="0.25"/>
  <cols>
    <col min="3" max="3" width="10.5703125" bestFit="1" customWidth="1"/>
    <col min="4" max="4" width="9.5703125" bestFit="1" customWidth="1"/>
    <col min="5" max="6" width="9.28515625" style="60" bestFit="1" customWidth="1"/>
    <col min="8" max="8" width="10.5703125" bestFit="1" customWidth="1"/>
    <col min="10" max="10" width="10.5703125" bestFit="1" customWidth="1"/>
    <col min="11" max="11" width="16.42578125" customWidth="1"/>
    <col min="12" max="12" width="11.5703125" customWidth="1"/>
    <col min="13" max="13" width="13" customWidth="1"/>
    <col min="14" max="14" width="12.140625" bestFit="1" customWidth="1"/>
    <col min="15" max="15" width="10.5703125" bestFit="1" customWidth="1"/>
    <col min="16" max="16" width="9.5703125" bestFit="1" customWidth="1"/>
    <col min="17" max="17" width="14.28515625" bestFit="1" customWidth="1"/>
  </cols>
  <sheetData>
    <row r="2" spans="2:17" x14ac:dyDescent="0.25">
      <c r="C2" s="550" t="s">
        <v>280</v>
      </c>
      <c r="D2" s="550"/>
      <c r="E2" s="550"/>
      <c r="G2" s="60"/>
      <c r="H2" s="60"/>
      <c r="I2" s="60"/>
    </row>
    <row r="3" spans="2:17" ht="60" x14ac:dyDescent="0.25">
      <c r="C3" s="61" t="s">
        <v>174</v>
      </c>
      <c r="D3" s="61" t="s">
        <v>281</v>
      </c>
      <c r="E3" s="69" t="s">
        <v>282</v>
      </c>
      <c r="F3" s="69" t="s">
        <v>283</v>
      </c>
      <c r="G3" s="69" t="s">
        <v>284</v>
      </c>
      <c r="H3" s="69" t="s">
        <v>285</v>
      </c>
      <c r="I3" s="69" t="s">
        <v>286</v>
      </c>
      <c r="J3" s="69" t="s">
        <v>67</v>
      </c>
      <c r="K3" s="98" t="s">
        <v>287</v>
      </c>
      <c r="L3" s="98" t="s">
        <v>288</v>
      </c>
      <c r="M3" s="98" t="s">
        <v>289</v>
      </c>
      <c r="N3" s="98" t="s">
        <v>290</v>
      </c>
      <c r="O3" s="98" t="s">
        <v>291</v>
      </c>
      <c r="P3" s="98" t="s">
        <v>292</v>
      </c>
      <c r="Q3" s="98" t="s">
        <v>758</v>
      </c>
    </row>
    <row r="4" spans="2:17" hidden="1" x14ac:dyDescent="0.25">
      <c r="B4">
        <v>2003</v>
      </c>
      <c r="C4" s="104">
        <v>30053.833333333332</v>
      </c>
      <c r="D4" s="79">
        <v>1345.25</v>
      </c>
      <c r="E4" s="79">
        <v>1.1666666666666667</v>
      </c>
      <c r="F4" s="79">
        <v>677.41666666666663</v>
      </c>
      <c r="G4" s="79">
        <v>321.5</v>
      </c>
      <c r="H4" s="79">
        <v>75</v>
      </c>
      <c r="I4" s="79">
        <v>0</v>
      </c>
      <c r="J4" s="43">
        <f>SUM(C4:I4)</f>
        <v>32474.166666666668</v>
      </c>
      <c r="K4" s="60"/>
      <c r="L4" s="39"/>
      <c r="M4" s="39"/>
    </row>
    <row r="5" spans="2:17" hidden="1" x14ac:dyDescent="0.25">
      <c r="B5">
        <v>2004</v>
      </c>
      <c r="C5" s="104">
        <v>29943.583333333332</v>
      </c>
      <c r="D5" s="79">
        <v>1332.3333333333333</v>
      </c>
      <c r="E5" s="79">
        <v>3.75</v>
      </c>
      <c r="F5" s="79">
        <v>703.16666666666663</v>
      </c>
      <c r="G5" s="79">
        <v>317.33333333333331</v>
      </c>
      <c r="H5" s="79">
        <v>70.416666666666671</v>
      </c>
      <c r="I5" s="79">
        <v>0</v>
      </c>
      <c r="J5" s="43">
        <f t="shared" ref="J5:J46" si="0">SUM(C5:I5)</f>
        <v>32370.583333333332</v>
      </c>
      <c r="K5" s="60"/>
      <c r="L5" s="39"/>
      <c r="M5" s="39"/>
    </row>
    <row r="6" spans="2:17" hidden="1" x14ac:dyDescent="0.25">
      <c r="B6">
        <v>2005</v>
      </c>
      <c r="C6" s="104">
        <v>29873.5</v>
      </c>
      <c r="D6" s="79">
        <v>1331.5833333333333</v>
      </c>
      <c r="E6" s="79">
        <v>14.666666666666666</v>
      </c>
      <c r="F6" s="79">
        <v>726.75</v>
      </c>
      <c r="G6" s="79">
        <v>321.16666666666669</v>
      </c>
      <c r="H6" s="79">
        <v>76</v>
      </c>
      <c r="I6" s="79">
        <v>0</v>
      </c>
      <c r="J6" s="43">
        <f t="shared" si="0"/>
        <v>32343.666666666668</v>
      </c>
      <c r="K6" s="60"/>
      <c r="L6" s="39"/>
      <c r="M6" s="39"/>
    </row>
    <row r="7" spans="2:17" hidden="1" x14ac:dyDescent="0.25">
      <c r="B7">
        <v>2006</v>
      </c>
      <c r="C7" s="104">
        <v>29603.333333333332</v>
      </c>
      <c r="D7" s="79">
        <v>1341</v>
      </c>
      <c r="E7" s="79">
        <v>83.75</v>
      </c>
      <c r="F7" s="79">
        <v>729.66666666666663</v>
      </c>
      <c r="G7" s="79">
        <v>319.08333333333331</v>
      </c>
      <c r="H7" s="79">
        <v>80.916666666666671</v>
      </c>
      <c r="I7" s="79">
        <v>5.5</v>
      </c>
      <c r="J7" s="43">
        <f t="shared" si="0"/>
        <v>32163.25</v>
      </c>
      <c r="K7" s="60"/>
      <c r="L7" s="39"/>
      <c r="M7" s="39"/>
    </row>
    <row r="8" spans="2:17" hidden="1" x14ac:dyDescent="0.25">
      <c r="B8">
        <v>2007</v>
      </c>
      <c r="C8" s="104">
        <v>29434.166666666668</v>
      </c>
      <c r="D8" s="79">
        <v>1337.4166666666667</v>
      </c>
      <c r="E8" s="79">
        <v>144.5</v>
      </c>
      <c r="F8" s="79">
        <v>737.16666666666663</v>
      </c>
      <c r="G8" s="79">
        <v>328.41666666666669</v>
      </c>
      <c r="H8" s="79">
        <v>81</v>
      </c>
      <c r="I8" s="79">
        <v>6.5</v>
      </c>
      <c r="J8" s="43">
        <f t="shared" si="0"/>
        <v>32069.166666666672</v>
      </c>
      <c r="K8" s="60"/>
      <c r="L8" s="39"/>
      <c r="M8" s="39"/>
    </row>
    <row r="9" spans="2:17" hidden="1" x14ac:dyDescent="0.25">
      <c r="B9">
        <v>2008</v>
      </c>
      <c r="C9" s="104">
        <v>29294.535435372636</v>
      </c>
      <c r="D9" s="79">
        <v>1331.6785504829686</v>
      </c>
      <c r="E9" s="79">
        <v>170.16666666666666</v>
      </c>
      <c r="F9" s="79">
        <v>771.83333333333337</v>
      </c>
      <c r="G9" s="79">
        <v>390.08333333333331</v>
      </c>
      <c r="H9" s="79">
        <v>80.416666666666671</v>
      </c>
      <c r="I9" s="79">
        <v>13.666666666666666</v>
      </c>
      <c r="J9" s="43">
        <f t="shared" si="0"/>
        <v>32052.380652522272</v>
      </c>
      <c r="K9" s="60"/>
      <c r="L9" s="39"/>
      <c r="M9" s="39"/>
    </row>
    <row r="10" spans="2:17" hidden="1" x14ac:dyDescent="0.25">
      <c r="B10">
        <v>2009</v>
      </c>
      <c r="C10" s="104">
        <v>29131.819896548681</v>
      </c>
      <c r="D10" s="79">
        <v>1329.4484081232174</v>
      </c>
      <c r="E10" s="79">
        <v>195</v>
      </c>
      <c r="F10" s="79">
        <v>816</v>
      </c>
      <c r="G10" s="79">
        <v>442</v>
      </c>
      <c r="H10" s="79">
        <v>80.416666666666671</v>
      </c>
      <c r="I10" s="79">
        <v>17.75</v>
      </c>
      <c r="J10" s="43">
        <f t="shared" si="0"/>
        <v>32012.434971338567</v>
      </c>
      <c r="K10" s="60"/>
      <c r="L10" s="39"/>
      <c r="M10" s="39"/>
    </row>
    <row r="11" spans="2:17" hidden="1" x14ac:dyDescent="0.25">
      <c r="B11">
        <v>2010</v>
      </c>
      <c r="C11" s="104">
        <v>28826.75</v>
      </c>
      <c r="D11" s="79">
        <v>1297.25</v>
      </c>
      <c r="E11" s="79">
        <v>182.41666666666666</v>
      </c>
      <c r="F11" s="79">
        <v>835.75</v>
      </c>
      <c r="G11" s="79">
        <v>425</v>
      </c>
      <c r="H11" s="79">
        <v>77.583333333333329</v>
      </c>
      <c r="I11" s="79">
        <v>16.583333333333332</v>
      </c>
      <c r="J11" s="43">
        <f t="shared" si="0"/>
        <v>31661.333333333332</v>
      </c>
      <c r="K11" s="60"/>
      <c r="L11" s="39"/>
      <c r="M11" s="39"/>
    </row>
    <row r="12" spans="2:17" hidden="1" x14ac:dyDescent="0.25">
      <c r="B12">
        <v>2011</v>
      </c>
      <c r="C12" s="104">
        <v>28727.416666666668</v>
      </c>
      <c r="D12" s="79">
        <v>1274.25</v>
      </c>
      <c r="E12" s="79">
        <v>188.25</v>
      </c>
      <c r="F12" s="79">
        <v>839.83333333333337</v>
      </c>
      <c r="G12" s="79">
        <v>430.5</v>
      </c>
      <c r="H12" s="79">
        <v>75.416666666666671</v>
      </c>
      <c r="I12" s="79">
        <v>19.333333333333332</v>
      </c>
      <c r="J12" s="43">
        <f t="shared" si="0"/>
        <v>31555</v>
      </c>
      <c r="K12" s="60"/>
      <c r="L12" s="39"/>
      <c r="M12" s="39"/>
    </row>
    <row r="13" spans="2:17" hidden="1" x14ac:dyDescent="0.25">
      <c r="B13">
        <v>2012</v>
      </c>
      <c r="C13" s="104">
        <v>28583.75</v>
      </c>
      <c r="D13" s="79">
        <v>1275.0833333333333</v>
      </c>
      <c r="E13" s="79">
        <v>194.25</v>
      </c>
      <c r="F13" s="79">
        <v>870.75</v>
      </c>
      <c r="G13" s="79">
        <v>426.5</v>
      </c>
      <c r="H13" s="79">
        <v>88.583333333333329</v>
      </c>
      <c r="I13" s="79">
        <v>21.25</v>
      </c>
      <c r="J13" s="43">
        <f t="shared" si="0"/>
        <v>31460.166666666664</v>
      </c>
      <c r="K13" s="60"/>
      <c r="L13" s="39"/>
      <c r="M13" s="39"/>
    </row>
    <row r="14" spans="2:17" hidden="1" x14ac:dyDescent="0.25">
      <c r="B14">
        <v>2013</v>
      </c>
      <c r="C14" s="104">
        <v>28461.666666666668</v>
      </c>
      <c r="D14" s="79">
        <v>1321.5833333333333</v>
      </c>
      <c r="E14" s="79">
        <v>207.5</v>
      </c>
      <c r="F14" s="79">
        <v>907.25</v>
      </c>
      <c r="G14" s="79">
        <v>423.91666666666669</v>
      </c>
      <c r="H14" s="79">
        <v>89</v>
      </c>
      <c r="I14" s="79">
        <v>21</v>
      </c>
      <c r="J14" s="43">
        <f t="shared" si="0"/>
        <v>31431.916666666668</v>
      </c>
      <c r="K14" s="60"/>
      <c r="L14" s="39"/>
      <c r="M14" s="39"/>
    </row>
    <row r="15" spans="2:17" hidden="1" x14ac:dyDescent="0.25">
      <c r="B15">
        <v>2014</v>
      </c>
      <c r="C15" s="104">
        <v>28446.416666666668</v>
      </c>
      <c r="D15" s="79">
        <v>1314.6666666666667</v>
      </c>
      <c r="E15" s="79">
        <v>218</v>
      </c>
      <c r="F15" s="79">
        <v>920.5</v>
      </c>
      <c r="G15" s="79">
        <v>419.91666666666669</v>
      </c>
      <c r="H15" s="79">
        <v>87.166666666666671</v>
      </c>
      <c r="I15" s="79">
        <v>21.916666666666668</v>
      </c>
      <c r="J15" s="43">
        <f t="shared" si="0"/>
        <v>31428.583333333339</v>
      </c>
      <c r="K15" s="60"/>
      <c r="L15" s="39"/>
      <c r="M15" s="39"/>
    </row>
    <row r="16" spans="2:17" hidden="1" x14ac:dyDescent="0.25">
      <c r="B16">
        <v>2015</v>
      </c>
      <c r="C16" s="104">
        <v>28479.583333333332</v>
      </c>
      <c r="D16" s="79">
        <v>1309.6666666666667</v>
      </c>
      <c r="E16" s="79">
        <v>237.25</v>
      </c>
      <c r="F16" s="79">
        <v>933.91666666666663</v>
      </c>
      <c r="G16" s="79">
        <v>422.75</v>
      </c>
      <c r="H16" s="79">
        <v>81.416666666666671</v>
      </c>
      <c r="I16" s="79">
        <v>22</v>
      </c>
      <c r="J16" s="43">
        <f t="shared" si="0"/>
        <v>31486.583333333336</v>
      </c>
      <c r="K16" s="60"/>
      <c r="L16" s="39"/>
      <c r="M16" s="39"/>
    </row>
    <row r="17" spans="2:19" hidden="1" x14ac:dyDescent="0.25">
      <c r="B17">
        <v>2016</v>
      </c>
      <c r="C17" s="104">
        <v>28438.833333333332</v>
      </c>
      <c r="D17" s="79">
        <v>1305.9166666666667</v>
      </c>
      <c r="E17" s="79">
        <v>290.91666666666669</v>
      </c>
      <c r="F17" s="79">
        <v>967.33333333333337</v>
      </c>
      <c r="G17" s="79">
        <v>418.08333333333331</v>
      </c>
      <c r="H17" s="79">
        <v>84.416666666666671</v>
      </c>
      <c r="I17" s="79">
        <v>22</v>
      </c>
      <c r="J17" s="43">
        <f t="shared" si="0"/>
        <v>31527.5</v>
      </c>
      <c r="K17" s="60"/>
      <c r="L17" s="39"/>
      <c r="M17" s="39"/>
    </row>
    <row r="18" spans="2:19" hidden="1" x14ac:dyDescent="0.25">
      <c r="B18">
        <v>2017</v>
      </c>
      <c r="C18" s="104">
        <v>28310</v>
      </c>
      <c r="D18" s="79">
        <v>1319</v>
      </c>
      <c r="E18" s="79">
        <v>281</v>
      </c>
      <c r="F18" s="79">
        <v>990.33333333333337</v>
      </c>
      <c r="G18" s="79">
        <v>413.08333333333331</v>
      </c>
      <c r="H18" s="79">
        <v>87.416666666666671</v>
      </c>
      <c r="I18" s="79">
        <v>22</v>
      </c>
      <c r="J18" s="43">
        <f t="shared" si="0"/>
        <v>31422.833333333332</v>
      </c>
      <c r="K18" s="60"/>
      <c r="L18" s="39"/>
      <c r="M18" s="39"/>
    </row>
    <row r="19" spans="2:19" hidden="1" x14ac:dyDescent="0.25">
      <c r="B19">
        <v>2018</v>
      </c>
      <c r="C19" s="104">
        <v>28245</v>
      </c>
      <c r="D19" s="79">
        <v>1324</v>
      </c>
      <c r="E19" s="79">
        <v>297</v>
      </c>
      <c r="F19" s="79">
        <v>1013.3333333333334</v>
      </c>
      <c r="G19" s="79">
        <v>408.08333333333331</v>
      </c>
      <c r="H19" s="79">
        <v>90.416666666666671</v>
      </c>
      <c r="I19" s="79">
        <v>22</v>
      </c>
      <c r="J19" s="43">
        <f t="shared" si="0"/>
        <v>31399.833333333332</v>
      </c>
      <c r="K19" s="60"/>
      <c r="L19" s="39"/>
      <c r="M19" s="39"/>
    </row>
    <row r="20" spans="2:19" hidden="1" x14ac:dyDescent="0.25">
      <c r="B20">
        <v>2019</v>
      </c>
      <c r="C20" s="104">
        <f t="shared" ref="C20:C36" si="1">C19*(C$19/C$17)^(1/3)-1</f>
        <v>28179.682918998027</v>
      </c>
      <c r="D20" s="79">
        <f t="shared" ref="D20:H35" si="2">D19*(D$19/D$17)^(1/3)-1</f>
        <v>1329.0832528938524</v>
      </c>
      <c r="E20" s="79">
        <v>298.05591600737262</v>
      </c>
      <c r="F20" s="79">
        <v>1036.3333333333335</v>
      </c>
      <c r="G20" s="79">
        <v>403.08333333333331</v>
      </c>
      <c r="H20" s="79">
        <v>93.416666666666671</v>
      </c>
      <c r="I20" s="79">
        <v>22</v>
      </c>
      <c r="J20" s="43">
        <f t="shared" si="0"/>
        <v>31361.655421232583</v>
      </c>
      <c r="K20" s="60"/>
      <c r="L20" s="39"/>
      <c r="M20" s="39"/>
    </row>
    <row r="21" spans="2:19" hidden="1" x14ac:dyDescent="0.25">
      <c r="B21">
        <v>2020</v>
      </c>
      <c r="C21" s="104">
        <f t="shared" si="1"/>
        <v>28114.514572426557</v>
      </c>
      <c r="D21" s="79">
        <f t="shared" si="2"/>
        <v>1334.1898613110257</v>
      </c>
      <c r="E21" s="79">
        <v>299.11914135690682</v>
      </c>
      <c r="F21" s="79">
        <v>1059.3333333333335</v>
      </c>
      <c r="G21" s="79">
        <v>398.08333333333331</v>
      </c>
      <c r="H21" s="79">
        <v>96.416666666666671</v>
      </c>
      <c r="I21" s="79">
        <v>22</v>
      </c>
      <c r="J21" s="43">
        <f t="shared" si="0"/>
        <v>31323.65690842782</v>
      </c>
      <c r="K21" s="60"/>
      <c r="L21" s="39"/>
      <c r="M21" s="39"/>
    </row>
    <row r="22" spans="2:19" x14ac:dyDescent="0.25">
      <c r="B22">
        <v>2021</v>
      </c>
      <c r="C22" s="104">
        <f t="shared" si="1"/>
        <v>28049.494621600359</v>
      </c>
      <c r="D22" s="79">
        <f t="shared" si="2"/>
        <v>1339.3199325608509</v>
      </c>
      <c r="E22" s="79">
        <v>300.18972664588733</v>
      </c>
      <c r="F22" s="79">
        <v>1074.8656210406327</v>
      </c>
      <c r="G22" s="79">
        <v>393.88381116230789</v>
      </c>
      <c r="H22" s="79">
        <v>97.648891724018213</v>
      </c>
      <c r="I22" s="79">
        <v>22</v>
      </c>
      <c r="J22" s="43">
        <f t="shared" si="0"/>
        <v>31277.402604734056</v>
      </c>
      <c r="K22" s="105">
        <f>0.0008982</f>
        <v>8.9820000000000004E-4</v>
      </c>
      <c r="L22" s="39">
        <f t="shared" ref="L22:L46" si="3">J22*K22</f>
        <v>28.093363019572131</v>
      </c>
      <c r="M22" s="39">
        <f>L22</f>
        <v>28.093363019572131</v>
      </c>
      <c r="N22" s="37">
        <f>M22*51</f>
        <v>1432.7615139981788</v>
      </c>
      <c r="O22" s="43">
        <f>(C22/J22)*N22</f>
        <v>1284.8968595251938</v>
      </c>
      <c r="P22" s="43">
        <f>N22-O22</f>
        <v>147.86465447298497</v>
      </c>
      <c r="Q22" s="37">
        <f>N22*'15. Emissions'!$F$4/10/1000000</f>
        <v>9.5020686297898642</v>
      </c>
    </row>
    <row r="23" spans="2:19" x14ac:dyDescent="0.25">
      <c r="B23">
        <v>2022</v>
      </c>
      <c r="C23" s="104">
        <f t="shared" si="1"/>
        <v>27984.622728605427</v>
      </c>
      <c r="D23" s="79">
        <f t="shared" si="2"/>
        <v>1344.4735744457037</v>
      </c>
      <c r="E23" s="79">
        <f t="shared" si="2"/>
        <v>301.2677228218472</v>
      </c>
      <c r="F23" s="79">
        <f t="shared" si="2"/>
        <v>1090.6403104934916</v>
      </c>
      <c r="G23" s="79">
        <f t="shared" si="2"/>
        <v>389.71804188463119</v>
      </c>
      <c r="H23" s="79">
        <f t="shared" si="2"/>
        <v>98.909645081967682</v>
      </c>
      <c r="I23" s="79">
        <v>22</v>
      </c>
      <c r="J23" s="43">
        <f t="shared" si="0"/>
        <v>31231.63202333307</v>
      </c>
      <c r="K23" s="105">
        <f>K22*1.05</f>
        <v>9.4311000000000004E-4</v>
      </c>
      <c r="L23" s="39">
        <f t="shared" si="3"/>
        <v>29.454864477525653</v>
      </c>
      <c r="M23" s="39">
        <f>L23+M22</f>
        <v>57.548227497097784</v>
      </c>
      <c r="N23" s="37">
        <f t="shared" ref="N23:N46" si="4">M23*51</f>
        <v>2934.9596023519871</v>
      </c>
      <c r="O23" s="43">
        <f t="shared" ref="O23:O46" si="5">(C23/J23)*N23</f>
        <v>2629.8253365099931</v>
      </c>
      <c r="P23" s="43">
        <f t="shared" ref="P23:P46" si="6">N23-O23</f>
        <v>305.13426584199397</v>
      </c>
      <c r="Q23" s="37">
        <f>N23*'15. Emissions'!$F$4/10/1000000</f>
        <v>19.464640342959967</v>
      </c>
    </row>
    <row r="24" spans="2:19" x14ac:dyDescent="0.25">
      <c r="B24">
        <v>2023</v>
      </c>
      <c r="C24" s="104">
        <f t="shared" si="1"/>
        <v>27919.898556297216</v>
      </c>
      <c r="D24" s="79">
        <f t="shared" si="2"/>
        <v>1349.6508952632678</v>
      </c>
      <c r="E24" s="79">
        <f t="shared" si="2"/>
        <v>302.35318118499242</v>
      </c>
      <c r="F24" s="79">
        <f t="shared" si="2"/>
        <v>1106.6611846894543</v>
      </c>
      <c r="G24" s="79">
        <f t="shared" si="2"/>
        <v>385.58575421758036</v>
      </c>
      <c r="H24" s="79">
        <f t="shared" si="2"/>
        <v>100.19958722370372</v>
      </c>
      <c r="I24" s="79">
        <v>22</v>
      </c>
      <c r="J24" s="43">
        <f t="shared" si="0"/>
        <v>31186.349158876215</v>
      </c>
      <c r="K24" s="105">
        <f t="shared" ref="K24:K46" si="7">K23*1.05</f>
        <v>9.9026550000000011E-4</v>
      </c>
      <c r="L24" s="39">
        <f t="shared" si="3"/>
        <v>30.882765642989138</v>
      </c>
      <c r="M24" s="39">
        <f t="shared" ref="M24:M46" si="8">L24+M23</f>
        <v>88.430993140086926</v>
      </c>
      <c r="N24" s="37">
        <f t="shared" si="4"/>
        <v>4509.9806501444336</v>
      </c>
      <c r="O24" s="43">
        <f t="shared" si="5"/>
        <v>4037.6063771176396</v>
      </c>
      <c r="P24" s="43">
        <f t="shared" si="6"/>
        <v>472.37427302679407</v>
      </c>
      <c r="Q24" s="37">
        <f>N24*'15. Emissions'!$F$4/10/1000000</f>
        <v>29.910173631835281</v>
      </c>
    </row>
    <row r="25" spans="2:19" x14ac:dyDescent="0.25">
      <c r="B25">
        <v>2024</v>
      </c>
      <c r="C25" s="104">
        <f t="shared" si="1"/>
        <v>27855.321768298905</v>
      </c>
      <c r="D25" s="79">
        <f t="shared" si="2"/>
        <v>1354.8520038088122</v>
      </c>
      <c r="E25" s="79">
        <f t="shared" si="2"/>
        <v>303.44615339064313</v>
      </c>
      <c r="F25" s="79">
        <f t="shared" si="2"/>
        <v>1122.9320856647091</v>
      </c>
      <c r="G25" s="79">
        <f t="shared" si="2"/>
        <v>381.48667905881786</v>
      </c>
      <c r="H25" s="79">
        <f t="shared" si="2"/>
        <v>101.51939392382852</v>
      </c>
      <c r="I25" s="79">
        <v>22</v>
      </c>
      <c r="J25" s="43">
        <f t="shared" si="0"/>
        <v>31141.558084145716</v>
      </c>
      <c r="K25" s="105">
        <f t="shared" si="7"/>
        <v>1.0397787750000003E-3</v>
      </c>
      <c r="L25" s="39">
        <f t="shared" si="3"/>
        <v>32.380331116324385</v>
      </c>
      <c r="M25" s="39">
        <f t="shared" si="8"/>
        <v>120.81132425641131</v>
      </c>
      <c r="N25" s="37">
        <f t="shared" si="4"/>
        <v>6161.3775370769772</v>
      </c>
      <c r="O25" s="43">
        <f t="shared" si="5"/>
        <v>5511.1935429661189</v>
      </c>
      <c r="P25" s="43">
        <f t="shared" si="6"/>
        <v>650.18399411085829</v>
      </c>
      <c r="Q25" s="37">
        <f>N25*'15. Emissions'!$F$4/10/1000000</f>
        <v>40.862231180384363</v>
      </c>
    </row>
    <row r="26" spans="2:19" x14ac:dyDescent="0.25">
      <c r="B26">
        <v>2025</v>
      </c>
      <c r="C26" s="104">
        <f t="shared" si="1"/>
        <v>27790.892028999642</v>
      </c>
      <c r="D26" s="79">
        <f t="shared" si="2"/>
        <v>1360.0770093774765</v>
      </c>
      <c r="E26" s="79">
        <f t="shared" si="2"/>
        <v>304.54669145169186</v>
      </c>
      <c r="F26" s="79">
        <f t="shared" si="2"/>
        <v>1139.4569154154642</v>
      </c>
      <c r="G26" s="79">
        <f t="shared" si="2"/>
        <v>377.42054946886714</v>
      </c>
      <c r="H26" s="79">
        <f t="shared" si="2"/>
        <v>102.86975660238249</v>
      </c>
      <c r="I26" s="79">
        <v>22</v>
      </c>
      <c r="J26" s="43">
        <f t="shared" si="0"/>
        <v>31097.262951315526</v>
      </c>
      <c r="K26" s="105">
        <f t="shared" si="7"/>
        <v>1.0917677137500003E-3</v>
      </c>
      <c r="L26" s="39">
        <f t="shared" si="3"/>
        <v>33.950987676240338</v>
      </c>
      <c r="M26" s="39">
        <f t="shared" si="8"/>
        <v>154.76231193265164</v>
      </c>
      <c r="N26" s="37">
        <f t="shared" si="4"/>
        <v>7892.8779085652341</v>
      </c>
      <c r="O26" s="43">
        <f t="shared" si="5"/>
        <v>7053.6792288896168</v>
      </c>
      <c r="P26" s="43">
        <f t="shared" si="6"/>
        <v>839.19867967561731</v>
      </c>
      <c r="Q26" s="37">
        <f>N26*'15. Emissions'!$F$4/10/1000000</f>
        <v>52.345534718092992</v>
      </c>
    </row>
    <row r="27" spans="2:19" x14ac:dyDescent="0.25">
      <c r="B27">
        <v>2026</v>
      </c>
      <c r="C27" s="104">
        <f t="shared" si="1"/>
        <v>27726.609003552792</v>
      </c>
      <c r="D27" s="79">
        <f t="shared" si="2"/>
        <v>1365.3260217665684</v>
      </c>
      <c r="E27" s="79">
        <f t="shared" si="2"/>
        <v>305.6548477410787</v>
      </c>
      <c r="F27" s="79">
        <f t="shared" si="2"/>
        <v>1156.2396368337022</v>
      </c>
      <c r="G27" s="79">
        <f t="shared" si="2"/>
        <v>373.38710065372902</v>
      </c>
      <c r="H27" s="79">
        <f t="shared" si="2"/>
        <v>104.25138268706522</v>
      </c>
      <c r="I27" s="79">
        <v>22</v>
      </c>
      <c r="J27" s="43">
        <f t="shared" si="0"/>
        <v>31053.467993234939</v>
      </c>
      <c r="K27" s="105">
        <f t="shared" si="7"/>
        <v>1.1463560994375004E-3</v>
      </c>
      <c r="L27" s="39">
        <f t="shared" si="3"/>
        <v>35.598332442732065</v>
      </c>
      <c r="M27" s="39">
        <f t="shared" si="8"/>
        <v>190.36064437538371</v>
      </c>
      <c r="N27" s="37">
        <f t="shared" si="4"/>
        <v>9708.3928631445688</v>
      </c>
      <c r="O27" s="43">
        <f t="shared" si="5"/>
        <v>8668.3011709975017</v>
      </c>
      <c r="P27" s="43">
        <f t="shared" si="6"/>
        <v>1040.0916921470671</v>
      </c>
      <c r="Q27" s="37">
        <f>N27*'15. Emissions'!$F$4/10/1000000</f>
        <v>64.386022634803311</v>
      </c>
    </row>
    <row r="28" spans="2:19" x14ac:dyDescent="0.25">
      <c r="B28">
        <v>2027</v>
      </c>
      <c r="C28" s="104">
        <f t="shared" si="1"/>
        <v>27662.472357874209</v>
      </c>
      <c r="D28" s="79">
        <f t="shared" si="2"/>
        <v>1370.5991512778701</v>
      </c>
      <c r="E28" s="79">
        <f t="shared" si="2"/>
        <v>306.77067499428381</v>
      </c>
      <c r="F28" s="79">
        <f t="shared" si="2"/>
        <v>1173.2842746575391</v>
      </c>
      <c r="G28" s="79">
        <f t="shared" si="2"/>
        <v>369.38606994763774</v>
      </c>
      <c r="H28" s="79">
        <f t="shared" si="2"/>
        <v>105.66499598384253</v>
      </c>
      <c r="I28" s="79">
        <v>22</v>
      </c>
      <c r="J28" s="43">
        <f t="shared" si="0"/>
        <v>31010.177524735387</v>
      </c>
      <c r="K28" s="105">
        <f t="shared" si="7"/>
        <v>1.2036739044093755E-3</v>
      </c>
      <c r="L28" s="39">
        <f t="shared" si="3"/>
        <v>37.326141457626107</v>
      </c>
      <c r="M28" s="39">
        <f t="shared" si="8"/>
        <v>227.68678583300982</v>
      </c>
      <c r="N28" s="37">
        <f t="shared" si="4"/>
        <v>11612.026077483501</v>
      </c>
      <c r="O28" s="43">
        <f t="shared" si="5"/>
        <v>10358.449258508164</v>
      </c>
      <c r="P28" s="43">
        <f t="shared" si="6"/>
        <v>1253.5768189753362</v>
      </c>
      <c r="Q28" s="37">
        <f>N28*'15. Emissions'!$F$4/10/1000000</f>
        <v>77.010910497766261</v>
      </c>
    </row>
    <row r="29" spans="2:19" x14ac:dyDescent="0.25">
      <c r="B29">
        <v>2028</v>
      </c>
      <c r="C29" s="104">
        <f t="shared" si="1"/>
        <v>27598.481758640493</v>
      </c>
      <c r="D29" s="79">
        <f t="shared" si="2"/>
        <v>1375.8965087199567</v>
      </c>
      <c r="E29" s="79">
        <f t="shared" si="2"/>
        <v>307.8942263118368</v>
      </c>
      <c r="F29" s="79">
        <f t="shared" si="2"/>
        <v>1190.594916436414</v>
      </c>
      <c r="G29" s="79">
        <f t="shared" si="2"/>
        <v>365.4171967959557</v>
      </c>
      <c r="H29" s="79">
        <f t="shared" si="2"/>
        <v>107.11133705613381</v>
      </c>
      <c r="I29" s="79">
        <v>22</v>
      </c>
      <c r="J29" s="43">
        <f t="shared" si="0"/>
        <v>30967.39594396079</v>
      </c>
      <c r="K29" s="105">
        <f t="shared" si="7"/>
        <v>1.2638575996298442E-3</v>
      </c>
      <c r="L29" s="39">
        <f t="shared" si="3"/>
        <v>39.138378704521259</v>
      </c>
      <c r="M29" s="39">
        <f t="shared" si="8"/>
        <v>266.82516453753107</v>
      </c>
      <c r="N29" s="37">
        <f t="shared" si="4"/>
        <v>13608.083391414084</v>
      </c>
      <c r="O29" s="43">
        <f t="shared" si="5"/>
        <v>12127.672663456284</v>
      </c>
      <c r="P29" s="43">
        <f t="shared" si="6"/>
        <v>1480.4107279578002</v>
      </c>
      <c r="Q29" s="37">
        <f>N29*'15. Emissions'!$F$4/10/1000000</f>
        <v>90.248754619524632</v>
      </c>
    </row>
    <row r="30" spans="2:19" x14ac:dyDescent="0.25">
      <c r="B30">
        <v>2029</v>
      </c>
      <c r="C30" s="104">
        <f t="shared" si="1"/>
        <v>27534.636873287265</v>
      </c>
      <c r="D30" s="79">
        <f t="shared" si="2"/>
        <v>1381.2182054105247</v>
      </c>
      <c r="E30" s="79">
        <f t="shared" si="2"/>
        <v>309.0255551618439</v>
      </c>
      <c r="F30" s="79">
        <f t="shared" si="2"/>
        <v>1208.1757135113428</v>
      </c>
      <c r="G30" s="79">
        <f t="shared" si="2"/>
        <v>361.48022273820578</v>
      </c>
      <c r="H30" s="79">
        <f t="shared" si="2"/>
        <v>108.59116361277819</v>
      </c>
      <c r="I30" s="79">
        <v>22</v>
      </c>
      <c r="J30" s="43">
        <f t="shared" si="0"/>
        <v>30925.127733721962</v>
      </c>
      <c r="K30" s="105">
        <f t="shared" si="7"/>
        <v>1.3270504796113365E-3</v>
      </c>
      <c r="L30" s="39">
        <f t="shared" si="3"/>
        <v>41.039205591077575</v>
      </c>
      <c r="M30" s="39">
        <f t="shared" si="8"/>
        <v>307.86437012860864</v>
      </c>
      <c r="N30" s="37">
        <f t="shared" si="4"/>
        <v>15701.082876559041</v>
      </c>
      <c r="O30" s="43">
        <f t="shared" si="5"/>
        <v>13979.687303021852</v>
      </c>
      <c r="P30" s="43">
        <f t="shared" si="6"/>
        <v>1721.3955735371892</v>
      </c>
      <c r="Q30" s="37">
        <f>N30*'15. Emissions'!$F$4/10/1000000</f>
        <v>104.12951883300804</v>
      </c>
    </row>
    <row r="31" spans="2:19" x14ac:dyDescent="0.25">
      <c r="B31">
        <v>2030</v>
      </c>
      <c r="C31" s="104">
        <f t="shared" si="1"/>
        <v>27470.937370007421</v>
      </c>
      <c r="D31" s="79">
        <f t="shared" si="2"/>
        <v>1386.5643531787309</v>
      </c>
      <c r="E31" s="79">
        <f t="shared" si="2"/>
        <v>310.16471538253222</v>
      </c>
      <c r="F31" s="79">
        <f t="shared" si="2"/>
        <v>1226.030882010469</v>
      </c>
      <c r="G31" s="79">
        <f t="shared" si="2"/>
        <v>357.57489139123965</v>
      </c>
      <c r="H31" s="79">
        <f t="shared" si="2"/>
        <v>110.10525090498291</v>
      </c>
      <c r="I31" s="79">
        <v>22</v>
      </c>
      <c r="J31" s="43">
        <f t="shared" si="0"/>
        <v>30883.377462875378</v>
      </c>
      <c r="K31" s="105">
        <f t="shared" si="7"/>
        <v>1.3934030035919033E-3</v>
      </c>
      <c r="L31" s="39">
        <f t="shared" si="3"/>
        <v>43.032990917833047</v>
      </c>
      <c r="M31" s="39">
        <f t="shared" si="8"/>
        <v>350.89736104644169</v>
      </c>
      <c r="N31" s="37">
        <f t="shared" si="4"/>
        <v>17895.765413368525</v>
      </c>
      <c r="O31" s="43">
        <f t="shared" si="5"/>
        <v>15918.383649908617</v>
      </c>
      <c r="P31" s="43">
        <f t="shared" si="6"/>
        <v>1977.3817634599072</v>
      </c>
      <c r="Q31" s="37">
        <f>N31*'15. Emissions'!$F$4/10/1000000</f>
        <v>118.68464463839838</v>
      </c>
      <c r="S31" t="s">
        <v>20</v>
      </c>
    </row>
    <row r="32" spans="2:19" x14ac:dyDescent="0.25">
      <c r="B32">
        <v>2031</v>
      </c>
      <c r="C32" s="104">
        <f t="shared" si="1"/>
        <v>27407.38291774943</v>
      </c>
      <c r="D32" s="79">
        <f t="shared" si="2"/>
        <v>1391.935064367543</v>
      </c>
      <c r="E32" s="79">
        <f t="shared" si="2"/>
        <v>311.3117611848121</v>
      </c>
      <c r="F32" s="79">
        <f t="shared" si="2"/>
        <v>1244.164703860152</v>
      </c>
      <c r="G32" s="79">
        <f t="shared" si="2"/>
        <v>353.70094843254185</v>
      </c>
      <c r="H32" s="79">
        <f t="shared" si="2"/>
        <v>111.65439213246172</v>
      </c>
      <c r="I32" s="79">
        <v>22</v>
      </c>
      <c r="J32" s="43">
        <f t="shared" si="0"/>
        <v>30842.149787726943</v>
      </c>
      <c r="K32" s="105">
        <f t="shared" si="7"/>
        <v>1.4630731537714986E-3</v>
      </c>
      <c r="L32" s="39">
        <f t="shared" si="3"/>
        <v>45.124321359022616</v>
      </c>
      <c r="M32" s="39">
        <f t="shared" si="8"/>
        <v>396.02168240546428</v>
      </c>
      <c r="N32" s="37">
        <f t="shared" si="4"/>
        <v>20197.105802678678</v>
      </c>
      <c r="O32" s="43">
        <f t="shared" si="5"/>
        <v>17947.834906910033</v>
      </c>
      <c r="P32" s="43">
        <f t="shared" si="6"/>
        <v>2249.2708957686446</v>
      </c>
      <c r="Q32" s="37">
        <f>N32*'15. Emissions'!$F$4/10/1000000</f>
        <v>133.94712489494177</v>
      </c>
    </row>
    <row r="33" spans="2:17" x14ac:dyDescent="0.25">
      <c r="B33">
        <v>2032</v>
      </c>
      <c r="C33" s="104">
        <f t="shared" si="1"/>
        <v>27343.9731862156</v>
      </c>
      <c r="D33" s="79">
        <f t="shared" si="2"/>
        <v>1397.3304518360992</v>
      </c>
      <c r="E33" s="79">
        <f t="shared" si="2"/>
        <v>312.46674715485659</v>
      </c>
      <c r="F33" s="79">
        <f t="shared" si="2"/>
        <v>1262.5815278118348</v>
      </c>
      <c r="G33" s="79">
        <f t="shared" si="2"/>
        <v>349.85814158366776</v>
      </c>
      <c r="H33" s="79">
        <f t="shared" si="2"/>
        <v>113.23939885897619</v>
      </c>
      <c r="I33" s="79">
        <v>22</v>
      </c>
      <c r="J33" s="43">
        <f t="shared" si="0"/>
        <v>30801.449453461035</v>
      </c>
      <c r="K33" s="105">
        <f t="shared" si="7"/>
        <v>1.5362268114600735E-3</v>
      </c>
      <c r="L33" s="39">
        <f t="shared" si="3"/>
        <v>47.31801248223907</v>
      </c>
      <c r="M33" s="39">
        <f t="shared" si="8"/>
        <v>443.33969488770333</v>
      </c>
      <c r="N33" s="37">
        <f t="shared" si="4"/>
        <v>22610.32443927287</v>
      </c>
      <c r="O33" s="43">
        <f t="shared" si="5"/>
        <v>20072.305562543639</v>
      </c>
      <c r="P33" s="43">
        <f t="shared" si="6"/>
        <v>2538.0188767292311</v>
      </c>
      <c r="Q33" s="37">
        <f>N33*'15. Emissions'!$F$4/10/1000000</f>
        <v>149.95158123995989</v>
      </c>
    </row>
    <row r="34" spans="2:17" x14ac:dyDescent="0.25">
      <c r="B34">
        <v>2033</v>
      </c>
      <c r="C34" s="104">
        <f t="shared" si="1"/>
        <v>27280.707845860365</v>
      </c>
      <c r="D34" s="79">
        <f t="shared" si="2"/>
        <v>1402.750628962081</v>
      </c>
      <c r="E34" s="79">
        <f t="shared" si="2"/>
        <v>313.62972825669942</v>
      </c>
      <c r="F34" s="79">
        <f t="shared" si="2"/>
        <v>1281.2857704849373</v>
      </c>
      <c r="G34" s="79">
        <f t="shared" si="2"/>
        <v>346.04622059381467</v>
      </c>
      <c r="H34" s="79">
        <f t="shared" si="2"/>
        <v>114.86110143749752</v>
      </c>
      <c r="I34" s="79">
        <v>22</v>
      </c>
      <c r="J34" s="43">
        <f t="shared" si="0"/>
        <v>30761.281295595392</v>
      </c>
      <c r="K34" s="105">
        <f t="shared" si="7"/>
        <v>1.6130381520330773E-3</v>
      </c>
      <c r="L34" s="39">
        <f t="shared" si="3"/>
        <v>49.619120335216856</v>
      </c>
      <c r="M34" s="39">
        <f t="shared" si="8"/>
        <v>492.95881522292018</v>
      </c>
      <c r="N34" s="37">
        <f t="shared" si="4"/>
        <v>25140.899576368931</v>
      </c>
      <c r="O34" s="43">
        <f t="shared" si="5"/>
        <v>22296.260345411611</v>
      </c>
      <c r="P34" s="43">
        <f t="shared" si="6"/>
        <v>2844.6392309573203</v>
      </c>
      <c r="Q34" s="37">
        <f>N34*'15. Emissions'!$F$4/10/1000000</f>
        <v>166.73434542688042</v>
      </c>
    </row>
    <row r="35" spans="2:17" x14ac:dyDescent="0.25">
      <c r="B35">
        <v>2034</v>
      </c>
      <c r="C35" s="104">
        <f t="shared" si="1"/>
        <v>27217.586567888568</v>
      </c>
      <c r="D35" s="79">
        <f t="shared" si="2"/>
        <v>1408.1957096440951</v>
      </c>
      <c r="E35" s="79">
        <f t="shared" si="2"/>
        <v>314.80075983485051</v>
      </c>
      <c r="F35" s="79">
        <f t="shared" si="2"/>
        <v>1300.2819174260248</v>
      </c>
      <c r="G35" s="79">
        <f t="shared" si="2"/>
        <v>342.26493722352501</v>
      </c>
      <c r="H35" s="79">
        <f t="shared" si="2"/>
        <v>116.52034944521175</v>
      </c>
      <c r="I35" s="79">
        <v>22</v>
      </c>
      <c r="J35" s="43">
        <f t="shared" si="0"/>
        <v>30721.650241462277</v>
      </c>
      <c r="K35" s="105">
        <f t="shared" si="7"/>
        <v>1.6936900596347313E-3</v>
      </c>
      <c r="L35" s="39">
        <f t="shared" si="3"/>
        <v>52.032953629539598</v>
      </c>
      <c r="M35" s="39">
        <f t="shared" si="8"/>
        <v>544.99176885245981</v>
      </c>
      <c r="N35" s="37">
        <f t="shared" si="4"/>
        <v>27794.580211475452</v>
      </c>
      <c r="O35" s="43">
        <f t="shared" si="5"/>
        <v>24624.373595757334</v>
      </c>
      <c r="P35" s="43">
        <f t="shared" si="6"/>
        <v>3170.206615718118</v>
      </c>
      <c r="Q35" s="37">
        <f>N35*'15. Emissions'!$F$4/10/1000000</f>
        <v>184.33354478418434</v>
      </c>
    </row>
    <row r="36" spans="2:17" x14ac:dyDescent="0.25">
      <c r="B36">
        <v>2035</v>
      </c>
      <c r="C36" s="104">
        <f t="shared" si="1"/>
        <v>27154.609024253761</v>
      </c>
      <c r="D36" s="79">
        <f>D35*(D$19/D$17)^(1/3)-1</f>
        <v>1413.6658083040672</v>
      </c>
      <c r="E36" s="79">
        <f>E35*(E$19/E$17)^(1/3)-1</f>
        <v>315.97989761692975</v>
      </c>
      <c r="F36" s="79">
        <f>F35*(F$19/F$17)^(1/3)-1</f>
        <v>1319.5745241845073</v>
      </c>
      <c r="G36" s="79">
        <f>G35*(G$19/G$17)^(1/3)-1</f>
        <v>338.51404522852073</v>
      </c>
      <c r="H36" s="79">
        <f>H35*(H$19/H$17)^(1/3)-1</f>
        <v>118.21801212859596</v>
      </c>
      <c r="I36" s="79">
        <v>22</v>
      </c>
      <c r="J36" s="43">
        <f t="shared" si="0"/>
        <v>30682.561311716381</v>
      </c>
      <c r="K36" s="105">
        <f t="shared" si="7"/>
        <v>1.7783745626164678E-3</v>
      </c>
      <c r="L36" s="39">
        <f t="shared" si="3"/>
        <v>54.565086552676576</v>
      </c>
      <c r="M36" s="39">
        <f t="shared" si="8"/>
        <v>599.55685540513639</v>
      </c>
      <c r="N36" s="37">
        <f t="shared" si="4"/>
        <v>30577.399625661958</v>
      </c>
      <c r="O36" s="43">
        <f t="shared" si="5"/>
        <v>27061.539073537206</v>
      </c>
      <c r="P36" s="43">
        <f t="shared" si="6"/>
        <v>3515.8605521247518</v>
      </c>
      <c r="Q36" s="37">
        <f>N36*'15. Emissions'!$F$4/10/1000000</f>
        <v>202.78919200779157</v>
      </c>
    </row>
    <row r="37" spans="2:17" x14ac:dyDescent="0.25">
      <c r="B37">
        <v>2036</v>
      </c>
      <c r="C37" s="104">
        <f t="shared" ref="C37:H46" si="9">C36*(C$19/C$17)^(1/3)-1</f>
        <v>27091.774887656491</v>
      </c>
      <c r="D37" s="79">
        <f t="shared" si="9"/>
        <v>1419.1610398896457</v>
      </c>
      <c r="E37" s="79">
        <f t="shared" si="9"/>
        <v>317.16719771631898</v>
      </c>
      <c r="F37" s="79">
        <f t="shared" si="9"/>
        <v>1339.1682174051246</v>
      </c>
      <c r="G37" s="79">
        <f t="shared" si="9"/>
        <v>334.79330034366711</v>
      </c>
      <c r="H37" s="79">
        <f t="shared" si="9"/>
        <v>119.95497885879898</v>
      </c>
      <c r="I37" s="79">
        <v>22</v>
      </c>
      <c r="J37" s="43">
        <f t="shared" si="0"/>
        <v>30644.019621870044</v>
      </c>
      <c r="K37" s="105">
        <f t="shared" si="7"/>
        <v>1.8672932907472914E-3</v>
      </c>
      <c r="L37" s="39">
        <f t="shared" si="3"/>
        <v>57.221372241446282</v>
      </c>
      <c r="M37" s="39">
        <f t="shared" si="8"/>
        <v>656.77822764658265</v>
      </c>
      <c r="N37" s="37">
        <f t="shared" si="4"/>
        <v>33495.689609975714</v>
      </c>
      <c r="O37" s="43">
        <f t="shared" si="5"/>
        <v>29612.88022321463</v>
      </c>
      <c r="P37" s="43">
        <f t="shared" si="6"/>
        <v>3882.8093867610842</v>
      </c>
      <c r="Q37" s="37">
        <f>N37*'15. Emissions'!$F$4/10/1000000</f>
        <v>222.14327951060048</v>
      </c>
    </row>
    <row r="38" spans="2:17" x14ac:dyDescent="0.25">
      <c r="B38">
        <v>2037</v>
      </c>
      <c r="C38" s="104">
        <f t="shared" si="9"/>
        <v>27029.083831542608</v>
      </c>
      <c r="D38" s="79">
        <f t="shared" si="9"/>
        <v>1424.681519876618</v>
      </c>
      <c r="E38" s="79">
        <f t="shared" si="9"/>
        <v>318.3627166348324</v>
      </c>
      <c r="F38" s="79">
        <f t="shared" si="9"/>
        <v>1359.0676959374837</v>
      </c>
      <c r="G38" s="79">
        <f t="shared" si="9"/>
        <v>331.10246026706591</v>
      </c>
      <c r="H38" s="79">
        <f t="shared" si="9"/>
        <v>121.73215959756496</v>
      </c>
      <c r="I38" s="79">
        <v>22</v>
      </c>
      <c r="J38" s="43">
        <f t="shared" si="0"/>
        <v>30606.030383856174</v>
      </c>
      <c r="K38" s="105">
        <f t="shared" si="7"/>
        <v>1.9606579552846558E-3</v>
      </c>
      <c r="L38" s="39">
        <f t="shared" si="3"/>
        <v>60.007956951791499</v>
      </c>
      <c r="M38" s="39">
        <f t="shared" si="8"/>
        <v>716.78618459837412</v>
      </c>
      <c r="N38" s="37">
        <f t="shared" si="4"/>
        <v>36556.095414517084</v>
      </c>
      <c r="O38" s="43">
        <f t="shared" si="5"/>
        <v>32283.760916411949</v>
      </c>
      <c r="P38" s="43">
        <f t="shared" si="6"/>
        <v>4272.3344981051341</v>
      </c>
      <c r="Q38" s="37">
        <f>N38*'15. Emissions'!$F$4/10/1000000</f>
        <v>242.43987856469559</v>
      </c>
    </row>
    <row r="39" spans="2:17" x14ac:dyDescent="0.25">
      <c r="B39">
        <v>2038</v>
      </c>
      <c r="C39" s="104">
        <f t="shared" si="9"/>
        <v>26966.535530101559</v>
      </c>
      <c r="D39" s="79">
        <f t="shared" si="9"/>
        <v>1430.2273642713367</v>
      </c>
      <c r="E39" s="79">
        <f t="shared" si="9"/>
        <v>319.56651126540538</v>
      </c>
      <c r="F39" s="79">
        <f t="shared" si="9"/>
        <v>1379.2777319629097</v>
      </c>
      <c r="G39" s="79">
        <f t="shared" si="9"/>
        <v>327.44128464427621</v>
      </c>
      <c r="H39" s="79">
        <f t="shared" si="9"/>
        <v>123.55048537394389</v>
      </c>
      <c r="I39" s="79">
        <v>22</v>
      </c>
      <c r="J39" s="43">
        <f t="shared" si="0"/>
        <v>30568.598907619431</v>
      </c>
      <c r="K39" s="105">
        <f t="shared" si="7"/>
        <v>2.0586908530488886E-3</v>
      </c>
      <c r="L39" s="39">
        <f t="shared" si="3"/>
        <v>62.931294961636375</v>
      </c>
      <c r="M39" s="39">
        <f t="shared" si="8"/>
        <v>779.71747956001047</v>
      </c>
      <c r="N39" s="37">
        <f t="shared" si="4"/>
        <v>39765.591457560535</v>
      </c>
      <c r="O39" s="43">
        <f t="shared" si="5"/>
        <v>35079.796694526325</v>
      </c>
      <c r="P39" s="43">
        <f t="shared" si="6"/>
        <v>4685.7947630342096</v>
      </c>
      <c r="Q39" s="37">
        <f>N39*'15. Emissions'!$F$4/10/1000000</f>
        <v>263.72524348417556</v>
      </c>
    </row>
    <row r="40" spans="2:17" x14ac:dyDescent="0.25">
      <c r="B40">
        <v>2039</v>
      </c>
      <c r="C40" s="104">
        <f t="shared" si="9"/>
        <v>26904.129658264697</v>
      </c>
      <c r="D40" s="79">
        <f t="shared" si="9"/>
        <v>1435.7986896131572</v>
      </c>
      <c r="E40" s="79">
        <f t="shared" si="9"/>
        <v>320.77863889480187</v>
      </c>
      <c r="F40" s="79">
        <f t="shared" si="9"/>
        <v>1399.8031721388838</v>
      </c>
      <c r="G40" s="79">
        <f t="shared" si="9"/>
        <v>323.80953505266206</v>
      </c>
      <c r="H40" s="79">
        <f t="shared" si="9"/>
        <v>125.41090877203892</v>
      </c>
      <c r="I40" s="79">
        <v>22</v>
      </c>
      <c r="J40" s="43">
        <f t="shared" si="0"/>
        <v>30531.730602736243</v>
      </c>
      <c r="K40" s="105">
        <f t="shared" si="7"/>
        <v>2.1616253957013332E-3</v>
      </c>
      <c r="L40" s="39">
        <f t="shared" si="3"/>
        <v>65.998164245586239</v>
      </c>
      <c r="M40" s="39">
        <f t="shared" si="8"/>
        <v>845.71564380559676</v>
      </c>
      <c r="N40" s="37">
        <f t="shared" si="4"/>
        <v>43131.497834085436</v>
      </c>
      <c r="O40" s="43">
        <f t="shared" si="5"/>
        <v>38006.866534430948</v>
      </c>
      <c r="P40" s="43">
        <f t="shared" si="6"/>
        <v>5124.6312996544875</v>
      </c>
      <c r="Q40" s="37">
        <f>N40*'15. Emissions'!$F$4/10/1000000</f>
        <v>286.04792110966326</v>
      </c>
    </row>
    <row r="41" spans="2:17" x14ac:dyDescent="0.25">
      <c r="B41">
        <v>2040</v>
      </c>
      <c r="C41" s="104">
        <f t="shared" si="9"/>
        <v>26841.865891703601</v>
      </c>
      <c r="D41" s="79">
        <f t="shared" si="9"/>
        <v>1441.3956129768874</v>
      </c>
      <c r="E41" s="79">
        <f t="shared" si="9"/>
        <v>321.99915720634067</v>
      </c>
      <c r="F41" s="79">
        <f t="shared" si="9"/>
        <v>1420.6489387613415</v>
      </c>
      <c r="G41" s="79">
        <f t="shared" si="9"/>
        <v>320.20697498586594</v>
      </c>
      <c r="H41" s="79">
        <f t="shared" si="9"/>
        <v>127.31440443004593</v>
      </c>
      <c r="I41" s="79">
        <v>22</v>
      </c>
      <c r="J41" s="43">
        <f t="shared" si="0"/>
        <v>30495.430980064084</v>
      </c>
      <c r="K41" s="105">
        <f t="shared" si="7"/>
        <v>2.2697066654863997E-3</v>
      </c>
      <c r="L41" s="39">
        <f t="shared" si="3"/>
        <v>69.215682962331897</v>
      </c>
      <c r="M41" s="39">
        <f t="shared" si="8"/>
        <v>914.93132676792868</v>
      </c>
      <c r="N41" s="37">
        <f t="shared" si="4"/>
        <v>46661.497665164359</v>
      </c>
      <c r="O41" s="43">
        <f t="shared" si="5"/>
        <v>41071.125161443786</v>
      </c>
      <c r="P41" s="43">
        <f t="shared" si="6"/>
        <v>5590.3725037205731</v>
      </c>
      <c r="Q41" s="37">
        <f>N41*'15. Emissions'!$F$4/10/1000000</f>
        <v>309.45886586937934</v>
      </c>
    </row>
    <row r="42" spans="2:17" x14ac:dyDescent="0.25">
      <c r="B42">
        <v>2041</v>
      </c>
      <c r="C42" s="104">
        <f t="shared" si="9"/>
        <v>26779.743906828371</v>
      </c>
      <c r="D42" s="79">
        <f t="shared" si="9"/>
        <v>1447.0182519752468</v>
      </c>
      <c r="E42" s="79">
        <f t="shared" si="9"/>
        <v>323.22812428264035</v>
      </c>
      <c r="F42" s="79">
        <f t="shared" si="9"/>
        <v>1441.8200309451097</v>
      </c>
      <c r="G42" s="79">
        <f t="shared" si="9"/>
        <v>316.63336983840702</v>
      </c>
      <c r="H42" s="79">
        <f t="shared" si="9"/>
        <v>129.26196955084666</v>
      </c>
      <c r="I42" s="79">
        <v>22</v>
      </c>
      <c r="J42" s="43">
        <f t="shared" si="0"/>
        <v>30459.70565342062</v>
      </c>
      <c r="K42" s="105">
        <f t="shared" si="7"/>
        <v>2.3831919987607197E-3</v>
      </c>
      <c r="L42" s="39">
        <f t="shared" si="3"/>
        <v>72.59132679783869</v>
      </c>
      <c r="M42" s="39">
        <f t="shared" si="8"/>
        <v>987.52265356576731</v>
      </c>
      <c r="N42" s="37">
        <f t="shared" si="4"/>
        <v>50363.655331854134</v>
      </c>
      <c r="O42" s="43">
        <f t="shared" si="5"/>
        <v>44279.01593485567</v>
      </c>
      <c r="P42" s="43">
        <f t="shared" si="6"/>
        <v>6084.6393969984638</v>
      </c>
      <c r="Q42" s="37">
        <f>N42*'15. Emissions'!$F$4/10/1000000</f>
        <v>334.01156070623529</v>
      </c>
    </row>
    <row r="43" spans="2:17" x14ac:dyDescent="0.25">
      <c r="B43">
        <v>2042</v>
      </c>
      <c r="C43" s="104">
        <f t="shared" si="9"/>
        <v>26717.763380785971</v>
      </c>
      <c r="D43" s="79">
        <f t="shared" si="9"/>
        <v>1452.6667247613386</v>
      </c>
      <c r="E43" s="79">
        <f t="shared" si="9"/>
        <v>324.46559860838346</v>
      </c>
      <c r="F43" s="79">
        <f t="shared" si="9"/>
        <v>1463.3215258227669</v>
      </c>
      <c r="G43" s="79">
        <f t="shared" si="9"/>
        <v>313.08848689040332</v>
      </c>
      <c r="H43" s="79">
        <f t="shared" si="9"/>
        <v>131.25462442442327</v>
      </c>
      <c r="I43" s="79">
        <v>22</v>
      </c>
      <c r="J43" s="43">
        <f t="shared" si="0"/>
        <v>30424.560341293287</v>
      </c>
      <c r="K43" s="105">
        <f t="shared" si="7"/>
        <v>2.5023515986987558E-3</v>
      </c>
      <c r="L43" s="39">
        <f t="shared" si="3"/>
        <v>76.132947209742014</v>
      </c>
      <c r="M43" s="39">
        <f t="shared" si="8"/>
        <v>1063.6556007755094</v>
      </c>
      <c r="N43" s="37">
        <f t="shared" si="4"/>
        <v>54246.435639550975</v>
      </c>
      <c r="O43" s="43">
        <f t="shared" si="5"/>
        <v>47637.284332469317</v>
      </c>
      <c r="P43" s="43">
        <f t="shared" si="6"/>
        <v>6609.1513070816582</v>
      </c>
      <c r="Q43" s="37">
        <f>N43*'15. Emissions'!$F$4/10/1000000</f>
        <v>359.76214417575943</v>
      </c>
    </row>
    <row r="44" spans="2:17" x14ac:dyDescent="0.25">
      <c r="B44">
        <v>2043</v>
      </c>
      <c r="C44" s="104">
        <f t="shared" si="9"/>
        <v>26655.923991458531</v>
      </c>
      <c r="D44" s="79">
        <f t="shared" si="9"/>
        <v>1458.3411500311329</v>
      </c>
      <c r="E44" s="79">
        <f t="shared" si="9"/>
        <v>325.71163907309966</v>
      </c>
      <c r="F44" s="79">
        <f t="shared" si="9"/>
        <v>1485.1585797622124</v>
      </c>
      <c r="G44" s="79">
        <f t="shared" si="9"/>
        <v>309.57209529241635</v>
      </c>
      <c r="H44" s="79">
        <f t="shared" si="9"/>
        <v>133.29341296236757</v>
      </c>
      <c r="I44" s="79">
        <v>22</v>
      </c>
      <c r="J44" s="43">
        <f t="shared" si="0"/>
        <v>30390.000868579762</v>
      </c>
      <c r="K44" s="105">
        <f t="shared" si="7"/>
        <v>2.6274691786336937E-3</v>
      </c>
      <c r="L44" s="39">
        <f t="shared" si="3"/>
        <v>79.848790620844511</v>
      </c>
      <c r="M44" s="39">
        <f t="shared" si="8"/>
        <v>1143.5043913963539</v>
      </c>
      <c r="N44" s="37">
        <f t="shared" si="4"/>
        <v>58318.723961214047</v>
      </c>
      <c r="O44" s="43">
        <f t="shared" si="5"/>
        <v>51152.992061813733</v>
      </c>
      <c r="P44" s="43">
        <f t="shared" si="6"/>
        <v>7165.7318994003144</v>
      </c>
      <c r="Q44" s="37">
        <f>N44*'15. Emissions'!$F$4/10/1000000</f>
        <v>386.7695440358757</v>
      </c>
    </row>
    <row r="45" spans="2:17" x14ac:dyDescent="0.25">
      <c r="B45">
        <v>2044</v>
      </c>
      <c r="C45" s="104">
        <f t="shared" si="9"/>
        <v>26594.225417461679</v>
      </c>
      <c r="D45" s="79">
        <f t="shared" si="9"/>
        <v>1464.0416470259599</v>
      </c>
      <c r="E45" s="79">
        <f t="shared" si="9"/>
        <v>326.96630497396819</v>
      </c>
      <c r="F45" s="79">
        <f t="shared" si="9"/>
        <v>1507.3364296032375</v>
      </c>
      <c r="G45" s="79">
        <f t="shared" si="9"/>
        <v>306.08396605041793</v>
      </c>
      <c r="H45" s="79">
        <f t="shared" si="9"/>
        <v>135.3794032447652</v>
      </c>
      <c r="I45" s="79">
        <v>22</v>
      </c>
      <c r="J45" s="43">
        <f t="shared" si="0"/>
        <v>30356.033168360027</v>
      </c>
      <c r="K45" s="105">
        <f t="shared" si="7"/>
        <v>2.7588426375653786E-3</v>
      </c>
      <c r="L45" s="39">
        <f t="shared" si="3"/>
        <v>83.747518612220489</v>
      </c>
      <c r="M45" s="39">
        <f t="shared" si="8"/>
        <v>1227.2519100085744</v>
      </c>
      <c r="N45" s="37">
        <f t="shared" si="4"/>
        <v>62589.847410437294</v>
      </c>
      <c r="O45" s="43">
        <f t="shared" si="5"/>
        <v>54833.531826965816</v>
      </c>
      <c r="P45" s="43">
        <f t="shared" si="6"/>
        <v>7756.315583471478</v>
      </c>
      <c r="Q45" s="37">
        <f>N45*'15. Emissions'!$F$4/10/1000000</f>
        <v>415.09561766663046</v>
      </c>
    </row>
    <row r="46" spans="2:17" x14ac:dyDescent="0.25">
      <c r="B46">
        <v>2045</v>
      </c>
      <c r="C46" s="104">
        <f t="shared" si="9"/>
        <v>26532.667338142874</v>
      </c>
      <c r="D46" s="79">
        <f t="shared" si="9"/>
        <v>1469.7683355350166</v>
      </c>
      <c r="E46" s="79">
        <f t="shared" si="9"/>
        <v>328.22965601863973</v>
      </c>
      <c r="F46" s="79">
        <f t="shared" si="9"/>
        <v>1529.8603939133952</v>
      </c>
      <c r="G46" s="79">
        <f t="shared" si="9"/>
        <v>302.62387201087756</v>
      </c>
      <c r="H46" s="79">
        <f t="shared" si="9"/>
        <v>137.51368807974114</v>
      </c>
      <c r="I46" s="79">
        <v>22</v>
      </c>
      <c r="J46" s="43">
        <f t="shared" si="0"/>
        <v>30322.663283700542</v>
      </c>
      <c r="K46" s="105">
        <f t="shared" si="7"/>
        <v>2.8967847694436476E-3</v>
      </c>
      <c r="L46" s="39">
        <f t="shared" si="3"/>
        <v>87.838229169191834</v>
      </c>
      <c r="M46" s="39">
        <f t="shared" si="8"/>
        <v>1315.0901391777663</v>
      </c>
      <c r="N46" s="37">
        <f t="shared" si="4"/>
        <v>67069.597098066079</v>
      </c>
      <c r="O46" s="43">
        <f t="shared" si="5"/>
        <v>58686.642781236842</v>
      </c>
      <c r="P46" s="43">
        <f t="shared" si="6"/>
        <v>8382.9543168292366</v>
      </c>
      <c r="Q46" s="37">
        <f>N46*'15. Emissions'!$F$4/10/1000000</f>
        <v>444.80529967598579</v>
      </c>
    </row>
    <row r="49" spans="2:16" x14ac:dyDescent="0.25">
      <c r="B49" s="551" t="s">
        <v>293</v>
      </c>
      <c r="C49" s="551"/>
      <c r="D49" s="551"/>
      <c r="E49" s="551"/>
      <c r="F49" s="551"/>
      <c r="G49" s="551"/>
      <c r="H49" s="551"/>
      <c r="I49" s="551"/>
      <c r="J49" s="551"/>
      <c r="K49" s="551"/>
      <c r="L49" s="551"/>
      <c r="M49" s="551"/>
      <c r="N49" s="551"/>
      <c r="O49" s="551"/>
      <c r="P49" s="551"/>
    </row>
    <row r="50" spans="2:16" x14ac:dyDescent="0.25">
      <c r="B50" t="s">
        <v>294</v>
      </c>
    </row>
  </sheetData>
  <mergeCells count="2">
    <mergeCell ref="C2:E2"/>
    <mergeCell ref="B49:P49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927BC-CCC3-4182-9DEB-B000A0C42B30}">
  <sheetPr codeName="Sheet19"/>
  <dimension ref="B3:S31"/>
  <sheetViews>
    <sheetView workbookViewId="0">
      <selection activeCell="B25" sqref="B25"/>
    </sheetView>
  </sheetViews>
  <sheetFormatPr defaultRowHeight="15" x14ac:dyDescent="0.25"/>
  <sheetData>
    <row r="3" spans="2:2" x14ac:dyDescent="0.25">
      <c r="B3" t="s">
        <v>13</v>
      </c>
    </row>
    <row r="4" spans="2:2" x14ac:dyDescent="0.25">
      <c r="B4" t="s">
        <v>274</v>
      </c>
    </row>
    <row r="5" spans="2:2" x14ac:dyDescent="0.25">
      <c r="B5" t="s">
        <v>14</v>
      </c>
    </row>
    <row r="6" spans="2:2" x14ac:dyDescent="0.25">
      <c r="B6" t="s">
        <v>276</v>
      </c>
    </row>
    <row r="8" spans="2:2" x14ac:dyDescent="0.25">
      <c r="B8" t="s">
        <v>295</v>
      </c>
    </row>
    <row r="9" spans="2:2" x14ac:dyDescent="0.25">
      <c r="B9" t="s">
        <v>14</v>
      </c>
    </row>
    <row r="10" spans="2:2" x14ac:dyDescent="0.25">
      <c r="B10" t="s">
        <v>296</v>
      </c>
    </row>
    <row r="12" spans="2:2" x14ac:dyDescent="0.25">
      <c r="B12" t="s">
        <v>31</v>
      </c>
    </row>
    <row r="13" spans="2:2" x14ac:dyDescent="0.25">
      <c r="B13" t="s">
        <v>14</v>
      </c>
    </row>
    <row r="14" spans="2:2" x14ac:dyDescent="0.25">
      <c r="B14" t="s">
        <v>297</v>
      </c>
    </row>
    <row r="15" spans="2:2" x14ac:dyDescent="0.25">
      <c r="B15" t="s">
        <v>0</v>
      </c>
    </row>
    <row r="16" spans="2:2" x14ac:dyDescent="0.25">
      <c r="B16" t="s">
        <v>298</v>
      </c>
    </row>
    <row r="17" spans="2:19" x14ac:dyDescent="0.25">
      <c r="B17" t="s">
        <v>28</v>
      </c>
    </row>
    <row r="18" spans="2:19" x14ac:dyDescent="0.25">
      <c r="B18" t="s">
        <v>299</v>
      </c>
    </row>
    <row r="19" spans="2:19" x14ac:dyDescent="0.25">
      <c r="B19" t="s">
        <v>300</v>
      </c>
    </row>
    <row r="20" spans="2:19" x14ac:dyDescent="0.25">
      <c r="B20" t="s">
        <v>301</v>
      </c>
    </row>
    <row r="23" spans="2:19" x14ac:dyDescent="0.25">
      <c r="B23" t="s">
        <v>751</v>
      </c>
    </row>
    <row r="24" spans="2:19" x14ac:dyDescent="0.25">
      <c r="B24" t="s">
        <v>752</v>
      </c>
    </row>
    <row r="31" spans="2:19" x14ac:dyDescent="0.25">
      <c r="S31" t="s">
        <v>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DA4F7-2F5F-4995-B922-038C9E257E2F}">
  <sheetPr codeName="Sheet2">
    <tabColor theme="7"/>
  </sheetPr>
  <dimension ref="B2:AL89"/>
  <sheetViews>
    <sheetView zoomScale="70" zoomScaleNormal="70" workbookViewId="0">
      <selection activeCell="J6" sqref="J6"/>
    </sheetView>
  </sheetViews>
  <sheetFormatPr defaultRowHeight="15" x14ac:dyDescent="0.25"/>
  <cols>
    <col min="1" max="1" width="9.140625" style="1"/>
    <col min="2" max="2" width="20.5703125" style="1" customWidth="1"/>
    <col min="3" max="3" width="15.5703125" style="1" customWidth="1"/>
    <col min="4" max="4" width="16.42578125" style="1" bestFit="1" customWidth="1"/>
    <col min="5" max="5" width="25.140625" style="1" bestFit="1" customWidth="1"/>
    <col min="6" max="6" width="16.42578125" style="1" bestFit="1" customWidth="1"/>
    <col min="7" max="7" width="11.85546875" style="1" customWidth="1"/>
    <col min="8" max="8" width="16.7109375" style="1" bestFit="1" customWidth="1"/>
    <col min="9" max="9" width="10.85546875" style="1" bestFit="1" customWidth="1"/>
    <col min="10" max="10" width="12.85546875" style="1" customWidth="1"/>
    <col min="11" max="12" width="11.28515625" style="1" bestFit="1" customWidth="1"/>
    <col min="13" max="13" width="11" style="1" bestFit="1" customWidth="1"/>
    <col min="14" max="14" width="10.85546875" style="1" bestFit="1" customWidth="1"/>
    <col min="15" max="17" width="11.28515625" style="1" bestFit="1" customWidth="1"/>
    <col min="18" max="18" width="11" style="1" bestFit="1" customWidth="1"/>
    <col min="19" max="20" width="11.28515625" style="1" bestFit="1" customWidth="1"/>
    <col min="21" max="21" width="11" style="1" bestFit="1" customWidth="1"/>
    <col min="22" max="22" width="10.85546875" style="1" bestFit="1" customWidth="1"/>
    <col min="23" max="23" width="11.28515625" style="1" bestFit="1" customWidth="1"/>
    <col min="24" max="24" width="11" style="1" bestFit="1" customWidth="1"/>
    <col min="25" max="25" width="11.28515625" style="1" bestFit="1" customWidth="1"/>
    <col min="26" max="27" width="11" style="1" bestFit="1" customWidth="1"/>
    <col min="28" max="16384" width="9.140625" style="1"/>
  </cols>
  <sheetData>
    <row r="2" spans="2:33" x14ac:dyDescent="0.25">
      <c r="H2" s="514" t="s">
        <v>755</v>
      </c>
    </row>
    <row r="3" spans="2:33" x14ac:dyDescent="0.25">
      <c r="B3" s="1" t="s">
        <v>26</v>
      </c>
      <c r="C3" s="28" t="s">
        <v>14</v>
      </c>
      <c r="E3" s="522" t="s">
        <v>756</v>
      </c>
      <c r="F3" s="28" t="s">
        <v>752</v>
      </c>
      <c r="H3" s="499">
        <v>2035</v>
      </c>
      <c r="J3" s="1" t="s">
        <v>773</v>
      </c>
      <c r="L3" s="28" t="s">
        <v>752</v>
      </c>
    </row>
    <row r="4" spans="2:33" x14ac:dyDescent="0.25">
      <c r="E4" s="511"/>
      <c r="F4" s="511"/>
      <c r="H4" s="514" t="s">
        <v>755</v>
      </c>
    </row>
    <row r="5" spans="2:33" x14ac:dyDescent="0.25">
      <c r="B5" s="1" t="s">
        <v>32</v>
      </c>
      <c r="C5" s="41">
        <v>0.02</v>
      </c>
      <c r="E5" s="522" t="s">
        <v>754</v>
      </c>
      <c r="F5" s="28" t="s">
        <v>752</v>
      </c>
      <c r="H5" s="499">
        <v>2035</v>
      </c>
    </row>
    <row r="6" spans="2:33" x14ac:dyDescent="0.25">
      <c r="H6" s="420" t="s">
        <v>30</v>
      </c>
    </row>
    <row r="7" spans="2:33" x14ac:dyDescent="0.25">
      <c r="B7" s="1" t="s">
        <v>727</v>
      </c>
      <c r="C7" s="41" t="s">
        <v>340</v>
      </c>
      <c r="E7" s="1" t="s">
        <v>704</v>
      </c>
      <c r="F7" s="28" t="s">
        <v>14</v>
      </c>
      <c r="H7" s="499">
        <v>2035</v>
      </c>
    </row>
    <row r="8" spans="2:33" x14ac:dyDescent="0.25">
      <c r="G8" s="1" t="s">
        <v>0</v>
      </c>
    </row>
    <row r="9" spans="2:33" x14ac:dyDescent="0.25">
      <c r="B9" s="1" t="s">
        <v>741</v>
      </c>
      <c r="C9" s="516">
        <v>50</v>
      </c>
      <c r="E9" s="1" t="s">
        <v>750</v>
      </c>
      <c r="F9" s="28" t="s">
        <v>752</v>
      </c>
    </row>
    <row r="12" spans="2:33" x14ac:dyDescent="0.25">
      <c r="B12" s="11" t="s">
        <v>730</v>
      </c>
      <c r="V12" s="1" t="s">
        <v>0</v>
      </c>
    </row>
    <row r="13" spans="2:33" x14ac:dyDescent="0.25">
      <c r="B13" s="1" t="s">
        <v>729</v>
      </c>
      <c r="D13" s="494">
        <v>2022</v>
      </c>
      <c r="E13" s="494">
        <v>2023</v>
      </c>
      <c r="F13" s="494">
        <v>2024</v>
      </c>
      <c r="G13" s="494">
        <v>2025</v>
      </c>
      <c r="H13" s="494">
        <v>2026</v>
      </c>
      <c r="I13" s="494">
        <v>2027</v>
      </c>
      <c r="J13" s="494">
        <v>2028</v>
      </c>
      <c r="K13" s="494">
        <v>2029</v>
      </c>
      <c r="L13" s="494">
        <v>2030</v>
      </c>
      <c r="M13" s="494">
        <v>2031</v>
      </c>
      <c r="N13" s="494">
        <v>2032</v>
      </c>
      <c r="O13" s="494">
        <v>2033</v>
      </c>
      <c r="P13" s="494">
        <v>2034</v>
      </c>
      <c r="Q13" s="494">
        <v>2035</v>
      </c>
      <c r="R13" s="494">
        <v>2036</v>
      </c>
      <c r="S13" s="494">
        <v>2037</v>
      </c>
      <c r="T13" s="494">
        <v>2038</v>
      </c>
      <c r="U13" s="494">
        <v>2039</v>
      </c>
      <c r="V13" s="494">
        <v>2040</v>
      </c>
      <c r="W13" s="494">
        <v>2041</v>
      </c>
      <c r="X13" s="494">
        <v>2042</v>
      </c>
      <c r="Y13" s="494">
        <v>2043</v>
      </c>
      <c r="Z13" s="494">
        <v>2044</v>
      </c>
      <c r="AA13" s="494">
        <v>2045</v>
      </c>
      <c r="AC13" s="169">
        <v>2025</v>
      </c>
      <c r="AD13" s="534">
        <v>2030</v>
      </c>
      <c r="AE13" s="534">
        <v>2035</v>
      </c>
      <c r="AF13" s="534">
        <v>2040</v>
      </c>
      <c r="AG13" s="534">
        <v>2045</v>
      </c>
    </row>
    <row r="14" spans="2:33" x14ac:dyDescent="0.25">
      <c r="B14" s="1" t="s">
        <v>38</v>
      </c>
      <c r="D14" s="502">
        <f>'Supply Porfolio (Status Quo)'!G137*12</f>
        <v>869.92710338857182</v>
      </c>
      <c r="E14" s="502">
        <f>'Supply Porfolio (Status Quo)'!H137*12</f>
        <v>836.8239211190637</v>
      </c>
      <c r="F14" s="502">
        <f>'Supply Porfolio (Status Quo)'!I137*12</f>
        <v>786.53083865064059</v>
      </c>
      <c r="G14" s="502">
        <f>'Supply Porfolio (Status Quo)'!J137*12</f>
        <v>798.93854674890315</v>
      </c>
      <c r="H14" s="502">
        <f>'Supply Porfolio (Status Quo)'!K137*12</f>
        <v>804.9621602388039</v>
      </c>
      <c r="I14" s="502">
        <f>'Supply Porfolio (Status Quo)'!L137*12</f>
        <v>812.8932428061305</v>
      </c>
      <c r="J14" s="502">
        <f>'Supply Porfolio (Status Quo)'!M137*12</f>
        <v>820.93774815999927</v>
      </c>
      <c r="K14" s="502">
        <f>'Supply Porfolio (Status Quo)'!N137*12</f>
        <v>827.57255409593199</v>
      </c>
      <c r="L14" s="502">
        <f>'Supply Porfolio (Status Quo)'!O137*12</f>
        <v>834.20053860192252</v>
      </c>
      <c r="M14" s="502">
        <f>'Supply Porfolio (Status Quo)'!P137*12</f>
        <v>842.00167410166955</v>
      </c>
      <c r="N14" s="502">
        <f>'Supply Porfolio (Status Quo)'!Q137*12</f>
        <v>848.49050044623937</v>
      </c>
      <c r="O14" s="502">
        <f>'Supply Porfolio (Status Quo)'!R137*12</f>
        <v>853.67304073013156</v>
      </c>
      <c r="P14" s="502">
        <f>'Supply Porfolio (Status Quo)'!S137*12</f>
        <v>857.27921933232733</v>
      </c>
      <c r="Q14" s="502">
        <f>'Supply Porfolio (Status Quo)'!T137*12</f>
        <v>861.7658827465591</v>
      </c>
      <c r="R14" s="502">
        <f>'Supply Porfolio (Status Quo)'!U137*12</f>
        <v>867.78617744226347</v>
      </c>
      <c r="S14" s="502">
        <f>'Supply Porfolio (Status Quo)'!V137*12</f>
        <v>872.60829892698837</v>
      </c>
      <c r="T14" s="502">
        <f>'Supply Porfolio (Status Quo)'!W137*12</f>
        <v>877.77429086599886</v>
      </c>
      <c r="U14" s="502">
        <f>'Supply Porfolio (Status Quo)'!X137*12</f>
        <v>880.18333030961026</v>
      </c>
      <c r="V14" s="502">
        <f>'Supply Porfolio (Status Quo)'!Y137*12</f>
        <v>886.72531207265854</v>
      </c>
      <c r="W14" s="502">
        <f>'Supply Porfolio (Status Quo)'!Z137*12</f>
        <v>891.11152082005799</v>
      </c>
      <c r="X14" s="502">
        <f>'Supply Porfolio (Status Quo)'!AA137*12</f>
        <v>893.51601044079825</v>
      </c>
      <c r="Y14" s="502">
        <f>'Supply Porfolio (Status Quo)'!AB137*12</f>
        <v>899.34669078350817</v>
      </c>
      <c r="Z14" s="502">
        <f>'Supply Porfolio (Status Quo)'!AC137*12</f>
        <v>905.90964589343412</v>
      </c>
      <c r="AA14" s="502">
        <f>'Supply Porfolio (Status Quo)'!AD137*12</f>
        <v>908.18333509013462</v>
      </c>
      <c r="AC14" s="502">
        <f>G14</f>
        <v>798.93854674890315</v>
      </c>
      <c r="AD14" s="502">
        <f>L14</f>
        <v>834.20053860192252</v>
      </c>
      <c r="AE14" s="502">
        <f>Q14</f>
        <v>861.7658827465591</v>
      </c>
      <c r="AF14" s="502">
        <f>V14</f>
        <v>886.72531207265854</v>
      </c>
      <c r="AG14" s="502">
        <f>AA14</f>
        <v>908.18333509013462</v>
      </c>
    </row>
    <row r="15" spans="2:33" x14ac:dyDescent="0.25">
      <c r="B15" s="1" t="s">
        <v>39</v>
      </c>
      <c r="D15" s="502">
        <f>'Supply Porfolio (Status Quo)'!G138*12</f>
        <v>24556.460240724096</v>
      </c>
      <c r="E15" s="502">
        <f>'Supply Porfolio (Status Quo)'!H138*12</f>
        <v>23110.625196285517</v>
      </c>
      <c r="F15" s="502">
        <f>'Supply Porfolio (Status Quo)'!I138*12</f>
        <v>20838.543828397305</v>
      </c>
      <c r="G15" s="502">
        <f>'Supply Porfolio (Status Quo)'!J138*12</f>
        <v>21292.129131518061</v>
      </c>
      <c r="H15" s="502">
        <f>'Supply Porfolio (Status Quo)'!K138*12</f>
        <v>21479.020710896741</v>
      </c>
      <c r="I15" s="502">
        <f>'Supply Porfolio (Status Quo)'!L138*12</f>
        <v>21757.420099371677</v>
      </c>
      <c r="J15" s="502">
        <f>'Supply Porfolio (Status Quo)'!M138*12</f>
        <v>22028.626872183198</v>
      </c>
      <c r="K15" s="502">
        <f>'Supply Porfolio (Status Quo)'!N138*12</f>
        <v>22242.904608079807</v>
      </c>
      <c r="L15" s="502">
        <f>'Supply Porfolio (Status Quo)'!O138*12</f>
        <v>22458.604486081407</v>
      </c>
      <c r="M15" s="502">
        <f>'Supply Porfolio (Status Quo)'!P138*12</f>
        <v>22724.321784067321</v>
      </c>
      <c r="N15" s="502">
        <f>'Supply Porfolio (Status Quo)'!Q138*12</f>
        <v>22937.416168301126</v>
      </c>
      <c r="O15" s="502">
        <f>'Supply Porfolio (Status Quo)'!R138*12</f>
        <v>23098.25250503825</v>
      </c>
      <c r="P15" s="502">
        <f>'Supply Porfolio (Status Quo)'!S138*12</f>
        <v>23195.384157654724</v>
      </c>
      <c r="Q15" s="502">
        <f>'Supply Porfolio (Status Quo)'!T138*12</f>
        <v>23330.503624317247</v>
      </c>
      <c r="R15" s="502">
        <f>'Supply Porfolio (Status Quo)'!U138*12</f>
        <v>23530.418515131576</v>
      </c>
      <c r="S15" s="502">
        <f>'Supply Porfolio (Status Quo)'!V138*12</f>
        <v>23682.617137355785</v>
      </c>
      <c r="T15" s="502">
        <f>'Supply Porfolio (Status Quo)'!W138*12</f>
        <v>23850.432415003117</v>
      </c>
      <c r="U15" s="502">
        <f>'Supply Porfolio (Status Quo)'!X138*12</f>
        <v>23906.637630283705</v>
      </c>
      <c r="V15" s="502">
        <f>'Supply Porfolio (Status Quo)'!Y138*12</f>
        <v>24133.845299865254</v>
      </c>
      <c r="W15" s="502">
        <f>'Supply Porfolio (Status Quo)'!Z138*12</f>
        <v>24274.114183336344</v>
      </c>
      <c r="X15" s="502">
        <f>'Supply Porfolio (Status Quo)'!AA138*12</f>
        <v>24334.577421159356</v>
      </c>
      <c r="Y15" s="502">
        <f>'Supply Porfolio (Status Quo)'!AB138*12</f>
        <v>24536.806717626197</v>
      </c>
      <c r="Z15" s="502">
        <f>'Supply Porfolio (Status Quo)'!AC138*12</f>
        <v>24770.207708054346</v>
      </c>
      <c r="AA15" s="502">
        <f>'Supply Porfolio (Status Quo)'!AD138*12</f>
        <v>24830.005432725327</v>
      </c>
      <c r="AG15" s="1" t="s">
        <v>20</v>
      </c>
    </row>
    <row r="16" spans="2:33" x14ac:dyDescent="0.25">
      <c r="B16" s="1" t="s">
        <v>99</v>
      </c>
      <c r="D16" s="502">
        <f>'Supply Porfolio (Status Quo)'!G139*12</f>
        <v>25821.260288587506</v>
      </c>
      <c r="E16" s="502">
        <f>'Supply Porfolio (Status Quo)'!H139*12</f>
        <v>24300.027828748265</v>
      </c>
      <c r="F16" s="502">
        <f>'Supply Porfolio (Status Quo)'!I139*12</f>
        <v>21908.472206776707</v>
      </c>
      <c r="G16" s="502">
        <f>'Supply Porfolio (Status Quo)'!J139*12</f>
        <v>22384.738140703088</v>
      </c>
      <c r="H16" s="502">
        <f>'Supply Porfolio (Status Quo)'!K139*12</f>
        <v>22580.550280864089</v>
      </c>
      <c r="I16" s="502">
        <f>'Supply Porfolio (Status Quo)'!L139*12</f>
        <v>22872.766266517108</v>
      </c>
      <c r="J16" s="502">
        <f>'Supply Porfolio (Status Quo)'!M139*12</f>
        <v>23157.249282296067</v>
      </c>
      <c r="K16" s="502">
        <f>'Supply Porfolio (Status Quo)'!N139*12</f>
        <v>23381.890978206531</v>
      </c>
      <c r="L16" s="502">
        <f>'Supply Porfolio (Status Quo)'!O139*12</f>
        <v>23608.053769139311</v>
      </c>
      <c r="M16" s="502">
        <f>'Supply Porfolio (Status Quo)'!P139*12</f>
        <v>23886.834926343407</v>
      </c>
      <c r="N16" s="502">
        <f>'Supply Porfolio (Status Quo)'!Q139*12</f>
        <v>24110.306067826888</v>
      </c>
      <c r="O16" s="502">
        <f>'Supply Porfolio (Status Quo)'!R139*12</f>
        <v>24278.852008307942</v>
      </c>
      <c r="P16" s="502">
        <f>'Supply Porfolio (Status Quo)'!S139*12</f>
        <v>24380.432628547351</v>
      </c>
      <c r="Q16" s="502">
        <f>'Supply Porfolio (Status Quo)'!T139*12</f>
        <v>24521.982502047067</v>
      </c>
      <c r="R16" s="502">
        <f>'Supply Porfolio (Status Quo)'!U139*12</f>
        <v>24731.688500615357</v>
      </c>
      <c r="S16" s="502">
        <f>'Supply Porfolio (Status Quo)'!V139*12</f>
        <v>24891.245690370462</v>
      </c>
      <c r="T16" s="502">
        <f>'Supply Porfolio (Status Quo)'!W139*12</f>
        <v>25067.245607693763</v>
      </c>
      <c r="U16" s="502">
        <f>'Supply Porfolio (Status Quo)'!X139*12</f>
        <v>25125.916291818885</v>
      </c>
      <c r="V16" s="502">
        <f>'Supply Porfolio (Status Quo)'!Y139*12</f>
        <v>25364.408168460057</v>
      </c>
      <c r="W16" s="502">
        <f>'Supply Porfolio (Status Quo)'!Z139*12</f>
        <v>25511.511344035247</v>
      </c>
      <c r="X16" s="502">
        <f>'Supply Porfolio (Status Quo)'!AA139*12</f>
        <v>25574.725224459376</v>
      </c>
      <c r="Y16" s="502">
        <f>'Supply Porfolio (Status Quo)'!AB139*12</f>
        <v>25787.016941226604</v>
      </c>
      <c r="Z16" s="502">
        <f>'Supply Porfolio (Status Quo)'!AC139*12</f>
        <v>26032.101890465186</v>
      </c>
      <c r="AA16" s="502">
        <f>'Supply Porfolio (Status Quo)'!AD139*12</f>
        <v>26094.684495898488</v>
      </c>
    </row>
    <row r="17" spans="2:35" x14ac:dyDescent="0.25">
      <c r="AC17" s="169">
        <v>2025</v>
      </c>
      <c r="AD17" s="534">
        <v>2030</v>
      </c>
      <c r="AE17" s="534">
        <v>2035</v>
      </c>
      <c r="AF17" s="534">
        <v>2040</v>
      </c>
      <c r="AG17" s="534">
        <v>2045</v>
      </c>
      <c r="AI17" s="1" t="s">
        <v>774</v>
      </c>
    </row>
    <row r="18" spans="2:35" x14ac:dyDescent="0.25">
      <c r="B18" s="11" t="s">
        <v>705</v>
      </c>
      <c r="D18" s="141">
        <f>'Supply Porfolio (Status Quo)'!G124</f>
        <v>187346.44430513994</v>
      </c>
      <c r="E18" s="141">
        <f>'Supply Porfolio (Status Quo)'!H124</f>
        <v>190325.5860261723</v>
      </c>
      <c r="F18" s="141">
        <f>'Supply Porfolio (Status Quo)'!I124</f>
        <v>191475.30339899307</v>
      </c>
      <c r="G18" s="141">
        <f>'Supply Porfolio (Status Quo)'!J124</f>
        <v>194115.87939825375</v>
      </c>
      <c r="H18" s="141">
        <f>'Supply Porfolio (Status Quo)'!K124</f>
        <v>194991.9994291364</v>
      </c>
      <c r="I18" s="141">
        <f>'Supply Porfolio (Status Quo)'!L124</f>
        <v>195788.59746220859</v>
      </c>
      <c r="J18" s="141">
        <f>'Supply Porfolio (Status Quo)'!M124</f>
        <v>196686.12741385942</v>
      </c>
      <c r="K18" s="141">
        <f>'Supply Porfolio (Status Quo)'!N124</f>
        <v>197673.24543319148</v>
      </c>
      <c r="L18" s="141">
        <f>'Supply Porfolio (Status Quo)'!O124</f>
        <v>198689.77365965297</v>
      </c>
      <c r="M18" s="141">
        <f>'Supply Porfolio (Status Quo)'!P124</f>
        <v>199668.0840171515</v>
      </c>
      <c r="N18" s="141">
        <f>'Supply Porfolio (Status Quo)'!Q124</f>
        <v>200739.20011913864</v>
      </c>
      <c r="O18" s="141">
        <f>'Supply Porfolio (Status Quo)'!R124</f>
        <v>201908.83626521146</v>
      </c>
      <c r="P18" s="141">
        <f>'Supply Porfolio (Status Quo)'!S124</f>
        <v>203180.24436342064</v>
      </c>
      <c r="Q18" s="141">
        <f>'Supply Porfolio (Status Quo)'!T124</f>
        <v>204434.87336835003</v>
      </c>
      <c r="R18" s="141">
        <f>'Supply Porfolio (Status Quo)'!U124</f>
        <v>205632.64874883794</v>
      </c>
      <c r="S18" s="141">
        <f>'Supply Porfolio (Status Quo)'!V124</f>
        <v>206925.97248914692</v>
      </c>
      <c r="T18" s="141">
        <f>'Supply Porfolio (Status Quo)'!W124</f>
        <v>208226.26257424324</v>
      </c>
      <c r="U18" s="141">
        <f>'Supply Porfolio (Status Quo)'!X124</f>
        <v>209721.40287005954</v>
      </c>
      <c r="V18" s="141">
        <f>'Supply Porfolio (Status Quo)'!Y124</f>
        <v>210994.33810888685</v>
      </c>
      <c r="W18" s="141">
        <f>'Supply Porfolio (Status Quo)'!Z124</f>
        <v>212424.39078834763</v>
      </c>
      <c r="X18" s="141">
        <f>'Supply Porfolio (Status Quo)'!AA124</f>
        <v>214007.32255219104</v>
      </c>
      <c r="Y18" s="141">
        <f>'Supply Porfolio (Status Quo)'!AB124</f>
        <v>215405.8773130207</v>
      </c>
      <c r="Z18" s="141">
        <f>'Supply Porfolio (Status Quo)'!AC124</f>
        <v>216777.21642478509</v>
      </c>
      <c r="AA18" s="141">
        <f>'Supply Porfolio (Status Quo)'!AD124</f>
        <v>218472.96905932494</v>
      </c>
      <c r="AC18" s="141">
        <f>G18</f>
        <v>194115.87939825375</v>
      </c>
      <c r="AD18" s="141">
        <f>L18</f>
        <v>198689.77365965297</v>
      </c>
      <c r="AE18" s="141">
        <f>Q18</f>
        <v>204434.87336835003</v>
      </c>
      <c r="AF18" s="141">
        <f>V18</f>
        <v>210994.33810888685</v>
      </c>
      <c r="AG18" s="141">
        <f>AA18</f>
        <v>218472.96905932494</v>
      </c>
      <c r="AI18" s="141">
        <f>AVERAGE(Q18:AA18)</f>
        <v>211183.93402701759</v>
      </c>
    </row>
    <row r="19" spans="2:35" x14ac:dyDescent="0.25">
      <c r="AD19" s="532">
        <f>(AD18/1000000)/16.32</f>
        <v>1.2174618484047365E-2</v>
      </c>
      <c r="AE19" s="532">
        <f t="shared" ref="AE19:AG19" si="0">(AE18/1000000)/16.32</f>
        <v>1.2526646652472429E-2</v>
      </c>
      <c r="AF19" s="532">
        <f t="shared" si="0"/>
        <v>1.2928574639024928E-2</v>
      </c>
      <c r="AG19" s="532">
        <f t="shared" si="0"/>
        <v>1.3386824084517459E-2</v>
      </c>
    </row>
    <row r="21" spans="2:35" x14ac:dyDescent="0.25">
      <c r="B21" s="11" t="s">
        <v>706</v>
      </c>
    </row>
    <row r="22" spans="2:35" x14ac:dyDescent="0.25">
      <c r="B22" s="1" t="s">
        <v>729</v>
      </c>
      <c r="D22" s="494">
        <v>2022</v>
      </c>
      <c r="E22" s="494">
        <v>2023</v>
      </c>
      <c r="F22" s="494">
        <v>2024</v>
      </c>
      <c r="G22" s="494">
        <v>2025</v>
      </c>
      <c r="H22" s="494">
        <v>2026</v>
      </c>
      <c r="I22" s="494">
        <v>2027</v>
      </c>
      <c r="J22" s="494">
        <v>2028</v>
      </c>
      <c r="K22" s="494">
        <v>2029</v>
      </c>
      <c r="L22" s="494">
        <v>2030</v>
      </c>
      <c r="M22" s="494">
        <v>2031</v>
      </c>
      <c r="N22" s="494">
        <v>2032</v>
      </c>
      <c r="O22" s="494">
        <v>2033</v>
      </c>
      <c r="P22" s="494">
        <v>2034</v>
      </c>
      <c r="Q22" s="494">
        <v>2035</v>
      </c>
      <c r="R22" s="494">
        <v>2036</v>
      </c>
      <c r="S22" s="494">
        <v>2037</v>
      </c>
      <c r="T22" s="494">
        <v>2038</v>
      </c>
      <c r="U22" s="494">
        <v>2039</v>
      </c>
      <c r="V22" s="494">
        <v>2040</v>
      </c>
      <c r="W22" s="494">
        <v>2041</v>
      </c>
      <c r="X22" s="494">
        <v>2042</v>
      </c>
      <c r="Y22" s="494">
        <v>2043</v>
      </c>
      <c r="Z22" s="494">
        <v>2044</v>
      </c>
      <c r="AA22" s="494">
        <v>2045</v>
      </c>
      <c r="AC22" s="169">
        <v>2025</v>
      </c>
      <c r="AD22" s="534">
        <v>2030</v>
      </c>
      <c r="AE22" s="534">
        <v>2035</v>
      </c>
      <c r="AF22" s="534">
        <v>2040</v>
      </c>
      <c r="AG22" s="534">
        <v>2045</v>
      </c>
      <c r="AH22" s="533"/>
    </row>
    <row r="23" spans="2:35" x14ac:dyDescent="0.25">
      <c r="B23" s="1" t="s">
        <v>38</v>
      </c>
      <c r="D23" s="502">
        <f>'Supply Porfolio (Live)'!G137*12</f>
        <v>869.92710338857182</v>
      </c>
      <c r="E23" s="502">
        <f>'Supply Porfolio (Live)'!H137*12</f>
        <v>836.8239211190637</v>
      </c>
      <c r="F23" s="502">
        <f>'Supply Porfolio (Live)'!I137*12</f>
        <v>786.53083865064059</v>
      </c>
      <c r="G23" s="502">
        <f>'Supply Porfolio (Live)'!J137*12</f>
        <v>801.5913986533983</v>
      </c>
      <c r="H23" s="502">
        <f>'Supply Porfolio (Live)'!K137*12</f>
        <v>810.97028342172393</v>
      </c>
      <c r="I23" s="502">
        <f>'Supply Porfolio (Live)'!L137*12</f>
        <v>818.63654731241229</v>
      </c>
      <c r="J23" s="502">
        <f>'Supply Porfolio (Live)'!M137*12</f>
        <v>827.16330631822882</v>
      </c>
      <c r="K23" s="502">
        <f>'Supply Porfolio (Live)'!N137*12</f>
        <v>834.29977597987067</v>
      </c>
      <c r="L23" s="502">
        <f>'Supply Porfolio (Live)'!O137*12</f>
        <v>846.34143469403818</v>
      </c>
      <c r="M23" s="502">
        <f>'Supply Porfolio (Live)'!P137*12</f>
        <v>857.73370040070586</v>
      </c>
      <c r="N23" s="502">
        <f>'Supply Porfolio (Live)'!Q137*12</f>
        <v>864.39764810665974</v>
      </c>
      <c r="O23" s="502">
        <f>'Supply Porfolio (Live)'!R137*12</f>
        <v>869.8310895014198</v>
      </c>
      <c r="P23" s="502">
        <f>'Supply Porfolio (Live)'!S137*12</f>
        <v>873.76427321974575</v>
      </c>
      <c r="Q23" s="502">
        <f>'Supply Porfolio (Live)'!T137*12</f>
        <v>887.40664402412835</v>
      </c>
      <c r="R23" s="502">
        <f>'Supply Porfolio (Live)'!U137*12</f>
        <v>896.36969049228037</v>
      </c>
      <c r="S23" s="502">
        <f>'Supply Porfolio (Live)'!V137*12</f>
        <v>900.89201525459339</v>
      </c>
      <c r="T23" s="502">
        <f>'Supply Porfolio (Live)'!W137*12</f>
        <v>905.70771788310776</v>
      </c>
      <c r="U23" s="502">
        <f>'Supply Porfolio (Live)'!X137*12</f>
        <v>908.06787607547653</v>
      </c>
      <c r="V23" s="502">
        <f>'Supply Porfolio (Live)'!Y137*12</f>
        <v>942.68224044922249</v>
      </c>
      <c r="W23" s="502">
        <f>'Supply Porfolio (Live)'!Z137*12</f>
        <v>949.15724483196141</v>
      </c>
      <c r="X23" s="502">
        <f>'Supply Porfolio (Live)'!AA137*12</f>
        <v>950.92531929160975</v>
      </c>
      <c r="Y23" s="502">
        <f>'Supply Porfolio (Live)'!AB137*12</f>
        <v>955.07612071660628</v>
      </c>
      <c r="Z23" s="502">
        <f>'Supply Porfolio (Live)'!AC137*12</f>
        <v>959.68591820561642</v>
      </c>
      <c r="AA23" s="502">
        <f>'Supply Porfolio (Live)'!AD137*12</f>
        <v>961.25882138128554</v>
      </c>
      <c r="AC23" s="502">
        <f>G23</f>
        <v>801.5913986533983</v>
      </c>
      <c r="AD23" s="502">
        <f>L23</f>
        <v>846.34143469403818</v>
      </c>
      <c r="AE23" s="502">
        <f>Q23</f>
        <v>887.40664402412835</v>
      </c>
      <c r="AF23" s="502">
        <f>V23</f>
        <v>942.68224044922249</v>
      </c>
      <c r="AG23" s="502">
        <f>AA23</f>
        <v>961.25882138128554</v>
      </c>
      <c r="AH23" s="533"/>
    </row>
    <row r="24" spans="2:35" x14ac:dyDescent="0.25">
      <c r="B24" s="1" t="s">
        <v>39</v>
      </c>
      <c r="D24" s="502">
        <f>'Supply Porfolio (Live)'!G138*12</f>
        <v>24556.460240724096</v>
      </c>
      <c r="E24" s="502">
        <f>'Supply Porfolio (Live)'!H138*12</f>
        <v>23110.625196285517</v>
      </c>
      <c r="F24" s="502">
        <f>'Supply Porfolio (Live)'!I138*12</f>
        <v>20838.543828397305</v>
      </c>
      <c r="G24" s="502">
        <f>'Supply Porfolio (Live)'!J138*12</f>
        <v>21369.749332702955</v>
      </c>
      <c r="H24" s="502">
        <f>'Supply Porfolio (Live)'!K138*12</f>
        <v>21638.610644679622</v>
      </c>
      <c r="I24" s="502">
        <f>'Supply Porfolio (Live)'!L138*12</f>
        <v>21906.816268001014</v>
      </c>
      <c r="J24" s="502">
        <f>'Supply Porfolio (Live)'!M138*12</f>
        <v>22187.534570747011</v>
      </c>
      <c r="K24" s="502">
        <f>'Supply Porfolio (Live)'!N138*12</f>
        <v>22412.445416683331</v>
      </c>
      <c r="L24" s="502">
        <f>'Supply Porfolio (Live)'!O138*12</f>
        <v>22796.566524911541</v>
      </c>
      <c r="M24" s="502">
        <f>'Supply Porfolio (Live)'!P138*12</f>
        <v>23145.551727610538</v>
      </c>
      <c r="N24" s="502">
        <f>'Supply Porfolio (Live)'!Q138*12</f>
        <v>23357.434728468965</v>
      </c>
      <c r="O24" s="502">
        <f>'Supply Porfolio (Live)'!R138*12</f>
        <v>23520.656054762105</v>
      </c>
      <c r="P24" s="502">
        <f>'Supply Porfolio (Live)'!S138*12</f>
        <v>23623.792979620375</v>
      </c>
      <c r="Q24" s="502">
        <f>'Supply Porfolio (Live)'!T138*12</f>
        <v>24076.807480266671</v>
      </c>
      <c r="R24" s="502">
        <f>'Supply Porfolio (Live)'!U138*12</f>
        <v>24338.384722636845</v>
      </c>
      <c r="S24" s="502">
        <f>'Supply Porfolio (Live)'!V138*12</f>
        <v>24473.438757896183</v>
      </c>
      <c r="T24" s="502">
        <f>'Supply Porfolio (Live)'!W138*12</f>
        <v>24622.095860410976</v>
      </c>
      <c r="U24" s="502">
        <f>'Supply Porfolio (Live)'!X138*12</f>
        <v>24672.546782231926</v>
      </c>
      <c r="V24" s="502">
        <f>'Supply Porfolio (Live)'!Y138*12</f>
        <v>25857.272834967152</v>
      </c>
      <c r="W24" s="502">
        <f>'Supply Porfolio (Live)'!Z138*12</f>
        <v>26028.359434608952</v>
      </c>
      <c r="X24" s="502">
        <f>'Supply Porfolio (Live)'!AA138*12</f>
        <v>26061.371129743646</v>
      </c>
      <c r="Y24" s="502">
        <f>'Supply Porfolio (Live)'!AB138*12</f>
        <v>26191.037323911951</v>
      </c>
      <c r="Z24" s="502">
        <f>'Supply Porfolio (Live)'!AC138*12</f>
        <v>26340.22067476096</v>
      </c>
      <c r="AA24" s="502">
        <f>'Supply Porfolio (Live)'!AD138*12</f>
        <v>26370.483779324328</v>
      </c>
      <c r="AE24" s="533"/>
      <c r="AF24" s="533"/>
      <c r="AG24" s="533"/>
      <c r="AH24" s="533"/>
    </row>
    <row r="25" spans="2:35" x14ac:dyDescent="0.25">
      <c r="B25" s="1" t="s">
        <v>99</v>
      </c>
      <c r="D25" s="502">
        <f>'Supply Porfolio (Live)'!G139*12</f>
        <v>25821.260288587506</v>
      </c>
      <c r="E25" s="502">
        <f>'Supply Porfolio (Live)'!H139*12</f>
        <v>24300.027828748265</v>
      </c>
      <c r="F25" s="502">
        <f>'Supply Porfolio (Live)'!I139*12</f>
        <v>21908.472206776707</v>
      </c>
      <c r="G25" s="502">
        <f>'Supply Porfolio (Live)'!J139*12</f>
        <v>22465.821083222625</v>
      </c>
      <c r="H25" s="502">
        <f>'Supply Porfolio (Live)'!K139*12</f>
        <v>22747.007800963085</v>
      </c>
      <c r="I25" s="502">
        <f>'Supply Porfolio (Live)'!L139*12</f>
        <v>23028.517392260521</v>
      </c>
      <c r="J25" s="502">
        <f>'Supply Porfolio (Live)'!M139*12</f>
        <v>23322.853073035356</v>
      </c>
      <c r="K25" s="502">
        <f>'Supply Porfolio (Live)'!N139*12</f>
        <v>23558.531505884312</v>
      </c>
      <c r="L25" s="502">
        <f>'Supply Porfolio (Live)'!O139*12</f>
        <v>23960.884493348116</v>
      </c>
      <c r="M25" s="502">
        <f>'Supply Porfolio (Live)'!P139*12</f>
        <v>24326.28584397331</v>
      </c>
      <c r="N25" s="502">
        <f>'Supply Porfolio (Live)'!Q139*12</f>
        <v>24548.365314015962</v>
      </c>
      <c r="O25" s="502">
        <f>'Supply Porfolio (Live)'!R139*12</f>
        <v>24719.30790237616</v>
      </c>
      <c r="P25" s="502">
        <f>'Supply Porfolio (Live)'!S139*12</f>
        <v>24827.098774626309</v>
      </c>
      <c r="Q25" s="502">
        <f>'Supply Porfolio (Live)'!T139*12</f>
        <v>25301.905793586589</v>
      </c>
      <c r="R25" s="502">
        <f>'Supply Porfolio (Live)'!U139*12</f>
        <v>25575.594629612751</v>
      </c>
      <c r="S25" s="502">
        <f>'Supply Porfolio (Live)'!V139*12</f>
        <v>25717.065391508564</v>
      </c>
      <c r="T25" s="502">
        <f>'Supply Porfolio (Live)'!W139*12</f>
        <v>25872.862675438155</v>
      </c>
      <c r="U25" s="502">
        <f>'Supply Porfolio (Live)'!X139*12</f>
        <v>25925.438133664255</v>
      </c>
      <c r="V25" s="502">
        <f>'Supply Porfolio (Live)'!Y139*12</f>
        <v>27167.341677630724</v>
      </c>
      <c r="W25" s="502">
        <f>'Supply Porfolio (Live)'!Z139*12</f>
        <v>27346.063711988085</v>
      </c>
      <c r="X25" s="502">
        <f>'Supply Porfolio (Live)'!AA139*12</f>
        <v>27380.409921973449</v>
      </c>
      <c r="Y25" s="502">
        <f>'Supply Porfolio (Live)'!AB139*12</f>
        <v>27516.371786619842</v>
      </c>
      <c r="Z25" s="502">
        <f>'Supply Porfolio (Live)'!AC139*12</f>
        <v>27672.86727193858</v>
      </c>
      <c r="AA25" s="502">
        <f>'Supply Porfolio (Live)'!AD139*12</f>
        <v>27704.400246052312</v>
      </c>
    </row>
    <row r="26" spans="2:35" x14ac:dyDescent="0.25">
      <c r="AC26" s="169">
        <v>2025</v>
      </c>
      <c r="AD26" s="534">
        <v>2030</v>
      </c>
      <c r="AE26" s="534">
        <v>2035</v>
      </c>
      <c r="AF26" s="534">
        <v>2040</v>
      </c>
      <c r="AG26" s="534">
        <v>2045</v>
      </c>
      <c r="AI26" s="1" t="s">
        <v>774</v>
      </c>
    </row>
    <row r="27" spans="2:35" x14ac:dyDescent="0.25">
      <c r="B27" s="11" t="s">
        <v>728</v>
      </c>
      <c r="D27" s="141">
        <f>'Supply Porfolio (Live)'!G124</f>
        <v>187346.44430513994</v>
      </c>
      <c r="E27" s="141">
        <f>'Supply Porfolio (Live)'!H124</f>
        <v>190325.5860261723</v>
      </c>
      <c r="F27" s="141">
        <f>'Supply Porfolio (Live)'!I124</f>
        <v>191475.30339899307</v>
      </c>
      <c r="G27" s="141">
        <f>'Supply Porfolio (Live)'!J124</f>
        <v>187947.81472370619</v>
      </c>
      <c r="H27" s="141">
        <f>'Supply Porfolio (Live)'!K124</f>
        <v>188823.9347545889</v>
      </c>
      <c r="I27" s="141">
        <f>'Supply Porfolio (Live)'!L124</f>
        <v>189620.5327876611</v>
      </c>
      <c r="J27" s="141">
        <f>'Supply Porfolio (Live)'!M124</f>
        <v>190518.06273931192</v>
      </c>
      <c r="K27" s="141">
        <f>'Supply Porfolio (Live)'!N124</f>
        <v>191505.18075864398</v>
      </c>
      <c r="L27" s="141">
        <f>'Supply Porfolio (Live)'!O124</f>
        <v>191184.77493260088</v>
      </c>
      <c r="M27" s="141">
        <f>'Supply Porfolio (Live)'!P124</f>
        <v>192163.08529009947</v>
      </c>
      <c r="N27" s="141">
        <f>'Supply Porfolio (Live)'!Q124</f>
        <v>193234.20139208654</v>
      </c>
      <c r="O27" s="141">
        <f>'Supply Porfolio (Live)'!R124</f>
        <v>194403.83753815942</v>
      </c>
      <c r="P27" s="141">
        <f>'Supply Porfolio (Live)'!S124</f>
        <v>195675.24563636855</v>
      </c>
      <c r="Q27" s="141">
        <f>'Supply Porfolio (Live)'!T124</f>
        <v>195887.54816533055</v>
      </c>
      <c r="R27" s="141">
        <f>'Supply Porfolio (Live)'!U124</f>
        <v>197109.60421028241</v>
      </c>
      <c r="S27" s="141">
        <f>'Supply Porfolio (Live)'!V124</f>
        <v>198426.23067526729</v>
      </c>
      <c r="T27" s="141">
        <f>'Supply Porfolio (Live)'!W124</f>
        <v>199748.88493322761</v>
      </c>
      <c r="U27" s="141">
        <f>'Supply Porfolio (Live)'!X124</f>
        <v>201265.48865166269</v>
      </c>
      <c r="V27" s="141">
        <f>'Supply Porfolio (Live)'!Y124</f>
        <v>198653.97564191621</v>
      </c>
      <c r="W27" s="141">
        <f>'Supply Porfolio (Live)'!Z124</f>
        <v>200103.79761947063</v>
      </c>
      <c r="X27" s="141">
        <f>'Supply Porfolio (Live)'!AA124</f>
        <v>201705.702443594</v>
      </c>
      <c r="Y27" s="141">
        <f>'Supply Porfolio (Live)'!AB124</f>
        <v>203122.46609654941</v>
      </c>
      <c r="Z27" s="141">
        <f>'Supply Porfolio (Live)'!AC124</f>
        <v>204511.28071029152</v>
      </c>
      <c r="AA27" s="141">
        <f>'Supply Porfolio (Live)'!AD124</f>
        <v>206223.80499503756</v>
      </c>
      <c r="AC27" s="141">
        <f>G27</f>
        <v>187947.81472370619</v>
      </c>
      <c r="AD27" s="141">
        <f>L27</f>
        <v>191184.77493260088</v>
      </c>
      <c r="AE27" s="141">
        <f>Q27</f>
        <v>195887.54816533055</v>
      </c>
      <c r="AF27" s="141">
        <f>V27</f>
        <v>198653.97564191621</v>
      </c>
      <c r="AG27" s="141">
        <f>AA27</f>
        <v>206223.80499503756</v>
      </c>
      <c r="AI27" s="141">
        <f>AVERAGE(Q27:AA27)</f>
        <v>200614.43492205723</v>
      </c>
    </row>
    <row r="28" spans="2:35" x14ac:dyDescent="0.25"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C28" s="532">
        <f>(AC27/1000000)/16.32</f>
        <v>1.151641021591337E-2</v>
      </c>
      <c r="AD28" s="532">
        <f>(AD27/1000000)/16.32</f>
        <v>1.1714753365968191E-2</v>
      </c>
      <c r="AE28" s="532">
        <f t="shared" ref="AE28" si="1">(AE27/1000000)/16.32</f>
        <v>1.2002913490522705E-2</v>
      </c>
      <c r="AF28" s="532">
        <f t="shared" ref="AF28" si="2">(AF27/1000000)/16.32</f>
        <v>1.2172424978058592E-2</v>
      </c>
      <c r="AG28" s="532">
        <f t="shared" ref="AG28" si="3">(AG27/1000000)/16.32</f>
        <v>1.2636262560970439E-2</v>
      </c>
      <c r="AI28" s="532">
        <f>AI27/AI18-1</f>
        <v>-5.0048784031119342E-2</v>
      </c>
    </row>
    <row r="29" spans="2:35" x14ac:dyDescent="0.25">
      <c r="B29" s="1" t="s">
        <v>759</v>
      </c>
      <c r="C29" s="1" t="s">
        <v>775</v>
      </c>
    </row>
    <row r="30" spans="2:35" x14ac:dyDescent="0.25">
      <c r="Q30" s="532"/>
      <c r="R30" s="532"/>
      <c r="S30" s="532"/>
      <c r="T30" s="532"/>
      <c r="U30" s="532"/>
      <c r="V30" s="532"/>
      <c r="W30" s="532"/>
      <c r="X30" s="532"/>
      <c r="Y30" s="532"/>
      <c r="Z30" s="532"/>
      <c r="AA30" s="532"/>
    </row>
    <row r="31" spans="2:35" x14ac:dyDescent="0.25">
      <c r="F31" s="531"/>
      <c r="G31" s="531"/>
      <c r="H31" s="531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531"/>
      <c r="V31" s="531"/>
      <c r="W31" s="531"/>
      <c r="X31" s="531"/>
      <c r="Y31" s="531"/>
      <c r="Z31" s="531"/>
      <c r="AA31" s="531"/>
    </row>
    <row r="32" spans="2:35" x14ac:dyDescent="0.25">
      <c r="V32" s="495"/>
      <c r="W32" s="495"/>
      <c r="X32" s="495"/>
      <c r="Y32" s="495"/>
      <c r="Z32" s="495"/>
      <c r="AA32" s="495"/>
    </row>
    <row r="33" spans="19:22" x14ac:dyDescent="0.25">
      <c r="S33" s="533"/>
      <c r="T33" s="533"/>
      <c r="U33" s="533"/>
      <c r="V33" s="533"/>
    </row>
    <row r="89" spans="38:38" x14ac:dyDescent="0.25">
      <c r="AL89" s="524" t="s">
        <v>0</v>
      </c>
    </row>
  </sheetData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60C89DB-A1BC-4571-A92D-CAA4E8D4E06D}">
          <x14:formula1>
            <xm:f>List!$B$13:$B$14</xm:f>
          </x14:formula1>
          <xm:sqref>F7</xm:sqref>
        </x14:dataValidation>
        <x14:dataValidation type="list" allowBlank="1" showInputMessage="1" showErrorMessage="1" xr:uid="{8388107D-9ED7-489F-BA0B-0CC1F2D1020D}">
          <x14:formula1>
            <xm:f>List!$B$4:$B$6</xm:f>
          </x14:formula1>
          <xm:sqref>C3</xm:sqref>
        </x14:dataValidation>
        <x14:dataValidation type="list" allowBlank="1" showInputMessage="1" showErrorMessage="1" xr:uid="{09E04C28-8AF4-4648-BD18-D32609539F94}">
          <x14:formula1>
            <xm:f>'10. Indices-Forecast'!$E$1:$G$1</xm:f>
          </x14:formula1>
          <xm:sqref>C7</xm:sqref>
        </x14:dataValidation>
        <x14:dataValidation type="list" allowBlank="1" showInputMessage="1" showErrorMessage="1" xr:uid="{90972C92-CD52-45B8-B11F-3E022D2A93A1}">
          <x14:formula1>
            <xm:f>List!$B$23:$B$24</xm:f>
          </x14:formula1>
          <xm:sqref>F9 F5 F3 L3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0D208-D303-4491-A274-DE01902AC711}">
  <sheetPr codeName="Sheet20"/>
  <dimension ref="B2:B10"/>
  <sheetViews>
    <sheetView workbookViewId="0">
      <selection activeCell="M28" sqref="M28"/>
    </sheetView>
  </sheetViews>
  <sheetFormatPr defaultRowHeight="15" x14ac:dyDescent="0.25"/>
  <cols>
    <col min="2" max="2" width="23.85546875" bestFit="1" customWidth="1"/>
  </cols>
  <sheetData>
    <row r="2" spans="2:2" x14ac:dyDescent="0.25">
      <c r="B2" s="35" t="s">
        <v>302</v>
      </c>
    </row>
    <row r="3" spans="2:2" x14ac:dyDescent="0.25">
      <c r="B3" t="s">
        <v>70</v>
      </c>
    </row>
    <row r="4" spans="2:2" x14ac:dyDescent="0.25">
      <c r="B4" t="s">
        <v>303</v>
      </c>
    </row>
    <row r="6" spans="2:2" x14ac:dyDescent="0.25">
      <c r="B6" s="35" t="s">
        <v>304</v>
      </c>
    </row>
    <row r="7" spans="2:2" x14ac:dyDescent="0.25">
      <c r="B7" t="s">
        <v>35</v>
      </c>
    </row>
    <row r="8" spans="2:2" x14ac:dyDescent="0.25">
      <c r="B8" t="s">
        <v>37</v>
      </c>
    </row>
    <row r="9" spans="2:2" x14ac:dyDescent="0.25">
      <c r="B9" t="s">
        <v>36</v>
      </c>
    </row>
    <row r="10" spans="2:2" x14ac:dyDescent="0.25">
      <c r="B10" t="s"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7821F-4ABF-4684-8969-13179539B7C7}">
  <sheetPr codeName="Sheet21"/>
  <dimension ref="B2:M40"/>
  <sheetViews>
    <sheetView workbookViewId="0">
      <selection activeCell="I14" sqref="I14"/>
    </sheetView>
  </sheetViews>
  <sheetFormatPr defaultColWidth="8.85546875" defaultRowHeight="15" x14ac:dyDescent="0.25"/>
  <cols>
    <col min="1" max="2" width="8.85546875" style="1"/>
    <col min="3" max="3" width="11.5703125" style="1" bestFit="1" customWidth="1"/>
    <col min="4" max="4" width="10.5703125" style="1" bestFit="1" customWidth="1"/>
    <col min="5" max="5" width="19.7109375" style="1" bestFit="1" customWidth="1"/>
    <col min="6" max="8" width="8.85546875" style="1"/>
    <col min="9" max="9" width="13.42578125" style="1" bestFit="1" customWidth="1"/>
    <col min="10" max="16384" width="8.85546875" style="1"/>
  </cols>
  <sheetData>
    <row r="2" spans="2:13" x14ac:dyDescent="0.25">
      <c r="C2" s="1" t="str">
        <f>'Dash Demand'!C2</f>
        <v>Base</v>
      </c>
    </row>
    <row r="3" spans="2:13" x14ac:dyDescent="0.25">
      <c r="B3" s="1" t="s">
        <v>173</v>
      </c>
      <c r="C3" s="1" t="s">
        <v>186</v>
      </c>
      <c r="E3" s="535"/>
      <c r="F3" s="535"/>
      <c r="G3" s="535"/>
      <c r="H3" s="535"/>
      <c r="I3" s="535"/>
      <c r="J3" s="535"/>
      <c r="K3" s="535"/>
      <c r="L3" s="535"/>
      <c r="M3" s="535"/>
    </row>
    <row r="4" spans="2:13" x14ac:dyDescent="0.25">
      <c r="B4" s="1">
        <v>2022</v>
      </c>
      <c r="C4" s="107">
        <f>' Summary Data'!O5</f>
        <v>29193564.736066513</v>
      </c>
      <c r="D4" s="108"/>
      <c r="E4" s="535"/>
      <c r="F4" s="536"/>
      <c r="G4" s="536"/>
      <c r="H4" s="536"/>
      <c r="I4" s="536"/>
      <c r="J4" s="535"/>
      <c r="K4" s="535"/>
      <c r="L4" s="535"/>
      <c r="M4" s="535"/>
    </row>
    <row r="5" spans="2:13" x14ac:dyDescent="0.25">
      <c r="B5" s="1">
        <v>2023</v>
      </c>
      <c r="C5" s="107">
        <f>' Summary Data'!O6</f>
        <v>29513996.53530737</v>
      </c>
      <c r="D5" s="108"/>
      <c r="E5" s="535"/>
      <c r="F5" s="536"/>
      <c r="G5" s="536"/>
      <c r="H5" s="536"/>
      <c r="I5" s="536"/>
      <c r="J5" s="535"/>
      <c r="K5" s="535"/>
      <c r="L5" s="535"/>
      <c r="M5" s="535"/>
    </row>
    <row r="6" spans="2:13" x14ac:dyDescent="0.25">
      <c r="B6" s="1">
        <v>2024</v>
      </c>
      <c r="C6" s="107">
        <f>' Summary Data'!O7</f>
        <v>29558429.842085719</v>
      </c>
      <c r="E6" s="535"/>
      <c r="F6" s="536"/>
      <c r="G6" s="536"/>
      <c r="H6" s="536"/>
      <c r="I6" s="536"/>
      <c r="J6" s="535"/>
      <c r="K6" s="535"/>
      <c r="L6" s="535"/>
      <c r="M6" s="535"/>
    </row>
    <row r="7" spans="2:13" x14ac:dyDescent="0.25">
      <c r="B7" s="1">
        <v>2025</v>
      </c>
      <c r="C7" s="107">
        <f>' Summary Data'!O8</f>
        <v>29698735.155789264</v>
      </c>
      <c r="E7" s="535"/>
      <c r="F7" s="536"/>
      <c r="G7" s="536"/>
      <c r="H7" s="536"/>
      <c r="I7" s="536"/>
      <c r="J7" s="535"/>
      <c r="K7" s="535"/>
      <c r="L7" s="535"/>
      <c r="M7" s="535"/>
    </row>
    <row r="8" spans="2:13" x14ac:dyDescent="0.25">
      <c r="B8" s="1">
        <v>2026</v>
      </c>
      <c r="C8" s="107">
        <f>' Summary Data'!O9</f>
        <v>29830840.185840953</v>
      </c>
      <c r="E8" s="535"/>
      <c r="F8" s="536"/>
      <c r="G8" s="536"/>
      <c r="H8" s="536"/>
      <c r="I8" s="536"/>
      <c r="J8" s="535"/>
      <c r="K8" s="535"/>
      <c r="L8" s="535"/>
      <c r="M8" s="535"/>
    </row>
    <row r="9" spans="2:13" x14ac:dyDescent="0.25">
      <c r="B9" s="1">
        <v>2027</v>
      </c>
      <c r="C9" s="107">
        <f>' Summary Data'!O10</f>
        <v>29950954.557603568</v>
      </c>
      <c r="E9" s="535"/>
      <c r="F9" s="535"/>
      <c r="G9" s="535"/>
      <c r="H9" s="535"/>
      <c r="I9" s="535"/>
      <c r="J9" s="535"/>
      <c r="K9" s="535"/>
      <c r="L9" s="535"/>
      <c r="M9" s="535"/>
    </row>
    <row r="10" spans="2:13" x14ac:dyDescent="0.25">
      <c r="B10" s="1">
        <v>2028</v>
      </c>
      <c r="C10" s="107">
        <f>' Summary Data'!O11</f>
        <v>30086287.864748333</v>
      </c>
      <c r="E10" s="535"/>
      <c r="F10" s="535"/>
      <c r="G10" s="535"/>
      <c r="H10" s="535"/>
      <c r="I10" s="535"/>
      <c r="J10" s="535"/>
      <c r="K10" s="535"/>
      <c r="L10" s="535"/>
      <c r="M10" s="535"/>
    </row>
    <row r="11" spans="2:13" x14ac:dyDescent="0.25">
      <c r="B11" s="1">
        <v>2029</v>
      </c>
      <c r="C11" s="107">
        <f>' Summary Data'!O12</f>
        <v>30235129.634154111</v>
      </c>
      <c r="E11" s="535"/>
      <c r="F11" s="535"/>
      <c r="G11" s="535"/>
      <c r="H11" s="535"/>
      <c r="I11" s="535"/>
      <c r="J11" s="535"/>
      <c r="K11" s="535"/>
      <c r="L11" s="535"/>
      <c r="M11" s="535"/>
    </row>
    <row r="12" spans="2:13" x14ac:dyDescent="0.25">
      <c r="B12" s="1">
        <v>2030</v>
      </c>
      <c r="C12" s="107">
        <f>' Summary Data'!O13</f>
        <v>30388405.997176863</v>
      </c>
      <c r="E12" s="535"/>
      <c r="F12" s="536"/>
      <c r="G12" s="536"/>
      <c r="H12" s="536"/>
      <c r="I12" s="536"/>
      <c r="J12" s="535"/>
      <c r="K12" s="535"/>
      <c r="L12" s="535"/>
      <c r="M12" s="535"/>
    </row>
    <row r="13" spans="2:13" x14ac:dyDescent="0.25">
      <c r="B13" s="1">
        <v>2031</v>
      </c>
      <c r="C13" s="107">
        <f>' Summary Data'!O14</f>
        <v>30535919.710619777</v>
      </c>
      <c r="E13" s="535"/>
      <c r="F13" s="536"/>
      <c r="G13" s="536"/>
      <c r="H13" s="536"/>
      <c r="I13" s="536"/>
      <c r="J13" s="535"/>
      <c r="K13" s="535"/>
      <c r="L13" s="535"/>
      <c r="M13" s="535"/>
    </row>
    <row r="14" spans="2:13" x14ac:dyDescent="0.25">
      <c r="B14" s="1">
        <v>2032</v>
      </c>
      <c r="C14" s="107">
        <f>' Summary Data'!O15</f>
        <v>30697427.061044466</v>
      </c>
      <c r="E14" s="535"/>
      <c r="F14" s="536"/>
      <c r="G14" s="536"/>
      <c r="H14" s="536"/>
      <c r="I14" s="536"/>
      <c r="J14" s="535"/>
      <c r="K14" s="535"/>
      <c r="L14" s="535"/>
      <c r="M14" s="535"/>
    </row>
    <row r="15" spans="2:13" x14ac:dyDescent="0.25">
      <c r="B15" s="1">
        <v>2033</v>
      </c>
      <c r="C15" s="107">
        <f>' Summary Data'!O16</f>
        <v>30873789.674362216</v>
      </c>
      <c r="E15" s="535"/>
      <c r="F15" s="536"/>
      <c r="G15" s="536"/>
      <c r="H15" s="536"/>
      <c r="I15" s="536"/>
      <c r="J15" s="535"/>
      <c r="K15" s="535"/>
      <c r="L15" s="535"/>
      <c r="M15" s="535"/>
    </row>
    <row r="16" spans="2:13" x14ac:dyDescent="0.25">
      <c r="B16" s="1">
        <v>2034</v>
      </c>
      <c r="C16" s="107">
        <f>' Summary Data'!O17</f>
        <v>31065497.886823308</v>
      </c>
      <c r="E16" s="535"/>
      <c r="F16" s="537"/>
      <c r="G16" s="537"/>
      <c r="H16" s="537"/>
      <c r="I16" s="537"/>
      <c r="J16" s="535"/>
      <c r="K16" s="535"/>
      <c r="L16" s="535"/>
      <c r="M16" s="535"/>
    </row>
    <row r="17" spans="2:13" x14ac:dyDescent="0.25">
      <c r="B17" s="1">
        <v>2035</v>
      </c>
      <c r="C17" s="107">
        <f>' Summary Data'!O18</f>
        <v>31254676.077662002</v>
      </c>
      <c r="E17" s="535"/>
      <c r="F17" s="535"/>
      <c r="G17" s="535"/>
      <c r="H17" s="535"/>
      <c r="I17" s="535"/>
      <c r="J17" s="535"/>
      <c r="K17" s="535"/>
      <c r="L17" s="535"/>
      <c r="M17" s="535"/>
    </row>
    <row r="18" spans="2:13" x14ac:dyDescent="0.25">
      <c r="B18" s="1">
        <v>2036</v>
      </c>
      <c r="C18" s="107">
        <f>' Summary Data'!O19</f>
        <v>31435281.642033253</v>
      </c>
      <c r="E18" s="535"/>
      <c r="F18" s="535"/>
      <c r="G18" s="535"/>
      <c r="H18" s="535"/>
      <c r="I18" s="535"/>
      <c r="J18" s="535"/>
      <c r="K18" s="535"/>
      <c r="L18" s="535"/>
      <c r="M18" s="535"/>
    </row>
    <row r="19" spans="2:13" x14ac:dyDescent="0.25">
      <c r="B19" s="1">
        <v>2037</v>
      </c>
      <c r="C19" s="107">
        <f>' Summary Data'!O20</f>
        <v>31630294.386357732</v>
      </c>
      <c r="E19" s="535"/>
      <c r="F19" s="535"/>
      <c r="G19" s="535"/>
      <c r="H19" s="535"/>
      <c r="I19" s="535"/>
      <c r="J19" s="535"/>
      <c r="K19" s="535"/>
      <c r="L19" s="535"/>
      <c r="M19" s="535"/>
    </row>
    <row r="20" spans="2:13" x14ac:dyDescent="0.25">
      <c r="B20" s="1">
        <v>2038</v>
      </c>
      <c r="C20" s="107">
        <f>' Summary Data'!O21</f>
        <v>31826357.545185991</v>
      </c>
      <c r="E20" s="535"/>
      <c r="F20" s="536"/>
      <c r="G20" s="536"/>
      <c r="H20" s="536"/>
      <c r="I20" s="536"/>
      <c r="J20" s="535"/>
      <c r="K20" s="535"/>
      <c r="L20" s="535"/>
      <c r="M20" s="535"/>
    </row>
    <row r="21" spans="2:13" x14ac:dyDescent="0.25">
      <c r="B21" s="1">
        <v>2039</v>
      </c>
      <c r="C21" s="107">
        <f>' Summary Data'!O22</f>
        <v>32051801.030950494</v>
      </c>
      <c r="E21" s="535"/>
      <c r="F21" s="536"/>
      <c r="G21" s="536"/>
      <c r="H21" s="536"/>
      <c r="I21" s="536"/>
      <c r="J21" s="535"/>
      <c r="K21" s="535"/>
      <c r="L21" s="535"/>
      <c r="M21" s="535"/>
    </row>
    <row r="22" spans="2:13" x14ac:dyDescent="0.25">
      <c r="B22" s="1">
        <v>2040</v>
      </c>
      <c r="C22" s="107">
        <f>' Summary Data'!O23</f>
        <v>32243739.512039341</v>
      </c>
      <c r="E22" s="535"/>
      <c r="F22" s="536"/>
      <c r="G22" s="536"/>
      <c r="H22" s="536"/>
      <c r="I22" s="536"/>
      <c r="J22" s="535"/>
      <c r="K22" s="535"/>
      <c r="L22" s="535"/>
      <c r="M22" s="535"/>
    </row>
    <row r="23" spans="2:13" x14ac:dyDescent="0.25">
      <c r="B23" s="1">
        <v>2041</v>
      </c>
      <c r="C23" s="107">
        <f>' Summary Data'!O24</f>
        <v>32459368.81571516</v>
      </c>
      <c r="E23" s="535"/>
      <c r="F23" s="536"/>
      <c r="G23" s="536"/>
      <c r="H23" s="536"/>
      <c r="I23" s="536"/>
      <c r="J23" s="535"/>
      <c r="K23" s="535"/>
      <c r="L23" s="535"/>
      <c r="M23" s="535"/>
    </row>
    <row r="24" spans="2:13" x14ac:dyDescent="0.25">
      <c r="B24" s="1">
        <v>2042</v>
      </c>
      <c r="C24" s="107">
        <f>' Summary Data'!O25</f>
        <v>32698049.864956349</v>
      </c>
      <c r="E24" s="535"/>
      <c r="F24" s="537"/>
      <c r="G24" s="537"/>
      <c r="H24" s="537"/>
      <c r="I24" s="537"/>
      <c r="J24" s="535"/>
      <c r="K24" s="535"/>
      <c r="L24" s="535"/>
      <c r="M24" s="535"/>
    </row>
    <row r="25" spans="2:13" x14ac:dyDescent="0.25">
      <c r="B25" s="1">
        <v>2043</v>
      </c>
      <c r="C25" s="107">
        <f>' Summary Data'!O26</f>
        <v>32908929.781173076</v>
      </c>
      <c r="E25" s="535"/>
      <c r="F25" s="535"/>
      <c r="G25" s="535"/>
      <c r="H25" s="535"/>
      <c r="I25" s="535"/>
      <c r="J25" s="535"/>
      <c r="K25" s="535"/>
      <c r="L25" s="535"/>
      <c r="M25" s="535"/>
    </row>
    <row r="26" spans="2:13" x14ac:dyDescent="0.25">
      <c r="B26" s="1">
        <v>2044</v>
      </c>
      <c r="C26" s="107">
        <f>' Summary Data'!O27</f>
        <v>33115706.00838498</v>
      </c>
      <c r="E26" s="535"/>
      <c r="F26" s="535"/>
      <c r="G26" s="535"/>
      <c r="H26" s="535"/>
      <c r="I26" s="535"/>
      <c r="J26" s="535"/>
      <c r="K26" s="535"/>
      <c r="L26" s="535"/>
      <c r="M26" s="535"/>
    </row>
    <row r="27" spans="2:13" x14ac:dyDescent="0.25">
      <c r="B27" s="1">
        <v>2045</v>
      </c>
      <c r="C27" s="107">
        <f>' Summary Data'!O28</f>
        <v>33371398.65876352</v>
      </c>
      <c r="D27" s="108"/>
      <c r="E27" s="535"/>
      <c r="F27" s="535"/>
      <c r="G27" s="535"/>
      <c r="H27" s="535"/>
      <c r="I27" s="535"/>
      <c r="J27" s="535"/>
      <c r="K27" s="535"/>
      <c r="L27" s="535"/>
      <c r="M27" s="535"/>
    </row>
    <row r="28" spans="2:13" x14ac:dyDescent="0.25">
      <c r="B28" s="1">
        <v>2046</v>
      </c>
      <c r="C28" s="109">
        <f>C27</f>
        <v>33371398.65876352</v>
      </c>
      <c r="E28" s="535"/>
      <c r="F28" s="536"/>
      <c r="G28" s="536"/>
      <c r="H28" s="536"/>
      <c r="I28" s="536"/>
      <c r="J28" s="535"/>
      <c r="K28" s="535"/>
      <c r="L28" s="535"/>
      <c r="M28" s="535"/>
    </row>
    <row r="29" spans="2:13" x14ac:dyDescent="0.25">
      <c r="B29" s="1">
        <v>2047</v>
      </c>
      <c r="C29" s="109">
        <f>C28</f>
        <v>33371398.65876352</v>
      </c>
      <c r="E29" s="535"/>
      <c r="F29" s="536"/>
      <c r="G29" s="536"/>
      <c r="H29" s="536"/>
      <c r="I29" s="536"/>
      <c r="J29" s="535"/>
      <c r="K29" s="535"/>
      <c r="L29" s="535"/>
      <c r="M29" s="535"/>
    </row>
    <row r="30" spans="2:13" x14ac:dyDescent="0.25">
      <c r="B30" s="1">
        <v>2048</v>
      </c>
      <c r="C30" s="109">
        <f>C29</f>
        <v>33371398.65876352</v>
      </c>
      <c r="E30" s="535"/>
      <c r="F30" s="536"/>
      <c r="G30" s="536"/>
      <c r="H30" s="536"/>
      <c r="I30" s="536"/>
      <c r="J30" s="535"/>
      <c r="K30" s="535"/>
      <c r="L30" s="535"/>
      <c r="M30" s="535"/>
    </row>
    <row r="31" spans="2:13" x14ac:dyDescent="0.25">
      <c r="B31" s="1">
        <v>2049</v>
      </c>
      <c r="C31" s="109">
        <f>C30</f>
        <v>33371398.65876352</v>
      </c>
      <c r="E31" s="535"/>
      <c r="F31" s="536"/>
      <c r="G31" s="536"/>
      <c r="H31" s="536"/>
      <c r="I31" s="536"/>
      <c r="J31" s="535"/>
      <c r="K31" s="535"/>
      <c r="L31" s="535"/>
      <c r="M31" s="535"/>
    </row>
    <row r="32" spans="2:13" x14ac:dyDescent="0.25">
      <c r="B32" s="1">
        <v>2050</v>
      </c>
      <c r="C32" s="109">
        <f>C31</f>
        <v>33371398.65876352</v>
      </c>
      <c r="E32" s="535"/>
      <c r="F32" s="537"/>
      <c r="G32" s="537"/>
      <c r="H32" s="537"/>
      <c r="I32" s="537"/>
      <c r="J32" s="535"/>
      <c r="K32" s="535"/>
      <c r="L32" s="535"/>
      <c r="M32" s="535"/>
    </row>
    <row r="33" spans="5:13" x14ac:dyDescent="0.25">
      <c r="E33" s="535"/>
      <c r="F33" s="535"/>
      <c r="G33" s="535"/>
      <c r="H33" s="535"/>
      <c r="I33" s="535"/>
      <c r="J33" s="535"/>
      <c r="K33" s="535"/>
      <c r="L33" s="535"/>
      <c r="M33" s="535"/>
    </row>
    <row r="34" spans="5:13" x14ac:dyDescent="0.25">
      <c r="E34" s="535"/>
      <c r="F34" s="535"/>
      <c r="G34" s="535"/>
      <c r="H34" s="535"/>
      <c r="I34" s="535"/>
      <c r="J34" s="535"/>
      <c r="K34" s="535"/>
      <c r="L34" s="535"/>
      <c r="M34" s="535"/>
    </row>
    <row r="35" spans="5:13" x14ac:dyDescent="0.25">
      <c r="E35" s="535"/>
      <c r="F35" s="535"/>
      <c r="G35" s="535"/>
      <c r="H35" s="535"/>
      <c r="I35" s="535"/>
      <c r="J35" s="535"/>
      <c r="K35" s="535"/>
      <c r="L35" s="535"/>
      <c r="M35" s="535"/>
    </row>
    <row r="36" spans="5:13" x14ac:dyDescent="0.25">
      <c r="E36" s="535"/>
      <c r="F36" s="536"/>
      <c r="G36" s="536"/>
      <c r="H36" s="536"/>
      <c r="I36" s="536"/>
      <c r="J36" s="535"/>
      <c r="K36" s="535"/>
      <c r="L36" s="535"/>
      <c r="M36" s="535"/>
    </row>
    <row r="37" spans="5:13" x14ac:dyDescent="0.25">
      <c r="E37" s="535"/>
      <c r="F37" s="536"/>
      <c r="G37" s="536"/>
      <c r="H37" s="536"/>
      <c r="I37" s="536"/>
      <c r="J37" s="535"/>
      <c r="K37" s="535"/>
      <c r="L37" s="535"/>
      <c r="M37" s="535"/>
    </row>
    <row r="38" spans="5:13" x14ac:dyDescent="0.25">
      <c r="F38" s="410"/>
      <c r="G38" s="410"/>
      <c r="H38" s="410"/>
      <c r="I38" s="410"/>
    </row>
    <row r="39" spans="5:13" x14ac:dyDescent="0.25">
      <c r="F39" s="410"/>
      <c r="G39" s="410"/>
      <c r="H39" s="410"/>
      <c r="I39" s="410"/>
    </row>
    <row r="40" spans="5:13" x14ac:dyDescent="0.25">
      <c r="F40" s="411"/>
      <c r="G40" s="411"/>
      <c r="H40" s="411"/>
      <c r="I40" s="411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AB532-02A9-4303-8923-5B521B33FFD4}">
  <sheetPr codeName="Sheet22"/>
  <dimension ref="A1:V141"/>
  <sheetViews>
    <sheetView topLeftCell="A40" zoomScale="70" zoomScaleNormal="70" workbookViewId="0">
      <selection activeCell="N19" sqref="N19"/>
    </sheetView>
  </sheetViews>
  <sheetFormatPr defaultRowHeight="15" outlineLevelRow="1" x14ac:dyDescent="0.25"/>
  <cols>
    <col min="1" max="1" width="12.85546875" customWidth="1"/>
    <col min="2" max="2" width="9.5703125" bestFit="1" customWidth="1"/>
    <col min="3" max="3" width="19.7109375" customWidth="1"/>
    <col min="4" max="4" width="26.85546875" bestFit="1" customWidth="1"/>
    <col min="5" max="5" width="33.140625" bestFit="1" customWidth="1"/>
    <col min="6" max="6" width="24.5703125" bestFit="1" customWidth="1"/>
    <col min="7" max="7" width="23.140625" customWidth="1"/>
    <col min="8" max="8" width="24.85546875" customWidth="1"/>
    <col min="9" max="9" width="29.42578125" customWidth="1"/>
    <col min="10" max="10" width="23.28515625" customWidth="1"/>
    <col min="11" max="11" width="26.85546875" bestFit="1" customWidth="1"/>
    <col min="12" max="12" width="20.85546875" bestFit="1" customWidth="1"/>
    <col min="13" max="13" width="16.140625" customWidth="1"/>
    <col min="14" max="14" width="25" customWidth="1"/>
    <col min="15" max="15" width="22" style="1" bestFit="1" customWidth="1"/>
    <col min="16" max="16" width="23.42578125" style="1" bestFit="1" customWidth="1"/>
    <col min="17" max="17" width="15.85546875" style="1" bestFit="1" customWidth="1"/>
    <col min="18" max="18" width="19.5703125" style="1" hidden="1" customWidth="1"/>
    <col min="19" max="22" width="9.140625" style="1"/>
  </cols>
  <sheetData>
    <row r="1" spans="1:14" x14ac:dyDescent="0.25">
      <c r="A1" s="1"/>
      <c r="B1" s="1"/>
      <c r="C1" s="1"/>
      <c r="D1" s="1"/>
      <c r="F1" s="1"/>
      <c r="G1" s="51" t="s">
        <v>305</v>
      </c>
      <c r="H1" s="51" t="s">
        <v>306</v>
      </c>
      <c r="I1" s="1"/>
      <c r="J1" s="1"/>
      <c r="K1" s="1"/>
      <c r="L1" s="1"/>
      <c r="M1" s="1"/>
      <c r="N1" s="1"/>
    </row>
    <row r="2" spans="1:14" x14ac:dyDescent="0.25">
      <c r="A2" s="1"/>
      <c r="B2" s="1"/>
      <c r="C2" s="1"/>
      <c r="D2" s="110" t="s">
        <v>173</v>
      </c>
      <c r="E2" s="13">
        <v>2045</v>
      </c>
      <c r="F2" s="111" t="str">
        <f>'Supply Porfolio (Live)'!E8</f>
        <v>SNG- Firm</v>
      </c>
      <c r="G2" s="470">
        <f>INDEX('Supply Porfolio (Live)'!$E$6:$AI$13,MATCH(Ranking!$F2,'Supply Porfolio (Live)'!$E$6:$E$13,FALSE),MATCH(Ranking!$E$2,'Supply Porfolio (Live)'!$E$6:$AI$6,FALSE))</f>
        <v>38266.403908338398</v>
      </c>
      <c r="H2" s="113" t="s">
        <v>307</v>
      </c>
      <c r="I2" s="1"/>
      <c r="J2" s="13" t="s">
        <v>7</v>
      </c>
      <c r="K2" s="12" t="s">
        <v>6</v>
      </c>
      <c r="L2" s="1"/>
      <c r="M2" s="1"/>
      <c r="N2" s="1"/>
    </row>
    <row r="3" spans="1:14" x14ac:dyDescent="0.25">
      <c r="A3" s="1"/>
      <c r="B3" s="1"/>
      <c r="C3" s="1"/>
      <c r="D3" s="120"/>
      <c r="E3" s="121"/>
      <c r="F3" s="114" t="str">
        <f>'Supply Porfolio (Live)'!E9</f>
        <v>SNG - Interruptible</v>
      </c>
      <c r="G3" s="470">
        <f>INDEX('Supply Porfolio (Live)'!$E$6:$AI$13,MATCH(Ranking!$F3,'Supply Porfolio (Live)'!$E$6:$E$13,FALSE),MATCH(Ranking!$E$2,'Supply Porfolio (Live)'!$E$6:$AI$6,FALSE))</f>
        <v>12605</v>
      </c>
      <c r="H3" s="113" t="s">
        <v>308</v>
      </c>
      <c r="I3" s="1"/>
      <c r="J3" s="15" t="s">
        <v>7</v>
      </c>
      <c r="K3" s="14" t="s">
        <v>8</v>
      </c>
      <c r="L3" s="1"/>
      <c r="M3" s="1"/>
      <c r="N3" s="1"/>
    </row>
    <row r="4" spans="1:14" x14ac:dyDescent="0.25">
      <c r="A4" s="1"/>
      <c r="B4" s="1"/>
      <c r="C4" s="1"/>
      <c r="D4" s="1"/>
      <c r="E4" s="1"/>
      <c r="F4" s="115" t="str">
        <f>'Supply Porfolio (Live)'!E10</f>
        <v>SNG Additional</v>
      </c>
      <c r="G4" s="470">
        <f>INDEX('Supply Porfolio (Live)'!$E$6:$AI$13,MATCH(Ranking!$F4,'Supply Porfolio (Live)'!$E$6:$E$13,FALSE),MATCH(Ranking!$E$2,'Supply Porfolio (Live)'!$E$6:$AI$6,FALSE))</f>
        <v>0</v>
      </c>
      <c r="H4" s="116">
        <f>84372-65185-15710</f>
        <v>3477</v>
      </c>
      <c r="I4" s="1"/>
      <c r="J4" s="16" t="s">
        <v>7</v>
      </c>
      <c r="K4" s="14" t="s">
        <v>9</v>
      </c>
      <c r="L4" s="1"/>
      <c r="M4" s="1"/>
      <c r="N4" s="1"/>
    </row>
    <row r="5" spans="1:14" x14ac:dyDescent="0.25">
      <c r="A5" s="1"/>
      <c r="B5" s="1"/>
      <c r="C5" s="1"/>
      <c r="D5" s="1"/>
      <c r="E5" s="51"/>
      <c r="F5" s="114" t="str">
        <f>'Supply Porfolio (Live)'!E11</f>
        <v>LNG ISO</v>
      </c>
      <c r="G5" s="470">
        <f>INDEX('Supply Porfolio (Live)'!$E$6:$AI$13,MATCH(Ranking!$F5,'Supply Porfolio (Live)'!$E$6:$E$13,FALSE),MATCH(Ranking!$E$2,'Supply Porfolio (Live)'!$E$6:$AI$6,FALSE))</f>
        <v>14000</v>
      </c>
      <c r="H5" s="8" t="s">
        <v>309</v>
      </c>
      <c r="I5" s="1"/>
      <c r="J5" s="29"/>
      <c r="K5" s="14"/>
      <c r="L5" s="1"/>
      <c r="M5" s="1"/>
      <c r="N5" s="1"/>
    </row>
    <row r="6" spans="1:14" x14ac:dyDescent="0.25">
      <c r="A6" s="1"/>
      <c r="B6" s="1"/>
      <c r="C6" s="1"/>
      <c r="D6" s="1"/>
      <c r="E6" s="1"/>
      <c r="F6" s="114" t="str">
        <f>'Supply Porfolio (Live)'!E13</f>
        <v>Exist. WWTP</v>
      </c>
      <c r="G6" s="470">
        <f>INDEX('Supply Porfolio (Live)'!$E$6:$AI$13,MATCH(Ranking!$F6,'Supply Porfolio (Live)'!$E$6:$E$13,FALSE),MATCH(Ranking!$E$2,'Supply Porfolio (Live)'!$E$6:$AI$6,FALSE))</f>
        <v>2191.7808219178082</v>
      </c>
      <c r="H6" s="8"/>
      <c r="I6" s="1"/>
      <c r="J6" s="29"/>
      <c r="K6" s="14"/>
      <c r="L6" s="1"/>
      <c r="M6" s="1"/>
      <c r="N6" s="1"/>
    </row>
    <row r="7" spans="1:14" x14ac:dyDescent="0.25">
      <c r="A7" s="1"/>
      <c r="B7" s="1"/>
      <c r="C7" s="1"/>
      <c r="D7" s="1"/>
      <c r="E7" s="51"/>
      <c r="F7" s="1"/>
      <c r="G7" s="1"/>
      <c r="H7" s="1"/>
      <c r="I7" s="1"/>
      <c r="J7" s="29"/>
      <c r="K7" s="14"/>
      <c r="L7" s="1"/>
      <c r="M7" s="1"/>
      <c r="N7" s="1"/>
    </row>
    <row r="8" spans="1:14" outlineLevel="1" x14ac:dyDescent="0.25">
      <c r="A8" s="1"/>
      <c r="B8" s="33" t="s">
        <v>310</v>
      </c>
      <c r="C8" s="10"/>
      <c r="D8" s="132"/>
      <c r="E8" s="132"/>
      <c r="F8" s="132"/>
      <c r="G8" s="132"/>
      <c r="H8" s="132"/>
      <c r="I8" s="10"/>
      <c r="J8" s="10"/>
      <c r="K8" s="14"/>
      <c r="L8" s="1"/>
      <c r="M8" s="1"/>
      <c r="N8" s="1"/>
    </row>
    <row r="9" spans="1:14" outlineLevel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14" ht="45" outlineLevel="1" x14ac:dyDescent="0.25">
      <c r="A10" s="1"/>
      <c r="B10" s="133" t="s">
        <v>311</v>
      </c>
      <c r="C10" s="134" t="s">
        <v>312</v>
      </c>
      <c r="D10" s="453" t="s">
        <v>313</v>
      </c>
      <c r="E10" s="453" t="s">
        <v>314</v>
      </c>
      <c r="F10" s="453" t="s">
        <v>315</v>
      </c>
      <c r="G10" s="135" t="s">
        <v>316</v>
      </c>
      <c r="H10" s="135" t="s">
        <v>317</v>
      </c>
      <c r="I10" s="135" t="s">
        <v>318</v>
      </c>
      <c r="J10" s="135" t="s">
        <v>319</v>
      </c>
      <c r="K10" s="453" t="s">
        <v>320</v>
      </c>
      <c r="L10" s="136" t="s">
        <v>321</v>
      </c>
      <c r="M10" s="1"/>
      <c r="N10" s="1"/>
    </row>
    <row r="11" spans="1:14" outlineLevel="1" x14ac:dyDescent="0.25">
      <c r="A11" s="1"/>
      <c r="B11" s="137" t="str">
        <f>C11</f>
        <v xml:space="preserve">SNG -Firm </v>
      </c>
      <c r="C11" s="1" t="s">
        <v>322</v>
      </c>
      <c r="D11" s="138">
        <f>IF(E11=0,"n/a",VLOOKUP($E$2,'2. SNG Firm'!$K$15:$P$43,6,FALSE))</f>
        <v>2.7723721333847169</v>
      </c>
      <c r="E11" s="139">
        <f>G2</f>
        <v>38266.403908338398</v>
      </c>
      <c r="F11" s="139">
        <f>E11*365</f>
        <v>13967237.426543515</v>
      </c>
      <c r="G11" s="139">
        <f>VLOOKUP($C11,'15. Emissions'!$B$4:$E$24,2,FALSE)</f>
        <v>52220.959999999999</v>
      </c>
      <c r="H11" s="139">
        <f>VLOOKUP($C11,'15. Emissions'!$B$4:$E$24,3,FALSE)</f>
        <v>259</v>
      </c>
      <c r="I11" s="139">
        <f>VLOOKUP($C11,'15. Emissions'!$B$4:$E$24,4,FALSE)</f>
        <v>13840</v>
      </c>
      <c r="J11" s="139">
        <f>IF(E11=0,"n/a",SUM(G11:I11))</f>
        <v>66319.959999999992</v>
      </c>
      <c r="K11" s="140">
        <f>IF(D11="n/a","n/a",IF(COUNTIF($D$11:$D11,D11)&gt;1,COUNTIF($D$11:$D$29,"&lt;"&amp;D11)+COUNTIF($D$11:$D11,D11),COUNTIF($D$11:$D$29,"&lt;"&amp;D11)+1))</f>
        <v>3</v>
      </c>
      <c r="L11" s="140">
        <f>IF(J11="n/a","n/a",IF(COUNTIF($J$11:$J11,J11)&gt;1,COUNTIF($J$11:$J$29,"&lt;"&amp;J11)+COUNTIF($J$11:$J11,J11),COUNTIF($J$11:$J$29,"&lt;"&amp;J11)+1))</f>
        <v>3</v>
      </c>
      <c r="M11" s="1"/>
      <c r="N11" s="1"/>
    </row>
    <row r="12" spans="1:14" outlineLevel="1" x14ac:dyDescent="0.25">
      <c r="A12" s="1"/>
      <c r="B12" s="137" t="str">
        <f>$B$11</f>
        <v xml:space="preserve">SNG -Firm </v>
      </c>
      <c r="C12" s="1" t="s">
        <v>323</v>
      </c>
      <c r="D12" s="138">
        <f>IF(E12=0,"n/a",VLOOKUP($E$2,'2. SNG Firm'!$K$15:$P$43,6,FALSE))</f>
        <v>2.7723721333847169</v>
      </c>
      <c r="E12" s="139">
        <f>G3</f>
        <v>12605</v>
      </c>
      <c r="F12" s="139">
        <f>E12*365</f>
        <v>4600825</v>
      </c>
      <c r="G12" s="139">
        <f>VLOOKUP($C12,'15. Emissions'!$B$4:$E$24,2,FALSE)</f>
        <v>52220.959999999999</v>
      </c>
      <c r="H12" s="139">
        <f>VLOOKUP($C12,'15. Emissions'!$B$4:$E$24,3,FALSE)</f>
        <v>259</v>
      </c>
      <c r="I12" s="139">
        <f>VLOOKUP($C12,'15. Emissions'!$B$4:$E$24,4,FALSE)</f>
        <v>13840</v>
      </c>
      <c r="J12" s="139">
        <f t="shared" ref="J12:J29" si="0">IF(E12=0,"n/a",SUM(G12:I12))</f>
        <v>66319.959999999992</v>
      </c>
      <c r="K12" s="140">
        <f>IF(D12="n/a","n/a",IF(COUNTIF($D$11:$D12,D12)&gt;1,COUNTIF($D$11:$D$29,"&lt;"&amp;D12)+COUNTIF($D$11:$D12,D12),COUNTIF($D$11:$D$29,"&lt;"&amp;D12)+1))</f>
        <v>4</v>
      </c>
      <c r="L12" s="140">
        <f>IF(J12="n/a","n/a",IF(COUNTIF($J$11:$J12,J12)&gt;1,COUNTIF($J$11:$J$29,"&lt;"&amp;J12)+COUNTIF($J$11:$J12,J12),COUNTIF($J$11:$J$29,"&lt;"&amp;J12)+1))</f>
        <v>4</v>
      </c>
      <c r="M12" s="1"/>
      <c r="N12" s="38"/>
    </row>
    <row r="13" spans="1:14" outlineLevel="1" x14ac:dyDescent="0.25">
      <c r="A13" s="1"/>
      <c r="B13" s="137" t="str">
        <f>C13</f>
        <v>SNG Additional</v>
      </c>
      <c r="C13" s="38" t="s">
        <v>324</v>
      </c>
      <c r="D13" s="138" t="str">
        <f>IF(E13=0,"n/a",VLOOKUP($E$2,'3. SNG Interruptible'!$L$15:$M$43,2,FALSE))</f>
        <v>n/a</v>
      </c>
      <c r="E13" s="139">
        <f>G4</f>
        <v>0</v>
      </c>
      <c r="F13" s="139">
        <f t="shared" ref="F13:F29" si="1">E13*365</f>
        <v>0</v>
      </c>
      <c r="G13" s="139">
        <f>VLOOKUP($C13,'15. Emissions'!$B$4:$E$24,2,FALSE)</f>
        <v>52220.959999999999</v>
      </c>
      <c r="H13" s="139">
        <f>VLOOKUP($C13,'15. Emissions'!$B$4:$E$24,3,FALSE)</f>
        <v>259</v>
      </c>
      <c r="I13" s="139">
        <f>VLOOKUP($C13,'15. Emissions'!$B$4:$E$24,4,FALSE)</f>
        <v>13840</v>
      </c>
      <c r="J13" s="139" t="str">
        <f t="shared" si="0"/>
        <v>n/a</v>
      </c>
      <c r="K13" s="140" t="str">
        <f>IF(D13="n/a","n/a",IF(COUNTIF($D$11:$D13,D13)&gt;1,COUNTIF($D$11:$D$29,"&lt;"&amp;D13)+COUNTIF($D$11:$D13,D13),COUNTIF($D$11:$D$29,"&lt;"&amp;D13)+1))</f>
        <v>n/a</v>
      </c>
      <c r="L13" s="140" t="str">
        <f>IF(J13="n/a","n/a",IF(COUNTIF($J$11:$J13,J13)&gt;1,COUNTIF($J$11:$J$29,"&lt;"&amp;J13)+COUNTIF($J$11:$J13,J13),COUNTIF($J$11:$J$29,"&lt;"&amp;J13)+1))</f>
        <v>n/a</v>
      </c>
      <c r="M13" s="1"/>
      <c r="N13" s="1"/>
    </row>
    <row r="14" spans="1:14" outlineLevel="1" x14ac:dyDescent="0.25">
      <c r="A14" s="1"/>
      <c r="B14" s="137" t="str">
        <f>C14</f>
        <v>LNG - ISO</v>
      </c>
      <c r="C14" s="1" t="s">
        <v>325</v>
      </c>
      <c r="D14" s="138">
        <f>IF(E14=0,"n/a",VLOOKUP(Ranking!E2,'6. LNG- ISO'!$M$14:$P$42,4,FALSE))</f>
        <v>2.8506799864969499</v>
      </c>
      <c r="E14" s="139">
        <f>G5</f>
        <v>14000</v>
      </c>
      <c r="F14" s="139">
        <f t="shared" si="1"/>
        <v>5110000</v>
      </c>
      <c r="G14" s="139">
        <f>VLOOKUP($C14,'15. Emissions'!$B$4:$E$24,2,FALSE)</f>
        <v>59341</v>
      </c>
      <c r="H14" s="139">
        <f>VLOOKUP($C14,'15. Emissions'!$B$4:$E$24,3,FALSE)</f>
        <v>2521</v>
      </c>
      <c r="I14" s="139">
        <f>VLOOKUP($C14,'15. Emissions'!$B$4:$E$24,4,FALSE)</f>
        <v>11151</v>
      </c>
      <c r="J14" s="139">
        <f t="shared" si="0"/>
        <v>73013</v>
      </c>
      <c r="K14" s="140">
        <f>IF(D14="n/a","n/a",IF(COUNTIF($D$11:$D14,D14)&gt;1,COUNTIF($D$11:$D$29,"&lt;"&amp;D14)+COUNTIF($D$11:$D14,D14),COUNTIF($D$11:$D$29,"&lt;"&amp;D14)+1))</f>
        <v>5</v>
      </c>
      <c r="L14" s="140">
        <f>IF(J14="n/a","n/a",IF(COUNTIF($J$11:$J14,J14)&gt;1,COUNTIF($J$11:$J$29,"&lt;"&amp;J14)+COUNTIF($J$11:$J14,J14),COUNTIF($J$11:$J$29,"&lt;"&amp;J14)+1))</f>
        <v>5</v>
      </c>
      <c r="M14" s="1"/>
      <c r="N14" s="1"/>
    </row>
    <row r="15" spans="1:14" outlineLevel="1" x14ac:dyDescent="0.25">
      <c r="A15" s="1"/>
      <c r="B15" s="137" t="s">
        <v>326</v>
      </c>
      <c r="C15" s="141" t="str">
        <f>'8a. RNG'!E12</f>
        <v>Exist. WWTP</v>
      </c>
      <c r="D15" s="138">
        <f>'8a. RNG'!$E$14</f>
        <v>2.5308264198715138</v>
      </c>
      <c r="E15" s="139">
        <f>VLOOKUP($E$2,'8a. RNG'!$D$16:$E$45,2,FALSE)</f>
        <v>2191.7808219178082</v>
      </c>
      <c r="F15" s="139">
        <f t="shared" si="1"/>
        <v>800000</v>
      </c>
      <c r="G15" s="139">
        <f>VLOOKUP($C15,'15. Emissions'!$B$4:$E$24,2,FALSE)</f>
        <v>65954</v>
      </c>
      <c r="H15" s="139">
        <f>VLOOKUP($C15,'15. Emissions'!$B$4:$E$24,3,FALSE)</f>
        <v>275</v>
      </c>
      <c r="I15" s="139">
        <f>VLOOKUP($C15,'15. Emissions'!$B$4:$E$24,4,FALSE)</f>
        <v>-78236</v>
      </c>
      <c r="J15" s="139">
        <f t="shared" si="0"/>
        <v>-12007</v>
      </c>
      <c r="K15" s="140">
        <f>IF(D15="n/a","n/a",IF(COUNTIF($D$11:$D15,D15)&gt;1,COUNTIF($D$11:$D$29,"&lt;"&amp;D15)+COUNTIF($D$11:$D15,D15),COUNTIF($D$11:$D$29,"&lt;"&amp;D15)+1))</f>
        <v>1</v>
      </c>
      <c r="L15" s="140">
        <f>IF(J15="n/a","n/a",IF(COUNTIF($J$11:$J15,J15)&gt;1,COUNTIF($J$11:$J$29,"&lt;"&amp;J15)+COUNTIF($J$11:$J15,J15),COUNTIF($J$11:$J$29,"&lt;"&amp;J15)+1))</f>
        <v>1</v>
      </c>
      <c r="M15" s="1"/>
      <c r="N15" s="1"/>
    </row>
    <row r="16" spans="1:14" outlineLevel="1" x14ac:dyDescent="0.25">
      <c r="A16" s="1"/>
      <c r="B16" s="137" t="s">
        <v>326</v>
      </c>
      <c r="C16" s="141" t="str">
        <f>'8a. RNG'!$F$12</f>
        <v>LFG, WWTP, AgCrop (1)</v>
      </c>
      <c r="D16" s="138">
        <f>IF(OR('Supply Porfolio (Live)'!$K$25&gt;$E$2,E16=0),"n/a",'8a. RNG'!$F$14)</f>
        <v>2.5308264198715138</v>
      </c>
      <c r="E16" s="139">
        <f>IF('Supply Porfolio (Live)'!$K$25="n/a",0,IF('Supply Porfolio (Live)'!$K$25&gt;$E$2,0,VLOOKUP($E$2,'8a. RNG'!$D$16:$H$45,3,FALSE)))</f>
        <v>2157.4700878889521</v>
      </c>
      <c r="F16" s="139">
        <f t="shared" si="1"/>
        <v>787476.58207946748</v>
      </c>
      <c r="G16" s="139" t="e">
        <f>VLOOKUP($C16,'15. Emissions'!$B$4:$E$24,2,FALSE)</f>
        <v>#N/A</v>
      </c>
      <c r="H16" s="139" t="e">
        <f>VLOOKUP($C16,'15. Emissions'!$B$4:$E$24,3,FALSE)</f>
        <v>#N/A</v>
      </c>
      <c r="I16" s="139" t="e">
        <f>VLOOKUP($C16,'15. Emissions'!$B$4:$E$24,4,FALSE)</f>
        <v>#N/A</v>
      </c>
      <c r="J16" s="139" t="e">
        <f t="shared" si="0"/>
        <v>#N/A</v>
      </c>
      <c r="K16" s="140">
        <f>IF(D16="n/a","n/a",IF(COUNTIF($D$11:$D16,D16)&gt;1,COUNTIF($D$11:$D$29,"&lt;"&amp;D16)+COUNTIF($D$11:$D16,D16),COUNTIF($D$11:$D$29,"&lt;"&amp;D16)+1))</f>
        <v>2</v>
      </c>
      <c r="L16" s="140" t="e">
        <f>IF(J16="n/a","n/a",IF(COUNTIF($J$11:$J16,J16)&gt;1,COUNTIF($J$11:$J$29,"&lt;"&amp;J16)+COUNTIF($J$11:$J16,J16),COUNTIF($J$11:$J$29,"&lt;"&amp;J16)+1))</f>
        <v>#N/A</v>
      </c>
      <c r="M16" s="1"/>
      <c r="N16" s="1"/>
    </row>
    <row r="17" spans="1:14" outlineLevel="1" x14ac:dyDescent="0.25">
      <c r="A17" s="1"/>
      <c r="B17" s="137" t="s">
        <v>326</v>
      </c>
      <c r="C17" s="141" t="str">
        <f>'8a. RNG'!$G$12</f>
        <v>LFG, WWTP, AgCrop (2)</v>
      </c>
      <c r="D17" s="138">
        <f>IF(OR('Supply Porfolio (Live)'!$K$26&gt;$E$2,E17=0),"n/a",'8a. RNG'!$G$14)</f>
        <v>2.9506423613220378</v>
      </c>
      <c r="E17" s="139">
        <f>IF('Supply Porfolio (Live)'!$K$26="n/a",0,IF('Supply Porfolio (Live)'!$K$26&gt;$E$2,0,VLOOKUP($E$2,'8a. RNG'!$D$16:$H$45,4,FALSE)))</f>
        <v>3235.7296497163575</v>
      </c>
      <c r="F17" s="139">
        <f t="shared" si="1"/>
        <v>1181041.3221464704</v>
      </c>
      <c r="G17" s="139" t="e">
        <f>VLOOKUP($C17,'15. Emissions'!$B$4:$E$24,2,FALSE)</f>
        <v>#N/A</v>
      </c>
      <c r="H17" s="139" t="e">
        <f>VLOOKUP($C17,'15. Emissions'!$B$4:$E$24,3,FALSE)</f>
        <v>#N/A</v>
      </c>
      <c r="I17" s="139" t="e">
        <f>VLOOKUP($C17,'15. Emissions'!$B$4:$E$24,4,FALSE)</f>
        <v>#N/A</v>
      </c>
      <c r="J17" s="139" t="e">
        <f t="shared" si="0"/>
        <v>#N/A</v>
      </c>
      <c r="K17" s="140">
        <f>IF(D17="n/a","n/a",IF(COUNTIF($D$11:$D17,D17)&gt;1,COUNTIF($D$11:$D$29,"&lt;"&amp;D17)+COUNTIF($D$11:$D17,D17),COUNTIF($D$11:$D$29,"&lt;"&amp;D17)+1))</f>
        <v>6</v>
      </c>
      <c r="L17" s="140" t="e">
        <f>IF(J17="n/a","n/a",IF(COUNTIF($J$11:$J17,J17)&gt;1,COUNTIF($J$11:$J$29,"&lt;"&amp;J17)+COUNTIF($J$11:$J17,J17),COUNTIF($J$11:$J$29,"&lt;"&amp;J17)+1))</f>
        <v>#N/A</v>
      </c>
      <c r="M17" s="1"/>
      <c r="N17" s="1"/>
    </row>
    <row r="18" spans="1:14" outlineLevel="1" x14ac:dyDescent="0.25">
      <c r="A18" s="1"/>
      <c r="B18" s="137" t="s">
        <v>326</v>
      </c>
      <c r="C18" s="141" t="str">
        <f>'8a. RNG'!$H$12</f>
        <v>LFG, WWTP, AgCrop (3)</v>
      </c>
      <c r="D18" s="138">
        <f>IF(OR('Supply Porfolio (Live)'!$K$27&gt;$E$2,E18=0),"n/a",'8a. RNG'!$H$14)</f>
        <v>3.5411198708619214</v>
      </c>
      <c r="E18" s="139">
        <f>IF('Supply Porfolio (Live)'!$K$27="n/a",0,IF('Supply Porfolio (Live)'!$K$27&gt;$E$2,0,VLOOKUP($E$2,'8a. RNG'!$D$16:$H$45,5,FALSE)))</f>
        <v>3355.6666520385406</v>
      </c>
      <c r="F18" s="139">
        <f t="shared" si="1"/>
        <v>1224818.3279940672</v>
      </c>
      <c r="G18" s="139" t="e">
        <f>VLOOKUP($C18,'15. Emissions'!$B$4:$E$24,2,FALSE)</f>
        <v>#N/A</v>
      </c>
      <c r="H18" s="139" t="e">
        <f>VLOOKUP($C18,'15. Emissions'!$B$4:$E$24,3,FALSE)</f>
        <v>#N/A</v>
      </c>
      <c r="I18" s="139" t="e">
        <f>VLOOKUP($C18,'15. Emissions'!$B$4:$E$24,4,FALSE)</f>
        <v>#N/A</v>
      </c>
      <c r="J18" s="139" t="e">
        <f t="shared" si="0"/>
        <v>#N/A</v>
      </c>
      <c r="K18" s="140">
        <f>IF(D18="n/a","n/a",IF(COUNTIF($D$11:$D18,D18)&gt;1,COUNTIF($D$11:$D$29,"&lt;"&amp;D18)+COUNTIF($D$11:$D18,D18),COUNTIF($D$11:$D$29,"&lt;"&amp;D18)+1))</f>
        <v>8</v>
      </c>
      <c r="L18" s="140" t="e">
        <f>IF(J18="n/a","n/a",IF(COUNTIF($J$11:$J18,J18)&gt;1,COUNTIF($J$11:$J$29,"&lt;"&amp;J18)+COUNTIF($J$11:$J18,J18),COUNTIF($J$11:$J$29,"&lt;"&amp;J18)+1))</f>
        <v>#N/A</v>
      </c>
      <c r="M18" s="1"/>
      <c r="N18" s="1"/>
    </row>
    <row r="19" spans="1:14" outlineLevel="1" x14ac:dyDescent="0.25">
      <c r="A19" s="1"/>
      <c r="B19" s="137" t="s">
        <v>327</v>
      </c>
      <c r="C19" s="141" t="str">
        <f>'8a. RNG'!$P$12</f>
        <v>CDW Exp. 1</v>
      </c>
      <c r="D19" s="138">
        <f>IF(OR('Supply Porfolio (Live)'!$N$25&gt;$E$2,E19=0),"n/a",'8a. RNG'!$P$14)</f>
        <v>3.5232490479396983</v>
      </c>
      <c r="E19" s="471">
        <f>IF('Supply Porfolio (Live)'!$N25="n/a",0,IF('Supply Porfolio (Live)'!$N25&gt;$E$2,0,VLOOKUP($E$2,'8a. RNG'!$O$16:$T$45,2,FALSE)))</f>
        <v>15616.438356164384</v>
      </c>
      <c r="F19" s="139">
        <f t="shared" si="1"/>
        <v>5700000</v>
      </c>
      <c r="G19" s="139">
        <f>VLOOKUP($C19,'15. Emissions'!$B$4:$E$24,2,FALSE)</f>
        <v>59080</v>
      </c>
      <c r="H19" s="139">
        <f>VLOOKUP($C19,'15. Emissions'!$B$4:$E$24,3,FALSE)</f>
        <v>130</v>
      </c>
      <c r="I19" s="139">
        <f>VLOOKUP($C19,'15. Emissions'!$B$4:$E$24,4,FALSE)</f>
        <v>259</v>
      </c>
      <c r="J19" s="139">
        <f t="shared" si="0"/>
        <v>59469</v>
      </c>
      <c r="K19" s="140">
        <f>IF(D19="n/a","n/a",IF(COUNTIF($D$11:$D19,D19)&gt;1,COUNTIF($D$11:$D$29,"&lt;"&amp;D19)+COUNTIF($D$11:$D19,D19),COUNTIF($D$11:$D$29,"&lt;"&amp;D19)+1))</f>
        <v>7</v>
      </c>
      <c r="L19" s="140">
        <f>IF(J19="n/a","n/a",IF(COUNTIF($J$11:$J19,J19)&gt;1,COUNTIF($J$11:$J$29,"&lt;"&amp;J19)+COUNTIF($J$11:$J19,J19),COUNTIF($J$11:$J$29,"&lt;"&amp;J19)+1))</f>
        <v>2</v>
      </c>
      <c r="M19" s="1"/>
      <c r="N19" s="1"/>
    </row>
    <row r="20" spans="1:14" outlineLevel="1" x14ac:dyDescent="0.25">
      <c r="A20" s="1"/>
      <c r="B20" s="137" t="s">
        <v>327</v>
      </c>
      <c r="C20" s="141" t="str">
        <f>'8a. RNG'!$Q$12</f>
        <v>CDW Exp. 2</v>
      </c>
      <c r="D20" s="138" t="str">
        <f>IF(OR('Supply Porfolio (Live)'!$N$26&gt;$E$2,E20=0),"n/a",'8a. RNG'!$Q$14)</f>
        <v>n/a</v>
      </c>
      <c r="E20" s="471">
        <f>IF('Supply Porfolio (Live)'!$N26="n/a",0,IF('Supply Porfolio (Live)'!$N26&gt;$E$2,0,VLOOKUP($E$2,'8a. RNG'!$O$16:$T$45,3,FALSE)))</f>
        <v>0</v>
      </c>
      <c r="F20" s="139">
        <f t="shared" si="1"/>
        <v>0</v>
      </c>
      <c r="G20" s="139">
        <f>VLOOKUP($C20,'15. Emissions'!$B$4:$E$24,2,FALSE)</f>
        <v>59080</v>
      </c>
      <c r="H20" s="139">
        <f>VLOOKUP($C20,'15. Emissions'!$B$4:$E$24,3,FALSE)</f>
        <v>130</v>
      </c>
      <c r="I20" s="139">
        <f>VLOOKUP($C20,'15. Emissions'!$B$4:$E$24,4,FALSE)</f>
        <v>259</v>
      </c>
      <c r="J20" s="139" t="str">
        <f t="shared" si="0"/>
        <v>n/a</v>
      </c>
      <c r="K20" s="140" t="str">
        <f>IF(D20="n/a","n/a",IF(COUNTIF($D$11:$D20,D20)&gt;1,COUNTIF($D$11:$D$29,"&lt;"&amp;D20)+COUNTIF($D$11:$D20,D20),COUNTIF($D$11:$D$29,"&lt;"&amp;D20)+1))</f>
        <v>n/a</v>
      </c>
      <c r="L20" s="140" t="str">
        <f>IF(J20="n/a","n/a",IF(COUNTIF($J$11:$J20,J20)&gt;1,COUNTIF($J$11:$J$29,"&lt;"&amp;J20)+COUNTIF($J$11:$J20,J20),COUNTIF($J$11:$J$29,"&lt;"&amp;J20)+1))</f>
        <v>n/a</v>
      </c>
      <c r="M20" s="1"/>
      <c r="N20" s="1"/>
    </row>
    <row r="21" spans="1:14" outlineLevel="1" x14ac:dyDescent="0.25">
      <c r="A21" s="1"/>
      <c r="B21" s="137" t="s">
        <v>327</v>
      </c>
      <c r="C21" s="141" t="str">
        <f>'8a. RNG'!$R$12</f>
        <v>CDW Exp. 3</v>
      </c>
      <c r="D21" s="138" t="str">
        <f>IF(OR('Supply Porfolio (Live)'!$N$27&gt;$E$2,E21=0),"n/a",'8a. RNG'!$R$14)</f>
        <v>n/a</v>
      </c>
      <c r="E21" s="471">
        <f>IF('Supply Porfolio (Live)'!$N27="n/a",0,IF('Supply Porfolio (Live)'!$N27&gt;$E$2,0,VLOOKUP($E$2,'8a. RNG'!$O$16:$T$45,4,FALSE)))</f>
        <v>0</v>
      </c>
      <c r="F21" s="139">
        <f t="shared" si="1"/>
        <v>0</v>
      </c>
      <c r="G21" s="139">
        <f>VLOOKUP($C21,'15. Emissions'!$B$4:$E$24,2,FALSE)</f>
        <v>59080</v>
      </c>
      <c r="H21" s="139">
        <f>VLOOKUP($C21,'15. Emissions'!$B$4:$E$24,3,FALSE)</f>
        <v>130</v>
      </c>
      <c r="I21" s="139">
        <f>VLOOKUP($C21,'15. Emissions'!$B$4:$E$24,4,FALSE)</f>
        <v>259</v>
      </c>
      <c r="J21" s="139" t="str">
        <f t="shared" si="0"/>
        <v>n/a</v>
      </c>
      <c r="K21" s="140" t="str">
        <f>IF(D21="n/a","n/a",IF(COUNTIF($D$11:$D21,D21)&gt;1,COUNTIF($D$11:$D$29,"&lt;"&amp;D21)+COUNTIF($D$11:$D21,D21),COUNTIF($D$11:$D$29,"&lt;"&amp;D21)+1))</f>
        <v>n/a</v>
      </c>
      <c r="L21" s="140" t="str">
        <f>IF(J21="n/a","n/a",IF(COUNTIF($J$11:$J21,J21)&gt;1,COUNTIF($J$11:$J$29,"&lt;"&amp;J21)+COUNTIF($J$11:$J21,J21),COUNTIF($J$11:$J$29,"&lt;"&amp;J21)+1))</f>
        <v>n/a</v>
      </c>
      <c r="M21" s="1"/>
      <c r="N21" s="1"/>
    </row>
    <row r="22" spans="1:14" outlineLevel="1" x14ac:dyDescent="0.25">
      <c r="A22" s="1"/>
      <c r="B22" s="137" t="s">
        <v>327</v>
      </c>
      <c r="C22" s="141" t="str">
        <f>'8a. RNG'!$S$12</f>
        <v>CDW Exp. 4</v>
      </c>
      <c r="D22" s="138" t="str">
        <f>IF(OR('Supply Porfolio (Live)'!$N$28&gt;$E$2,E22=0),"n/a",'8a. RNG'!$S$14)</f>
        <v>n/a</v>
      </c>
      <c r="E22" s="471">
        <f>IF('Supply Porfolio (Live)'!$N28="n/a",0,IF('Supply Porfolio (Live)'!$N28&gt;$E$2,0,VLOOKUP($E$2,'8a. RNG'!$O$16:$T$45,5,FALSE)))</f>
        <v>0</v>
      </c>
      <c r="F22" s="139">
        <f t="shared" si="1"/>
        <v>0</v>
      </c>
      <c r="G22" s="139">
        <f>VLOOKUP($C22,'15. Emissions'!$B$4:$E$24,2,FALSE)</f>
        <v>59080</v>
      </c>
      <c r="H22" s="139">
        <f>VLOOKUP($C22,'15. Emissions'!$B$4:$E$24,3,FALSE)</f>
        <v>130</v>
      </c>
      <c r="I22" s="139">
        <f>VLOOKUP($C22,'15. Emissions'!$B$4:$E$24,4,FALSE)</f>
        <v>259</v>
      </c>
      <c r="J22" s="139" t="str">
        <f t="shared" si="0"/>
        <v>n/a</v>
      </c>
      <c r="K22" s="140" t="str">
        <f>IF(D22="n/a","n/a",IF(COUNTIF($D$11:$D22,D22)&gt;1,COUNTIF($D$11:$D$29,"&lt;"&amp;D22)+COUNTIF($D$11:$D22,D22),COUNTIF($D$11:$D$29,"&lt;"&amp;D22)+1))</f>
        <v>n/a</v>
      </c>
      <c r="L22" s="140" t="str">
        <f>IF(J22="n/a","n/a",IF(COUNTIF($J$11:$J22,J22)&gt;1,COUNTIF($J$11:$J$29,"&lt;"&amp;J22)+COUNTIF($J$11:$J22,J22),COUNTIF($J$11:$J$29,"&lt;"&amp;J22)+1))</f>
        <v>n/a</v>
      </c>
      <c r="M22" s="1"/>
      <c r="N22" s="1"/>
    </row>
    <row r="23" spans="1:14" outlineLevel="1" x14ac:dyDescent="0.25">
      <c r="A23" s="1"/>
      <c r="B23" s="137" t="s">
        <v>327</v>
      </c>
      <c r="C23" s="141" t="str">
        <f>'8a. RNG'!$T$12</f>
        <v>CDW Exp. 5</v>
      </c>
      <c r="D23" s="138" t="str">
        <f>IF(OR('Supply Porfolio (Live)'!$N$29&gt;$E$2,E23=0),"n/a",'8a. RNG'!$T$14)</f>
        <v>n/a</v>
      </c>
      <c r="E23" s="471">
        <f>IF('Supply Porfolio (Live)'!$N29="n/a",0,IF('Supply Porfolio (Live)'!$N29&gt;$E$2,0,VLOOKUP($E$2,'8a. RNG'!$O$16:$T$45,6,FALSE)))</f>
        <v>0</v>
      </c>
      <c r="F23" s="139">
        <f t="shared" si="1"/>
        <v>0</v>
      </c>
      <c r="G23" s="139">
        <f>VLOOKUP($C23,'15. Emissions'!$B$4:$E$24,2,FALSE)</f>
        <v>59080</v>
      </c>
      <c r="H23" s="139">
        <f>VLOOKUP($C23,'15. Emissions'!$B$4:$E$24,3,FALSE)</f>
        <v>130</v>
      </c>
      <c r="I23" s="139">
        <f>VLOOKUP($C23,'15. Emissions'!$B$4:$E$24,4,FALSE)</f>
        <v>259</v>
      </c>
      <c r="J23" s="139" t="str">
        <f t="shared" si="0"/>
        <v>n/a</v>
      </c>
      <c r="K23" s="140" t="str">
        <f>IF(D23="n/a","n/a",IF(COUNTIF($D$11:$D23,D23)&gt;1,COUNTIF($D$11:$D$29,"&lt;"&amp;D23)+COUNTIF($D$11:$D23,D23),COUNTIF($D$11:$D$29,"&lt;"&amp;D23)+1))</f>
        <v>n/a</v>
      </c>
      <c r="L23" s="140" t="str">
        <f>IF(J23="n/a","n/a",IF(COUNTIF($J$11:$J23,J23)&gt;1,COUNTIF($J$11:$J$29,"&lt;"&amp;J23)+COUNTIF($J$11:$J23,J23),COUNTIF($J$11:$J$29,"&lt;"&amp;J23)+1))</f>
        <v>n/a</v>
      </c>
      <c r="M23" s="1"/>
      <c r="N23" s="1"/>
    </row>
    <row r="24" spans="1:14" outlineLevel="1" x14ac:dyDescent="0.25">
      <c r="A24" s="1"/>
      <c r="B24" s="137" t="str">
        <f t="shared" ref="B24:B29" si="2">$C$14</f>
        <v>LNG - ISO</v>
      </c>
      <c r="C24" s="141" t="str">
        <f>'5. LNG- ISO_Expansion'!$X$12</f>
        <v>LNG ISO Exp 1</v>
      </c>
      <c r="D24" s="138" t="str">
        <f>IF(OR('Supply Porfolio (Live)'!$H$25&gt;$E$2,E24=0),"n/a",VLOOKUP($E$2,'5. LNG- ISO_Expansion'!$W$14:$AB$43,2,FALSE))</f>
        <v>n/a</v>
      </c>
      <c r="E24" s="139">
        <f>IF('Supply Porfolio (Live)'!$H$25="n/a",0,IF('Supply Porfolio (Live)'!$H$25&gt;$E$2,0,VLOOKUP($E$2,'5. LNG- ISO_Expansion'!AD14:AI43,2,FALSE)))</f>
        <v>0</v>
      </c>
      <c r="F24" s="139">
        <f t="shared" si="1"/>
        <v>0</v>
      </c>
      <c r="G24" s="139">
        <f>VLOOKUP($C24,'15. Emissions'!$B$4:$E$24,2,FALSE)</f>
        <v>59341</v>
      </c>
      <c r="H24" s="139">
        <f>VLOOKUP($C24,'15. Emissions'!$B$4:$E$24,3,FALSE)</f>
        <v>2521</v>
      </c>
      <c r="I24" s="139">
        <f>VLOOKUP($C24,'15. Emissions'!$B$4:$E$24,4,FALSE)</f>
        <v>11151</v>
      </c>
      <c r="J24" s="139" t="str">
        <f t="shared" si="0"/>
        <v>n/a</v>
      </c>
      <c r="K24" s="140" t="str">
        <f>IF(D24="n/a","n/a",IF(COUNTIF($D$11:$D24,D24)&gt;1,COUNTIF($D$11:$D$29,"&lt;"&amp;D24)+COUNTIF($D$11:$D24,D24),COUNTIF($D$11:$D$29,"&lt;"&amp;D24)+1))</f>
        <v>n/a</v>
      </c>
      <c r="L24" s="140" t="str">
        <f>IF(J24="n/a","n/a",IF(COUNTIF($J$11:$J24,J24)&gt;1,COUNTIF($J$11:$J$29,"&lt;"&amp;J24)+COUNTIF($J$11:$J24,J24),COUNTIF($J$11:$J$29,"&lt;"&amp;J24)+1))</f>
        <v>n/a</v>
      </c>
      <c r="M24" s="1"/>
      <c r="N24" s="1"/>
    </row>
    <row r="25" spans="1:14" outlineLevel="1" x14ac:dyDescent="0.25">
      <c r="A25" s="1"/>
      <c r="B25" s="137" t="str">
        <f t="shared" si="2"/>
        <v>LNG - ISO</v>
      </c>
      <c r="C25" s="141" t="str">
        <f>'5. LNG- ISO_Expansion'!$Y$12</f>
        <v>LNG ISO Exp 2</v>
      </c>
      <c r="D25" s="138" t="str">
        <f>IF(OR('Supply Porfolio (Live)'!$H$26&gt;$E$2,E25=0),"n/a",VLOOKUP($E$2,'5. LNG- ISO_Expansion'!$W$14:$AB$43,3,FALSE))</f>
        <v>n/a</v>
      </c>
      <c r="E25" s="139">
        <f>IF('Supply Porfolio (Live)'!$H$26="n/a",0,IF('Supply Porfolio (Live)'!$H$26&gt;$E$2,0,VLOOKUP($E$2,'5. LNG- ISO_Expansion'!AD15:AI44,3,FALSE)))</f>
        <v>0</v>
      </c>
      <c r="F25" s="139">
        <f t="shared" si="1"/>
        <v>0</v>
      </c>
      <c r="G25" s="139">
        <f>VLOOKUP($C25,'15. Emissions'!$B$4:$E$24,2,FALSE)</f>
        <v>59341</v>
      </c>
      <c r="H25" s="139">
        <f>VLOOKUP($C25,'15. Emissions'!$B$4:$E$24,3,FALSE)</f>
        <v>2521</v>
      </c>
      <c r="I25" s="139">
        <f>VLOOKUP($C25,'15. Emissions'!$B$4:$E$24,4,FALSE)</f>
        <v>11151</v>
      </c>
      <c r="J25" s="139" t="str">
        <f t="shared" si="0"/>
        <v>n/a</v>
      </c>
      <c r="K25" s="140" t="str">
        <f>IF(D25="n/a","n/a",IF(COUNTIF($D$11:$D25,D25)&gt;1,COUNTIF($D$11:$D$29,"&lt;"&amp;D25)+COUNTIF($D$11:$D25,D25),COUNTIF($D$11:$D$29,"&lt;"&amp;D25)+1))</f>
        <v>n/a</v>
      </c>
      <c r="L25" s="140" t="str">
        <f>IF(J25="n/a","n/a",IF(COUNTIF($J$11:$J25,J25)&gt;1,COUNTIF($J$11:$J$29,"&lt;"&amp;J25)+COUNTIF($J$11:$J25,J25),COUNTIF($J$11:$J$29,"&lt;"&amp;J25)+1))</f>
        <v>n/a</v>
      </c>
      <c r="M25" s="1"/>
      <c r="N25" s="1"/>
    </row>
    <row r="26" spans="1:14" outlineLevel="1" x14ac:dyDescent="0.25">
      <c r="A26" s="1"/>
      <c r="B26" s="137" t="str">
        <f t="shared" si="2"/>
        <v>LNG - ISO</v>
      </c>
      <c r="C26" s="141" t="str">
        <f>'5. LNG- ISO_Expansion'!$Z$12</f>
        <v>LNG ISO Exp 3</v>
      </c>
      <c r="D26" s="138" t="str">
        <f>IF(OR('Supply Porfolio (Live)'!$H$27&gt;$E$2,E26=0),"n/a",VLOOKUP($E$2,'5. LNG- ISO_Expansion'!$W$14:$AB$43,4,FALSE))</f>
        <v>n/a</v>
      </c>
      <c r="E26" s="139">
        <f>IF('Supply Porfolio (Live)'!$H$27="n/a",0,IF('Supply Porfolio (Live)'!$H$27&gt;$E$2,0,VLOOKUP($E$2,'5. LNG- ISO_Expansion'!AD16:AI45,4,FALSE)))</f>
        <v>0</v>
      </c>
      <c r="F26" s="139">
        <f t="shared" si="1"/>
        <v>0</v>
      </c>
      <c r="G26" s="139">
        <f>VLOOKUP($C26,'15. Emissions'!$B$4:$E$24,2,FALSE)</f>
        <v>59341</v>
      </c>
      <c r="H26" s="139">
        <f>VLOOKUP($C26,'15. Emissions'!$B$4:$E$24,3,FALSE)</f>
        <v>2521</v>
      </c>
      <c r="I26" s="139">
        <f>VLOOKUP($C26,'15. Emissions'!$B$4:$E$24,4,FALSE)</f>
        <v>11151</v>
      </c>
      <c r="J26" s="139" t="str">
        <f t="shared" si="0"/>
        <v>n/a</v>
      </c>
      <c r="K26" s="140" t="str">
        <f>IF(D26="n/a","n/a",IF(COUNTIF($D$11:$D26,D26)&gt;1,COUNTIF($D$11:$D$29,"&lt;"&amp;D26)+COUNTIF($D$11:$D26,D26),COUNTIF($D$11:$D$29,"&lt;"&amp;D26)+1))</f>
        <v>n/a</v>
      </c>
      <c r="L26" s="140" t="str">
        <f>IF(J26="n/a","n/a",IF(COUNTIF($J$11:$J26,J26)&gt;1,COUNTIF($J$11:$J$29,"&lt;"&amp;J26)+COUNTIF($J$11:$J26,J26),COUNTIF($J$11:$J$29,"&lt;"&amp;J26)+1))</f>
        <v>n/a</v>
      </c>
      <c r="M26" s="1"/>
      <c r="N26" s="1"/>
    </row>
    <row r="27" spans="1:14" outlineLevel="1" x14ac:dyDescent="0.25">
      <c r="A27" s="1"/>
      <c r="B27" s="137" t="str">
        <f t="shared" si="2"/>
        <v>LNG - ISO</v>
      </c>
      <c r="C27" s="141" t="str">
        <f>'5. LNG- ISO_Expansion'!$AA$12</f>
        <v>LNG ISO Exp 4</v>
      </c>
      <c r="D27" s="138" t="str">
        <f>IF(OR('Supply Porfolio (Live)'!$H$28&gt;$E$2,E27=0),"n/a",VLOOKUP($E$2,'5. LNG- ISO_Expansion'!$W$14:$AB$43,5,FALSE))</f>
        <v>n/a</v>
      </c>
      <c r="E27" s="139">
        <f>IF('Supply Porfolio (Live)'!$H$28="n/a",0,IF('Supply Porfolio (Live)'!$H$28&gt;$E$2,0,VLOOKUP($E$2,'5. LNG- ISO_Expansion'!AD17:AI46,5,FALSE)))</f>
        <v>0</v>
      </c>
      <c r="F27" s="139">
        <f t="shared" si="1"/>
        <v>0</v>
      </c>
      <c r="G27" s="139">
        <f>VLOOKUP($C27,'15. Emissions'!$B$4:$E$24,2,FALSE)</f>
        <v>59341</v>
      </c>
      <c r="H27" s="139">
        <f>VLOOKUP($C27,'15. Emissions'!$B$4:$E$24,3,FALSE)</f>
        <v>2521</v>
      </c>
      <c r="I27" s="139">
        <f>VLOOKUP($C27,'15. Emissions'!$B$4:$E$24,4,FALSE)</f>
        <v>11151</v>
      </c>
      <c r="J27" s="139" t="str">
        <f t="shared" si="0"/>
        <v>n/a</v>
      </c>
      <c r="K27" s="140" t="str">
        <f>IF(D27="n/a","n/a",IF(COUNTIF($D$11:$D27,D27)&gt;1,COUNTIF($D$11:$D$29,"&lt;"&amp;D27)+COUNTIF($D$11:$D27,D27),COUNTIF($D$11:$D$29,"&lt;"&amp;D27)+1))</f>
        <v>n/a</v>
      </c>
      <c r="L27" s="140" t="str">
        <f>IF(J27="n/a","n/a",IF(COUNTIF($J$11:$J27,J27)&gt;1,COUNTIF($J$11:$J$29,"&lt;"&amp;J27)+COUNTIF($J$11:$J27,J27),COUNTIF($J$11:$J$29,"&lt;"&amp;J27)+1))</f>
        <v>n/a</v>
      </c>
      <c r="M27" s="1"/>
      <c r="N27" s="1"/>
    </row>
    <row r="28" spans="1:14" outlineLevel="1" x14ac:dyDescent="0.25">
      <c r="A28" s="1"/>
      <c r="B28" s="137" t="str">
        <f t="shared" si="2"/>
        <v>LNG - ISO</v>
      </c>
      <c r="C28" s="141" t="str">
        <f>'5. LNG- ISO_Expansion'!$AB$12</f>
        <v>LNG ISO Exp 5</v>
      </c>
      <c r="D28" s="142" t="str">
        <f>IF(OR('Supply Porfolio (Live)'!$H$29&gt;$E$2,E28=0),"n/a",VLOOKUP($E$2,'5. LNG- ISO_Expansion'!$W$14:$AB$43,6,FALSE))</f>
        <v>n/a</v>
      </c>
      <c r="E28" s="139">
        <f>IF('Supply Porfolio (Live)'!$H$29="n/a",0,IF('Supply Porfolio (Live)'!$H$29&gt;$E$2,0,VLOOKUP($E$2,'5. LNG- ISO_Expansion'!AD18:AI47,6,FALSE)))</f>
        <v>0</v>
      </c>
      <c r="F28" s="139">
        <f t="shared" si="1"/>
        <v>0</v>
      </c>
      <c r="G28" s="139">
        <f>VLOOKUP($C28,'15. Emissions'!$B$4:$E$24,2,FALSE)</f>
        <v>59341</v>
      </c>
      <c r="H28" s="139">
        <f>VLOOKUP($C28,'15. Emissions'!$B$4:$E$24,3,FALSE)</f>
        <v>2521</v>
      </c>
      <c r="I28" s="139">
        <f>VLOOKUP($C28,'15. Emissions'!$B$4:$E$24,4,FALSE)</f>
        <v>11151</v>
      </c>
      <c r="J28" s="139" t="str">
        <f t="shared" si="0"/>
        <v>n/a</v>
      </c>
      <c r="K28" s="140" t="str">
        <f>IF(D28="n/a","n/a",IF(COUNTIF($D$11:$D28,D28)&gt;1,COUNTIF($D$11:$D$29,"&lt;"&amp;D28)+COUNTIF($D$11:$D28,D28),COUNTIF($D$11:$D$29,"&lt;"&amp;D28)+1))</f>
        <v>n/a</v>
      </c>
      <c r="L28" s="140" t="str">
        <f>IF(J28="n/a","n/a",IF(COUNTIF($J$11:$J28,J28)&gt;1,COUNTIF($J$11:$J$29,"&lt;"&amp;J28)+COUNTIF($J$11:$J28,J28),COUNTIF($J$11:$J$29,"&lt;"&amp;J28)+1))</f>
        <v>n/a</v>
      </c>
      <c r="M28" s="1"/>
      <c r="N28" s="1"/>
    </row>
    <row r="29" spans="1:14" outlineLevel="1" x14ac:dyDescent="0.25">
      <c r="A29" s="1"/>
      <c r="B29" s="137" t="str">
        <f t="shared" si="2"/>
        <v>LNG - ISO</v>
      </c>
      <c r="C29" s="143" t="str">
        <f>'Supply Porfolio (Live)'!E75</f>
        <v>Green Hydrogen</v>
      </c>
      <c r="D29" s="144" t="str">
        <f>IF(E29=0,"n/a",INDEX('Supply Porfolio (Live)'!E54:AI75,MATCH($C$29,'Supply Porfolio (Live)'!$E$54:$E$75,0),MATCH(E2,'Supply Porfolio (Live)'!$E$54:$AI$54,0)))</f>
        <v>n/a</v>
      </c>
      <c r="E29" s="145">
        <f>INDEX('Supply Porfolio (Live)'!$E$32:$AI$47,MATCH($C$29,'Supply Porfolio (Live)'!$E$32:$E$47,0),MATCH(E2,'Supply Porfolio (Live)'!$E$32:$AI$32,0))</f>
        <v>0</v>
      </c>
      <c r="F29" s="145">
        <f t="shared" si="1"/>
        <v>0</v>
      </c>
      <c r="G29" s="145">
        <f>VLOOKUP($C29,'15. Emissions'!$B$4:$E$24,2,FALSE)</f>
        <v>0</v>
      </c>
      <c r="H29" s="145">
        <f>VLOOKUP($C29,'15. Emissions'!$B$4:$E$24,3,FALSE)</f>
        <v>259</v>
      </c>
      <c r="I29" s="145">
        <f>VLOOKUP($C29,'15. Emissions'!$B$4:$E$24,4,FALSE)</f>
        <v>0</v>
      </c>
      <c r="J29" s="167" t="str">
        <f t="shared" si="0"/>
        <v>n/a</v>
      </c>
      <c r="K29" s="146" t="str">
        <f>IF(D29="n/a","n/a",IF(COUNTIF($D$11:$D29,D29)&gt;1,COUNTIF($D$11:$D$29,"&lt;"&amp;D29)+COUNTIF($D$11:$D29,D29),COUNTIF($D$11:$D$29,"&lt;"&amp;D29)+1))</f>
        <v>n/a</v>
      </c>
      <c r="L29" s="146" t="str">
        <f>IF(J29="n/a","n/a",IF(COUNTIF($J$11:$J29,J29)&gt;1,COUNTIF($J$11:$J$29,"&lt;"&amp;J29)+COUNTIF($J$11:$J29,J29),COUNTIF($J$11:$J$29,"&lt;"&amp;J29)+1))</f>
        <v>n/a</v>
      </c>
      <c r="M29" s="1"/>
      <c r="N29" s="1"/>
    </row>
    <row r="30" spans="1:14" outlineLevel="1" x14ac:dyDescent="0.25">
      <c r="A30" s="1"/>
      <c r="B30" s="51"/>
      <c r="C30" s="11" t="s">
        <v>328</v>
      </c>
      <c r="D30" s="147">
        <f>SUMPRODUCT(D11:D28,E11:E28)/SUM(E11:E28)</f>
        <v>2.9356504022564538</v>
      </c>
      <c r="E30" s="148">
        <f>SUM(E11:E28)</f>
        <v>91428.489476064453</v>
      </c>
      <c r="F30" s="148">
        <f>SUM(F11:F28)</f>
        <v>33371398.65876352</v>
      </c>
      <c r="G30" s="148" t="s">
        <v>0</v>
      </c>
      <c r="H30" s="148" t="s">
        <v>0</v>
      </c>
      <c r="I30" s="148"/>
      <c r="J30" s="148"/>
      <c r="K30" s="1"/>
      <c r="L30" s="1"/>
      <c r="M30" s="1"/>
      <c r="N30" s="1"/>
    </row>
    <row r="31" spans="1:14" outlineLevel="1" x14ac:dyDescent="0.25">
      <c r="A31" s="1"/>
      <c r="B31" s="1"/>
      <c r="C31" s="1"/>
      <c r="D31" s="1"/>
      <c r="E31" s="1"/>
      <c r="F31" s="1" t="s">
        <v>0</v>
      </c>
      <c r="G31" s="150"/>
      <c r="H31" s="150"/>
      <c r="I31" s="1"/>
      <c r="J31" s="1"/>
      <c r="K31" s="1"/>
      <c r="L31" s="1"/>
      <c r="M31" s="1"/>
      <c r="N31" s="1"/>
    </row>
    <row r="32" spans="1:14" x14ac:dyDescent="0.25">
      <c r="A32" s="1"/>
      <c r="B32" s="1"/>
      <c r="C32" s="151"/>
      <c r="D32" s="110" t="s">
        <v>329</v>
      </c>
      <c r="E32" s="152">
        <f>HLOOKUP(E2,'Supply Porfolio (Live)'!$G$16:$AI$18,2,FALSE)*365</f>
        <v>33371398.65876352</v>
      </c>
      <c r="F32">
        <f>F30/365</f>
        <v>91428.489476064438</v>
      </c>
      <c r="G32" s="150"/>
      <c r="H32" s="150"/>
      <c r="I32" s="1"/>
      <c r="J32" s="1"/>
      <c r="K32" s="1"/>
      <c r="L32" s="1"/>
      <c r="M32" s="1"/>
      <c r="N32" s="1"/>
    </row>
    <row r="33" spans="1:14" x14ac:dyDescent="0.25">
      <c r="A33" s="1"/>
      <c r="B33" s="1"/>
      <c r="C33" s="1"/>
      <c r="D33" s="114" t="s">
        <v>330</v>
      </c>
      <c r="E33" s="472">
        <f>E32/365</f>
        <v>91428.489476064438</v>
      </c>
      <c r="F33" s="1"/>
      <c r="G33" s="1"/>
      <c r="H33" s="150"/>
      <c r="I33" s="150"/>
      <c r="J33" s="1"/>
      <c r="K33" s="1"/>
      <c r="L33" s="1"/>
      <c r="M33" s="1"/>
      <c r="N33" s="1"/>
    </row>
    <row r="34" spans="1:14" x14ac:dyDescent="0.25">
      <c r="A34" s="1"/>
      <c r="C34" s="1"/>
      <c r="D34" s="1"/>
      <c r="E34" s="1"/>
      <c r="F34" s="141"/>
      <c r="G34" s="1"/>
      <c r="H34" s="1"/>
      <c r="I34" s="1"/>
      <c r="J34" s="1"/>
      <c r="K34" s="1"/>
      <c r="L34" s="1"/>
      <c r="M34" s="1"/>
      <c r="N34" s="1"/>
    </row>
    <row r="35" spans="1:14" x14ac:dyDescent="0.25">
      <c r="A35" s="1"/>
      <c r="B35" s="33" t="s">
        <v>331</v>
      </c>
      <c r="C35" s="10"/>
      <c r="D35" s="153"/>
      <c r="E35" s="153"/>
      <c r="F35" s="153"/>
      <c r="G35" s="153"/>
      <c r="H35" s="153"/>
      <c r="I35" s="153"/>
      <c r="J35" s="154"/>
      <c r="K35" s="1"/>
      <c r="L35" s="1"/>
      <c r="M35" s="1"/>
      <c r="N35" s="1"/>
    </row>
    <row r="36" spans="1:14" x14ac:dyDescent="0.25">
      <c r="A36" s="1"/>
      <c r="B36" s="1"/>
      <c r="C36" s="1"/>
      <c r="E36" s="51"/>
      <c r="F36" s="1"/>
      <c r="G36" s="155"/>
      <c r="H36" s="155"/>
      <c r="I36" s="155"/>
      <c r="J36" s="155"/>
      <c r="L36" s="1"/>
      <c r="M36" s="1"/>
      <c r="N36" s="1"/>
    </row>
    <row r="37" spans="1:14" ht="45" x14ac:dyDescent="0.25">
      <c r="A37" s="1"/>
      <c r="B37" s="153" t="s">
        <v>332</v>
      </c>
      <c r="C37" s="153" t="s">
        <v>312</v>
      </c>
      <c r="D37" s="156" t="s">
        <v>313</v>
      </c>
      <c r="E37" s="156" t="s">
        <v>314</v>
      </c>
      <c r="F37" s="156" t="s">
        <v>315</v>
      </c>
      <c r="G37" s="157" t="s">
        <v>333</v>
      </c>
      <c r="H37" s="157" t="s">
        <v>334</v>
      </c>
      <c r="I37" s="157" t="s">
        <v>335</v>
      </c>
      <c r="J37" s="157" t="str">
        <f>J10</f>
        <v>Total Emission g CO2/therm</v>
      </c>
      <c r="K37" s="156" t="s">
        <v>336</v>
      </c>
      <c r="L37" s="158" t="s">
        <v>315</v>
      </c>
      <c r="M37" s="1"/>
      <c r="N37" s="1"/>
    </row>
    <row r="38" spans="1:14" x14ac:dyDescent="0.25">
      <c r="A38" s="1"/>
      <c r="B38" s="51">
        <v>1</v>
      </c>
      <c r="C38" s="8" t="str">
        <f t="shared" ref="C38:C56" si="3">IFERROR(INDEX($C$10:$L$29,MATCH($B38,$K$10:$K$29,0),MATCH($C$37,$C$10:$L$10,0)),"n/a")</f>
        <v>Exist. WWTP</v>
      </c>
      <c r="D38" s="138">
        <f>IFERROR(INDEX($C$10:$L$29,MATCH($B38,$K$10:$K$29,0),MATCH($D$37,$C$10:$L$10,0)),"n/a")</f>
        <v>2.5308264198715138</v>
      </c>
      <c r="E38" s="159">
        <f>IF(F38="n/a","n/a",F38/365)</f>
        <v>2191.7808219178082</v>
      </c>
      <c r="F38" s="159">
        <f>IF(SUM($L$38:L38)&lt;=$E$32,L38,MAX($E$32-SUM($L37:L$38),0))</f>
        <v>800000</v>
      </c>
      <c r="G38" s="415">
        <f>IF(C38="n/a","n/a",VLOOKUP($C38,$C$11:$I$29,5,FALSE))</f>
        <v>65954</v>
      </c>
      <c r="H38" s="415">
        <f>IF(C38="n/a","n/a",VLOOKUP($C38,$C$11:$I$29,6,FALSE))</f>
        <v>275</v>
      </c>
      <c r="I38" s="415">
        <f>IF(C38="n/a","n/a",VLOOKUP($C38,$C$11:$I$29,7,FALSE))</f>
        <v>-78236</v>
      </c>
      <c r="J38" s="415">
        <f>IF(OR(F38="n/a",H38="n/a"),"n/a",H38+G38+I38)</f>
        <v>-12007</v>
      </c>
      <c r="K38" s="159">
        <f>IF(OR(F38="n/a",H38="n/a"),"n/a",(F38*H38+F38*G38+I38*F38)/1000000)</f>
        <v>-9605.6</v>
      </c>
      <c r="L38" s="160">
        <f t="shared" ref="L38:L56" si="4">IFERROR(INDEX($C$10:$L$29,MATCH($B38,$K$10:$K$29,0),MATCH($L$37,$C$10:$L$10,0)),"n/a")</f>
        <v>800000</v>
      </c>
      <c r="M38" s="1"/>
      <c r="N38" s="1"/>
    </row>
    <row r="39" spans="1:14" x14ac:dyDescent="0.25">
      <c r="A39" s="1"/>
      <c r="B39" s="51">
        <v>2</v>
      </c>
      <c r="C39" s="8" t="str">
        <f t="shared" si="3"/>
        <v>LFG, WWTP, AgCrop (1)</v>
      </c>
      <c r="D39" s="138">
        <f t="shared" ref="D39:D56" si="5">IFERROR(INDEX($C$10:$L$29,MATCH($B39,$K$10:$K$29,0),MATCH($D$37,$C$10:$L$10,0)),"n/a")</f>
        <v>2.5308264198715138</v>
      </c>
      <c r="E39" s="159">
        <f t="shared" ref="E39:E56" si="6">IF(F39="n/a","n/a",F39/365)</f>
        <v>2157.4700878889521</v>
      </c>
      <c r="F39" s="159">
        <f>IF(SUM($L$38:L39)&lt;=$E$32,L39,MAX($E$32-SUM($L38:L$38),0))</f>
        <v>787476.58207946748</v>
      </c>
      <c r="G39" s="415" t="e">
        <f t="shared" ref="G39:G56" si="7">IF(C39="n/a","n/a",VLOOKUP($C39,$C$11:$I$29,5,FALSE))</f>
        <v>#N/A</v>
      </c>
      <c r="H39" s="415" t="e">
        <f t="shared" ref="H39:H56" si="8">IF(C39="n/a","n/a",VLOOKUP($C39,$C$11:$I$29,6,FALSE))</f>
        <v>#N/A</v>
      </c>
      <c r="I39" s="415" t="e">
        <f t="shared" ref="I39:I56" si="9">IF(C39="n/a","n/a",VLOOKUP($C39,$C$11:$I$29,7,FALSE))</f>
        <v>#N/A</v>
      </c>
      <c r="J39" s="415" t="e">
        <f t="shared" ref="J39:J56" si="10">IF(OR(F39="n/a",H39="n/a"),"n/a",H39+G39+I39)</f>
        <v>#N/A</v>
      </c>
      <c r="K39" s="159" t="e">
        <f t="shared" ref="K39:K56" si="11">IF(OR(F39="n/a",H39="n/a"),"n/a",(F39*H39+F39*G39+I39*F39)/1000000)</f>
        <v>#N/A</v>
      </c>
      <c r="L39" s="160">
        <f t="shared" si="4"/>
        <v>787476.58207946748</v>
      </c>
      <c r="M39" s="1"/>
      <c r="N39" s="1"/>
    </row>
    <row r="40" spans="1:14" x14ac:dyDescent="0.25">
      <c r="A40" s="1"/>
      <c r="B40" s="51">
        <v>3</v>
      </c>
      <c r="C40" s="8" t="str">
        <f t="shared" si="3"/>
        <v xml:space="preserve">SNG -Firm </v>
      </c>
      <c r="D40" s="138">
        <f t="shared" si="5"/>
        <v>2.7723721333847169</v>
      </c>
      <c r="E40" s="159">
        <f t="shared" si="6"/>
        <v>38266.403908338398</v>
      </c>
      <c r="F40" s="159">
        <f>IF(SUM($L$38:L40)&lt;=$E$32,L40,MAX($E$32-SUM($L$38:L39),0))</f>
        <v>13967237.426543515</v>
      </c>
      <c r="G40" s="415">
        <f t="shared" si="7"/>
        <v>52220.959999999999</v>
      </c>
      <c r="H40" s="415">
        <f t="shared" si="8"/>
        <v>259</v>
      </c>
      <c r="I40" s="415">
        <f t="shared" si="9"/>
        <v>13840</v>
      </c>
      <c r="J40" s="415">
        <f t="shared" si="10"/>
        <v>66319.959999999992</v>
      </c>
      <c r="K40" s="159">
        <f t="shared" si="11"/>
        <v>926306.62743886886</v>
      </c>
      <c r="L40" s="160">
        <f t="shared" si="4"/>
        <v>13967237.426543515</v>
      </c>
      <c r="M40" s="1"/>
      <c r="N40" s="1"/>
    </row>
    <row r="41" spans="1:14" x14ac:dyDescent="0.25">
      <c r="A41" s="1"/>
      <c r="B41" s="51">
        <v>4</v>
      </c>
      <c r="C41" s="8" t="str">
        <f t="shared" si="3"/>
        <v>SNG - Interruptible</v>
      </c>
      <c r="D41" s="138">
        <f t="shared" si="5"/>
        <v>2.7723721333847169</v>
      </c>
      <c r="E41" s="159">
        <f t="shared" si="6"/>
        <v>12605</v>
      </c>
      <c r="F41" s="159">
        <f>IF(SUM($L$38:L41)&lt;=$E$32,L41,MAX($E$32-SUM($L$38:L40),0))</f>
        <v>4600825</v>
      </c>
      <c r="G41" s="415">
        <f t="shared" si="7"/>
        <v>52220.959999999999</v>
      </c>
      <c r="H41" s="415">
        <f t="shared" si="8"/>
        <v>259</v>
      </c>
      <c r="I41" s="415">
        <f t="shared" si="9"/>
        <v>13840</v>
      </c>
      <c r="J41" s="415">
        <f t="shared" si="10"/>
        <v>66319.959999999992</v>
      </c>
      <c r="K41" s="159">
        <f t="shared" si="11"/>
        <v>305126.52996700001</v>
      </c>
      <c r="L41" s="160">
        <f t="shared" si="4"/>
        <v>4600825</v>
      </c>
      <c r="M41" s="1"/>
      <c r="N41" s="1"/>
    </row>
    <row r="42" spans="1:14" x14ac:dyDescent="0.25">
      <c r="A42" s="1"/>
      <c r="B42" s="51">
        <v>5</v>
      </c>
      <c r="C42" s="8" t="str">
        <f t="shared" si="3"/>
        <v>LNG - ISO</v>
      </c>
      <c r="D42" s="138">
        <f t="shared" si="5"/>
        <v>2.8506799864969499</v>
      </c>
      <c r="E42" s="159">
        <f t="shared" si="6"/>
        <v>14000</v>
      </c>
      <c r="F42" s="159">
        <f>IF(SUM($L$38:L42)&lt;=$E$32,L42,MAX($E$32-SUM($L$38:L41),0))</f>
        <v>5110000</v>
      </c>
      <c r="G42" s="415">
        <f t="shared" si="7"/>
        <v>59341</v>
      </c>
      <c r="H42" s="415">
        <f t="shared" si="8"/>
        <v>2521</v>
      </c>
      <c r="I42" s="415">
        <f t="shared" si="9"/>
        <v>11151</v>
      </c>
      <c r="J42" s="415">
        <f t="shared" si="10"/>
        <v>73013</v>
      </c>
      <c r="K42" s="159">
        <f t="shared" si="11"/>
        <v>373096.43</v>
      </c>
      <c r="L42" s="160">
        <f t="shared" si="4"/>
        <v>5110000</v>
      </c>
      <c r="M42" s="1"/>
      <c r="N42" s="1"/>
    </row>
    <row r="43" spans="1:14" x14ac:dyDescent="0.25">
      <c r="A43" s="1"/>
      <c r="B43" s="51">
        <v>6</v>
      </c>
      <c r="C43" s="8" t="str">
        <f t="shared" si="3"/>
        <v>LFG, WWTP, AgCrop (2)</v>
      </c>
      <c r="D43" s="138">
        <f t="shared" si="5"/>
        <v>2.9506423613220378</v>
      </c>
      <c r="E43" s="159">
        <f t="shared" si="6"/>
        <v>3235.7296497163575</v>
      </c>
      <c r="F43" s="159">
        <f>IF(SUM($L$38:L43)&lt;=$E$32,L43,MAX($E$32-SUM($L$38:L42),0))</f>
        <v>1181041.3221464704</v>
      </c>
      <c r="G43" s="415" t="e">
        <f t="shared" si="7"/>
        <v>#N/A</v>
      </c>
      <c r="H43" s="415" t="e">
        <f t="shared" si="8"/>
        <v>#N/A</v>
      </c>
      <c r="I43" s="415" t="e">
        <f t="shared" si="9"/>
        <v>#N/A</v>
      </c>
      <c r="J43" s="415" t="e">
        <f t="shared" si="10"/>
        <v>#N/A</v>
      </c>
      <c r="K43" s="159" t="e">
        <f t="shared" si="11"/>
        <v>#N/A</v>
      </c>
      <c r="L43" s="160">
        <f t="shared" si="4"/>
        <v>1181041.3221464704</v>
      </c>
      <c r="M43" s="1"/>
      <c r="N43" s="1"/>
    </row>
    <row r="44" spans="1:14" x14ac:dyDescent="0.25">
      <c r="A44" s="1"/>
      <c r="B44" s="51">
        <v>7</v>
      </c>
      <c r="C44" s="8" t="str">
        <f t="shared" si="3"/>
        <v>CDW Exp. 1</v>
      </c>
      <c r="D44" s="138">
        <f t="shared" si="5"/>
        <v>3.5232490479396983</v>
      </c>
      <c r="E44" s="159">
        <f t="shared" si="6"/>
        <v>15616.438356164384</v>
      </c>
      <c r="F44" s="159">
        <f>IF(SUM($L$38:L44)&lt;=$E$32,L44,MAX($E$32-SUM($L$38:L43),0))</f>
        <v>5700000</v>
      </c>
      <c r="G44" s="415">
        <f t="shared" si="7"/>
        <v>59080</v>
      </c>
      <c r="H44" s="415">
        <f t="shared" si="8"/>
        <v>130</v>
      </c>
      <c r="I44" s="415">
        <f t="shared" si="9"/>
        <v>259</v>
      </c>
      <c r="J44" s="415">
        <f t="shared" si="10"/>
        <v>59469</v>
      </c>
      <c r="K44" s="159">
        <f t="shared" si="11"/>
        <v>338973.3</v>
      </c>
      <c r="L44" s="160">
        <f t="shared" si="4"/>
        <v>5700000</v>
      </c>
      <c r="M44" s="1"/>
      <c r="N44" s="1"/>
    </row>
    <row r="45" spans="1:14" x14ac:dyDescent="0.25">
      <c r="A45" s="1"/>
      <c r="B45" s="51">
        <v>8</v>
      </c>
      <c r="C45" s="8" t="str">
        <f t="shared" si="3"/>
        <v>LFG, WWTP, AgCrop (3)</v>
      </c>
      <c r="D45" s="138">
        <f t="shared" si="5"/>
        <v>3.5411198708619214</v>
      </c>
      <c r="E45" s="159">
        <f t="shared" si="6"/>
        <v>3355.6666520385402</v>
      </c>
      <c r="F45" s="159">
        <f>IF(SUM($L$38:L45)&lt;=$E$32,L45,MAX($E$32-SUM($L$38:L44),0))</f>
        <v>1224818.3279940672</v>
      </c>
      <c r="G45" s="415" t="e">
        <f t="shared" si="7"/>
        <v>#N/A</v>
      </c>
      <c r="H45" s="415" t="e">
        <f t="shared" si="8"/>
        <v>#N/A</v>
      </c>
      <c r="I45" s="415" t="e">
        <f t="shared" si="9"/>
        <v>#N/A</v>
      </c>
      <c r="J45" s="415" t="e">
        <f t="shared" si="10"/>
        <v>#N/A</v>
      </c>
      <c r="K45" s="159" t="e">
        <f t="shared" si="11"/>
        <v>#N/A</v>
      </c>
      <c r="L45" s="160">
        <f t="shared" si="4"/>
        <v>1224818.3279940672</v>
      </c>
      <c r="M45" s="1"/>
      <c r="N45" s="1"/>
    </row>
    <row r="46" spans="1:14" x14ac:dyDescent="0.25">
      <c r="A46" s="1"/>
      <c r="B46" s="51">
        <v>9</v>
      </c>
      <c r="C46" s="8" t="str">
        <f t="shared" si="3"/>
        <v>n/a</v>
      </c>
      <c r="D46" s="138" t="str">
        <f t="shared" si="5"/>
        <v>n/a</v>
      </c>
      <c r="E46" s="159" t="str">
        <f t="shared" si="6"/>
        <v>n/a</v>
      </c>
      <c r="F46" s="159" t="str">
        <f>IF(SUM($L$38:L46)&lt;=$E$32,L46,MAX($E$32-SUM($L$38:L45),0))</f>
        <v>n/a</v>
      </c>
      <c r="G46" s="415" t="str">
        <f t="shared" si="7"/>
        <v>n/a</v>
      </c>
      <c r="H46" s="415" t="str">
        <f t="shared" si="8"/>
        <v>n/a</v>
      </c>
      <c r="I46" s="415" t="str">
        <f t="shared" si="9"/>
        <v>n/a</v>
      </c>
      <c r="J46" s="415" t="str">
        <f t="shared" si="10"/>
        <v>n/a</v>
      </c>
      <c r="K46" s="159" t="str">
        <f t="shared" si="11"/>
        <v>n/a</v>
      </c>
      <c r="L46" s="160" t="str">
        <f t="shared" si="4"/>
        <v>n/a</v>
      </c>
      <c r="M46" s="1"/>
      <c r="N46" s="1"/>
    </row>
    <row r="47" spans="1:14" x14ac:dyDescent="0.25">
      <c r="A47" s="1"/>
      <c r="B47" s="51">
        <v>10</v>
      </c>
      <c r="C47" s="8" t="str">
        <f t="shared" si="3"/>
        <v>n/a</v>
      </c>
      <c r="D47" s="138" t="str">
        <f t="shared" si="5"/>
        <v>n/a</v>
      </c>
      <c r="E47" s="159" t="str">
        <f t="shared" si="6"/>
        <v>n/a</v>
      </c>
      <c r="F47" s="159" t="str">
        <f>IF(SUM($L$38:L47)&lt;=$E$32,L47,MAX($E$32-SUM($L$38:L46),0))</f>
        <v>n/a</v>
      </c>
      <c r="G47" s="415" t="str">
        <f t="shared" si="7"/>
        <v>n/a</v>
      </c>
      <c r="H47" s="415" t="str">
        <f t="shared" si="8"/>
        <v>n/a</v>
      </c>
      <c r="I47" s="415" t="str">
        <f t="shared" si="9"/>
        <v>n/a</v>
      </c>
      <c r="J47" s="415" t="str">
        <f t="shared" si="10"/>
        <v>n/a</v>
      </c>
      <c r="K47" s="159" t="str">
        <f t="shared" si="11"/>
        <v>n/a</v>
      </c>
      <c r="L47" s="160" t="str">
        <f t="shared" si="4"/>
        <v>n/a</v>
      </c>
      <c r="M47" s="1"/>
      <c r="N47" s="1"/>
    </row>
    <row r="48" spans="1:14" x14ac:dyDescent="0.25">
      <c r="A48" s="1"/>
      <c r="B48" s="51">
        <v>11</v>
      </c>
      <c r="C48" s="8" t="str">
        <f>IFERROR(INDEX($C$10:$L$29,MATCH($B48,$K$10:$K$29,0),MATCH($C$37,$C$10:$L$10,0)),"n/a")</f>
        <v>n/a</v>
      </c>
      <c r="D48" s="138" t="str">
        <f t="shared" si="5"/>
        <v>n/a</v>
      </c>
      <c r="E48" s="159" t="str">
        <f t="shared" si="6"/>
        <v>n/a</v>
      </c>
      <c r="F48" s="159" t="str">
        <f>IF(SUM($L$38:L48)&lt;=$E$32,L48,MAX($E$32-SUM($L$38:L47),0))</f>
        <v>n/a</v>
      </c>
      <c r="G48" s="415" t="str">
        <f t="shared" si="7"/>
        <v>n/a</v>
      </c>
      <c r="H48" s="415" t="str">
        <f t="shared" si="8"/>
        <v>n/a</v>
      </c>
      <c r="I48" s="415" t="str">
        <f t="shared" si="9"/>
        <v>n/a</v>
      </c>
      <c r="J48" s="415" t="str">
        <f t="shared" si="10"/>
        <v>n/a</v>
      </c>
      <c r="K48" s="159" t="str">
        <f t="shared" si="11"/>
        <v>n/a</v>
      </c>
      <c r="L48" s="160" t="str">
        <f t="shared" si="4"/>
        <v>n/a</v>
      </c>
      <c r="M48" s="1"/>
      <c r="N48" s="1"/>
    </row>
    <row r="49" spans="1:15" x14ac:dyDescent="0.25">
      <c r="A49" s="1"/>
      <c r="B49" s="51">
        <v>12</v>
      </c>
      <c r="C49" s="8" t="str">
        <f t="shared" si="3"/>
        <v>n/a</v>
      </c>
      <c r="D49" s="138" t="str">
        <f t="shared" si="5"/>
        <v>n/a</v>
      </c>
      <c r="E49" s="159" t="str">
        <f t="shared" si="6"/>
        <v>n/a</v>
      </c>
      <c r="F49" s="159" t="str">
        <f>IF(SUM($L$38:L49)&lt;=$E$32,L49,MAX($E$32-SUM($L$38:L48),0))</f>
        <v>n/a</v>
      </c>
      <c r="G49" s="415" t="str">
        <f t="shared" si="7"/>
        <v>n/a</v>
      </c>
      <c r="H49" s="415" t="str">
        <f t="shared" si="8"/>
        <v>n/a</v>
      </c>
      <c r="I49" s="415" t="str">
        <f t="shared" si="9"/>
        <v>n/a</v>
      </c>
      <c r="J49" s="415" t="str">
        <f t="shared" si="10"/>
        <v>n/a</v>
      </c>
      <c r="K49" s="159" t="str">
        <f t="shared" si="11"/>
        <v>n/a</v>
      </c>
      <c r="L49" s="160" t="str">
        <f t="shared" si="4"/>
        <v>n/a</v>
      </c>
      <c r="M49" s="1"/>
      <c r="N49" s="1"/>
    </row>
    <row r="50" spans="1:15" x14ac:dyDescent="0.25">
      <c r="A50" s="1"/>
      <c r="B50" s="51">
        <v>13</v>
      </c>
      <c r="C50" s="8" t="str">
        <f t="shared" si="3"/>
        <v>n/a</v>
      </c>
      <c r="D50" s="138" t="str">
        <f t="shared" si="5"/>
        <v>n/a</v>
      </c>
      <c r="E50" s="159" t="str">
        <f t="shared" si="6"/>
        <v>n/a</v>
      </c>
      <c r="F50" s="159" t="str">
        <f>IF(SUM($L$38:L50)&lt;=$E$32,L50,MAX($E$32-SUM($L$38:L49),0))</f>
        <v>n/a</v>
      </c>
      <c r="G50" s="415" t="str">
        <f t="shared" si="7"/>
        <v>n/a</v>
      </c>
      <c r="H50" s="415" t="str">
        <f t="shared" si="8"/>
        <v>n/a</v>
      </c>
      <c r="I50" s="415" t="str">
        <f t="shared" si="9"/>
        <v>n/a</v>
      </c>
      <c r="J50" s="415" t="str">
        <f t="shared" si="10"/>
        <v>n/a</v>
      </c>
      <c r="K50" s="159" t="str">
        <f t="shared" si="11"/>
        <v>n/a</v>
      </c>
      <c r="L50" s="160" t="str">
        <f t="shared" si="4"/>
        <v>n/a</v>
      </c>
      <c r="M50" s="1"/>
      <c r="N50" s="1"/>
    </row>
    <row r="51" spans="1:15" x14ac:dyDescent="0.25">
      <c r="A51" s="1"/>
      <c r="B51" s="51">
        <v>14</v>
      </c>
      <c r="C51" s="8" t="str">
        <f t="shared" si="3"/>
        <v>n/a</v>
      </c>
      <c r="D51" s="138" t="str">
        <f t="shared" si="5"/>
        <v>n/a</v>
      </c>
      <c r="E51" s="159" t="str">
        <f t="shared" si="6"/>
        <v>n/a</v>
      </c>
      <c r="F51" s="159" t="str">
        <f>IF(SUM($L$38:L51)&lt;=$E$32,L51,MAX($E$32-SUM($L$38:L50),0))</f>
        <v>n/a</v>
      </c>
      <c r="G51" s="415" t="str">
        <f t="shared" si="7"/>
        <v>n/a</v>
      </c>
      <c r="H51" s="415" t="str">
        <f t="shared" si="8"/>
        <v>n/a</v>
      </c>
      <c r="I51" s="415" t="str">
        <f t="shared" si="9"/>
        <v>n/a</v>
      </c>
      <c r="J51" s="415" t="str">
        <f t="shared" si="10"/>
        <v>n/a</v>
      </c>
      <c r="K51" s="159" t="str">
        <f t="shared" si="11"/>
        <v>n/a</v>
      </c>
      <c r="L51" s="160" t="str">
        <f t="shared" si="4"/>
        <v>n/a</v>
      </c>
      <c r="M51" s="1"/>
      <c r="N51" s="1"/>
    </row>
    <row r="52" spans="1:15" x14ac:dyDescent="0.25">
      <c r="A52" s="1"/>
      <c r="B52" s="51">
        <v>15</v>
      </c>
      <c r="C52" s="8" t="str">
        <f t="shared" si="3"/>
        <v>n/a</v>
      </c>
      <c r="D52" s="138" t="str">
        <f t="shared" si="5"/>
        <v>n/a</v>
      </c>
      <c r="E52" s="159" t="str">
        <f t="shared" si="6"/>
        <v>n/a</v>
      </c>
      <c r="F52" s="159" t="str">
        <f>IF(SUM($L$38:L52)&lt;=$E$32,L52,MAX($E$32-SUM($L$38:L51),0))</f>
        <v>n/a</v>
      </c>
      <c r="G52" s="415" t="str">
        <f t="shared" si="7"/>
        <v>n/a</v>
      </c>
      <c r="H52" s="415" t="str">
        <f t="shared" si="8"/>
        <v>n/a</v>
      </c>
      <c r="I52" s="415" t="str">
        <f t="shared" si="9"/>
        <v>n/a</v>
      </c>
      <c r="J52" s="415" t="str">
        <f t="shared" si="10"/>
        <v>n/a</v>
      </c>
      <c r="K52" s="159" t="str">
        <f t="shared" si="11"/>
        <v>n/a</v>
      </c>
      <c r="L52" s="160" t="str">
        <f t="shared" si="4"/>
        <v>n/a</v>
      </c>
      <c r="M52" s="1"/>
      <c r="N52" s="1"/>
    </row>
    <row r="53" spans="1:15" x14ac:dyDescent="0.25">
      <c r="A53" s="1"/>
      <c r="B53" s="51">
        <v>16</v>
      </c>
      <c r="C53" s="8" t="str">
        <f t="shared" si="3"/>
        <v>n/a</v>
      </c>
      <c r="D53" s="138" t="str">
        <f t="shared" si="5"/>
        <v>n/a</v>
      </c>
      <c r="E53" s="159" t="str">
        <f t="shared" si="6"/>
        <v>n/a</v>
      </c>
      <c r="F53" s="159" t="str">
        <f>IF(SUM($L$38:L53)&lt;=$E$32,L53,MAX($E$32-SUM($L$38:L52),0))</f>
        <v>n/a</v>
      </c>
      <c r="G53" s="415" t="str">
        <f t="shared" si="7"/>
        <v>n/a</v>
      </c>
      <c r="H53" s="415" t="str">
        <f t="shared" si="8"/>
        <v>n/a</v>
      </c>
      <c r="I53" s="415" t="str">
        <f t="shared" si="9"/>
        <v>n/a</v>
      </c>
      <c r="J53" s="415" t="str">
        <f t="shared" si="10"/>
        <v>n/a</v>
      </c>
      <c r="K53" s="159" t="str">
        <f t="shared" si="11"/>
        <v>n/a</v>
      </c>
      <c r="L53" s="160" t="str">
        <f t="shared" si="4"/>
        <v>n/a</v>
      </c>
      <c r="M53" s="1"/>
      <c r="N53" s="1"/>
    </row>
    <row r="54" spans="1:15" x14ac:dyDescent="0.25">
      <c r="A54" s="1"/>
      <c r="B54" s="51">
        <v>17</v>
      </c>
      <c r="C54" s="8" t="str">
        <f t="shared" si="3"/>
        <v>n/a</v>
      </c>
      <c r="D54" s="138" t="str">
        <f t="shared" si="5"/>
        <v>n/a</v>
      </c>
      <c r="E54" s="159" t="str">
        <f t="shared" si="6"/>
        <v>n/a</v>
      </c>
      <c r="F54" s="159" t="str">
        <f>IF(SUM($L$38:L54)&lt;=$E$32,L54,MAX($E$32-SUM($L$38:L53),0))</f>
        <v>n/a</v>
      </c>
      <c r="G54" s="415" t="str">
        <f t="shared" si="7"/>
        <v>n/a</v>
      </c>
      <c r="H54" s="415" t="str">
        <f t="shared" si="8"/>
        <v>n/a</v>
      </c>
      <c r="I54" s="415" t="str">
        <f t="shared" si="9"/>
        <v>n/a</v>
      </c>
      <c r="J54" s="415" t="str">
        <f t="shared" si="10"/>
        <v>n/a</v>
      </c>
      <c r="K54" s="159" t="str">
        <f t="shared" si="11"/>
        <v>n/a</v>
      </c>
      <c r="L54" s="160" t="str">
        <f t="shared" si="4"/>
        <v>n/a</v>
      </c>
      <c r="M54" s="1"/>
      <c r="N54" s="1"/>
    </row>
    <row r="55" spans="1:15" x14ac:dyDescent="0.25">
      <c r="A55" s="1"/>
      <c r="B55" s="51">
        <v>18</v>
      </c>
      <c r="C55" s="8" t="str">
        <f t="shared" si="3"/>
        <v>n/a</v>
      </c>
      <c r="D55" s="142" t="str">
        <f t="shared" si="5"/>
        <v>n/a</v>
      </c>
      <c r="E55" s="159" t="str">
        <f t="shared" si="6"/>
        <v>n/a</v>
      </c>
      <c r="F55" s="159" t="str">
        <f>IF(SUM($L$38:L55)&lt;=$E$32,L55,MAX($E$32-SUM($L$38:L54),0))</f>
        <v>n/a</v>
      </c>
      <c r="G55" s="415" t="str">
        <f t="shared" si="7"/>
        <v>n/a</v>
      </c>
      <c r="H55" s="415" t="str">
        <f t="shared" si="8"/>
        <v>n/a</v>
      </c>
      <c r="I55" s="415" t="str">
        <f t="shared" si="9"/>
        <v>n/a</v>
      </c>
      <c r="J55" s="415" t="str">
        <f t="shared" si="10"/>
        <v>n/a</v>
      </c>
      <c r="K55" s="159" t="str">
        <f t="shared" si="11"/>
        <v>n/a</v>
      </c>
      <c r="L55" s="160" t="str">
        <f t="shared" si="4"/>
        <v>n/a</v>
      </c>
      <c r="M55" s="1"/>
      <c r="N55" s="1"/>
    </row>
    <row r="56" spans="1:15" x14ac:dyDescent="0.25">
      <c r="A56" s="1"/>
      <c r="B56" s="161">
        <v>19</v>
      </c>
      <c r="C56" s="162" t="str">
        <f t="shared" si="3"/>
        <v>n/a</v>
      </c>
      <c r="D56" s="163" t="str">
        <f t="shared" si="5"/>
        <v>n/a</v>
      </c>
      <c r="E56" s="164" t="str">
        <f t="shared" si="6"/>
        <v>n/a</v>
      </c>
      <c r="F56" s="164" t="str">
        <f>IF(SUM($L$38:L56)&lt;=$E$32,L56,MAX($E$32-SUM($L$38:L55),0))</f>
        <v>n/a</v>
      </c>
      <c r="G56" s="416" t="str">
        <f t="shared" si="7"/>
        <v>n/a</v>
      </c>
      <c r="H56" s="416" t="str">
        <f t="shared" si="8"/>
        <v>n/a</v>
      </c>
      <c r="I56" s="416" t="str">
        <f t="shared" si="9"/>
        <v>n/a</v>
      </c>
      <c r="J56" s="416" t="str">
        <f t="shared" si="10"/>
        <v>n/a</v>
      </c>
      <c r="K56" s="417" t="str">
        <f t="shared" si="11"/>
        <v>n/a</v>
      </c>
      <c r="L56" s="165" t="str">
        <f t="shared" si="4"/>
        <v>n/a</v>
      </c>
      <c r="M56" s="1"/>
      <c r="N56" s="1"/>
    </row>
    <row r="57" spans="1:15" x14ac:dyDescent="0.25">
      <c r="A57" s="1"/>
      <c r="B57" s="1"/>
      <c r="C57" s="11" t="s">
        <v>328</v>
      </c>
      <c r="D57" s="147">
        <f>SUMPRODUCT(D38:D56,F38:F56)/SUM(F38:F56)</f>
        <v>2.9356504022564542</v>
      </c>
      <c r="E57" s="148">
        <f>SUM(E38:E56)</f>
        <v>91428.489476064438</v>
      </c>
      <c r="F57" s="148">
        <f>SUM(F38:F56)</f>
        <v>33371398.65876352</v>
      </c>
      <c r="G57" s="148" t="s">
        <v>0</v>
      </c>
      <c r="H57" s="148" t="s">
        <v>0</v>
      </c>
      <c r="I57" s="148"/>
      <c r="J57" s="148"/>
      <c r="K57" s="476" t="e">
        <f>SUM(K38:K56)</f>
        <v>#N/A</v>
      </c>
      <c r="L57" s="149">
        <f>SUM(L38:L56)</f>
        <v>33371398.65876352</v>
      </c>
      <c r="M57" s="1"/>
      <c r="N57" s="1"/>
    </row>
    <row r="58" spans="1:1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/>
    </row>
    <row r="59" spans="1:15" x14ac:dyDescent="0.25">
      <c r="A59" s="1"/>
      <c r="B59" s="1"/>
      <c r="C59" s="1"/>
      <c r="D59" s="1"/>
      <c r="E59" s="11"/>
      <c r="F59" s="1"/>
      <c r="G59" s="1"/>
      <c r="H59" s="1"/>
      <c r="I59" s="1"/>
      <c r="J59" s="1"/>
      <c r="K59" s="1"/>
      <c r="L59" s="1"/>
      <c r="M59" s="1"/>
      <c r="N59" s="1"/>
    </row>
    <row r="60" spans="1:15" x14ac:dyDescent="0.25">
      <c r="A60" s="1"/>
      <c r="B60" s="33" t="s">
        <v>337</v>
      </c>
      <c r="C60" s="10"/>
      <c r="D60" s="552"/>
      <c r="E60" s="552"/>
      <c r="F60" s="552"/>
      <c r="G60" s="552"/>
      <c r="H60" s="552"/>
      <c r="I60" s="10"/>
      <c r="J60" s="154"/>
      <c r="K60" s="1"/>
      <c r="L60" s="1"/>
      <c r="M60" s="1"/>
      <c r="N60" s="1"/>
    </row>
    <row r="61" spans="1:15" x14ac:dyDescent="0.25">
      <c r="A61" s="1"/>
      <c r="B61" s="1"/>
      <c r="C61" s="1"/>
      <c r="E61" s="51"/>
      <c r="F61" s="1"/>
      <c r="G61" s="1" t="s">
        <v>0</v>
      </c>
      <c r="H61" s="1"/>
      <c r="I61" s="166"/>
      <c r="J61" s="166"/>
      <c r="K61" s="1"/>
      <c r="L61" s="1"/>
      <c r="M61" s="1"/>
      <c r="N61" s="1"/>
    </row>
    <row r="62" spans="1:15" ht="45" x14ac:dyDescent="0.25">
      <c r="A62" s="1"/>
      <c r="B62" s="153" t="s">
        <v>332</v>
      </c>
      <c r="C62" s="153" t="s">
        <v>312</v>
      </c>
      <c r="D62" s="156" t="s">
        <v>313</v>
      </c>
      <c r="E62" s="156" t="s">
        <v>314</v>
      </c>
      <c r="F62" s="156" t="s">
        <v>315</v>
      </c>
      <c r="G62" s="157" t="s">
        <v>333</v>
      </c>
      <c r="H62" s="157" t="s">
        <v>338</v>
      </c>
      <c r="I62" s="157" t="s">
        <v>335</v>
      </c>
      <c r="J62" s="157" t="str">
        <f>J10</f>
        <v>Total Emission g CO2/therm</v>
      </c>
      <c r="K62" s="156" t="s">
        <v>336</v>
      </c>
      <c r="L62" s="158" t="s">
        <v>315</v>
      </c>
      <c r="M62" s="1"/>
      <c r="N62" s="1"/>
    </row>
    <row r="63" spans="1:15" x14ac:dyDescent="0.25">
      <c r="A63" s="1"/>
      <c r="B63" s="51">
        <v>1</v>
      </c>
      <c r="C63" s="8" t="str">
        <f>IFERROR(INDEX($C$10:$L$29,MATCH($B63,$L$10:$L$29,0),MATCH($C$37,$C$10:$L$10,0)),"n/a")</f>
        <v>Exist. WWTP</v>
      </c>
      <c r="D63" s="138">
        <f>IFERROR(INDEX($C$10:$L$29,MATCH($B38,$L$10:$L$29,0),MATCH($D$37,$C$10:$L$10,0)),"n/a")</f>
        <v>2.5308264198715138</v>
      </c>
      <c r="E63" s="139">
        <f>IF(F63="n/a","n/a",F63/365)</f>
        <v>2191.7808219178082</v>
      </c>
      <c r="F63" s="139">
        <f>IF(SUM($L$62:L63)&lt;=$E$32,L63,MAX($E$32-SUM($L$62:L62),0))</f>
        <v>800000</v>
      </c>
      <c r="G63" s="415">
        <f>IF(C63="n/a","n/a",VLOOKUP($C63,$C$11:$I$29,5,FALSE))</f>
        <v>65954</v>
      </c>
      <c r="H63" s="415">
        <f>IF(C63="n/a","n/a",VLOOKUP($C63,$C$11:$I$29,6,FALSE))</f>
        <v>275</v>
      </c>
      <c r="I63" s="415">
        <f>IF(C63="n/a","n/a",VLOOKUP($C63,$C$11:$I$29,7,FALSE))</f>
        <v>-78236</v>
      </c>
      <c r="J63" s="415">
        <f>IF(OR(F63="n/a",H63="n/a"),"n/a",H63+G63+I63)</f>
        <v>-12007</v>
      </c>
      <c r="K63" s="139">
        <f>IF(OR(F63="n/a",H63="n/a"),"n/a",(F63*H63+F63*G63+I63*F63)/1000000)</f>
        <v>-9605.6</v>
      </c>
      <c r="L63" s="160">
        <f t="shared" ref="L63:L81" si="12">IFERROR(INDEX($C$10:$L$29,MATCH($B63,$L$10:$L$29,0),MATCH($L$62,$C$10:$L$10,0)),"n/a")</f>
        <v>800000</v>
      </c>
      <c r="M63" s="1"/>
      <c r="N63" s="1"/>
    </row>
    <row r="64" spans="1:15" x14ac:dyDescent="0.25">
      <c r="A64" s="1"/>
      <c r="B64" s="51">
        <v>2</v>
      </c>
      <c r="C64" s="8" t="str">
        <f t="shared" ref="C64:C81" si="13">IFERROR(INDEX($C$10:$L$29,MATCH($B64,$L$10:$L$29,0),MATCH($C$37,$C$10:$L$10,0)),"n/a")</f>
        <v>CDW Exp. 1</v>
      </c>
      <c r="D64" s="138">
        <f t="shared" ref="D64:D81" si="14">IFERROR(INDEX($C$10:$L$29,MATCH($B39,$L$10:$L$29,0),MATCH($D$37,$C$10:$L$10,0)),"n/a")</f>
        <v>3.5232490479396983</v>
      </c>
      <c r="E64" s="139">
        <f t="shared" ref="E64:E81" si="15">IF(F64="n/a","n/a",F64/365)</f>
        <v>15616.438356164384</v>
      </c>
      <c r="F64" s="139">
        <f>IF(SUM($L$62:L64)&lt;=$E$32,L64,MAX($E$32-SUM($L$62:L63),0))</f>
        <v>5700000</v>
      </c>
      <c r="G64" s="415">
        <f t="shared" ref="G64:G81" si="16">IF(C64="n/a","n/a",VLOOKUP($C64,$C$11:$I$29,5,FALSE))</f>
        <v>59080</v>
      </c>
      <c r="H64" s="415">
        <f t="shared" ref="H64:H81" si="17">IF(C64="n/a","n/a",VLOOKUP($C64,$C$11:$I$29,6,FALSE))</f>
        <v>130</v>
      </c>
      <c r="I64" s="415">
        <f t="shared" ref="I64:I81" si="18">IF(C64="n/a","n/a",VLOOKUP($C64,$C$11:$I$29,7,FALSE))</f>
        <v>259</v>
      </c>
      <c r="J64" s="415">
        <f t="shared" ref="J64:J81" si="19">IF(OR(F64="n/a",H64="n/a"),"n/a",H64+G64+I64)</f>
        <v>59469</v>
      </c>
      <c r="K64" s="139">
        <f t="shared" ref="K64:K81" si="20">IF(OR(F64="n/a",H64="n/a"),"n/a",(F64*H64+F64*G64+I64*F64)/1000000)</f>
        <v>338973.3</v>
      </c>
      <c r="L64" s="160">
        <f t="shared" si="12"/>
        <v>5700000</v>
      </c>
      <c r="M64" s="1"/>
      <c r="N64" s="1"/>
    </row>
    <row r="65" spans="1:14" x14ac:dyDescent="0.25">
      <c r="A65" s="1"/>
      <c r="B65" s="51">
        <v>3</v>
      </c>
      <c r="C65" s="8" t="str">
        <f t="shared" si="13"/>
        <v xml:space="preserve">SNG -Firm </v>
      </c>
      <c r="D65" s="138">
        <f t="shared" si="14"/>
        <v>2.7723721333847169</v>
      </c>
      <c r="E65" s="139">
        <f t="shared" si="15"/>
        <v>38266.403908338398</v>
      </c>
      <c r="F65" s="139">
        <f>IF(SUM($L$62:L65)&lt;=$E$32,L65,MAX($E$32-SUM($L$62:L64),0))</f>
        <v>13967237.426543515</v>
      </c>
      <c r="G65" s="415">
        <f t="shared" si="16"/>
        <v>52220.959999999999</v>
      </c>
      <c r="H65" s="415">
        <f t="shared" si="17"/>
        <v>259</v>
      </c>
      <c r="I65" s="415">
        <f t="shared" si="18"/>
        <v>13840</v>
      </c>
      <c r="J65" s="415">
        <f t="shared" si="19"/>
        <v>66319.959999999992</v>
      </c>
      <c r="K65" s="139">
        <f t="shared" si="20"/>
        <v>926306.62743886886</v>
      </c>
      <c r="L65" s="160">
        <f t="shared" si="12"/>
        <v>13967237.426543515</v>
      </c>
      <c r="M65" s="1"/>
      <c r="N65" s="1"/>
    </row>
    <row r="66" spans="1:14" x14ac:dyDescent="0.25">
      <c r="A66" s="1"/>
      <c r="B66" s="51">
        <v>4</v>
      </c>
      <c r="C66" s="8" t="str">
        <f t="shared" si="13"/>
        <v>SNG - Interruptible</v>
      </c>
      <c r="D66" s="138">
        <f t="shared" si="14"/>
        <v>2.7723721333847169</v>
      </c>
      <c r="E66" s="139">
        <f t="shared" si="15"/>
        <v>12605</v>
      </c>
      <c r="F66" s="139">
        <f>IF(SUM($L$62:L66)&lt;=$E$32,L66,MAX($E$32-SUM($L$62:L65),0))</f>
        <v>4600825</v>
      </c>
      <c r="G66" s="415">
        <f t="shared" si="16"/>
        <v>52220.959999999999</v>
      </c>
      <c r="H66" s="415">
        <f t="shared" si="17"/>
        <v>259</v>
      </c>
      <c r="I66" s="415">
        <f t="shared" si="18"/>
        <v>13840</v>
      </c>
      <c r="J66" s="415">
        <f t="shared" si="19"/>
        <v>66319.959999999992</v>
      </c>
      <c r="K66" s="139">
        <f t="shared" si="20"/>
        <v>305126.52996700001</v>
      </c>
      <c r="L66" s="160">
        <f t="shared" si="12"/>
        <v>4600825</v>
      </c>
      <c r="M66" s="1"/>
      <c r="N66" s="1"/>
    </row>
    <row r="67" spans="1:14" x14ac:dyDescent="0.25">
      <c r="A67" s="1"/>
      <c r="B67" s="51">
        <v>5</v>
      </c>
      <c r="C67" s="8" t="str">
        <f t="shared" si="13"/>
        <v>LNG - ISO</v>
      </c>
      <c r="D67" s="138">
        <f t="shared" si="14"/>
        <v>2.8506799864969499</v>
      </c>
      <c r="E67" s="139">
        <f t="shared" si="15"/>
        <v>14000</v>
      </c>
      <c r="F67" s="139">
        <f>IF(SUM($L$62:L67)&lt;=$E$32,L67,MAX($E$32-SUM($L$62:L66),0))</f>
        <v>5110000</v>
      </c>
      <c r="G67" s="415">
        <f t="shared" si="16"/>
        <v>59341</v>
      </c>
      <c r="H67" s="415">
        <f t="shared" si="17"/>
        <v>2521</v>
      </c>
      <c r="I67" s="415">
        <f t="shared" si="18"/>
        <v>11151</v>
      </c>
      <c r="J67" s="415">
        <f t="shared" si="19"/>
        <v>73013</v>
      </c>
      <c r="K67" s="139">
        <f t="shared" si="20"/>
        <v>373096.43</v>
      </c>
      <c r="L67" s="160">
        <f t="shared" si="12"/>
        <v>5110000</v>
      </c>
      <c r="M67" s="1"/>
      <c r="N67" s="1"/>
    </row>
    <row r="68" spans="1:14" x14ac:dyDescent="0.25">
      <c r="A68" s="1"/>
      <c r="B68" s="51">
        <v>6</v>
      </c>
      <c r="C68" s="8" t="str">
        <f t="shared" si="13"/>
        <v>n/a</v>
      </c>
      <c r="D68" s="138" t="str">
        <f t="shared" si="14"/>
        <v>n/a</v>
      </c>
      <c r="E68" s="139" t="str">
        <f t="shared" si="15"/>
        <v>n/a</v>
      </c>
      <c r="F68" s="139" t="str">
        <f>IF(SUM($L$62:L68)&lt;=$E$32,L68,MAX($E$32-SUM($L$62:L67),0))</f>
        <v>n/a</v>
      </c>
      <c r="G68" s="415" t="str">
        <f t="shared" si="16"/>
        <v>n/a</v>
      </c>
      <c r="H68" s="415" t="str">
        <f t="shared" si="17"/>
        <v>n/a</v>
      </c>
      <c r="I68" s="415" t="str">
        <f t="shared" si="18"/>
        <v>n/a</v>
      </c>
      <c r="J68" s="415" t="str">
        <f t="shared" si="19"/>
        <v>n/a</v>
      </c>
      <c r="K68" s="139" t="str">
        <f t="shared" si="20"/>
        <v>n/a</v>
      </c>
      <c r="L68" s="160" t="str">
        <f t="shared" si="12"/>
        <v>n/a</v>
      </c>
      <c r="M68" s="1"/>
      <c r="N68" s="1"/>
    </row>
    <row r="69" spans="1:14" x14ac:dyDescent="0.25">
      <c r="A69" s="1"/>
      <c r="B69" s="51">
        <v>7</v>
      </c>
      <c r="C69" s="8" t="str">
        <f t="shared" si="13"/>
        <v>n/a</v>
      </c>
      <c r="D69" s="138" t="str">
        <f t="shared" si="14"/>
        <v>n/a</v>
      </c>
      <c r="E69" s="139" t="str">
        <f t="shared" si="15"/>
        <v>n/a</v>
      </c>
      <c r="F69" s="139" t="str">
        <f>IF(SUM($L$62:L69)&lt;=$E$32,L69,MAX($E$32-SUM($L$62:L68),0))</f>
        <v>n/a</v>
      </c>
      <c r="G69" s="415" t="str">
        <f t="shared" si="16"/>
        <v>n/a</v>
      </c>
      <c r="H69" s="415" t="str">
        <f t="shared" si="17"/>
        <v>n/a</v>
      </c>
      <c r="I69" s="415" t="str">
        <f t="shared" si="18"/>
        <v>n/a</v>
      </c>
      <c r="J69" s="415" t="str">
        <f t="shared" si="19"/>
        <v>n/a</v>
      </c>
      <c r="K69" s="139" t="str">
        <f t="shared" si="20"/>
        <v>n/a</v>
      </c>
      <c r="L69" s="160" t="str">
        <f t="shared" si="12"/>
        <v>n/a</v>
      </c>
      <c r="M69" s="1"/>
      <c r="N69" s="1"/>
    </row>
    <row r="70" spans="1:14" x14ac:dyDescent="0.25">
      <c r="A70" s="1"/>
      <c r="B70" s="51">
        <v>8</v>
      </c>
      <c r="C70" s="8" t="str">
        <f t="shared" si="13"/>
        <v>n/a</v>
      </c>
      <c r="D70" s="138" t="str">
        <f t="shared" si="14"/>
        <v>n/a</v>
      </c>
      <c r="E70" s="139" t="str">
        <f t="shared" si="15"/>
        <v>n/a</v>
      </c>
      <c r="F70" s="139" t="str">
        <f>IF(SUM($L$62:L70)&lt;=$E$32,L70,MAX($E$32-SUM($L$62:L69),0))</f>
        <v>n/a</v>
      </c>
      <c r="G70" s="415" t="str">
        <f t="shared" si="16"/>
        <v>n/a</v>
      </c>
      <c r="H70" s="415" t="str">
        <f t="shared" si="17"/>
        <v>n/a</v>
      </c>
      <c r="I70" s="415" t="str">
        <f t="shared" si="18"/>
        <v>n/a</v>
      </c>
      <c r="J70" s="415" t="str">
        <f t="shared" si="19"/>
        <v>n/a</v>
      </c>
      <c r="K70" s="139" t="str">
        <f t="shared" si="20"/>
        <v>n/a</v>
      </c>
      <c r="L70" s="160" t="str">
        <f t="shared" si="12"/>
        <v>n/a</v>
      </c>
      <c r="M70" s="1"/>
      <c r="N70" s="1"/>
    </row>
    <row r="71" spans="1:14" x14ac:dyDescent="0.25">
      <c r="A71" s="1"/>
      <c r="B71" s="51">
        <v>9</v>
      </c>
      <c r="C71" s="8" t="str">
        <f t="shared" si="13"/>
        <v>n/a</v>
      </c>
      <c r="D71" s="138" t="str">
        <f t="shared" si="14"/>
        <v>n/a</v>
      </c>
      <c r="E71" s="139" t="str">
        <f t="shared" si="15"/>
        <v>n/a</v>
      </c>
      <c r="F71" s="139" t="str">
        <f>IF(SUM($L$62:L71)&lt;=$E$32,L71,MAX($E$32-SUM($L$62:L70),0))</f>
        <v>n/a</v>
      </c>
      <c r="G71" s="415" t="str">
        <f t="shared" si="16"/>
        <v>n/a</v>
      </c>
      <c r="H71" s="415" t="str">
        <f t="shared" si="17"/>
        <v>n/a</v>
      </c>
      <c r="I71" s="415" t="str">
        <f t="shared" si="18"/>
        <v>n/a</v>
      </c>
      <c r="J71" s="415" t="str">
        <f t="shared" si="19"/>
        <v>n/a</v>
      </c>
      <c r="K71" s="139" t="str">
        <f t="shared" si="20"/>
        <v>n/a</v>
      </c>
      <c r="L71" s="160" t="str">
        <f t="shared" si="12"/>
        <v>n/a</v>
      </c>
      <c r="M71" s="1"/>
      <c r="N71" s="1"/>
    </row>
    <row r="72" spans="1:14" x14ac:dyDescent="0.25">
      <c r="A72" s="1"/>
      <c r="B72" s="51">
        <v>10</v>
      </c>
      <c r="C72" s="8" t="str">
        <f t="shared" si="13"/>
        <v>n/a</v>
      </c>
      <c r="D72" s="138" t="str">
        <f t="shared" si="14"/>
        <v>n/a</v>
      </c>
      <c r="E72" s="139" t="str">
        <f t="shared" si="15"/>
        <v>n/a</v>
      </c>
      <c r="F72" s="139" t="str">
        <f>IF(SUM($L$62:L72)&lt;=$E$32,L72,MAX($E$32-SUM($L$62:L71),0))</f>
        <v>n/a</v>
      </c>
      <c r="G72" s="415" t="str">
        <f t="shared" si="16"/>
        <v>n/a</v>
      </c>
      <c r="H72" s="415" t="str">
        <f t="shared" si="17"/>
        <v>n/a</v>
      </c>
      <c r="I72" s="415" t="str">
        <f t="shared" si="18"/>
        <v>n/a</v>
      </c>
      <c r="J72" s="415" t="str">
        <f t="shared" si="19"/>
        <v>n/a</v>
      </c>
      <c r="K72" s="139" t="str">
        <f t="shared" si="20"/>
        <v>n/a</v>
      </c>
      <c r="L72" s="160" t="str">
        <f t="shared" si="12"/>
        <v>n/a</v>
      </c>
      <c r="M72" s="1"/>
      <c r="N72" s="1"/>
    </row>
    <row r="73" spans="1:14" x14ac:dyDescent="0.25">
      <c r="A73" s="1"/>
      <c r="B73" s="51">
        <v>11</v>
      </c>
      <c r="C73" s="8" t="str">
        <f t="shared" si="13"/>
        <v>n/a</v>
      </c>
      <c r="D73" s="138" t="str">
        <f t="shared" si="14"/>
        <v>n/a</v>
      </c>
      <c r="E73" s="139" t="str">
        <f t="shared" si="15"/>
        <v>n/a</v>
      </c>
      <c r="F73" s="139" t="str">
        <f>IF(SUM($L$62:L73)&lt;=$E$32,L73,MAX($E$32-SUM($L$62:L72),0))</f>
        <v>n/a</v>
      </c>
      <c r="G73" s="415" t="str">
        <f t="shared" si="16"/>
        <v>n/a</v>
      </c>
      <c r="H73" s="415" t="str">
        <f t="shared" si="17"/>
        <v>n/a</v>
      </c>
      <c r="I73" s="415" t="str">
        <f t="shared" si="18"/>
        <v>n/a</v>
      </c>
      <c r="J73" s="415" t="str">
        <f t="shared" si="19"/>
        <v>n/a</v>
      </c>
      <c r="K73" s="139" t="str">
        <f t="shared" si="20"/>
        <v>n/a</v>
      </c>
      <c r="L73" s="160" t="str">
        <f t="shared" si="12"/>
        <v>n/a</v>
      </c>
      <c r="M73" s="1"/>
      <c r="N73" s="1"/>
    </row>
    <row r="74" spans="1:14" x14ac:dyDescent="0.25">
      <c r="A74" s="1"/>
      <c r="B74" s="51">
        <v>12</v>
      </c>
      <c r="C74" s="8" t="str">
        <f t="shared" si="13"/>
        <v>n/a</v>
      </c>
      <c r="D74" s="138" t="str">
        <f t="shared" si="14"/>
        <v>n/a</v>
      </c>
      <c r="E74" s="139" t="str">
        <f t="shared" si="15"/>
        <v>n/a</v>
      </c>
      <c r="F74" s="139" t="str">
        <f>IF(SUM($L$62:L74)&lt;=$E$32,L74,MAX($E$32-SUM($L$62:L73),0))</f>
        <v>n/a</v>
      </c>
      <c r="G74" s="415" t="str">
        <f t="shared" si="16"/>
        <v>n/a</v>
      </c>
      <c r="H74" s="415" t="str">
        <f t="shared" si="17"/>
        <v>n/a</v>
      </c>
      <c r="I74" s="415" t="str">
        <f t="shared" si="18"/>
        <v>n/a</v>
      </c>
      <c r="J74" s="415" t="str">
        <f t="shared" si="19"/>
        <v>n/a</v>
      </c>
      <c r="K74" s="139" t="str">
        <f t="shared" si="20"/>
        <v>n/a</v>
      </c>
      <c r="L74" s="160" t="str">
        <f t="shared" si="12"/>
        <v>n/a</v>
      </c>
      <c r="M74" s="1"/>
      <c r="N74" s="1"/>
    </row>
    <row r="75" spans="1:14" x14ac:dyDescent="0.25">
      <c r="A75" s="1"/>
      <c r="B75" s="51">
        <v>13</v>
      </c>
      <c r="C75" s="8" t="str">
        <f t="shared" si="13"/>
        <v>n/a</v>
      </c>
      <c r="D75" s="138" t="str">
        <f t="shared" si="14"/>
        <v>n/a</v>
      </c>
      <c r="E75" s="139" t="str">
        <f t="shared" si="15"/>
        <v>n/a</v>
      </c>
      <c r="F75" s="139" t="str">
        <f>IF(SUM($L$62:L75)&lt;=$E$32,L75,MAX($E$32-SUM($L$62:L74),0))</f>
        <v>n/a</v>
      </c>
      <c r="G75" s="415" t="str">
        <f t="shared" si="16"/>
        <v>n/a</v>
      </c>
      <c r="H75" s="415" t="str">
        <f t="shared" si="17"/>
        <v>n/a</v>
      </c>
      <c r="I75" s="415" t="str">
        <f t="shared" si="18"/>
        <v>n/a</v>
      </c>
      <c r="J75" s="415" t="str">
        <f t="shared" si="19"/>
        <v>n/a</v>
      </c>
      <c r="K75" s="139" t="str">
        <f t="shared" si="20"/>
        <v>n/a</v>
      </c>
      <c r="L75" s="160" t="str">
        <f t="shared" si="12"/>
        <v>n/a</v>
      </c>
      <c r="M75" s="1"/>
      <c r="N75" s="1"/>
    </row>
    <row r="76" spans="1:14" x14ac:dyDescent="0.25">
      <c r="A76" s="1"/>
      <c r="B76" s="51">
        <v>14</v>
      </c>
      <c r="C76" s="8" t="str">
        <f t="shared" si="13"/>
        <v>n/a</v>
      </c>
      <c r="D76" s="138" t="str">
        <f t="shared" si="14"/>
        <v>n/a</v>
      </c>
      <c r="E76" s="139" t="str">
        <f t="shared" si="15"/>
        <v>n/a</v>
      </c>
      <c r="F76" s="139" t="str">
        <f>IF(SUM($L$62:L76)&lt;=$E$32,L76,MAX($E$32-SUM($L$62:L75),0))</f>
        <v>n/a</v>
      </c>
      <c r="G76" s="415" t="str">
        <f t="shared" si="16"/>
        <v>n/a</v>
      </c>
      <c r="H76" s="415" t="str">
        <f t="shared" si="17"/>
        <v>n/a</v>
      </c>
      <c r="I76" s="415" t="str">
        <f t="shared" si="18"/>
        <v>n/a</v>
      </c>
      <c r="J76" s="415" t="str">
        <f t="shared" si="19"/>
        <v>n/a</v>
      </c>
      <c r="K76" s="139" t="str">
        <f t="shared" si="20"/>
        <v>n/a</v>
      </c>
      <c r="L76" s="160" t="str">
        <f t="shared" si="12"/>
        <v>n/a</v>
      </c>
      <c r="M76" s="1"/>
      <c r="N76" s="1"/>
    </row>
    <row r="77" spans="1:14" x14ac:dyDescent="0.25">
      <c r="A77" s="1"/>
      <c r="B77" s="51">
        <v>15</v>
      </c>
      <c r="C77" s="8" t="str">
        <f t="shared" si="13"/>
        <v>n/a</v>
      </c>
      <c r="D77" s="138" t="str">
        <f t="shared" si="14"/>
        <v>n/a</v>
      </c>
      <c r="E77" s="139" t="str">
        <f t="shared" si="15"/>
        <v>n/a</v>
      </c>
      <c r="F77" s="139" t="str">
        <f>IF(SUM($L$62:L77)&lt;=$E$32,L77,MAX($E$32-SUM($L$62:L76),0))</f>
        <v>n/a</v>
      </c>
      <c r="G77" s="415" t="str">
        <f t="shared" si="16"/>
        <v>n/a</v>
      </c>
      <c r="H77" s="415" t="str">
        <f t="shared" si="17"/>
        <v>n/a</v>
      </c>
      <c r="I77" s="415" t="str">
        <f t="shared" si="18"/>
        <v>n/a</v>
      </c>
      <c r="J77" s="415" t="str">
        <f t="shared" si="19"/>
        <v>n/a</v>
      </c>
      <c r="K77" s="139" t="str">
        <f t="shared" si="20"/>
        <v>n/a</v>
      </c>
      <c r="L77" s="160" t="str">
        <f t="shared" si="12"/>
        <v>n/a</v>
      </c>
      <c r="M77" s="1"/>
      <c r="N77" s="1"/>
    </row>
    <row r="78" spans="1:14" x14ac:dyDescent="0.25">
      <c r="A78" s="1"/>
      <c r="B78" s="51">
        <v>16</v>
      </c>
      <c r="C78" s="8" t="str">
        <f t="shared" si="13"/>
        <v>n/a</v>
      </c>
      <c r="D78" s="138" t="str">
        <f t="shared" si="14"/>
        <v>n/a</v>
      </c>
      <c r="E78" s="139" t="str">
        <f t="shared" si="15"/>
        <v>n/a</v>
      </c>
      <c r="F78" s="139" t="str">
        <f>IF(SUM($L$62:L78)&lt;=$E$32,L78,MAX($E$32-SUM($L$62:L77),0))</f>
        <v>n/a</v>
      </c>
      <c r="G78" s="415" t="str">
        <f t="shared" si="16"/>
        <v>n/a</v>
      </c>
      <c r="H78" s="415" t="str">
        <f t="shared" si="17"/>
        <v>n/a</v>
      </c>
      <c r="I78" s="415" t="str">
        <f t="shared" si="18"/>
        <v>n/a</v>
      </c>
      <c r="J78" s="415" t="str">
        <f t="shared" si="19"/>
        <v>n/a</v>
      </c>
      <c r="K78" s="139" t="str">
        <f t="shared" si="20"/>
        <v>n/a</v>
      </c>
      <c r="L78" s="160" t="str">
        <f t="shared" si="12"/>
        <v>n/a</v>
      </c>
      <c r="M78" s="1"/>
      <c r="N78" s="1"/>
    </row>
    <row r="79" spans="1:14" x14ac:dyDescent="0.25">
      <c r="A79" s="1"/>
      <c r="B79" s="51">
        <v>17</v>
      </c>
      <c r="C79" s="8" t="str">
        <f t="shared" si="13"/>
        <v>n/a</v>
      </c>
      <c r="D79" s="138" t="str">
        <f t="shared" si="14"/>
        <v>n/a</v>
      </c>
      <c r="E79" s="139" t="str">
        <f t="shared" si="15"/>
        <v>n/a</v>
      </c>
      <c r="F79" s="139" t="str">
        <f>IF(SUM($L$62:L79)&lt;=$E$32,L79,MAX($E$32-SUM($L$62:L78),0))</f>
        <v>n/a</v>
      </c>
      <c r="G79" s="415" t="str">
        <f t="shared" si="16"/>
        <v>n/a</v>
      </c>
      <c r="H79" s="415" t="str">
        <f t="shared" si="17"/>
        <v>n/a</v>
      </c>
      <c r="I79" s="415" t="str">
        <f t="shared" si="18"/>
        <v>n/a</v>
      </c>
      <c r="J79" s="415" t="str">
        <f t="shared" si="19"/>
        <v>n/a</v>
      </c>
      <c r="K79" s="139" t="str">
        <f t="shared" si="20"/>
        <v>n/a</v>
      </c>
      <c r="L79" s="160" t="str">
        <f t="shared" si="12"/>
        <v>n/a</v>
      </c>
      <c r="M79" s="1"/>
      <c r="N79" s="1"/>
    </row>
    <row r="80" spans="1:14" x14ac:dyDescent="0.25">
      <c r="A80" s="1"/>
      <c r="B80" s="51">
        <v>18</v>
      </c>
      <c r="C80" s="8" t="str">
        <f t="shared" si="13"/>
        <v>n/a</v>
      </c>
      <c r="D80" s="142" t="str">
        <f t="shared" si="14"/>
        <v>n/a</v>
      </c>
      <c r="E80" s="139" t="str">
        <f t="shared" si="15"/>
        <v>n/a</v>
      </c>
      <c r="F80" s="139" t="str">
        <f>IF(SUM($L$62:L80)&lt;=$E$32,L80,MAX($E$32-SUM($L$62:L79),0))</f>
        <v>n/a</v>
      </c>
      <c r="G80" s="415" t="str">
        <f t="shared" si="16"/>
        <v>n/a</v>
      </c>
      <c r="H80" s="415" t="str">
        <f t="shared" si="17"/>
        <v>n/a</v>
      </c>
      <c r="I80" s="415" t="str">
        <f t="shared" si="18"/>
        <v>n/a</v>
      </c>
      <c r="J80" s="415" t="str">
        <f t="shared" si="19"/>
        <v>n/a</v>
      </c>
      <c r="K80" s="139" t="str">
        <f t="shared" si="20"/>
        <v>n/a</v>
      </c>
      <c r="L80" s="160" t="str">
        <f t="shared" si="12"/>
        <v>n/a</v>
      </c>
      <c r="M80" s="1"/>
      <c r="N80" s="1"/>
    </row>
    <row r="81" spans="1:15" x14ac:dyDescent="0.25">
      <c r="A81" s="1"/>
      <c r="B81" s="161">
        <v>19</v>
      </c>
      <c r="C81" s="162" t="str">
        <f t="shared" si="13"/>
        <v>n/a</v>
      </c>
      <c r="D81" s="163" t="str">
        <f t="shared" si="14"/>
        <v>n/a</v>
      </c>
      <c r="E81" s="167" t="str">
        <f t="shared" si="15"/>
        <v>n/a</v>
      </c>
      <c r="F81" s="167" t="str">
        <f>IF(SUM($L$62:L81)&lt;=$E$32,L81,MAX($E$32-SUM($L$62:L80),0))</f>
        <v>n/a</v>
      </c>
      <c r="G81" s="416" t="str">
        <f t="shared" si="16"/>
        <v>n/a</v>
      </c>
      <c r="H81" s="416" t="str">
        <f t="shared" si="17"/>
        <v>n/a</v>
      </c>
      <c r="I81" s="416" t="str">
        <f t="shared" si="18"/>
        <v>n/a</v>
      </c>
      <c r="J81" s="416" t="str">
        <f t="shared" si="19"/>
        <v>n/a</v>
      </c>
      <c r="K81" s="145" t="str">
        <f t="shared" si="20"/>
        <v>n/a</v>
      </c>
      <c r="L81" s="165" t="str">
        <f t="shared" si="12"/>
        <v>n/a</v>
      </c>
      <c r="M81" s="1"/>
      <c r="N81" s="1"/>
    </row>
    <row r="82" spans="1:15" x14ac:dyDescent="0.25">
      <c r="A82" s="1"/>
      <c r="B82" s="1"/>
      <c r="C82" s="11" t="s">
        <v>328</v>
      </c>
      <c r="D82" s="147">
        <f>SUMPRODUCT(D63:D81,F63:F81)/SUM(F63:F81)</f>
        <v>2.9210534803889505</v>
      </c>
      <c r="E82" s="148">
        <f>SUM(E63:E81)</f>
        <v>82679.623086420586</v>
      </c>
      <c r="F82" s="148">
        <f>SUM(F63:F81)</f>
        <v>30178062.426543515</v>
      </c>
      <c r="G82" s="148" t="s">
        <v>0</v>
      </c>
      <c r="I82" s="148"/>
      <c r="J82" s="148"/>
      <c r="K82" s="148">
        <f>SUM(K63:K81)</f>
        <v>1933897.2874058688</v>
      </c>
      <c r="L82" s="149">
        <f>SUM(L63:L81)</f>
        <v>30178062.426543515</v>
      </c>
      <c r="M82" s="1"/>
      <c r="N82" s="1"/>
    </row>
    <row r="83" spans="1:15" x14ac:dyDescent="0.25">
      <c r="A83" s="1"/>
      <c r="B83" s="1"/>
      <c r="C83" s="1"/>
      <c r="D83" s="1"/>
      <c r="E83" s="168"/>
      <c r="F83" s="168"/>
      <c r="G83" s="168"/>
      <c r="H83" s="1"/>
      <c r="I83" s="1"/>
      <c r="J83" s="1"/>
      <c r="K83" s="1"/>
      <c r="L83" s="1"/>
      <c r="M83" s="1"/>
      <c r="N83" s="1"/>
      <c r="O83"/>
    </row>
    <row r="84" spans="1:15" x14ac:dyDescent="0.25">
      <c r="A84" s="1"/>
      <c r="B84" s="1"/>
      <c r="C84" s="1"/>
      <c r="D84" s="176"/>
      <c r="E84" s="1"/>
      <c r="F84" s="1"/>
      <c r="G84" s="1"/>
      <c r="H84" s="1"/>
      <c r="I84" s="1"/>
      <c r="J84" s="1"/>
      <c r="K84" s="1"/>
      <c r="L84" s="1"/>
      <c r="M84" s="1"/>
      <c r="N84" s="1"/>
    </row>
    <row r="85" spans="1:15" x14ac:dyDescent="0.25">
      <c r="A85" s="1"/>
      <c r="B85" s="1"/>
      <c r="C85" s="169"/>
      <c r="D85" s="169"/>
      <c r="E85" s="11"/>
      <c r="F85" s="170"/>
      <c r="G85" s="169"/>
      <c r="H85" s="1"/>
      <c r="I85" s="1"/>
      <c r="J85" s="1"/>
      <c r="K85" s="1"/>
      <c r="L85" s="1"/>
      <c r="M85" s="1"/>
      <c r="N85" s="1"/>
    </row>
    <row r="86" spans="1:1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 spans="1:1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</row>
    <row r="88" spans="1:1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spans="1:1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</row>
    <row r="90" spans="1:1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spans="1:1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 spans="1:1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</row>
    <row r="93" spans="1:1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spans="1:1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</row>
    <row r="95" spans="1:1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1:1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</row>
    <row r="97" spans="1:1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</row>
    <row r="98" spans="1:1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</row>
    <row r="99" spans="1:1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spans="1:1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spans="1:1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spans="1:1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spans="1:1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 spans="1:1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</row>
    <row r="105" spans="1:1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</row>
    <row r="106" spans="1:1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</row>
    <row r="107" spans="1:14" x14ac:dyDescent="0.25">
      <c r="A107" s="1"/>
    </row>
    <row r="108" spans="1:14" x14ac:dyDescent="0.25">
      <c r="A108" s="1"/>
    </row>
    <row r="109" spans="1:14" x14ac:dyDescent="0.25">
      <c r="A109" s="1"/>
    </row>
    <row r="110" spans="1:14" x14ac:dyDescent="0.25">
      <c r="A110" s="1"/>
    </row>
    <row r="111" spans="1:14" x14ac:dyDescent="0.25">
      <c r="A111" s="1"/>
    </row>
    <row r="112" spans="1:14" x14ac:dyDescent="0.25">
      <c r="A112" s="1"/>
    </row>
    <row r="113" spans="1:1" x14ac:dyDescent="0.25">
      <c r="A113" s="1"/>
    </row>
    <row r="114" spans="1:1" x14ac:dyDescent="0.25">
      <c r="A114" s="1"/>
    </row>
    <row r="115" spans="1:1" x14ac:dyDescent="0.25">
      <c r="A115" s="1"/>
    </row>
    <row r="116" spans="1:1" x14ac:dyDescent="0.25">
      <c r="A116" s="1"/>
    </row>
    <row r="117" spans="1:1" x14ac:dyDescent="0.25">
      <c r="A117" s="1"/>
    </row>
    <row r="118" spans="1:1" x14ac:dyDescent="0.25">
      <c r="A118" s="1"/>
    </row>
    <row r="119" spans="1:1" x14ac:dyDescent="0.25">
      <c r="A119" s="1"/>
    </row>
    <row r="120" spans="1:1" x14ac:dyDescent="0.25">
      <c r="A120" s="1"/>
    </row>
    <row r="121" spans="1:1" x14ac:dyDescent="0.25">
      <c r="A121" s="1"/>
    </row>
    <row r="122" spans="1:1" x14ac:dyDescent="0.25">
      <c r="A122" s="1"/>
    </row>
    <row r="123" spans="1:1" x14ac:dyDescent="0.25">
      <c r="A123" s="1"/>
    </row>
    <row r="124" spans="1:1" x14ac:dyDescent="0.25">
      <c r="A124" s="1"/>
    </row>
    <row r="125" spans="1:1" x14ac:dyDescent="0.25">
      <c r="A125" s="1"/>
    </row>
    <row r="126" spans="1:1" x14ac:dyDescent="0.25">
      <c r="A126" s="1"/>
    </row>
    <row r="127" spans="1:1" x14ac:dyDescent="0.25">
      <c r="A127" s="1"/>
    </row>
    <row r="128" spans="1:1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  <row r="133" spans="1:1" x14ac:dyDescent="0.25">
      <c r="A133" s="1"/>
    </row>
    <row r="134" spans="1:1" x14ac:dyDescent="0.25">
      <c r="A134" s="1"/>
    </row>
    <row r="135" spans="1:1" x14ac:dyDescent="0.25">
      <c r="A135" s="1"/>
    </row>
    <row r="136" spans="1:1" x14ac:dyDescent="0.25">
      <c r="A136" s="1"/>
    </row>
    <row r="137" spans="1:1" x14ac:dyDescent="0.25">
      <c r="A137" s="1"/>
    </row>
    <row r="138" spans="1:1" x14ac:dyDescent="0.25">
      <c r="A138" s="1"/>
    </row>
    <row r="139" spans="1:1" x14ac:dyDescent="0.25">
      <c r="A139" s="1"/>
    </row>
    <row r="140" spans="1:1" x14ac:dyDescent="0.25">
      <c r="A140" s="1"/>
    </row>
    <row r="141" spans="1:1" x14ac:dyDescent="0.25">
      <c r="A141" s="1"/>
    </row>
  </sheetData>
  <mergeCells count="1">
    <mergeCell ref="D60:H60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89A3F-D52B-428C-90A5-1A7A91B9B92D}">
  <sheetPr codeName="Sheet23"/>
  <dimension ref="A1:AK32"/>
  <sheetViews>
    <sheetView workbookViewId="0"/>
  </sheetViews>
  <sheetFormatPr defaultColWidth="9.140625" defaultRowHeight="15" outlineLevelCol="1" x14ac:dyDescent="0.25"/>
  <cols>
    <col min="1" max="3" width="9.140625" style="1"/>
    <col min="4" max="4" width="18" style="1" bestFit="1" customWidth="1"/>
    <col min="5" max="5" width="16.140625" style="1" customWidth="1"/>
    <col min="6" max="6" width="16.42578125" style="1" bestFit="1" customWidth="1"/>
    <col min="7" max="7" width="16.42578125" style="1" customWidth="1"/>
    <col min="8" max="8" width="14.7109375" style="1" bestFit="1" customWidth="1"/>
    <col min="9" max="9" width="9.140625" style="1"/>
    <col min="10" max="10" width="9.140625" style="1" customWidth="1" outlineLevel="1"/>
    <col min="11" max="11" width="12.28515625" style="1" customWidth="1" outlineLevel="1"/>
    <col min="12" max="12" width="13.7109375" style="1" customWidth="1" outlineLevel="1"/>
    <col min="13" max="13" width="12.7109375" style="1" customWidth="1" outlineLevel="1"/>
    <col min="14" max="14" width="14.42578125" style="1" customWidth="1" outlineLevel="1"/>
    <col min="15" max="15" width="14.7109375" style="1" customWidth="1" outlineLevel="1"/>
    <col min="16" max="22" width="9.140625" style="1" customWidth="1" outlineLevel="1"/>
    <col min="23" max="23" width="26" style="1" bestFit="1" customWidth="1"/>
    <col min="24" max="24" width="17.140625" style="1" customWidth="1"/>
    <col min="25" max="25" width="11.5703125" style="1" bestFit="1" customWidth="1"/>
    <col min="26" max="26" width="14.5703125" style="1" bestFit="1" customWidth="1"/>
    <col min="27" max="27" width="14.7109375" style="1" bestFit="1" customWidth="1"/>
    <col min="28" max="16384" width="9.140625" style="1"/>
  </cols>
  <sheetData>
    <row r="1" spans="1:37" x14ac:dyDescent="0.25">
      <c r="A1" s="1" t="s">
        <v>394</v>
      </c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K1" s="547"/>
    </row>
    <row r="2" spans="1:37" x14ac:dyDescent="0.25">
      <c r="A2" s="171" t="s">
        <v>395</v>
      </c>
    </row>
    <row r="3" spans="1:37" x14ac:dyDescent="0.25">
      <c r="B3" s="11"/>
      <c r="C3" s="546"/>
      <c r="D3" s="546"/>
      <c r="E3" s="546"/>
      <c r="F3" s="546"/>
      <c r="G3" s="546"/>
      <c r="H3" s="546"/>
      <c r="K3" s="546"/>
      <c r="L3" s="546"/>
      <c r="M3" s="546"/>
      <c r="N3" s="546"/>
      <c r="O3" s="546"/>
      <c r="P3" s="546"/>
      <c r="W3" s="546"/>
      <c r="X3" s="546"/>
      <c r="Y3" s="546"/>
      <c r="Z3" s="546"/>
      <c r="AA3" s="546"/>
    </row>
    <row r="4" spans="1:37" x14ac:dyDescent="0.25">
      <c r="D4" s="110"/>
      <c r="E4" s="11"/>
      <c r="F4" s="172"/>
      <c r="G4" s="172"/>
      <c r="H4" s="11"/>
      <c r="K4" s="11"/>
      <c r="L4" s="11"/>
      <c r="M4" s="172"/>
      <c r="N4" s="172"/>
      <c r="O4" s="11"/>
      <c r="P4" s="11"/>
      <c r="W4" s="11"/>
      <c r="X4" s="11"/>
      <c r="Y4" s="172"/>
      <c r="Z4" s="172"/>
      <c r="AA4" s="11"/>
    </row>
    <row r="5" spans="1:37" x14ac:dyDescent="0.25">
      <c r="D5" s="114"/>
      <c r="E5" s="173"/>
      <c r="F5" s="168"/>
      <c r="G5" s="174"/>
      <c r="H5" s="141"/>
      <c r="K5" s="114"/>
      <c r="L5" s="173"/>
      <c r="M5" s="168"/>
      <c r="N5" s="174"/>
      <c r="O5" s="141"/>
      <c r="W5" s="114"/>
      <c r="X5" s="173"/>
      <c r="Y5" s="141"/>
      <c r="Z5" s="175"/>
      <c r="AA5" s="141"/>
    </row>
    <row r="6" spans="1:37" x14ac:dyDescent="0.25">
      <c r="D6" s="114"/>
      <c r="E6" s="173"/>
      <c r="F6" s="168"/>
      <c r="G6" s="174"/>
      <c r="H6" s="141"/>
      <c r="K6" s="114"/>
      <c r="L6" s="173"/>
      <c r="M6" s="168"/>
      <c r="N6" s="174"/>
      <c r="O6" s="141"/>
      <c r="W6" s="114"/>
      <c r="X6" s="173"/>
      <c r="Y6" s="141"/>
      <c r="Z6" s="175"/>
      <c r="AA6" s="141"/>
    </row>
    <row r="7" spans="1:37" x14ac:dyDescent="0.25">
      <c r="D7" s="114"/>
      <c r="E7" s="173"/>
      <c r="F7" s="168"/>
      <c r="G7" s="174"/>
      <c r="H7" s="141"/>
      <c r="K7" s="114"/>
      <c r="L7" s="173"/>
      <c r="M7" s="168"/>
      <c r="N7" s="174"/>
      <c r="O7" s="141"/>
      <c r="W7" s="114"/>
      <c r="X7" s="173"/>
      <c r="Y7" s="141"/>
      <c r="Z7" s="175"/>
      <c r="AA7" s="141"/>
    </row>
    <row r="8" spans="1:37" x14ac:dyDescent="0.25">
      <c r="D8" s="114"/>
      <c r="E8" s="173"/>
      <c r="F8" s="168"/>
      <c r="G8" s="174"/>
      <c r="H8" s="141"/>
      <c r="K8" s="114"/>
      <c r="L8" s="173"/>
      <c r="M8" s="168"/>
      <c r="N8" s="174"/>
      <c r="O8" s="141"/>
      <c r="W8" s="114"/>
      <c r="X8" s="173"/>
      <c r="Y8" s="141"/>
      <c r="Z8" s="175"/>
      <c r="AA8" s="141"/>
    </row>
    <row r="9" spans="1:37" x14ac:dyDescent="0.25">
      <c r="D9" s="114"/>
      <c r="E9" s="173"/>
      <c r="F9" s="168"/>
      <c r="G9" s="174"/>
      <c r="H9" s="141"/>
      <c r="K9" s="114"/>
      <c r="L9" s="173"/>
      <c r="M9" s="168"/>
      <c r="O9" s="141"/>
      <c r="W9" s="114"/>
      <c r="X9" s="173"/>
      <c r="Y9" s="141"/>
      <c r="Z9" s="175"/>
      <c r="AA9" s="141"/>
    </row>
    <row r="10" spans="1:37" x14ac:dyDescent="0.25">
      <c r="D10" s="114"/>
      <c r="E10" s="173"/>
      <c r="K10" s="173"/>
      <c r="L10" s="168"/>
      <c r="W10" s="173"/>
      <c r="X10" s="168"/>
    </row>
    <row r="11" spans="1:37" x14ac:dyDescent="0.25">
      <c r="D11" s="114"/>
      <c r="E11" s="173"/>
      <c r="F11" s="168"/>
      <c r="H11" s="168"/>
      <c r="L11" s="173"/>
      <c r="M11" s="168"/>
      <c r="O11" s="168"/>
      <c r="X11" s="173"/>
      <c r="Y11" s="168"/>
      <c r="AA11" s="168"/>
    </row>
    <row r="18" spans="2:2" x14ac:dyDescent="0.25">
      <c r="B18" s="11"/>
    </row>
    <row r="32" spans="2:2" x14ac:dyDescent="0.25">
      <c r="B32" s="11"/>
    </row>
  </sheetData>
  <mergeCells count="5">
    <mergeCell ref="E1:U1"/>
    <mergeCell ref="W1:AK1"/>
    <mergeCell ref="C3:H3"/>
    <mergeCell ref="K3:P3"/>
    <mergeCell ref="W3:AA3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B9FBB-485D-45AD-8D08-7E1A4D99BBD7}">
  <sheetPr codeName="Sheet24"/>
  <dimension ref="B2:P68"/>
  <sheetViews>
    <sheetView zoomScale="85" zoomScaleNormal="85" workbookViewId="0"/>
  </sheetViews>
  <sheetFormatPr defaultColWidth="8.85546875" defaultRowHeight="15" x14ac:dyDescent="0.25"/>
  <cols>
    <col min="1" max="1" width="8.85546875" style="1"/>
    <col min="2" max="2" width="22.28515625" style="1" bestFit="1" customWidth="1"/>
    <col min="3" max="5" width="8.85546875" style="1"/>
    <col min="6" max="6" width="10.140625" style="1" bestFit="1" customWidth="1"/>
    <col min="7" max="10" width="8.85546875" style="1"/>
    <col min="11" max="14" width="9.7109375" style="1" customWidth="1"/>
    <col min="15" max="15" width="7.5703125" style="1" customWidth="1"/>
    <col min="16" max="16" width="12" style="1" customWidth="1"/>
    <col min="17" max="16384" width="8.85546875" style="1"/>
  </cols>
  <sheetData>
    <row r="2" spans="2:16" x14ac:dyDescent="0.25">
      <c r="B2" s="114"/>
    </row>
    <row r="3" spans="2:16" x14ac:dyDescent="0.25">
      <c r="B3" s="114"/>
      <c r="K3" s="176"/>
      <c r="L3" s="176"/>
      <c r="M3" s="176"/>
      <c r="N3" s="176"/>
      <c r="O3" s="176"/>
    </row>
    <row r="4" spans="2:16" x14ac:dyDescent="0.25">
      <c r="K4" s="8"/>
      <c r="L4" s="8"/>
      <c r="M4" s="8"/>
      <c r="N4" s="8"/>
      <c r="O4" s="8"/>
    </row>
    <row r="5" spans="2:16" x14ac:dyDescent="0.25">
      <c r="K5" s="8"/>
      <c r="L5" s="8"/>
      <c r="M5" s="8"/>
      <c r="N5" s="8"/>
      <c r="O5" s="8"/>
      <c r="P5" s="114"/>
    </row>
    <row r="6" spans="2:16" x14ac:dyDescent="0.25">
      <c r="B6" s="114"/>
    </row>
    <row r="7" spans="2:16" x14ac:dyDescent="0.25">
      <c r="B7" s="114"/>
    </row>
    <row r="8" spans="2:16" x14ac:dyDescent="0.25"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</row>
    <row r="9" spans="2:16" x14ac:dyDescent="0.25"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76"/>
    </row>
    <row r="10" spans="2:16" x14ac:dyDescent="0.25">
      <c r="D10" s="11"/>
      <c r="E10" s="11"/>
      <c r="F10" s="11"/>
      <c r="G10" s="11"/>
      <c r="H10" s="11"/>
      <c r="I10" s="11"/>
      <c r="J10" s="11"/>
    </row>
    <row r="11" spans="2:16" x14ac:dyDescent="0.25">
      <c r="D11" s="156" t="s">
        <v>396</v>
      </c>
      <c r="E11" s="11"/>
      <c r="F11" s="553" t="s">
        <v>397</v>
      </c>
      <c r="G11" s="553"/>
      <c r="H11" s="553"/>
      <c r="I11" s="11"/>
      <c r="J11" s="156" t="s">
        <v>398</v>
      </c>
      <c r="K11" s="11"/>
      <c r="L11" s="553" t="s">
        <v>399</v>
      </c>
      <c r="M11" s="553"/>
      <c r="N11" s="553"/>
      <c r="O11" s="11"/>
      <c r="P11" s="33" t="s">
        <v>399</v>
      </c>
    </row>
    <row r="12" spans="2:16" x14ac:dyDescent="0.25">
      <c r="E12" s="172"/>
      <c r="F12" s="51" t="s">
        <v>340</v>
      </c>
      <c r="G12" s="51" t="s">
        <v>274</v>
      </c>
      <c r="H12" s="51" t="s">
        <v>276</v>
      </c>
      <c r="I12" s="172"/>
      <c r="L12" s="30" t="s">
        <v>340</v>
      </c>
      <c r="M12" s="29" t="s">
        <v>274</v>
      </c>
      <c r="N12" s="29" t="s">
        <v>276</v>
      </c>
    </row>
    <row r="13" spans="2:16" ht="51.75" customHeight="1" x14ac:dyDescent="0.25">
      <c r="D13" s="177" t="s">
        <v>400</v>
      </c>
      <c r="E13" s="177"/>
      <c r="F13" s="177"/>
      <c r="G13" s="177"/>
      <c r="H13" s="177"/>
      <c r="I13" s="177"/>
      <c r="J13" s="177" t="s">
        <v>401</v>
      </c>
      <c r="L13" s="51">
        <v>1</v>
      </c>
      <c r="M13" s="51">
        <v>2</v>
      </c>
      <c r="N13" s="51">
        <v>3</v>
      </c>
      <c r="P13" s="179"/>
    </row>
    <row r="14" spans="2:16" ht="41.25" customHeight="1" x14ac:dyDescent="0.25">
      <c r="D14" s="180" t="s">
        <v>402</v>
      </c>
      <c r="E14" s="180"/>
      <c r="F14" s="180" t="s">
        <v>403</v>
      </c>
      <c r="G14" s="180" t="s">
        <v>403</v>
      </c>
      <c r="H14" s="180" t="s">
        <v>403</v>
      </c>
      <c r="I14" s="180"/>
      <c r="J14" s="180" t="s">
        <v>403</v>
      </c>
      <c r="L14" s="180" t="s">
        <v>403</v>
      </c>
      <c r="M14" s="180" t="s">
        <v>403</v>
      </c>
      <c r="N14" s="180" t="s">
        <v>403</v>
      </c>
      <c r="P14" s="181" t="s">
        <v>404</v>
      </c>
    </row>
    <row r="15" spans="2:16" x14ac:dyDescent="0.25">
      <c r="C15" s="182">
        <f>'10. Indices-Forecast'!B5</f>
        <v>2022</v>
      </c>
      <c r="D15" s="183">
        <f>'10. Indices-Forecast'!Q5</f>
        <v>95.265188042430097</v>
      </c>
      <c r="E15" s="183"/>
      <c r="F15" s="184">
        <v>2.8175525750415562</v>
      </c>
      <c r="G15" s="184">
        <v>2.8175525750415562</v>
      </c>
      <c r="H15" s="184">
        <v>2.8175525750415562</v>
      </c>
      <c r="I15" s="183"/>
      <c r="J15" s="184">
        <v>0.14600199999999999</v>
      </c>
      <c r="K15" s="182">
        <f t="shared" ref="K15:K43" si="0">C15</f>
        <v>2022</v>
      </c>
      <c r="L15" s="184">
        <f>F15+J15</f>
        <v>2.9635545750415564</v>
      </c>
      <c r="M15" s="184">
        <f>G15+J15</f>
        <v>2.9635545750415564</v>
      </c>
      <c r="N15" s="184">
        <f>H15+J15</f>
        <v>2.9635545750415564</v>
      </c>
      <c r="O15" s="182"/>
      <c r="P15" s="185">
        <f>CHOOSE(HLOOKUP('Supply Porfolio (Live)'!$E$2,$L$12:$N$13,2,FALSE),L15,M15,N15)</f>
        <v>2.9635545750415564</v>
      </c>
    </row>
    <row r="16" spans="2:16" x14ac:dyDescent="0.25">
      <c r="C16" s="182">
        <f>'10. Indices-Forecast'!B6</f>
        <v>2023</v>
      </c>
      <c r="D16" s="183">
        <f>'10. Indices-Forecast'!Q6</f>
        <v>84.190402575522782</v>
      </c>
      <c r="E16" s="183"/>
      <c r="F16" s="184">
        <v>2.4850328086233695</v>
      </c>
      <c r="G16" s="184">
        <v>2.4850328086233695</v>
      </c>
      <c r="H16" s="184">
        <v>2.4850328086233695</v>
      </c>
      <c r="I16" s="183"/>
      <c r="J16" s="184">
        <v>0.14600199999999999</v>
      </c>
      <c r="K16" s="182">
        <f t="shared" si="0"/>
        <v>2023</v>
      </c>
      <c r="L16" s="184">
        <f t="shared" ref="L16:L43" si="1">F16+J16</f>
        <v>2.6310348086233697</v>
      </c>
      <c r="M16" s="184">
        <f t="shared" ref="M16:M43" si="2">G16+J16</f>
        <v>2.6310348086233697</v>
      </c>
      <c r="N16" s="184">
        <f t="shared" ref="N16:N43" si="3">H16+J16</f>
        <v>2.6310348086233697</v>
      </c>
      <c r="O16" s="182"/>
      <c r="P16" s="185">
        <f>CHOOSE(HLOOKUP('Supply Porfolio (Live)'!$E$2,$L$12:$N$13,2,FALSE),L16,M16,N16)</f>
        <v>2.6310348086233697</v>
      </c>
    </row>
    <row r="17" spans="3:16" x14ac:dyDescent="0.25">
      <c r="C17" s="182">
        <f>'10. Indices-Forecast'!B7</f>
        <v>2024</v>
      </c>
      <c r="D17" s="183">
        <f>'10. Indices-Forecast'!Q7</f>
        <v>66.338410241999995</v>
      </c>
      <c r="E17" s="183"/>
      <c r="F17" s="184">
        <v>1.9490278143433348</v>
      </c>
      <c r="G17" s="184">
        <v>1.8117335124208136</v>
      </c>
      <c r="H17" s="184">
        <v>2.0863824575674261</v>
      </c>
      <c r="I17" s="183"/>
      <c r="J17" s="184">
        <v>0.14600199999999999</v>
      </c>
      <c r="K17" s="182">
        <f t="shared" si="0"/>
        <v>2024</v>
      </c>
      <c r="L17" s="184">
        <f t="shared" si="1"/>
        <v>2.0950298143433348</v>
      </c>
      <c r="M17" s="184">
        <f t="shared" si="2"/>
        <v>1.9577355124208136</v>
      </c>
      <c r="N17" s="184">
        <f t="shared" si="3"/>
        <v>2.2323844575674263</v>
      </c>
      <c r="O17" s="182"/>
      <c r="P17" s="185">
        <f>CHOOSE(HLOOKUP('Supply Porfolio (Live)'!$E$2,$L$12:$N$13,2,FALSE),L17,M17,N17)</f>
        <v>2.0950298143433348</v>
      </c>
    </row>
    <row r="18" spans="3:16" x14ac:dyDescent="0.25">
      <c r="C18" s="182">
        <f>'10. Indices-Forecast'!B8</f>
        <v>2025</v>
      </c>
      <c r="D18" s="183">
        <f>'10. Indices-Forecast'!Q8</f>
        <v>67.125860339999988</v>
      </c>
      <c r="E18" s="183"/>
      <c r="F18" s="184">
        <v>1.9726709560940578</v>
      </c>
      <c r="G18" s="184">
        <v>1.8106269127308634</v>
      </c>
      <c r="H18" s="184">
        <v>2.162412248459582</v>
      </c>
      <c r="I18" s="183"/>
      <c r="J18" s="184">
        <v>0.14600199999999999</v>
      </c>
      <c r="K18" s="182">
        <f t="shared" si="0"/>
        <v>2025</v>
      </c>
      <c r="L18" s="184">
        <f t="shared" si="1"/>
        <v>2.1186729560940578</v>
      </c>
      <c r="M18" s="184">
        <f t="shared" si="2"/>
        <v>1.9566289127308634</v>
      </c>
      <c r="N18" s="184">
        <f t="shared" si="3"/>
        <v>2.3084142484595822</v>
      </c>
      <c r="O18" s="182"/>
      <c r="P18" s="185">
        <f>CHOOSE(HLOOKUP('Supply Porfolio (Live)'!$E$2,$L$12:$N$13,2,FALSE),L18,M18,N18)</f>
        <v>2.1186729560940578</v>
      </c>
    </row>
    <row r="19" spans="3:16" x14ac:dyDescent="0.25">
      <c r="C19" s="182">
        <f>'10. Indices-Forecast'!B9</f>
        <v>2026</v>
      </c>
      <c r="D19" s="183">
        <f>'10. Indices-Forecast'!Q9</f>
        <v>68.428384189999989</v>
      </c>
      <c r="E19" s="183"/>
      <c r="F19" s="184">
        <v>2.0117791562167882</v>
      </c>
      <c r="G19" s="184">
        <v>1.8315900039790081</v>
      </c>
      <c r="H19" s="184">
        <v>2.224485856013485</v>
      </c>
      <c r="I19" s="183"/>
      <c r="J19" s="184">
        <v>0.14600199999999999</v>
      </c>
      <c r="K19" s="182">
        <f t="shared" si="0"/>
        <v>2026</v>
      </c>
      <c r="L19" s="184">
        <f t="shared" si="1"/>
        <v>2.1577811562167883</v>
      </c>
      <c r="M19" s="184">
        <f t="shared" si="2"/>
        <v>1.977592003979008</v>
      </c>
      <c r="N19" s="184">
        <f t="shared" si="3"/>
        <v>2.3704878560134852</v>
      </c>
      <c r="O19" s="182"/>
      <c r="P19" s="185">
        <f>CHOOSE(HLOOKUP('Supply Porfolio (Live)'!$E$2,$L$12:$N$13,2,FALSE),L19,M19,N19)</f>
        <v>2.1577811562167883</v>
      </c>
    </row>
    <row r="20" spans="3:16" x14ac:dyDescent="0.25">
      <c r="C20" s="182">
        <f>'10. Indices-Forecast'!B10</f>
        <v>2027</v>
      </c>
      <c r="D20" s="183">
        <f>'10. Indices-Forecast'!Q10</f>
        <v>70.372870148999993</v>
      </c>
      <c r="E20" s="183"/>
      <c r="F20" s="184">
        <v>2.0701622299857725</v>
      </c>
      <c r="G20" s="184">
        <v>1.8426040351239579</v>
      </c>
      <c r="H20" s="184">
        <v>2.3008075767526615</v>
      </c>
      <c r="I20" s="183"/>
      <c r="J20" s="184">
        <v>0.14600199999999999</v>
      </c>
      <c r="K20" s="182">
        <f t="shared" si="0"/>
        <v>2027</v>
      </c>
      <c r="L20" s="184">
        <f t="shared" si="1"/>
        <v>2.2161642299857727</v>
      </c>
      <c r="M20" s="184">
        <f t="shared" si="2"/>
        <v>1.9886060351239578</v>
      </c>
      <c r="N20" s="184">
        <f t="shared" si="3"/>
        <v>2.4468095767526616</v>
      </c>
      <c r="O20" s="182"/>
      <c r="P20" s="185">
        <f>CHOOSE(HLOOKUP('Supply Porfolio (Live)'!$E$2,$L$12:$N$13,2,FALSE),L20,M20,N20)</f>
        <v>2.2161642299857727</v>
      </c>
    </row>
    <row r="21" spans="3:16" x14ac:dyDescent="0.25">
      <c r="C21" s="182">
        <f>'10. Indices-Forecast'!B11</f>
        <v>2028</v>
      </c>
      <c r="D21" s="183">
        <f>'10. Indices-Forecast'!Q11</f>
        <v>71.794520410999993</v>
      </c>
      <c r="E21" s="183"/>
      <c r="F21" s="184">
        <v>2.1128471934517608</v>
      </c>
      <c r="G21" s="184">
        <v>1.8268630507382668</v>
      </c>
      <c r="H21" s="184">
        <v>2.3613012572345311</v>
      </c>
      <c r="I21" s="183"/>
      <c r="J21" s="184">
        <v>0.14600199999999999</v>
      </c>
      <c r="K21" s="182">
        <f t="shared" si="0"/>
        <v>2028</v>
      </c>
      <c r="L21" s="184">
        <f t="shared" si="1"/>
        <v>2.2588491934517609</v>
      </c>
      <c r="M21" s="184">
        <f t="shared" si="2"/>
        <v>1.9728650507382668</v>
      </c>
      <c r="N21" s="184">
        <f t="shared" si="3"/>
        <v>2.5073032572345313</v>
      </c>
      <c r="O21" s="182"/>
      <c r="P21" s="185">
        <f>CHOOSE(HLOOKUP('Supply Porfolio (Live)'!$E$2,$L$12:$N$13,2,FALSE),L21,M21,N21)</f>
        <v>2.2588491934517609</v>
      </c>
    </row>
    <row r="22" spans="3:16" x14ac:dyDescent="0.25">
      <c r="C22" s="182">
        <f>'10. Indices-Forecast'!B12</f>
        <v>2029</v>
      </c>
      <c r="D22" s="183">
        <f>'10. Indices-Forecast'!Q12</f>
        <v>72.849779906999999</v>
      </c>
      <c r="E22" s="183"/>
      <c r="F22" s="184">
        <v>2.1445312962426462</v>
      </c>
      <c r="G22" s="184">
        <v>1.8273684480587495</v>
      </c>
      <c r="H22" s="184">
        <v>2.5424791910584723</v>
      </c>
      <c r="I22" s="183"/>
      <c r="J22" s="184">
        <v>0.14600199999999999</v>
      </c>
      <c r="K22" s="182">
        <f t="shared" si="0"/>
        <v>2029</v>
      </c>
      <c r="L22" s="184">
        <f t="shared" si="1"/>
        <v>2.2905332962426463</v>
      </c>
      <c r="M22" s="184">
        <f t="shared" si="2"/>
        <v>1.9733704480587495</v>
      </c>
      <c r="N22" s="184">
        <f t="shared" si="3"/>
        <v>2.6884811910584725</v>
      </c>
      <c r="O22" s="182"/>
      <c r="P22" s="185">
        <f>CHOOSE(HLOOKUP('Supply Porfolio (Live)'!$E$2,$L$12:$N$13,2,FALSE),L22,M22,N22)</f>
        <v>2.2905332962426463</v>
      </c>
    </row>
    <row r="23" spans="3:16" x14ac:dyDescent="0.25">
      <c r="C23" s="182">
        <f>'10. Indices-Forecast'!B13</f>
        <v>2030</v>
      </c>
      <c r="D23" s="183">
        <f>'10. Indices-Forecast'!Q13</f>
        <v>73.969844643999991</v>
      </c>
      <c r="E23" s="183"/>
      <c r="F23" s="184">
        <v>2.1781611724902166</v>
      </c>
      <c r="G23" s="184">
        <v>1.8066927408216977</v>
      </c>
      <c r="H23" s="184">
        <v>2.6084872818801665</v>
      </c>
      <c r="I23" s="183"/>
      <c r="J23" s="184">
        <v>0.14600199999999999</v>
      </c>
      <c r="K23" s="182">
        <f t="shared" si="0"/>
        <v>2030</v>
      </c>
      <c r="L23" s="184">
        <f t="shared" si="1"/>
        <v>2.3241631724902168</v>
      </c>
      <c r="M23" s="184">
        <f t="shared" si="2"/>
        <v>1.9526947408216977</v>
      </c>
      <c r="N23" s="184">
        <f t="shared" si="3"/>
        <v>2.7544892818801667</v>
      </c>
      <c r="O23" s="182"/>
      <c r="P23" s="185">
        <f>CHOOSE(HLOOKUP('Supply Porfolio (Live)'!$E$2,$L$12:$N$13,2,FALSE),L23,M23,N23)</f>
        <v>2.3241631724902168</v>
      </c>
    </row>
    <row r="24" spans="3:16" x14ac:dyDescent="0.25">
      <c r="C24" s="182">
        <f>'10. Indices-Forecast'!B14</f>
        <v>2031</v>
      </c>
      <c r="D24" s="183">
        <f>'10. Indices-Forecast'!Q14</f>
        <v>75.517646993</v>
      </c>
      <c r="E24" s="183"/>
      <c r="F24" s="184">
        <v>2.2246338447680598</v>
      </c>
      <c r="G24" s="184">
        <v>1.8294950897408342</v>
      </c>
      <c r="H24" s="184">
        <v>2.6748248835349475</v>
      </c>
      <c r="I24" s="183"/>
      <c r="J24" s="184">
        <v>0.14600199999999999</v>
      </c>
      <c r="K24" s="182">
        <f t="shared" si="0"/>
        <v>2031</v>
      </c>
      <c r="L24" s="184">
        <f t="shared" si="1"/>
        <v>2.37063584476806</v>
      </c>
      <c r="M24" s="184">
        <f t="shared" si="2"/>
        <v>1.9754970897408342</v>
      </c>
      <c r="N24" s="184">
        <f t="shared" si="3"/>
        <v>2.8208268835349477</v>
      </c>
      <c r="O24" s="182"/>
      <c r="P24" s="185">
        <f>CHOOSE(HLOOKUP('Supply Porfolio (Live)'!$E$2,$L$12:$N$13,2,FALSE),L24,M24,N24)</f>
        <v>2.37063584476806</v>
      </c>
    </row>
    <row r="25" spans="3:16" x14ac:dyDescent="0.25">
      <c r="C25" s="182">
        <f>'10. Indices-Forecast'!B15</f>
        <v>2032</v>
      </c>
      <c r="D25" s="183">
        <f>'10. Indices-Forecast'!Q15</f>
        <v>76.731425419999994</v>
      </c>
      <c r="E25" s="183"/>
      <c r="F25" s="184">
        <v>2.2610774689118851</v>
      </c>
      <c r="G25" s="184">
        <v>1.8515012635193806</v>
      </c>
      <c r="H25" s="184">
        <v>2.7400217605944523</v>
      </c>
      <c r="I25" s="183"/>
      <c r="J25" s="184">
        <v>0.14600199999999999</v>
      </c>
      <c r="K25" s="182">
        <f t="shared" si="0"/>
        <v>2032</v>
      </c>
      <c r="L25" s="184">
        <f t="shared" si="1"/>
        <v>2.4070794689118853</v>
      </c>
      <c r="M25" s="184">
        <f t="shared" si="2"/>
        <v>1.9975032635193806</v>
      </c>
      <c r="N25" s="184">
        <f t="shared" si="3"/>
        <v>2.8860237605944525</v>
      </c>
      <c r="O25" s="182"/>
      <c r="P25" s="185">
        <f>CHOOSE(HLOOKUP('Supply Porfolio (Live)'!$E$2,$L$12:$N$13,2,FALSE),L25,M25,N25)</f>
        <v>2.4070794689118853</v>
      </c>
    </row>
    <row r="26" spans="3:16" x14ac:dyDescent="0.25">
      <c r="C26" s="182">
        <f>'10. Indices-Forecast'!B16</f>
        <v>2033</v>
      </c>
      <c r="D26" s="183">
        <f>'10. Indices-Forecast'!Q16</f>
        <v>77.552136255999997</v>
      </c>
      <c r="E26" s="183"/>
      <c r="F26" s="184">
        <v>2.2857192623171896</v>
      </c>
      <c r="G26" s="184">
        <v>1.8616174920684641</v>
      </c>
      <c r="H26" s="184">
        <v>2.78445341481215</v>
      </c>
      <c r="I26" s="183"/>
      <c r="J26" s="184">
        <v>0.14600199999999999</v>
      </c>
      <c r="K26" s="182">
        <f t="shared" si="0"/>
        <v>2033</v>
      </c>
      <c r="L26" s="184">
        <f t="shared" si="1"/>
        <v>2.4317212623171898</v>
      </c>
      <c r="M26" s="184">
        <f t="shared" si="2"/>
        <v>2.0076194920684642</v>
      </c>
      <c r="N26" s="184">
        <f t="shared" si="3"/>
        <v>2.9304554148121502</v>
      </c>
      <c r="O26" s="182"/>
      <c r="P26" s="185">
        <f>CHOOSE(HLOOKUP('Supply Porfolio (Live)'!$E$2,$L$12:$N$13,2,FALSE),L26,M26,N26)</f>
        <v>2.4317212623171898</v>
      </c>
    </row>
    <row r="27" spans="3:16" x14ac:dyDescent="0.25">
      <c r="C27" s="182">
        <f>'10. Indices-Forecast'!B17</f>
        <v>2034</v>
      </c>
      <c r="D27" s="183">
        <f>'10. Indices-Forecast'!Q17</f>
        <v>77.970457908</v>
      </c>
      <c r="E27" s="183"/>
      <c r="F27" s="184">
        <v>2.2982793447157479</v>
      </c>
      <c r="G27" s="184">
        <v>1.8739400389718299</v>
      </c>
      <c r="H27" s="184">
        <v>2.8215985299386319</v>
      </c>
      <c r="I27" s="183"/>
      <c r="J27" s="184">
        <v>0.14600199999999999</v>
      </c>
      <c r="K27" s="182">
        <f t="shared" si="0"/>
        <v>2034</v>
      </c>
      <c r="L27" s="184">
        <f t="shared" si="1"/>
        <v>2.4442813447157481</v>
      </c>
      <c r="M27" s="184">
        <f t="shared" si="2"/>
        <v>2.0199420389718301</v>
      </c>
      <c r="N27" s="184">
        <f t="shared" si="3"/>
        <v>2.9676005299386321</v>
      </c>
      <c r="O27" s="182"/>
      <c r="P27" s="185">
        <f>CHOOSE(HLOOKUP('Supply Porfolio (Live)'!$E$2,$L$12:$N$13,2,FALSE),L27,M27,N27)</f>
        <v>2.4442813447157481</v>
      </c>
    </row>
    <row r="28" spans="3:16" x14ac:dyDescent="0.25">
      <c r="C28" s="182">
        <f>'10. Indices-Forecast'!B18</f>
        <v>2035</v>
      </c>
      <c r="D28" s="183">
        <f>'10. Indices-Forecast'!Q18</f>
        <v>78.711315595999992</v>
      </c>
      <c r="E28" s="183"/>
      <c r="F28" s="184">
        <v>2.3205235521632868</v>
      </c>
      <c r="G28" s="184">
        <v>1.8861498740528608</v>
      </c>
      <c r="H28" s="184">
        <v>2.8350204530118424</v>
      </c>
      <c r="I28" s="183"/>
      <c r="J28" s="184">
        <v>0.14600199999999999</v>
      </c>
      <c r="K28" s="182">
        <f t="shared" si="0"/>
        <v>2035</v>
      </c>
      <c r="L28" s="184">
        <f t="shared" si="1"/>
        <v>2.4665255521632869</v>
      </c>
      <c r="M28" s="184">
        <f t="shared" si="2"/>
        <v>2.032151874052861</v>
      </c>
      <c r="N28" s="184">
        <f t="shared" si="3"/>
        <v>2.9810224530118425</v>
      </c>
      <c r="O28" s="182"/>
      <c r="P28" s="185">
        <f>CHOOSE(HLOOKUP('Supply Porfolio (Live)'!$E$2,$L$12:$N$13,2,FALSE),L28,M28,N28)</f>
        <v>2.4665255521632869</v>
      </c>
    </row>
    <row r="29" spans="3:16" x14ac:dyDescent="0.25">
      <c r="C29" s="182">
        <f>'10. Indices-Forecast'!B19</f>
        <v>2036</v>
      </c>
      <c r="D29" s="183">
        <f>'10. Indices-Forecast'!Q19</f>
        <v>79.970404700999993</v>
      </c>
      <c r="E29" s="183"/>
      <c r="F29" s="184">
        <v>2.3583276266842175</v>
      </c>
      <c r="G29" s="184">
        <v>1.9006451437148457</v>
      </c>
      <c r="H29" s="184">
        <v>2.881669603358469</v>
      </c>
      <c r="I29" s="183"/>
      <c r="J29" s="184">
        <v>0.14600199999999999</v>
      </c>
      <c r="K29" s="182">
        <f t="shared" si="0"/>
        <v>2036</v>
      </c>
      <c r="L29" s="184">
        <f t="shared" si="1"/>
        <v>2.5043296266842177</v>
      </c>
      <c r="M29" s="184">
        <f t="shared" si="2"/>
        <v>2.0466471437148459</v>
      </c>
      <c r="N29" s="184">
        <f t="shared" si="3"/>
        <v>3.0276716033584692</v>
      </c>
      <c r="O29" s="182"/>
      <c r="P29" s="185">
        <f>CHOOSE(HLOOKUP('Supply Porfolio (Live)'!$E$2,$L$12:$N$13,2,FALSE),L29,M29,N29)</f>
        <v>2.5043296266842177</v>
      </c>
    </row>
    <row r="30" spans="3:16" x14ac:dyDescent="0.25">
      <c r="C30" s="182">
        <f>'10. Indices-Forecast'!B20</f>
        <v>2037</v>
      </c>
      <c r="D30" s="183">
        <f>'10. Indices-Forecast'!Q20</f>
        <v>80.892155631999998</v>
      </c>
      <c r="E30" s="183"/>
      <c r="F30" s="184">
        <v>2.3860031428545057</v>
      </c>
      <c r="G30" s="184">
        <v>1.9311220468439672</v>
      </c>
      <c r="H30" s="184">
        <v>2.8950908414427037</v>
      </c>
      <c r="I30" s="183"/>
      <c r="J30" s="184">
        <v>0.14600199999999999</v>
      </c>
      <c r="K30" s="182">
        <f t="shared" si="0"/>
        <v>2037</v>
      </c>
      <c r="L30" s="184">
        <f t="shared" si="1"/>
        <v>2.5320051428545058</v>
      </c>
      <c r="M30" s="184">
        <f t="shared" si="2"/>
        <v>2.0771240468439673</v>
      </c>
      <c r="N30" s="184">
        <f t="shared" si="3"/>
        <v>3.0410928414427039</v>
      </c>
      <c r="O30" s="182"/>
      <c r="P30" s="185">
        <f>CHOOSE(HLOOKUP('Supply Porfolio (Live)'!$E$2,$L$12:$N$13,2,FALSE),L30,M30,N30)</f>
        <v>2.5320051428545058</v>
      </c>
    </row>
    <row r="31" spans="3:16" x14ac:dyDescent="0.25">
      <c r="C31" s="182">
        <f>'10. Indices-Forecast'!B21</f>
        <v>2038</v>
      </c>
      <c r="D31" s="183">
        <f>'10. Indices-Forecast'!Q21</f>
        <v>81.961394924999993</v>
      </c>
      <c r="E31" s="183"/>
      <c r="F31" s="184">
        <v>2.4181069882080717</v>
      </c>
      <c r="G31" s="184">
        <v>1.9574082496925915</v>
      </c>
      <c r="H31" s="184">
        <v>2.9382390131354557</v>
      </c>
      <c r="I31" s="183"/>
      <c r="J31" s="184">
        <v>0.14600199999999999</v>
      </c>
      <c r="K31" s="182">
        <f t="shared" si="0"/>
        <v>2038</v>
      </c>
      <c r="L31" s="184">
        <f t="shared" si="1"/>
        <v>2.5641089882080719</v>
      </c>
      <c r="M31" s="184">
        <f t="shared" si="2"/>
        <v>2.1034102496925917</v>
      </c>
      <c r="N31" s="184">
        <f t="shared" si="3"/>
        <v>3.0842410131354558</v>
      </c>
      <c r="O31" s="182"/>
      <c r="P31" s="185">
        <f>CHOOSE(HLOOKUP('Supply Porfolio (Live)'!$E$2,$L$12:$N$13,2,FALSE),L31,M31,N31)</f>
        <v>2.5641089882080719</v>
      </c>
    </row>
    <row r="32" spans="3:16" x14ac:dyDescent="0.25">
      <c r="C32" s="182">
        <f>'10. Indices-Forecast'!B22</f>
        <v>2039</v>
      </c>
      <c r="D32" s="183">
        <f>'10. Indices-Forecast'!Q22</f>
        <v>82.228968923999986</v>
      </c>
      <c r="E32" s="183"/>
      <c r="F32" s="184">
        <v>2.4261408814074406</v>
      </c>
      <c r="G32" s="184">
        <v>1.968761848554224</v>
      </c>
      <c r="H32" s="184">
        <v>2.9612616482819458</v>
      </c>
      <c r="I32" s="183"/>
      <c r="J32" s="184">
        <v>0.14600199999999999</v>
      </c>
      <c r="K32" s="182">
        <f t="shared" si="0"/>
        <v>2039</v>
      </c>
      <c r="L32" s="184">
        <f t="shared" si="1"/>
        <v>2.5721428814074407</v>
      </c>
      <c r="M32" s="184">
        <f t="shared" si="2"/>
        <v>2.1147638485542242</v>
      </c>
      <c r="N32" s="184">
        <f t="shared" si="3"/>
        <v>3.107263648281946</v>
      </c>
      <c r="O32" s="182"/>
      <c r="P32" s="185">
        <f>CHOOSE(HLOOKUP('Supply Porfolio (Live)'!$E$2,$L$12:$N$13,2,FALSE),L32,M32,N32)</f>
        <v>2.5721428814074407</v>
      </c>
    </row>
    <row r="33" spans="3:16" x14ac:dyDescent="0.25">
      <c r="C33" s="182">
        <f>'10. Indices-Forecast'!B23</f>
        <v>2040</v>
      </c>
      <c r="D33" s="183">
        <f>'10. Indices-Forecast'!Q23</f>
        <v>83.793598671999987</v>
      </c>
      <c r="E33" s="183"/>
      <c r="F33" s="184">
        <v>2.4731187953264531</v>
      </c>
      <c r="G33" s="184">
        <v>2.0275409082227824</v>
      </c>
      <c r="H33" s="184">
        <v>2.9176341088497821</v>
      </c>
      <c r="I33" s="183"/>
      <c r="J33" s="184">
        <v>0.14600199999999999</v>
      </c>
      <c r="K33" s="182">
        <f t="shared" si="0"/>
        <v>2040</v>
      </c>
      <c r="L33" s="184">
        <f t="shared" si="1"/>
        <v>2.6191207953264533</v>
      </c>
      <c r="M33" s="184">
        <f t="shared" si="2"/>
        <v>2.1735429082227826</v>
      </c>
      <c r="N33" s="184">
        <f t="shared" si="3"/>
        <v>3.0636361088497823</v>
      </c>
      <c r="O33" s="182"/>
      <c r="P33" s="185">
        <f>CHOOSE(HLOOKUP('Supply Porfolio (Live)'!$E$2,$L$12:$N$13,2,FALSE),L33,M33,N33)</f>
        <v>2.6191207953264533</v>
      </c>
    </row>
    <row r="34" spans="3:16" x14ac:dyDescent="0.25">
      <c r="C34" s="182">
        <f>'10. Indices-Forecast'!B24</f>
        <v>2041</v>
      </c>
      <c r="D34" s="183">
        <f>'10. Indices-Forecast'!Q24</f>
        <v>84.750745523999981</v>
      </c>
      <c r="E34" s="183"/>
      <c r="F34" s="184">
        <v>2.5018570718922586</v>
      </c>
      <c r="G34" s="184">
        <v>2.0482128168846065</v>
      </c>
      <c r="H34" s="184">
        <v>2.9265913360522875</v>
      </c>
      <c r="I34" s="183"/>
      <c r="J34" s="184">
        <v>0.14600199999999999</v>
      </c>
      <c r="K34" s="182">
        <f t="shared" si="0"/>
        <v>2041</v>
      </c>
      <c r="L34" s="184">
        <f t="shared" si="1"/>
        <v>2.6478590718922588</v>
      </c>
      <c r="M34" s="184">
        <f t="shared" si="2"/>
        <v>2.1942148168846067</v>
      </c>
      <c r="N34" s="184">
        <f t="shared" si="3"/>
        <v>3.0725933360522877</v>
      </c>
      <c r="O34" s="182"/>
      <c r="P34" s="185">
        <f>CHOOSE(HLOOKUP('Supply Porfolio (Live)'!$E$2,$L$12:$N$13,2,FALSE),L34,M34,N34)</f>
        <v>2.6478590718922588</v>
      </c>
    </row>
    <row r="35" spans="3:16" x14ac:dyDescent="0.25">
      <c r="C35" s="182">
        <f>'10. Indices-Forecast'!B25</f>
        <v>2042</v>
      </c>
      <c r="D35" s="183">
        <f>'10. Indices-Forecast'!Q25</f>
        <v>85.154645617</v>
      </c>
      <c r="E35" s="183"/>
      <c r="F35" s="184">
        <v>2.5139841478507012</v>
      </c>
      <c r="G35" s="184">
        <v>2.0572968604551707</v>
      </c>
      <c r="H35" s="184">
        <v>2.949401842567406</v>
      </c>
      <c r="I35" s="183"/>
      <c r="J35" s="184">
        <v>0.14600199999999999</v>
      </c>
      <c r="K35" s="182">
        <f t="shared" si="0"/>
        <v>2042</v>
      </c>
      <c r="L35" s="184">
        <f t="shared" si="1"/>
        <v>2.6599861478507014</v>
      </c>
      <c r="M35" s="184">
        <f t="shared" si="2"/>
        <v>2.2032988604551709</v>
      </c>
      <c r="N35" s="184">
        <f t="shared" si="3"/>
        <v>3.0954038425674062</v>
      </c>
      <c r="O35" s="182"/>
      <c r="P35" s="185">
        <f>CHOOSE(HLOOKUP('Supply Porfolio (Live)'!$E$2,$L$12:$N$13,2,FALSE),L35,M35,N35)</f>
        <v>2.6599861478507014</v>
      </c>
    </row>
    <row r="36" spans="3:16" x14ac:dyDescent="0.25">
      <c r="C36" s="182">
        <f>'10. Indices-Forecast'!B26</f>
        <v>2043</v>
      </c>
      <c r="D36" s="183">
        <f>'10. Indices-Forecast'!Q26</f>
        <v>86.632460835999993</v>
      </c>
      <c r="E36" s="183"/>
      <c r="F36" s="184">
        <v>2.5583554607668284</v>
      </c>
      <c r="G36" s="184">
        <v>2.0913165577015369</v>
      </c>
      <c r="H36" s="184">
        <v>2.9976028977097942</v>
      </c>
      <c r="I36" s="183"/>
      <c r="J36" s="184">
        <v>0.14600199999999999</v>
      </c>
      <c r="K36" s="182">
        <f t="shared" si="0"/>
        <v>2043</v>
      </c>
      <c r="L36" s="184">
        <f t="shared" si="1"/>
        <v>2.7043574607668286</v>
      </c>
      <c r="M36" s="184">
        <f t="shared" si="2"/>
        <v>2.2373185577015371</v>
      </c>
      <c r="N36" s="184">
        <f t="shared" si="3"/>
        <v>3.1436048977097943</v>
      </c>
      <c r="O36" s="182"/>
      <c r="P36" s="185">
        <f>CHOOSE(HLOOKUP('Supply Porfolio (Live)'!$E$2,$L$12:$N$13,2,FALSE),L36,M36,N36)</f>
        <v>2.7043574607668286</v>
      </c>
    </row>
    <row r="37" spans="3:16" x14ac:dyDescent="0.25">
      <c r="C37" s="182">
        <f>'10. Indices-Forecast'!B27</f>
        <v>2044</v>
      </c>
      <c r="D37" s="183">
        <f>'10. Indices-Forecast'!Q27</f>
        <v>88.411402188999986</v>
      </c>
      <c r="E37" s="183"/>
      <c r="F37" s="184">
        <v>2.6117680677142752</v>
      </c>
      <c r="G37" s="184">
        <v>2.1226047057287096</v>
      </c>
      <c r="H37" s="184">
        <v>3.0361590589899823</v>
      </c>
      <c r="I37" s="183"/>
      <c r="J37" s="184">
        <v>0.14600199999999999</v>
      </c>
      <c r="K37" s="182">
        <f t="shared" si="0"/>
        <v>2044</v>
      </c>
      <c r="L37" s="184">
        <f t="shared" si="1"/>
        <v>2.7577700677142754</v>
      </c>
      <c r="M37" s="184">
        <f t="shared" si="2"/>
        <v>2.2686067057287098</v>
      </c>
      <c r="N37" s="184">
        <f t="shared" si="3"/>
        <v>3.1821610589899825</v>
      </c>
      <c r="O37" s="182"/>
      <c r="P37" s="185">
        <f>CHOOSE(HLOOKUP('Supply Porfolio (Live)'!$E$2,$L$12:$N$13,2,FALSE),L37,M37,N37)</f>
        <v>2.7577700677142754</v>
      </c>
    </row>
    <row r="38" spans="3:16" x14ac:dyDescent="0.25">
      <c r="C38" s="182">
        <f>'10. Indices-Forecast'!B28</f>
        <v>2045</v>
      </c>
      <c r="D38" s="183">
        <f>'10. Indices-Forecast'!Q28</f>
        <v>88.897733411999994</v>
      </c>
      <c r="E38" s="183"/>
      <c r="F38" s="184">
        <v>2.6263701333847167</v>
      </c>
      <c r="G38" s="184">
        <v>2.1458560960571607</v>
      </c>
      <c r="H38" s="184">
        <v>3.0867341613780681</v>
      </c>
      <c r="I38" s="183"/>
      <c r="J38" s="184">
        <v>0.14600199999999999</v>
      </c>
      <c r="K38" s="182">
        <f t="shared" si="0"/>
        <v>2045</v>
      </c>
      <c r="L38" s="184">
        <f t="shared" si="1"/>
        <v>2.7723721333847169</v>
      </c>
      <c r="M38" s="184">
        <f t="shared" si="2"/>
        <v>2.2918580960571608</v>
      </c>
      <c r="N38" s="184">
        <f t="shared" si="3"/>
        <v>3.2327361613780683</v>
      </c>
      <c r="O38" s="182"/>
      <c r="P38" s="185">
        <f>CHOOSE(HLOOKUP('Supply Porfolio (Live)'!$E$2,$L$12:$N$13,2,FALSE),L38,M38,N38)</f>
        <v>2.7723721333847169</v>
      </c>
    </row>
    <row r="39" spans="3:16" x14ac:dyDescent="0.25">
      <c r="C39" s="182">
        <f>'10. Indices-Forecast'!B29</f>
        <v>2046</v>
      </c>
      <c r="D39" s="183">
        <f>'10. Indices-Forecast'!Q29</f>
        <v>90.187242911999988</v>
      </c>
      <c r="E39" s="183"/>
      <c r="F39" s="184">
        <v>2.6650875784327761</v>
      </c>
      <c r="G39" s="184">
        <v>2.1733850557225511</v>
      </c>
      <c r="H39" s="184">
        <v>3.1299887554489247</v>
      </c>
      <c r="I39" s="183"/>
      <c r="J39" s="184">
        <v>0.14600199999999999</v>
      </c>
      <c r="K39" s="182">
        <f t="shared" si="0"/>
        <v>2046</v>
      </c>
      <c r="L39" s="184">
        <f t="shared" si="1"/>
        <v>2.8110895784327763</v>
      </c>
      <c r="M39" s="184">
        <f t="shared" si="2"/>
        <v>2.3193870557225513</v>
      </c>
      <c r="N39" s="184">
        <f t="shared" si="3"/>
        <v>3.2759907554489249</v>
      </c>
      <c r="O39" s="182"/>
      <c r="P39" s="185">
        <f>CHOOSE(HLOOKUP('Supply Porfolio (Live)'!$E$2,$L$12:$N$13,2,FALSE),L39,M39,N39)</f>
        <v>2.8110895784327763</v>
      </c>
    </row>
    <row r="40" spans="3:16" x14ac:dyDescent="0.25">
      <c r="C40" s="182">
        <f>'10. Indices-Forecast'!B30</f>
        <v>2047</v>
      </c>
      <c r="D40" s="183">
        <f>'10. Indices-Forecast'!Q30</f>
        <v>90.134669085999988</v>
      </c>
      <c r="E40" s="183"/>
      <c r="F40" s="184">
        <v>2.6635090524745557</v>
      </c>
      <c r="G40" s="184">
        <v>2.1681278587430337</v>
      </c>
      <c r="H40" s="184">
        <v>3.16178500961662</v>
      </c>
      <c r="I40" s="183"/>
      <c r="J40" s="184">
        <v>0.14600199999999999</v>
      </c>
      <c r="K40" s="182">
        <f t="shared" si="0"/>
        <v>2047</v>
      </c>
      <c r="L40" s="184">
        <f t="shared" si="1"/>
        <v>2.8095110524745559</v>
      </c>
      <c r="M40" s="184">
        <f t="shared" si="2"/>
        <v>2.3141298587430339</v>
      </c>
      <c r="N40" s="184">
        <f t="shared" si="3"/>
        <v>3.3077870096166202</v>
      </c>
      <c r="O40" s="182"/>
      <c r="P40" s="185">
        <f>CHOOSE(HLOOKUP('Supply Porfolio (Live)'!$E$2,$L$12:$N$13,2,FALSE),L40,M40,N40)</f>
        <v>2.8095110524745559</v>
      </c>
    </row>
    <row r="41" spans="3:16" x14ac:dyDescent="0.25">
      <c r="C41" s="182">
        <f>'10. Indices-Forecast'!B31</f>
        <v>2048</v>
      </c>
      <c r="D41" s="183">
        <f>'10. Indices-Forecast'!Q31</f>
        <v>90.259325818999997</v>
      </c>
      <c r="E41" s="183"/>
      <c r="F41" s="184">
        <v>2.6672518633726519</v>
      </c>
      <c r="G41" s="184">
        <v>2.1805297709599722</v>
      </c>
      <c r="H41" s="184">
        <v>3.2184408525479711</v>
      </c>
      <c r="I41" s="183"/>
      <c r="J41" s="184">
        <v>0.14600199999999999</v>
      </c>
      <c r="K41" s="182">
        <f t="shared" si="0"/>
        <v>2048</v>
      </c>
      <c r="L41" s="184">
        <f t="shared" si="1"/>
        <v>2.813253863372652</v>
      </c>
      <c r="M41" s="184">
        <f t="shared" si="2"/>
        <v>2.3265317709599724</v>
      </c>
      <c r="N41" s="184">
        <f t="shared" si="3"/>
        <v>3.3644428525479713</v>
      </c>
      <c r="O41" s="182"/>
      <c r="P41" s="185">
        <f>CHOOSE(HLOOKUP('Supply Porfolio (Live)'!$E$2,$L$12:$N$13,2,FALSE),L41,M41,N41)</f>
        <v>2.813253863372652</v>
      </c>
    </row>
    <row r="42" spans="3:16" x14ac:dyDescent="0.25">
      <c r="C42" s="182">
        <f>'10. Indices-Forecast'!B32</f>
        <v>2049</v>
      </c>
      <c r="D42" s="183">
        <f>'10. Indices-Forecast'!Q32</f>
        <v>90.576632263999983</v>
      </c>
      <c r="E42" s="183"/>
      <c r="F42" s="184">
        <v>2.6767789702669265</v>
      </c>
      <c r="G42" s="184">
        <v>2.2127623942409351</v>
      </c>
      <c r="H42" s="184">
        <v>3.2336995112873099</v>
      </c>
      <c r="I42" s="183"/>
      <c r="J42" s="184">
        <v>0.14600199999999999</v>
      </c>
      <c r="K42" s="182">
        <f t="shared" si="0"/>
        <v>2049</v>
      </c>
      <c r="L42" s="184">
        <f t="shared" si="1"/>
        <v>2.8227809702669266</v>
      </c>
      <c r="M42" s="184">
        <f t="shared" si="2"/>
        <v>2.3587643942409353</v>
      </c>
      <c r="N42" s="184">
        <f t="shared" si="3"/>
        <v>3.3797015112873101</v>
      </c>
      <c r="O42" s="182"/>
      <c r="P42" s="185">
        <f>CHOOSE(HLOOKUP('Supply Porfolio (Live)'!$E$2,$L$12:$N$13,2,FALSE),L42,M42,N42)</f>
        <v>2.8227809702669266</v>
      </c>
    </row>
    <row r="43" spans="3:16" x14ac:dyDescent="0.25">
      <c r="C43" s="182">
        <f>'10. Indices-Forecast'!B33</f>
        <v>2050</v>
      </c>
      <c r="D43" s="183">
        <f>'10. Indices-Forecast'!Q33</f>
        <v>90.29125712299998</v>
      </c>
      <c r="E43" s="183"/>
      <c r="F43" s="184">
        <v>2.6682105988514775</v>
      </c>
      <c r="G43" s="184">
        <v>2.223369853293053</v>
      </c>
      <c r="H43" s="184">
        <v>3.2596138273939523</v>
      </c>
      <c r="I43" s="183"/>
      <c r="J43" s="184">
        <v>0.14600199999999999</v>
      </c>
      <c r="K43" s="182">
        <f t="shared" si="0"/>
        <v>2050</v>
      </c>
      <c r="L43" s="184">
        <f t="shared" si="1"/>
        <v>2.8142125988514777</v>
      </c>
      <c r="M43" s="184">
        <f t="shared" si="2"/>
        <v>2.3693718532930532</v>
      </c>
      <c r="N43" s="184">
        <f t="shared" si="3"/>
        <v>3.4056158273939525</v>
      </c>
      <c r="O43" s="182"/>
      <c r="P43" s="185">
        <f>CHOOSE(HLOOKUP('Supply Porfolio (Live)'!$E$2,$L$12:$N$13,2,FALSE),L43,M43,N43)</f>
        <v>2.8142125988514777</v>
      </c>
    </row>
    <row r="44" spans="3:16" x14ac:dyDescent="0.25">
      <c r="C44" s="182"/>
      <c r="D44" s="183"/>
      <c r="E44" s="183"/>
      <c r="F44" s="183"/>
      <c r="G44" s="183"/>
      <c r="H44" s="183"/>
      <c r="I44" s="183"/>
      <c r="J44" s="183"/>
    </row>
    <row r="45" spans="3:16" x14ac:dyDescent="0.25">
      <c r="C45" s="182"/>
      <c r="D45" s="183"/>
      <c r="E45" s="183"/>
      <c r="F45" s="183"/>
      <c r="G45" s="183"/>
      <c r="H45" s="183"/>
      <c r="I45" s="183"/>
      <c r="J45" s="183"/>
    </row>
    <row r="46" spans="3:16" x14ac:dyDescent="0.25">
      <c r="C46" s="182"/>
      <c r="D46" s="183"/>
      <c r="E46" s="183"/>
      <c r="F46" s="183"/>
      <c r="G46" s="183"/>
      <c r="H46" s="183"/>
      <c r="I46" s="183"/>
      <c r="J46" s="183"/>
    </row>
    <row r="47" spans="3:16" x14ac:dyDescent="0.25">
      <c r="C47" s="182"/>
      <c r="D47" s="183"/>
      <c r="E47" s="183"/>
      <c r="F47" s="183"/>
      <c r="G47" s="183"/>
      <c r="H47" s="183"/>
      <c r="I47" s="183"/>
      <c r="J47" s="183"/>
    </row>
    <row r="48" spans="3:16" x14ac:dyDescent="0.25">
      <c r="C48" s="182"/>
      <c r="D48" s="183"/>
      <c r="E48" s="183"/>
      <c r="F48" s="183"/>
      <c r="G48" s="183"/>
      <c r="H48" s="183"/>
      <c r="I48" s="183"/>
      <c r="J48" s="183"/>
    </row>
    <row r="49" spans="3:10" x14ac:dyDescent="0.25">
      <c r="C49" s="182"/>
      <c r="D49" s="183"/>
      <c r="E49" s="183"/>
      <c r="F49" s="183"/>
      <c r="G49" s="183"/>
      <c r="H49" s="183"/>
      <c r="I49" s="183"/>
      <c r="J49" s="183"/>
    </row>
    <row r="50" spans="3:10" x14ac:dyDescent="0.25">
      <c r="C50" s="182"/>
      <c r="D50" s="183"/>
      <c r="E50" s="183"/>
      <c r="F50" s="183"/>
      <c r="G50" s="183"/>
      <c r="H50" s="183"/>
      <c r="I50" s="183"/>
      <c r="J50" s="183"/>
    </row>
    <row r="51" spans="3:10" x14ac:dyDescent="0.25">
      <c r="C51" s="182"/>
      <c r="D51" s="183"/>
      <c r="E51" s="183"/>
      <c r="F51" s="183"/>
      <c r="G51" s="183"/>
      <c r="H51" s="183"/>
      <c r="I51" s="183"/>
      <c r="J51" s="183"/>
    </row>
    <row r="52" spans="3:10" x14ac:dyDescent="0.25">
      <c r="C52" s="182"/>
      <c r="D52" s="183"/>
      <c r="E52" s="183"/>
      <c r="F52" s="183"/>
      <c r="G52" s="183"/>
      <c r="H52" s="183"/>
      <c r="I52" s="183"/>
      <c r="J52" s="183"/>
    </row>
    <row r="53" spans="3:10" x14ac:dyDescent="0.25">
      <c r="C53" s="182"/>
      <c r="D53" s="183"/>
      <c r="E53" s="183"/>
      <c r="F53" s="183"/>
      <c r="G53" s="183"/>
      <c r="H53" s="183"/>
      <c r="I53" s="183"/>
      <c r="J53" s="183"/>
    </row>
    <row r="54" spans="3:10" x14ac:dyDescent="0.25">
      <c r="C54" s="182"/>
      <c r="D54" s="183"/>
      <c r="E54" s="183"/>
      <c r="F54" s="183"/>
      <c r="G54" s="183"/>
      <c r="H54" s="183"/>
      <c r="I54" s="183"/>
      <c r="J54" s="183"/>
    </row>
    <row r="55" spans="3:10" x14ac:dyDescent="0.25">
      <c r="C55" s="182"/>
      <c r="D55" s="183"/>
      <c r="E55" s="183"/>
      <c r="F55" s="183"/>
      <c r="G55" s="183"/>
      <c r="H55" s="183"/>
      <c r="I55" s="183"/>
      <c r="J55" s="183"/>
    </row>
    <row r="56" spans="3:10" x14ac:dyDescent="0.25">
      <c r="C56" s="182"/>
      <c r="D56" s="183"/>
      <c r="E56" s="183"/>
      <c r="F56" s="183"/>
      <c r="G56" s="183"/>
      <c r="H56" s="183"/>
      <c r="I56" s="183"/>
      <c r="J56" s="183"/>
    </row>
    <row r="57" spans="3:10" x14ac:dyDescent="0.25">
      <c r="C57" s="182"/>
      <c r="D57" s="183"/>
      <c r="E57" s="183"/>
      <c r="F57" s="183"/>
      <c r="G57" s="183"/>
      <c r="H57" s="183"/>
      <c r="I57" s="183"/>
      <c r="J57" s="183"/>
    </row>
    <row r="58" spans="3:10" x14ac:dyDescent="0.25">
      <c r="C58" s="182"/>
      <c r="D58" s="183"/>
      <c r="E58" s="183"/>
      <c r="F58" s="183"/>
      <c r="G58" s="183"/>
      <c r="H58" s="183"/>
      <c r="I58" s="183"/>
      <c r="J58" s="183"/>
    </row>
    <row r="59" spans="3:10" x14ac:dyDescent="0.25">
      <c r="C59" s="182"/>
      <c r="D59" s="183"/>
      <c r="E59" s="183"/>
      <c r="F59" s="183"/>
      <c r="G59" s="183"/>
      <c r="H59" s="183"/>
      <c r="I59" s="183"/>
      <c r="J59" s="183"/>
    </row>
    <row r="60" spans="3:10" x14ac:dyDescent="0.25">
      <c r="C60" s="182"/>
      <c r="D60" s="183"/>
      <c r="E60" s="183"/>
      <c r="F60" s="183"/>
      <c r="G60" s="183"/>
      <c r="H60" s="183"/>
      <c r="I60" s="183"/>
      <c r="J60" s="183"/>
    </row>
    <row r="61" spans="3:10" x14ac:dyDescent="0.25">
      <c r="C61" s="182"/>
      <c r="D61" s="183"/>
      <c r="E61" s="183"/>
      <c r="F61" s="183"/>
      <c r="G61" s="183"/>
      <c r="H61" s="183"/>
      <c r="I61" s="183"/>
      <c r="J61" s="183"/>
    </row>
    <row r="62" spans="3:10" x14ac:dyDescent="0.25">
      <c r="C62" s="182"/>
      <c r="D62" s="183"/>
      <c r="E62" s="183"/>
      <c r="F62" s="183"/>
      <c r="G62" s="183"/>
      <c r="H62" s="183"/>
      <c r="I62" s="183"/>
      <c r="J62" s="183"/>
    </row>
    <row r="63" spans="3:10" x14ac:dyDescent="0.25">
      <c r="C63" s="182"/>
      <c r="D63" s="183"/>
      <c r="E63" s="183"/>
      <c r="F63" s="183"/>
      <c r="G63" s="183"/>
      <c r="H63" s="183"/>
      <c r="I63" s="183"/>
      <c r="J63" s="183"/>
    </row>
    <row r="64" spans="3:10" x14ac:dyDescent="0.25">
      <c r="C64" s="182"/>
      <c r="D64" s="183"/>
      <c r="E64" s="183"/>
      <c r="F64" s="183"/>
      <c r="G64" s="183"/>
      <c r="H64" s="183"/>
      <c r="I64" s="183"/>
      <c r="J64" s="183"/>
    </row>
    <row r="65" spans="3:10" x14ac:dyDescent="0.25">
      <c r="C65" s="182"/>
      <c r="D65" s="183"/>
      <c r="E65" s="183"/>
      <c r="F65" s="183"/>
      <c r="G65" s="183"/>
      <c r="H65" s="183"/>
      <c r="I65" s="183"/>
      <c r="J65" s="183"/>
    </row>
    <row r="66" spans="3:10" x14ac:dyDescent="0.25">
      <c r="C66" s="182"/>
      <c r="D66" s="183"/>
      <c r="E66" s="183"/>
      <c r="F66" s="183"/>
      <c r="G66" s="183"/>
      <c r="H66" s="183"/>
      <c r="I66" s="183"/>
      <c r="J66" s="183"/>
    </row>
    <row r="67" spans="3:10" x14ac:dyDescent="0.25">
      <c r="C67" s="182"/>
      <c r="D67" s="183"/>
      <c r="E67" s="183"/>
      <c r="F67" s="183"/>
      <c r="G67" s="183"/>
      <c r="H67" s="183"/>
      <c r="I67" s="183"/>
      <c r="J67" s="183"/>
    </row>
    <row r="68" spans="3:10" x14ac:dyDescent="0.25">
      <c r="C68" s="182"/>
      <c r="D68" s="183"/>
      <c r="E68" s="183"/>
      <c r="F68" s="183"/>
      <c r="G68" s="183"/>
      <c r="H68" s="183"/>
      <c r="I68" s="183"/>
      <c r="J68" s="183"/>
    </row>
  </sheetData>
  <mergeCells count="2">
    <mergeCell ref="F11:H11"/>
    <mergeCell ref="L11:N11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412DD-7877-4372-A189-8AB3D7598B09}">
  <sheetPr codeName="Sheet25"/>
  <dimension ref="B1:O149"/>
  <sheetViews>
    <sheetView workbookViewId="0"/>
  </sheetViews>
  <sheetFormatPr defaultColWidth="8.85546875" defaultRowHeight="15" x14ac:dyDescent="0.25"/>
  <cols>
    <col min="1" max="1" width="8.85546875" style="1"/>
    <col min="2" max="2" width="22.28515625" style="1" bestFit="1" customWidth="1"/>
    <col min="3" max="3" width="9.5703125" style="1" customWidth="1"/>
    <col min="4" max="4" width="8.85546875" style="1"/>
    <col min="5" max="5" width="12.7109375" style="1" customWidth="1"/>
    <col min="6" max="7" width="8.85546875" style="1"/>
    <col min="8" max="8" width="11.28515625" style="1" customWidth="1"/>
    <col min="9" max="9" width="11.5703125" style="1" bestFit="1" customWidth="1"/>
    <col min="10" max="10" width="3.28515625" style="1" customWidth="1"/>
    <col min="11" max="11" width="11.42578125" style="1" customWidth="1"/>
    <col min="12" max="12" width="8.85546875" style="1" customWidth="1"/>
    <col min="13" max="13" width="12" style="1" customWidth="1"/>
    <col min="14" max="14" width="10.140625" style="1" bestFit="1" customWidth="1"/>
    <col min="15" max="15" width="9.140625" style="1" bestFit="1" customWidth="1"/>
    <col min="16" max="16384" width="8.85546875" style="1"/>
  </cols>
  <sheetData>
    <row r="1" spans="2:15" x14ac:dyDescent="0.25">
      <c r="C1" s="110" t="s">
        <v>405</v>
      </c>
      <c r="K1" s="172" t="s">
        <v>406</v>
      </c>
    </row>
    <row r="2" spans="2:15" x14ac:dyDescent="0.25">
      <c r="B2" s="114" t="s">
        <v>254</v>
      </c>
      <c r="C2" s="186">
        <f>'13. Reg SNG INT'!B17</f>
        <v>1.9029733592721421E-2</v>
      </c>
      <c r="E2" s="173"/>
      <c r="J2" s="114" t="s">
        <v>407</v>
      </c>
      <c r="K2" s="13">
        <f>139270/1000000</f>
        <v>0.13927</v>
      </c>
      <c r="L2" s="1" t="s">
        <v>408</v>
      </c>
    </row>
    <row r="3" spans="2:15" x14ac:dyDescent="0.25">
      <c r="B3" s="114" t="s">
        <v>409</v>
      </c>
      <c r="C3" s="186">
        <f>'13. Reg SNG INT'!B18</f>
        <v>3.3078397974545232E-2</v>
      </c>
      <c r="D3" s="176"/>
      <c r="E3" s="187"/>
      <c r="J3" s="114" t="s">
        <v>410</v>
      </c>
      <c r="K3" s="188">
        <v>0.1</v>
      </c>
      <c r="L3" s="176" t="s">
        <v>411</v>
      </c>
      <c r="N3" s="189"/>
      <c r="O3" s="141"/>
    </row>
    <row r="4" spans="2:15" x14ac:dyDescent="0.25">
      <c r="D4" s="176"/>
      <c r="J4" s="114" t="s">
        <v>412</v>
      </c>
      <c r="K4" s="188">
        <v>0.37</v>
      </c>
      <c r="L4" s="8" t="s">
        <v>413</v>
      </c>
    </row>
    <row r="5" spans="2:15" x14ac:dyDescent="0.25">
      <c r="I5" s="114"/>
      <c r="J5" s="114" t="s">
        <v>414</v>
      </c>
      <c r="K5" s="188">
        <v>0.39460000000000001</v>
      </c>
      <c r="L5" s="8" t="s">
        <v>415</v>
      </c>
    </row>
    <row r="6" spans="2:15" x14ac:dyDescent="0.25">
      <c r="I6" s="114"/>
      <c r="J6" s="114"/>
      <c r="K6" s="114"/>
    </row>
    <row r="8" spans="2:15" x14ac:dyDescent="0.25">
      <c r="G8" s="11"/>
      <c r="H8" s="11"/>
      <c r="L8" s="11"/>
    </row>
    <row r="9" spans="2:15" x14ac:dyDescent="0.25">
      <c r="G9" s="11"/>
      <c r="H9" s="11"/>
      <c r="I9" s="110"/>
      <c r="J9" s="11"/>
      <c r="L9" s="11"/>
      <c r="M9" s="176"/>
    </row>
    <row r="10" spans="2:15" x14ac:dyDescent="0.25">
      <c r="G10" s="11"/>
      <c r="H10" s="11"/>
      <c r="I10" s="110"/>
      <c r="J10" s="11"/>
    </row>
    <row r="11" spans="2:15" x14ac:dyDescent="0.25">
      <c r="G11" s="11"/>
      <c r="H11" s="11"/>
      <c r="I11" s="110"/>
      <c r="J11" s="11"/>
      <c r="L11" s="11"/>
    </row>
    <row r="12" spans="2:15" x14ac:dyDescent="0.25">
      <c r="C12" s="553" t="s">
        <v>416</v>
      </c>
      <c r="D12" s="553"/>
      <c r="E12" s="553"/>
      <c r="G12" s="553" t="s">
        <v>397</v>
      </c>
      <c r="H12" s="553"/>
      <c r="I12" s="553"/>
      <c r="J12" s="11"/>
      <c r="K12" s="156" t="s">
        <v>398</v>
      </c>
      <c r="M12" s="33" t="s">
        <v>399</v>
      </c>
    </row>
    <row r="13" spans="2:15" ht="63.75" customHeight="1" x14ac:dyDescent="0.25">
      <c r="D13" s="177" t="s">
        <v>400</v>
      </c>
      <c r="E13" s="177" t="str">
        <f>'9. Indices-Hist'!N3</f>
        <v>Los Angeles Ultra-Low Sulfur CARB Diesel Spot Price</v>
      </c>
      <c r="G13" s="177" t="s">
        <v>400</v>
      </c>
      <c r="H13" s="177" t="s">
        <v>417</v>
      </c>
      <c r="I13" s="177" t="s">
        <v>417</v>
      </c>
      <c r="J13" s="177"/>
      <c r="K13" s="177" t="s">
        <v>418</v>
      </c>
      <c r="M13" s="190" t="s">
        <v>419</v>
      </c>
    </row>
    <row r="14" spans="2:15" ht="41.25" customHeight="1" x14ac:dyDescent="0.25">
      <c r="D14" s="180" t="s">
        <v>402</v>
      </c>
      <c r="E14" s="180" t="s">
        <v>420</v>
      </c>
      <c r="G14" s="180" t="s">
        <v>402</v>
      </c>
      <c r="H14" s="180" t="s">
        <v>420</v>
      </c>
      <c r="I14" s="180" t="s">
        <v>403</v>
      </c>
      <c r="K14" s="180" t="s">
        <v>403</v>
      </c>
      <c r="M14" s="181" t="s">
        <v>404</v>
      </c>
    </row>
    <row r="15" spans="2:15" x14ac:dyDescent="0.25">
      <c r="C15" s="191">
        <f>'9. Indices-Hist'!B11</f>
        <v>43101</v>
      </c>
      <c r="D15" s="183">
        <f>VLOOKUP(C15,'9. Indices-Hist'!$K$5:$N$64,2,FALSE)</f>
        <v>90.274069226882261</v>
      </c>
      <c r="E15" s="183">
        <f>VLOOKUP(C15,'9. Indices-Hist'!$K$5:$N$64,4,FALSE)</f>
        <v>2.9137125012632641</v>
      </c>
      <c r="F15" s="182">
        <f>'10. Indices-Forecast'!B5</f>
        <v>2022</v>
      </c>
      <c r="G15" s="183">
        <f>'10. Indices-Forecast'!Q5</f>
        <v>95.265188042430097</v>
      </c>
      <c r="H15" s="192">
        <f t="shared" ref="H15:H43" si="0">$C$2+G15*$C$3</f>
        <v>3.1702495367801116</v>
      </c>
      <c r="I15" s="192">
        <f>(H15/$K$2)*$K$3</f>
        <v>2.2763334076111952</v>
      </c>
      <c r="K15" s="192">
        <f>$K$4*$K$5</f>
        <v>0.14600199999999999</v>
      </c>
      <c r="L15" s="182">
        <f t="shared" ref="L15:L43" si="1">F15</f>
        <v>2022</v>
      </c>
      <c r="M15" s="185">
        <f>I15+K15</f>
        <v>2.4223354076111954</v>
      </c>
    </row>
    <row r="16" spans="2:15" x14ac:dyDescent="0.25">
      <c r="C16" s="191">
        <f>'9. Indices-Hist'!B12</f>
        <v>43132</v>
      </c>
      <c r="D16" s="183">
        <f>VLOOKUP(C16,'9. Indices-Hist'!$K$5:$N$64,2,FALSE)</f>
        <v>87.571317461113892</v>
      </c>
      <c r="E16" s="183">
        <f>VLOOKUP(C16,'9. Indices-Hist'!$K$5:$N$64,4,FALSE)</f>
        <v>2.7623733918715505</v>
      </c>
      <c r="F16" s="182">
        <f>'10. Indices-Forecast'!B6</f>
        <v>2023</v>
      </c>
      <c r="G16" s="183">
        <f>'10. Indices-Forecast'!Q6</f>
        <v>84.190402575522782</v>
      </c>
      <c r="H16" s="192">
        <f t="shared" si="0"/>
        <v>2.8039133756230417</v>
      </c>
      <c r="I16" s="192">
        <f t="shared" ref="I16:I43" si="2">(H16/$K$2)*$K$3</f>
        <v>2.0132931540339207</v>
      </c>
      <c r="K16" s="192">
        <f t="shared" ref="K16:K43" si="3">$K$4*$K$5</f>
        <v>0.14600199999999999</v>
      </c>
      <c r="L16" s="182">
        <f t="shared" si="1"/>
        <v>2023</v>
      </c>
      <c r="M16" s="185">
        <f t="shared" ref="M16:M43" si="4">I16+K16</f>
        <v>2.1592951540339209</v>
      </c>
    </row>
    <row r="17" spans="3:13" x14ac:dyDescent="0.25">
      <c r="C17" s="191">
        <f>'9. Indices-Hist'!B13</f>
        <v>43160</v>
      </c>
      <c r="D17" s="183">
        <f>VLOOKUP(C17,'9. Indices-Hist'!$K$5:$N$64,2,FALSE)</f>
        <v>88.274927596588043</v>
      </c>
      <c r="E17" s="183">
        <f>VLOOKUP(C17,'9. Indices-Hist'!$K$5:$N$64,4,FALSE)</f>
        <v>2.8088116608128448</v>
      </c>
      <c r="F17" s="182">
        <f>'10. Indices-Forecast'!B7</f>
        <v>2024</v>
      </c>
      <c r="G17" s="183">
        <f>'10. Indices-Forecast'!Q7</f>
        <v>66.338410241999995</v>
      </c>
      <c r="H17" s="192">
        <f t="shared" si="0"/>
        <v>2.2133980685762449</v>
      </c>
      <c r="I17" s="192">
        <f t="shared" si="2"/>
        <v>1.5892856096619838</v>
      </c>
      <c r="K17" s="192">
        <f t="shared" si="3"/>
        <v>0.14600199999999999</v>
      </c>
      <c r="L17" s="182">
        <f t="shared" si="1"/>
        <v>2024</v>
      </c>
      <c r="M17" s="185">
        <f t="shared" si="4"/>
        <v>1.7352876096619838</v>
      </c>
    </row>
    <row r="18" spans="3:13" x14ac:dyDescent="0.25">
      <c r="C18" s="191">
        <f>'9. Indices-Hist'!B14</f>
        <v>43191</v>
      </c>
      <c r="D18" s="183">
        <f>VLOOKUP(C18,'9. Indices-Hist'!$K$5:$N$64,2,FALSE)</f>
        <v>92.762899400898647</v>
      </c>
      <c r="E18" s="183">
        <f>VLOOKUP(C18,'9. Indices-Hist'!$K$5:$N$64,4,FALSE)</f>
        <v>3.0160194008986516</v>
      </c>
      <c r="F18" s="182">
        <f>'10. Indices-Forecast'!B8</f>
        <v>2025</v>
      </c>
      <c r="G18" s="183">
        <f>'10. Indices-Forecast'!Q8</f>
        <v>67.125860339999988</v>
      </c>
      <c r="H18" s="192">
        <f t="shared" si="0"/>
        <v>2.239445656302983</v>
      </c>
      <c r="I18" s="192">
        <f t="shared" si="2"/>
        <v>1.6079885519515926</v>
      </c>
      <c r="K18" s="192">
        <f t="shared" si="3"/>
        <v>0.14600199999999999</v>
      </c>
      <c r="L18" s="182">
        <f t="shared" si="1"/>
        <v>2025</v>
      </c>
      <c r="M18" s="185">
        <f t="shared" si="4"/>
        <v>1.7539905519515926</v>
      </c>
    </row>
    <row r="19" spans="3:13" x14ac:dyDescent="0.25">
      <c r="C19" s="191">
        <f>'9. Indices-Hist'!B15</f>
        <v>43221</v>
      </c>
      <c r="D19" s="183">
        <f>VLOOKUP(C19,'9. Indices-Hist'!$K$5:$N$64,2,FALSE)</f>
        <v>96.587208759842525</v>
      </c>
      <c r="E19" s="183">
        <f>VLOOKUP(C19,'9. Indices-Hist'!$K$5:$N$64,4,FALSE)</f>
        <v>3.1579241732283463</v>
      </c>
      <c r="F19" s="182">
        <f>'10. Indices-Forecast'!B9</f>
        <v>2026</v>
      </c>
      <c r="G19" s="183">
        <f>'10. Indices-Forecast'!Q9</f>
        <v>68.428384189999989</v>
      </c>
      <c r="H19" s="192">
        <f t="shared" si="0"/>
        <v>2.2825310585846199</v>
      </c>
      <c r="I19" s="192">
        <f t="shared" si="2"/>
        <v>1.638925151565032</v>
      </c>
      <c r="K19" s="192">
        <f t="shared" si="3"/>
        <v>0.14600199999999999</v>
      </c>
      <c r="L19" s="182">
        <f t="shared" si="1"/>
        <v>2026</v>
      </c>
      <c r="M19" s="185">
        <f t="shared" si="4"/>
        <v>1.784927151565032</v>
      </c>
    </row>
    <row r="20" spans="3:13" x14ac:dyDescent="0.25">
      <c r="C20" s="191">
        <f>'9. Indices-Hist'!B16</f>
        <v>43252</v>
      </c>
      <c r="D20" s="183">
        <f>VLOOKUP(C20,'9. Indices-Hist'!$K$5:$N$64,2,FALSE)</f>
        <v>93.216221008814898</v>
      </c>
      <c r="E20" s="183">
        <f>VLOOKUP(C20,'9. Indices-Hist'!$K$5:$N$64,4,FALSE)</f>
        <v>3.0009937071498531</v>
      </c>
      <c r="F20" s="182">
        <f>'10. Indices-Forecast'!B10</f>
        <v>2027</v>
      </c>
      <c r="G20" s="183">
        <f>'10. Indices-Forecast'!Q10</f>
        <v>70.372870148999993</v>
      </c>
      <c r="H20" s="192">
        <f t="shared" si="0"/>
        <v>2.3468515389923374</v>
      </c>
      <c r="I20" s="192">
        <f t="shared" si="2"/>
        <v>1.6851091685160746</v>
      </c>
      <c r="K20" s="192">
        <f t="shared" si="3"/>
        <v>0.14600199999999999</v>
      </c>
      <c r="L20" s="182">
        <f t="shared" si="1"/>
        <v>2027</v>
      </c>
      <c r="M20" s="185">
        <f t="shared" si="4"/>
        <v>1.8311111685160746</v>
      </c>
    </row>
    <row r="21" spans="3:13" x14ac:dyDescent="0.25">
      <c r="C21" s="191">
        <f>'9. Indices-Hist'!B17</f>
        <v>43282</v>
      </c>
      <c r="D21" s="183">
        <f>VLOOKUP(C21,'9. Indices-Hist'!$K$5:$N$64,2,FALSE)</f>
        <v>97.439940381791487</v>
      </c>
      <c r="E21" s="183">
        <f>VLOOKUP(C21,'9. Indices-Hist'!$K$5:$N$64,4,FALSE)</f>
        <v>2.9885425501713168</v>
      </c>
      <c r="F21" s="182">
        <f>'10. Indices-Forecast'!B11</f>
        <v>2028</v>
      </c>
      <c r="G21" s="183">
        <f>'10. Indices-Forecast'!Q11</f>
        <v>71.794520410999993</v>
      </c>
      <c r="H21" s="192">
        <f t="shared" si="0"/>
        <v>2.3938774521393897</v>
      </c>
      <c r="I21" s="192">
        <f t="shared" si="2"/>
        <v>1.7188751720682054</v>
      </c>
      <c r="K21" s="192">
        <f t="shared" si="3"/>
        <v>0.14600199999999999</v>
      </c>
      <c r="L21" s="182">
        <f t="shared" si="1"/>
        <v>2028</v>
      </c>
      <c r="M21" s="185">
        <f t="shared" si="4"/>
        <v>1.8648771720682054</v>
      </c>
    </row>
    <row r="22" spans="3:13" x14ac:dyDescent="0.25">
      <c r="C22" s="191">
        <f>'9. Indices-Hist'!B18</f>
        <v>43313</v>
      </c>
      <c r="D22" s="183">
        <f>VLOOKUP(C22,'9. Indices-Hist'!$K$5:$N$64,2,FALSE)</f>
        <v>93.844835496558517</v>
      </c>
      <c r="E22" s="183">
        <f>VLOOKUP(C22,'9. Indices-Hist'!$K$5:$N$64,4,FALSE)</f>
        <v>3.0403741150442478</v>
      </c>
      <c r="F22" s="182">
        <f>'10. Indices-Forecast'!B12</f>
        <v>2029</v>
      </c>
      <c r="G22" s="183">
        <f>'10. Indices-Forecast'!Q12</f>
        <v>72.849779906999999</v>
      </c>
      <c r="H22" s="192">
        <f t="shared" si="0"/>
        <v>2.4287837457144961</v>
      </c>
      <c r="I22" s="192">
        <f t="shared" si="2"/>
        <v>1.743938928494648</v>
      </c>
      <c r="K22" s="192">
        <f t="shared" si="3"/>
        <v>0.14600199999999999</v>
      </c>
      <c r="L22" s="182">
        <f t="shared" si="1"/>
        <v>2029</v>
      </c>
      <c r="M22" s="185">
        <f t="shared" si="4"/>
        <v>1.889940928494648</v>
      </c>
    </row>
    <row r="23" spans="3:13" x14ac:dyDescent="0.25">
      <c r="C23" s="191">
        <f>'9. Indices-Hist'!B19</f>
        <v>43344</v>
      </c>
      <c r="D23" s="183">
        <f>VLOOKUP(C23,'9. Indices-Hist'!$K$5:$N$64,2,FALSE)</f>
        <v>96.741825000000006</v>
      </c>
      <c r="E23" s="183">
        <f>VLOOKUP(C23,'9. Indices-Hist'!$K$5:$N$64,4,FALSE)</f>
        <v>3.1586075</v>
      </c>
      <c r="F23" s="182">
        <f>'10. Indices-Forecast'!B13</f>
        <v>2030</v>
      </c>
      <c r="G23" s="183">
        <f>'10. Indices-Forecast'!Q13</f>
        <v>73.969844643999991</v>
      </c>
      <c r="H23" s="192">
        <f t="shared" si="0"/>
        <v>2.465833692842236</v>
      </c>
      <c r="I23" s="192">
        <f t="shared" si="2"/>
        <v>1.77054189189505</v>
      </c>
      <c r="K23" s="192">
        <f t="shared" si="3"/>
        <v>0.14600199999999999</v>
      </c>
      <c r="L23" s="182">
        <f t="shared" si="1"/>
        <v>2030</v>
      </c>
      <c r="M23" s="185">
        <f t="shared" si="4"/>
        <v>1.9165438918950499</v>
      </c>
    </row>
    <row r="24" spans="3:13" x14ac:dyDescent="0.25">
      <c r="C24" s="191">
        <f>'9. Indices-Hist'!B20</f>
        <v>43374</v>
      </c>
      <c r="D24" s="183">
        <f>VLOOKUP(C24,'9. Indices-Hist'!$K$5:$N$64,2,FALSE)</f>
        <v>96.981790078201371</v>
      </c>
      <c r="E24" s="183">
        <f>VLOOKUP(C24,'9. Indices-Hist'!$K$5:$N$64,4,FALSE)</f>
        <v>3.2473478543499517</v>
      </c>
      <c r="F24" s="182">
        <f>'10. Indices-Forecast'!B14</f>
        <v>2031</v>
      </c>
      <c r="G24" s="183">
        <f>'10. Indices-Forecast'!Q14</f>
        <v>75.517646993</v>
      </c>
      <c r="H24" s="192">
        <f t="shared" si="0"/>
        <v>2.5170325149283945</v>
      </c>
      <c r="I24" s="192">
        <f t="shared" si="2"/>
        <v>1.807304168111147</v>
      </c>
      <c r="K24" s="192">
        <f t="shared" si="3"/>
        <v>0.14600199999999999</v>
      </c>
      <c r="L24" s="182">
        <f t="shared" si="1"/>
        <v>2031</v>
      </c>
      <c r="M24" s="185">
        <f t="shared" si="4"/>
        <v>1.953306168111147</v>
      </c>
    </row>
    <row r="25" spans="3:13" x14ac:dyDescent="0.25">
      <c r="C25" s="191">
        <f>'9. Indices-Hist'!B21</f>
        <v>43405</v>
      </c>
      <c r="D25" s="183">
        <f>VLOOKUP(C25,'9. Indices-Hist'!$K$5:$N$64,2,FALSE)</f>
        <v>78.966607217004452</v>
      </c>
      <c r="E25" s="183">
        <f>VLOOKUP(C25,'9. Indices-Hist'!$K$5:$N$64,4,FALSE)</f>
        <v>2.8489532624814635</v>
      </c>
      <c r="F25" s="182">
        <f>'10. Indices-Forecast'!B15</f>
        <v>2032</v>
      </c>
      <c r="G25" s="183">
        <f>'10. Indices-Forecast'!Q15</f>
        <v>76.731425419999994</v>
      </c>
      <c r="H25" s="192">
        <f t="shared" si="0"/>
        <v>2.5571823607896178</v>
      </c>
      <c r="I25" s="192">
        <f t="shared" si="2"/>
        <v>1.8361329509511148</v>
      </c>
      <c r="K25" s="192">
        <f t="shared" si="3"/>
        <v>0.14600199999999999</v>
      </c>
      <c r="L25" s="182">
        <f t="shared" si="1"/>
        <v>2032</v>
      </c>
      <c r="M25" s="185">
        <f t="shared" si="4"/>
        <v>1.9821349509511148</v>
      </c>
    </row>
    <row r="26" spans="3:13" x14ac:dyDescent="0.25">
      <c r="C26" s="191">
        <f>'9. Indices-Hist'!B22</f>
        <v>43435</v>
      </c>
      <c r="D26" s="183">
        <f>VLOOKUP(C26,'9. Indices-Hist'!$K$5:$N$64,2,FALSE)</f>
        <v>69.096167562189066</v>
      </c>
      <c r="E26" s="183">
        <f>VLOOKUP(C26,'9. Indices-Hist'!$K$5:$N$64,4,FALSE)</f>
        <v>2.5018059054726369</v>
      </c>
      <c r="F26" s="182">
        <f>'10. Indices-Forecast'!B16</f>
        <v>2033</v>
      </c>
      <c r="G26" s="183">
        <f>'10. Indices-Forecast'!Q16</f>
        <v>77.552136255999997</v>
      </c>
      <c r="H26" s="192">
        <f t="shared" si="0"/>
        <v>2.5843301604448476</v>
      </c>
      <c r="I26" s="192">
        <f t="shared" si="2"/>
        <v>1.8556258781107546</v>
      </c>
      <c r="K26" s="192">
        <f t="shared" si="3"/>
        <v>0.14600199999999999</v>
      </c>
      <c r="L26" s="182">
        <f t="shared" si="1"/>
        <v>2033</v>
      </c>
      <c r="M26" s="185">
        <f t="shared" si="4"/>
        <v>2.0016278781107548</v>
      </c>
    </row>
    <row r="27" spans="3:13" x14ac:dyDescent="0.25">
      <c r="C27" s="191">
        <f>'9. Indices-Hist'!B23</f>
        <v>43466</v>
      </c>
      <c r="D27" s="183">
        <f>VLOOKUP(C27,'9. Indices-Hist'!$K$5:$N$64,2,FALSE)</f>
        <v>72.375607332998499</v>
      </c>
      <c r="E27" s="183">
        <f>VLOOKUP(C27,'9. Indices-Hist'!$K$5:$N$64,4,FALSE)</f>
        <v>2.5524445404319436</v>
      </c>
      <c r="F27" s="182">
        <f>'10. Indices-Forecast'!B17</f>
        <v>2034</v>
      </c>
      <c r="G27" s="183">
        <f>'10. Indices-Forecast'!Q17</f>
        <v>77.970457908</v>
      </c>
      <c r="H27" s="192">
        <f t="shared" si="0"/>
        <v>2.5981675705310727</v>
      </c>
      <c r="I27" s="192">
        <f t="shared" si="2"/>
        <v>1.8655615498894755</v>
      </c>
      <c r="K27" s="192">
        <f t="shared" si="3"/>
        <v>0.14600199999999999</v>
      </c>
      <c r="L27" s="182">
        <f t="shared" si="1"/>
        <v>2034</v>
      </c>
      <c r="M27" s="185">
        <f t="shared" si="4"/>
        <v>2.0115635498894755</v>
      </c>
    </row>
    <row r="28" spans="3:13" x14ac:dyDescent="0.25">
      <c r="C28" s="191">
        <f>'9. Indices-Hist'!B24</f>
        <v>43497</v>
      </c>
      <c r="D28" s="183">
        <f>VLOOKUP(C28,'9. Indices-Hist'!$K$5:$N$64,2,FALSE)</f>
        <v>77.365572540160656</v>
      </c>
      <c r="E28" s="183">
        <f>VLOOKUP(C28,'9. Indices-Hist'!$K$5:$N$64,4,FALSE)</f>
        <v>2.7243381777108437</v>
      </c>
      <c r="F28" s="182">
        <f>'10. Indices-Forecast'!B18</f>
        <v>2035</v>
      </c>
      <c r="G28" s="183">
        <f>'10. Indices-Forecast'!Q18</f>
        <v>78.711315595999992</v>
      </c>
      <c r="H28" s="192">
        <f t="shared" si="0"/>
        <v>2.6226739559772381</v>
      </c>
      <c r="I28" s="192">
        <f t="shared" si="2"/>
        <v>1.8831578631271904</v>
      </c>
      <c r="K28" s="192">
        <f t="shared" si="3"/>
        <v>0.14600199999999999</v>
      </c>
      <c r="L28" s="182">
        <f t="shared" si="1"/>
        <v>2035</v>
      </c>
      <c r="M28" s="185">
        <f t="shared" si="4"/>
        <v>2.0291598631271905</v>
      </c>
    </row>
    <row r="29" spans="3:13" x14ac:dyDescent="0.25">
      <c r="C29" s="191">
        <f>'9. Indices-Hist'!B25</f>
        <v>43525</v>
      </c>
      <c r="D29" s="183">
        <f>VLOOKUP(C29,'9. Indices-Hist'!$K$5:$N$64,2,FALSE)</f>
        <v>81.218579930278878</v>
      </c>
      <c r="E29" s="183">
        <f>VLOOKUP(C29,'9. Indices-Hist'!$K$5:$N$64,4,FALSE)</f>
        <v>2.8171603735059758</v>
      </c>
      <c r="F29" s="182">
        <f>'10. Indices-Forecast'!B19</f>
        <v>2036</v>
      </c>
      <c r="G29" s="183">
        <f>'10. Indices-Forecast'!Q19</f>
        <v>79.970404700999993</v>
      </c>
      <c r="H29" s="192">
        <f t="shared" si="0"/>
        <v>2.664322606477842</v>
      </c>
      <c r="I29" s="192">
        <f t="shared" si="2"/>
        <v>1.9130628322523457</v>
      </c>
      <c r="K29" s="192">
        <f t="shared" si="3"/>
        <v>0.14600199999999999</v>
      </c>
      <c r="L29" s="182">
        <f t="shared" si="1"/>
        <v>2036</v>
      </c>
      <c r="M29" s="185">
        <f t="shared" si="4"/>
        <v>2.0590648322523459</v>
      </c>
    </row>
    <row r="30" spans="3:13" x14ac:dyDescent="0.25">
      <c r="C30" s="191">
        <f>'9. Indices-Hist'!B26</f>
        <v>43556</v>
      </c>
      <c r="D30" s="183">
        <f>VLOOKUP(C30,'9. Indices-Hist'!$K$5:$N$64,2,FALSE)</f>
        <v>88.620048193963399</v>
      </c>
      <c r="E30" s="183">
        <f>VLOOKUP(C30,'9. Indices-Hist'!$K$5:$N$64,4,FALSE)</f>
        <v>3.0543803018307774</v>
      </c>
      <c r="F30" s="182">
        <f>'10. Indices-Forecast'!B20</f>
        <v>2037</v>
      </c>
      <c r="G30" s="183">
        <f>'10. Indices-Forecast'!Q20</f>
        <v>80.892155631999998</v>
      </c>
      <c r="H30" s="192">
        <f t="shared" si="0"/>
        <v>2.6948126506068677</v>
      </c>
      <c r="I30" s="192">
        <f t="shared" si="2"/>
        <v>1.9349555902971691</v>
      </c>
      <c r="K30" s="192">
        <f t="shared" si="3"/>
        <v>0.14600199999999999</v>
      </c>
      <c r="L30" s="182">
        <f t="shared" si="1"/>
        <v>2037</v>
      </c>
      <c r="M30" s="185">
        <f t="shared" si="4"/>
        <v>2.0809575902971691</v>
      </c>
    </row>
    <row r="31" spans="3:13" x14ac:dyDescent="0.25">
      <c r="C31" s="191">
        <f>'9. Indices-Hist'!B27</f>
        <v>43586</v>
      </c>
      <c r="D31" s="183">
        <f>VLOOKUP(C31,'9. Indices-Hist'!$K$5:$N$64,2,FALSE)</f>
        <v>84.582652305404068</v>
      </c>
      <c r="E31" s="183">
        <f>VLOOKUP(C31,'9. Indices-Hist'!$K$5:$N$64,4,FALSE)</f>
        <v>3.1786280317302928</v>
      </c>
      <c r="F31" s="182">
        <f>'10. Indices-Forecast'!B21</f>
        <v>2038</v>
      </c>
      <c r="G31" s="183">
        <f>'10. Indices-Forecast'!Q21</f>
        <v>81.961394924999993</v>
      </c>
      <c r="H31" s="192">
        <f t="shared" si="0"/>
        <v>2.7301813734707432</v>
      </c>
      <c r="I31" s="192">
        <f t="shared" si="2"/>
        <v>1.9603513846993204</v>
      </c>
      <c r="K31" s="192">
        <f t="shared" si="3"/>
        <v>0.14600199999999999</v>
      </c>
      <c r="L31" s="182">
        <f t="shared" si="1"/>
        <v>2038</v>
      </c>
      <c r="M31" s="185">
        <f t="shared" si="4"/>
        <v>2.1063533846993203</v>
      </c>
    </row>
    <row r="32" spans="3:13" x14ac:dyDescent="0.25">
      <c r="C32" s="191">
        <f>'9. Indices-Hist'!B28</f>
        <v>43617</v>
      </c>
      <c r="D32" s="183">
        <f>VLOOKUP(C32,'9. Indices-Hist'!$K$5:$N$64,2,FALSE)</f>
        <v>76.534642735896142</v>
      </c>
      <c r="E32" s="183">
        <f>VLOOKUP(C32,'9. Indices-Hist'!$K$5:$N$64,4,FALSE)</f>
        <v>2.6533689715426858</v>
      </c>
      <c r="F32" s="182">
        <f>'10. Indices-Forecast'!B22</f>
        <v>2039</v>
      </c>
      <c r="G32" s="183">
        <f>'10. Indices-Forecast'!Q22</f>
        <v>82.228968923999986</v>
      </c>
      <c r="H32" s="192">
        <f t="shared" si="0"/>
        <v>2.7390322926973054</v>
      </c>
      <c r="I32" s="192">
        <f t="shared" si="2"/>
        <v>1.9667066078102284</v>
      </c>
      <c r="K32" s="192">
        <f t="shared" si="3"/>
        <v>0.14600199999999999</v>
      </c>
      <c r="L32" s="182">
        <f t="shared" si="1"/>
        <v>2039</v>
      </c>
      <c r="M32" s="185">
        <f t="shared" si="4"/>
        <v>2.1127086078102284</v>
      </c>
    </row>
    <row r="33" spans="3:13" x14ac:dyDescent="0.25">
      <c r="C33" s="191">
        <f>'9. Indices-Hist'!B29</f>
        <v>43647</v>
      </c>
      <c r="D33" s="183">
        <f>VLOOKUP(C33,'9. Indices-Hist'!$K$5:$N$64,2,FALSE)</f>
        <v>80.141124314897866</v>
      </c>
      <c r="E33" s="183">
        <f>VLOOKUP(C33,'9. Indices-Hist'!$K$5:$N$64,4,FALSE)</f>
        <v>2.7277327752864973</v>
      </c>
      <c r="F33" s="182">
        <f>'10. Indices-Forecast'!B23</f>
        <v>2040</v>
      </c>
      <c r="G33" s="183">
        <f>'10. Indices-Forecast'!Q23</f>
        <v>83.793598671999987</v>
      </c>
      <c r="H33" s="192">
        <f t="shared" si="0"/>
        <v>2.7907877381844619</v>
      </c>
      <c r="I33" s="192">
        <f t="shared" si="2"/>
        <v>2.0038685561746692</v>
      </c>
      <c r="K33" s="192">
        <f t="shared" si="3"/>
        <v>0.14600199999999999</v>
      </c>
      <c r="L33" s="182">
        <f t="shared" si="1"/>
        <v>2040</v>
      </c>
      <c r="M33" s="185">
        <f t="shared" si="4"/>
        <v>2.1498705561746694</v>
      </c>
    </row>
    <row r="34" spans="3:13" x14ac:dyDescent="0.25">
      <c r="C34" s="191">
        <f>'9. Indices-Hist'!B30</f>
        <v>43678</v>
      </c>
      <c r="D34" s="183">
        <f>VLOOKUP(C34,'9. Indices-Hist'!$K$5:$N$64,2,FALSE)</f>
        <v>77.168462801204825</v>
      </c>
      <c r="E34" s="183">
        <f>VLOOKUP(C34,'9. Indices-Hist'!$K$5:$N$64,4,FALSE)</f>
        <v>2.6314150150602411</v>
      </c>
      <c r="F34" s="182">
        <f>'10. Indices-Forecast'!B24</f>
        <v>2041</v>
      </c>
      <c r="G34" s="183">
        <f>'10. Indices-Forecast'!Q24</f>
        <v>84.750745523999981</v>
      </c>
      <c r="H34" s="192">
        <f t="shared" si="0"/>
        <v>2.822448622675001</v>
      </c>
      <c r="I34" s="192">
        <f t="shared" si="2"/>
        <v>2.0266020124039641</v>
      </c>
      <c r="K34" s="192">
        <f t="shared" si="3"/>
        <v>0.14600199999999999</v>
      </c>
      <c r="L34" s="182">
        <f t="shared" si="1"/>
        <v>2041</v>
      </c>
      <c r="M34" s="185">
        <f t="shared" si="4"/>
        <v>2.1726040124039643</v>
      </c>
    </row>
    <row r="35" spans="3:13" x14ac:dyDescent="0.25">
      <c r="C35" s="191">
        <f>'9. Indices-Hist'!B31</f>
        <v>43709</v>
      </c>
      <c r="D35" s="183">
        <f>VLOOKUP(C35,'9. Indices-Hist'!$K$5:$N$64,2,FALSE)</f>
        <v>80.504738155241938</v>
      </c>
      <c r="E35" s="183">
        <f>VLOOKUP(C35,'9. Indices-Hist'!$K$5:$N$64,4,FALSE)</f>
        <v>2.8229668497983873</v>
      </c>
      <c r="F35" s="182">
        <f>'10. Indices-Forecast'!B25</f>
        <v>2042</v>
      </c>
      <c r="G35" s="183">
        <f>'10. Indices-Forecast'!Q25</f>
        <v>85.154645617</v>
      </c>
      <c r="H35" s="192">
        <f t="shared" si="0"/>
        <v>2.8358089906932111</v>
      </c>
      <c r="I35" s="192">
        <f t="shared" si="2"/>
        <v>2.036195153797093</v>
      </c>
      <c r="K35" s="192">
        <f t="shared" si="3"/>
        <v>0.14600199999999999</v>
      </c>
      <c r="L35" s="182">
        <f t="shared" si="1"/>
        <v>2042</v>
      </c>
      <c r="M35" s="185">
        <f t="shared" si="4"/>
        <v>2.1821971537970932</v>
      </c>
    </row>
    <row r="36" spans="3:13" x14ac:dyDescent="0.25">
      <c r="C36" s="191">
        <f>'9. Indices-Hist'!B32</f>
        <v>43739</v>
      </c>
      <c r="D36" s="183">
        <f>VLOOKUP(C36,'9. Indices-Hist'!$K$5:$N$64,2,FALSE)</f>
        <v>76.201246928499501</v>
      </c>
      <c r="E36" s="183">
        <f>VLOOKUP(C36,'9. Indices-Hist'!$K$5:$N$64,4,FALSE)</f>
        <v>2.9161522406847937</v>
      </c>
      <c r="F36" s="182">
        <f>'10. Indices-Forecast'!B26</f>
        <v>2043</v>
      </c>
      <c r="G36" s="183">
        <f>'10. Indices-Forecast'!Q26</f>
        <v>86.632460835999993</v>
      </c>
      <c r="H36" s="192">
        <f t="shared" si="0"/>
        <v>2.8846927506401325</v>
      </c>
      <c r="I36" s="192">
        <f t="shared" si="2"/>
        <v>2.0712951465786835</v>
      </c>
      <c r="K36" s="192">
        <f t="shared" si="3"/>
        <v>0.14600199999999999</v>
      </c>
      <c r="L36" s="182">
        <f t="shared" si="1"/>
        <v>2043</v>
      </c>
      <c r="M36" s="185">
        <f t="shared" si="4"/>
        <v>2.2172971465786837</v>
      </c>
    </row>
    <row r="37" spans="3:13" x14ac:dyDescent="0.25">
      <c r="C37" s="191">
        <f>'9. Indices-Hist'!B33</f>
        <v>43770</v>
      </c>
      <c r="D37" s="183">
        <f>VLOOKUP(C37,'9. Indices-Hist'!$K$5:$N$64,2,FALSE)</f>
        <v>80.374757638190957</v>
      </c>
      <c r="E37" s="183">
        <f>VLOOKUP(C37,'9. Indices-Hist'!$K$5:$N$64,4,FALSE)</f>
        <v>2.9723016633165829</v>
      </c>
      <c r="F37" s="182">
        <f>'10. Indices-Forecast'!B27</f>
        <v>2044</v>
      </c>
      <c r="G37" s="183">
        <f>'10. Indices-Forecast'!Q27</f>
        <v>88.411402188999986</v>
      </c>
      <c r="H37" s="192">
        <f t="shared" si="0"/>
        <v>2.9435372806880422</v>
      </c>
      <c r="I37" s="192">
        <f t="shared" si="2"/>
        <v>2.1135472683909255</v>
      </c>
      <c r="K37" s="192">
        <f t="shared" si="3"/>
        <v>0.14600199999999999</v>
      </c>
      <c r="L37" s="182">
        <f t="shared" si="1"/>
        <v>2044</v>
      </c>
      <c r="M37" s="185">
        <f t="shared" si="4"/>
        <v>2.2595492683909257</v>
      </c>
    </row>
    <row r="38" spans="3:13" x14ac:dyDescent="0.25">
      <c r="C38" s="191">
        <f>'9. Indices-Hist'!B34</f>
        <v>43800</v>
      </c>
      <c r="D38" s="183">
        <f>VLOOKUP(C38,'9. Indices-Hist'!$K$5:$N$64,2,FALSE)</f>
        <v>84.391381507537687</v>
      </c>
      <c r="E38" s="183">
        <f>VLOOKUP(C38,'9. Indices-Hist'!$K$5:$N$64,4,FALSE)</f>
        <v>2.7665377738693469</v>
      </c>
      <c r="F38" s="182">
        <f>'10. Indices-Forecast'!B28</f>
        <v>2045</v>
      </c>
      <c r="G38" s="183">
        <f>'10. Indices-Forecast'!Q28</f>
        <v>88.897733411999994</v>
      </c>
      <c r="H38" s="192">
        <f t="shared" si="0"/>
        <v>2.9596243384298839</v>
      </c>
      <c r="I38" s="192">
        <f t="shared" si="2"/>
        <v>2.1250982540603749</v>
      </c>
      <c r="K38" s="192">
        <f t="shared" si="3"/>
        <v>0.14600199999999999</v>
      </c>
      <c r="L38" s="182">
        <f t="shared" si="1"/>
        <v>2045</v>
      </c>
      <c r="M38" s="185">
        <f t="shared" si="4"/>
        <v>2.2711002540603751</v>
      </c>
    </row>
    <row r="39" spans="3:13" x14ac:dyDescent="0.25">
      <c r="C39" s="191">
        <f>'9. Indices-Hist'!B35</f>
        <v>43831</v>
      </c>
      <c r="D39" s="183">
        <f>VLOOKUP(C39,'9. Indices-Hist'!$K$5:$N$64,2,FALSE)</f>
        <v>80.943309984947319</v>
      </c>
      <c r="E39" s="183">
        <f>VLOOKUP(C39,'9. Indices-Hist'!$K$5:$N$64,4,FALSE)</f>
        <v>2.6821618364274959</v>
      </c>
      <c r="F39" s="182">
        <f>'10. Indices-Forecast'!B29</f>
        <v>2046</v>
      </c>
      <c r="G39" s="183">
        <f>'10. Indices-Forecast'!Q29</f>
        <v>90.187242911999988</v>
      </c>
      <c r="H39" s="192">
        <f t="shared" si="0"/>
        <v>3.0022792468628405</v>
      </c>
      <c r="I39" s="192">
        <f t="shared" si="2"/>
        <v>2.1557257462934163</v>
      </c>
      <c r="K39" s="192">
        <f t="shared" si="3"/>
        <v>0.14600199999999999</v>
      </c>
      <c r="L39" s="182">
        <f t="shared" si="1"/>
        <v>2046</v>
      </c>
      <c r="M39" s="185">
        <f t="shared" si="4"/>
        <v>2.3017277462934165</v>
      </c>
    </row>
    <row r="40" spans="3:13" x14ac:dyDescent="0.25">
      <c r="C40" s="191">
        <f>'9. Indices-Hist'!B36</f>
        <v>43862</v>
      </c>
      <c r="D40" s="183">
        <f>VLOOKUP(C40,'9. Indices-Hist'!$K$5:$N$64,2,FALSE)</f>
        <v>72.060995729537368</v>
      </c>
      <c r="E40" s="183">
        <f>VLOOKUP(C40,'9. Indices-Hist'!$K$5:$N$64,4,FALSE)</f>
        <v>2.4966126537874938</v>
      </c>
      <c r="F40" s="182">
        <f>'10. Indices-Forecast'!B30</f>
        <v>2047</v>
      </c>
      <c r="G40" s="183">
        <f>'10. Indices-Forecast'!Q30</f>
        <v>90.134669085999988</v>
      </c>
      <c r="H40" s="192">
        <f t="shared" si="0"/>
        <v>3.000540188923368</v>
      </c>
      <c r="I40" s="192">
        <f t="shared" si="2"/>
        <v>2.1544770509968898</v>
      </c>
      <c r="K40" s="192">
        <f t="shared" si="3"/>
        <v>0.14600199999999999</v>
      </c>
      <c r="L40" s="182">
        <f t="shared" si="1"/>
        <v>2047</v>
      </c>
      <c r="M40" s="185">
        <f t="shared" si="4"/>
        <v>2.30047905099689</v>
      </c>
    </row>
    <row r="41" spans="3:13" x14ac:dyDescent="0.25">
      <c r="C41" s="191">
        <f>'9. Indices-Hist'!B37</f>
        <v>43891</v>
      </c>
      <c r="D41" s="183">
        <f>VLOOKUP(C41,'9. Indices-Hist'!$K$5:$N$64,2,FALSE)</f>
        <v>42.42468871051269</v>
      </c>
      <c r="E41" s="183">
        <f>VLOOKUP(C41,'9. Indices-Hist'!$K$5:$N$64,4,FALSE)</f>
        <v>1.8460040859658207</v>
      </c>
      <c r="F41" s="182">
        <f>'10. Indices-Forecast'!B31</f>
        <v>2048</v>
      </c>
      <c r="G41" s="183">
        <f>'10. Indices-Forecast'!Q31</f>
        <v>90.259325818999997</v>
      </c>
      <c r="H41" s="192">
        <f t="shared" si="0"/>
        <v>3.0046636339477493</v>
      </c>
      <c r="I41" s="192">
        <f t="shared" si="2"/>
        <v>2.157437807099698</v>
      </c>
      <c r="K41" s="192">
        <f t="shared" si="3"/>
        <v>0.14600199999999999</v>
      </c>
      <c r="L41" s="182">
        <f t="shared" si="1"/>
        <v>2048</v>
      </c>
      <c r="M41" s="185">
        <f t="shared" si="4"/>
        <v>2.3034398070996982</v>
      </c>
    </row>
    <row r="42" spans="3:13" x14ac:dyDescent="0.25">
      <c r="C42" s="191">
        <f>'9. Indices-Hist'!B38</f>
        <v>43922</v>
      </c>
      <c r="D42" s="183">
        <f>VLOOKUP(C42,'9. Indices-Hist'!$K$5:$N$64,2,FALSE)</f>
        <v>25.022083288409704</v>
      </c>
      <c r="E42" s="183">
        <f>VLOOKUP(C42,'9. Indices-Hist'!$K$5:$N$64,4,FALSE)</f>
        <v>1.2443005768194069</v>
      </c>
      <c r="F42" s="182">
        <f>'10. Indices-Forecast'!B32</f>
        <v>2049</v>
      </c>
      <c r="G42" s="183">
        <f>'10. Indices-Forecast'!Q32</f>
        <v>90.576632263999983</v>
      </c>
      <c r="H42" s="192">
        <f t="shared" si="0"/>
        <v>3.0151596228153466</v>
      </c>
      <c r="I42" s="192">
        <f t="shared" si="2"/>
        <v>2.1649742391149185</v>
      </c>
      <c r="K42" s="192">
        <f t="shared" si="3"/>
        <v>0.14600199999999999</v>
      </c>
      <c r="L42" s="182">
        <f t="shared" si="1"/>
        <v>2049</v>
      </c>
      <c r="M42" s="185">
        <f t="shared" si="4"/>
        <v>2.3109762391149187</v>
      </c>
    </row>
    <row r="43" spans="3:13" x14ac:dyDescent="0.25">
      <c r="C43" s="191">
        <f>'9. Indices-Hist'!B39</f>
        <v>43952</v>
      </c>
      <c r="D43" s="183">
        <f>VLOOKUP(C43,'9. Indices-Hist'!$K$5:$N$64,2,FALSE)</f>
        <v>42.470355461293742</v>
      </c>
      <c r="E43" s="183">
        <f>VLOOKUP(C43,'9. Indices-Hist'!$K$5:$N$64,4,FALSE)</f>
        <v>1.3547091675503713</v>
      </c>
      <c r="F43" s="182">
        <f>'10. Indices-Forecast'!B33</f>
        <v>2050</v>
      </c>
      <c r="G43" s="183">
        <f>'10. Indices-Forecast'!Q33</f>
        <v>90.29125712299998</v>
      </c>
      <c r="H43" s="192">
        <f t="shared" si="0"/>
        <v>3.0057198703293069</v>
      </c>
      <c r="I43" s="192">
        <f t="shared" si="2"/>
        <v>2.1581962162197939</v>
      </c>
      <c r="K43" s="192">
        <f t="shared" si="3"/>
        <v>0.14600199999999999</v>
      </c>
      <c r="L43" s="182">
        <f t="shared" si="1"/>
        <v>2050</v>
      </c>
      <c r="M43" s="185">
        <f t="shared" si="4"/>
        <v>2.304198216219794</v>
      </c>
    </row>
    <row r="44" spans="3:13" x14ac:dyDescent="0.25">
      <c r="C44" s="191">
        <f>'9. Indices-Hist'!B40</f>
        <v>43983</v>
      </c>
      <c r="D44" s="183">
        <f>VLOOKUP(C44,'9. Indices-Hist'!$K$5:$N$64,2,FALSE)</f>
        <v>56.194478504184112</v>
      </c>
      <c r="E44" s="183">
        <f>VLOOKUP(C44,'9. Indices-Hist'!$K$5:$N$64,4,FALSE)</f>
        <v>1.7337998849372387</v>
      </c>
      <c r="F44" s="182"/>
      <c r="G44" s="183"/>
    </row>
    <row r="45" spans="3:13" x14ac:dyDescent="0.25">
      <c r="C45" s="191">
        <f>'9. Indices-Hist'!B41</f>
        <v>44013</v>
      </c>
      <c r="D45" s="183">
        <f>VLOOKUP(C45,'9. Indices-Hist'!$K$5:$N$64,2,FALSE)</f>
        <v>59.157957979274613</v>
      </c>
      <c r="E45" s="183">
        <f>VLOOKUP(C45,'9. Indices-Hist'!$K$5:$N$64,4,FALSE)</f>
        <v>1.8338821658031088</v>
      </c>
      <c r="F45" s="182"/>
      <c r="G45" s="183"/>
    </row>
    <row r="46" spans="3:13" x14ac:dyDescent="0.25">
      <c r="C46" s="191">
        <f>'9. Indices-Hist'!B42</f>
        <v>44044</v>
      </c>
      <c r="D46" s="183">
        <f>VLOOKUP(C46,'9. Indices-Hist'!$K$5:$N$64,2,FALSE)</f>
        <v>61.114946268656716</v>
      </c>
      <c r="E46" s="183">
        <f>VLOOKUP(C46,'9. Indices-Hist'!$K$5:$N$64,4,FALSE)</f>
        <v>1.8649152238805971</v>
      </c>
      <c r="F46" s="182"/>
      <c r="G46" s="183"/>
    </row>
    <row r="47" spans="3:13" x14ac:dyDescent="0.25">
      <c r="C47" s="191">
        <f>'9. Indices-Hist'!B43</f>
        <v>44075</v>
      </c>
      <c r="D47" s="183">
        <f>VLOOKUP(C47,'9. Indices-Hist'!$K$5:$N$64,2,FALSE)</f>
        <v>56.85212363171356</v>
      </c>
      <c r="E47" s="183">
        <f>VLOOKUP(C47,'9. Indices-Hist'!$K$5:$N$64,4,FALSE)</f>
        <v>1.6698428439897697</v>
      </c>
      <c r="F47" s="182"/>
      <c r="G47" s="183"/>
    </row>
    <row r="48" spans="3:13" x14ac:dyDescent="0.25">
      <c r="C48" s="191">
        <f>'9. Indices-Hist'!B44</f>
        <v>44105</v>
      </c>
      <c r="D48" s="183">
        <f>VLOOKUP(C48,'9. Indices-Hist'!$K$5:$N$64,2,FALSE)</f>
        <v>56.234527226463101</v>
      </c>
      <c r="E48" s="183">
        <f>VLOOKUP(C48,'9. Indices-Hist'!$K$5:$N$64,4,FALSE)</f>
        <v>1.7284267124681933</v>
      </c>
      <c r="F48" s="182"/>
      <c r="G48" s="183"/>
    </row>
    <row r="49" spans="3:7" x14ac:dyDescent="0.25">
      <c r="C49" s="191">
        <f>'9. Indices-Hist'!B45</f>
        <v>44136</v>
      </c>
      <c r="D49" s="183">
        <f>VLOOKUP(C49,'9. Indices-Hist'!$K$5:$N$64,2,FALSE)</f>
        <v>57.90212536560766</v>
      </c>
      <c r="E49" s="183">
        <f>VLOOKUP(C49,'9. Indices-Hist'!$K$5:$N$64,4,FALSE)</f>
        <v>1.9347852344931924</v>
      </c>
      <c r="F49" s="182"/>
      <c r="G49" s="183"/>
    </row>
    <row r="50" spans="3:7" x14ac:dyDescent="0.25">
      <c r="C50" s="191">
        <f>'9. Indices-Hist'!B46</f>
        <v>44166</v>
      </c>
      <c r="D50" s="183">
        <f>VLOOKUP(C50,'9. Indices-Hist'!$K$5:$N$64,2,FALSE)</f>
        <v>65.771482194513723</v>
      </c>
      <c r="E50" s="183">
        <f>VLOOKUP(C50,'9. Indices-Hist'!$K$5:$N$64,4,FALSE)</f>
        <v>2.1569465236907734</v>
      </c>
      <c r="F50" s="182"/>
      <c r="G50" s="183"/>
    </row>
    <row r="51" spans="3:7" x14ac:dyDescent="0.25">
      <c r="C51" s="191">
        <f>'9. Indices-Hist'!B47</f>
        <v>44197</v>
      </c>
      <c r="D51" s="183">
        <f>VLOOKUP(C51,'9. Indices-Hist'!$K$5:$N$64,2,FALSE)</f>
        <v>71.210292968749997</v>
      </c>
      <c r="E51" s="183">
        <f>VLOOKUP(C51,'9. Indices-Hist'!$K$5:$N$64,4,FALSE)</f>
        <v>2.1664362207031247</v>
      </c>
      <c r="F51" s="182"/>
      <c r="G51" s="183"/>
    </row>
    <row r="52" spans="3:7" x14ac:dyDescent="0.25">
      <c r="C52" s="191">
        <f>'9. Indices-Hist'!B48</f>
        <v>44228</v>
      </c>
      <c r="D52" s="183">
        <f>VLOOKUP(C52,'9. Indices-Hist'!$K$5:$N$64,2,FALSE)</f>
        <v>78.624403418803425</v>
      </c>
      <c r="E52" s="183">
        <f>VLOOKUP(C52,'9. Indices-Hist'!$K$5:$N$64,4,FALSE)</f>
        <v>2.4436954653371319</v>
      </c>
      <c r="F52" s="182"/>
      <c r="G52" s="183"/>
    </row>
    <row r="53" spans="3:7" x14ac:dyDescent="0.25">
      <c r="C53" s="191">
        <f>'9. Indices-Hist'!B49</f>
        <v>44256</v>
      </c>
      <c r="D53" s="183">
        <f>VLOOKUP(C53,'9. Indices-Hist'!$K$5:$N$64,2,FALSE)</f>
        <v>81.307020790697663</v>
      </c>
      <c r="E53" s="183">
        <f>VLOOKUP(C53,'9. Indices-Hist'!$K$5:$N$64,4,FALSE)</f>
        <v>2.5254354604651161</v>
      </c>
      <c r="F53" s="182"/>
      <c r="G53" s="183"/>
    </row>
    <row r="54" spans="3:7" x14ac:dyDescent="0.25">
      <c r="C54" s="191">
        <f>'9. Indices-Hist'!B50</f>
        <v>44287</v>
      </c>
      <c r="D54" s="183">
        <f>VLOOKUP(C54,'9. Indices-Hist'!$K$5:$N$64,2,FALSE)</f>
        <v>79.439786507572279</v>
      </c>
      <c r="E54" s="183">
        <f>VLOOKUP(C54,'9. Indices-Hist'!$K$5:$N$64,4,FALSE)</f>
        <v>2.4416279164754471</v>
      </c>
      <c r="F54" s="182"/>
      <c r="G54" s="183"/>
    </row>
    <row r="55" spans="3:7" x14ac:dyDescent="0.25">
      <c r="C55" s="191">
        <f>'9. Indices-Hist'!B51</f>
        <v>44317</v>
      </c>
      <c r="D55" s="183">
        <f>VLOOKUP(C55,'9. Indices-Hist'!$K$5:$N$64,2,FALSE)</f>
        <v>81.269511027123173</v>
      </c>
      <c r="E55" s="183">
        <f>VLOOKUP(C55,'9. Indices-Hist'!$K$5:$N$64,4,FALSE)</f>
        <v>2.5190181413961761</v>
      </c>
      <c r="F55" s="182"/>
      <c r="G55" s="183"/>
    </row>
    <row r="56" spans="3:7" x14ac:dyDescent="0.25">
      <c r="C56" s="191">
        <f>'9. Indices-Hist'!B52</f>
        <v>44348</v>
      </c>
      <c r="D56" s="183">
        <f>VLOOKUP(C56,'9. Indices-Hist'!$K$5:$N$64,2,FALSE)</f>
        <v>87.458118916557439</v>
      </c>
      <c r="E56" s="183">
        <f>VLOOKUP(C56,'9. Indices-Hist'!$K$5:$N$64,4,FALSE)</f>
        <v>2.5448376714722585</v>
      </c>
      <c r="F56" s="182"/>
      <c r="G56" s="183"/>
    </row>
    <row r="57" spans="3:7" x14ac:dyDescent="0.25">
      <c r="C57" s="191">
        <f>'9. Indices-Hist'!B53</f>
        <v>44378</v>
      </c>
      <c r="D57" s="183">
        <f>VLOOKUP(C57,'9. Indices-Hist'!$K$5:$N$64,2,FALSE)</f>
        <v>87.688043605779598</v>
      </c>
      <c r="E57" s="183">
        <f>VLOOKUP(C57,'9. Indices-Hist'!$K$5:$N$64,4,FALSE)</f>
        <v>2.5693116929048956</v>
      </c>
      <c r="F57" s="182"/>
      <c r="G57" s="183"/>
    </row>
    <row r="58" spans="3:7" x14ac:dyDescent="0.25">
      <c r="C58" s="191">
        <f>'9. Indices-Hist'!B54</f>
        <v>44409</v>
      </c>
      <c r="D58" s="183">
        <f>VLOOKUP(C58,'9. Indices-Hist'!$K$5:$N$64,2,FALSE)</f>
        <v>81.380751322751337</v>
      </c>
      <c r="E58" s="183">
        <f>VLOOKUP(C58,'9. Indices-Hist'!$K$5:$N$64,4,FALSE)</f>
        <v>2.5893329263329261</v>
      </c>
      <c r="F58" s="182"/>
      <c r="G58" s="183"/>
    </row>
    <row r="59" spans="3:7" x14ac:dyDescent="0.25">
      <c r="C59" s="191">
        <f>'9. Indices-Hist'!B55</f>
        <v>44440</v>
      </c>
      <c r="D59" s="183">
        <f>VLOOKUP(C59,'9. Indices-Hist'!$K$5:$N$64,2,FALSE)</f>
        <v>85.264162755963653</v>
      </c>
      <c r="E59" s="183">
        <f>VLOOKUP(C59,'9. Indices-Hist'!$K$5:$N$64,4,FALSE)</f>
        <v>2.6787108215446498</v>
      </c>
      <c r="F59" s="182"/>
      <c r="G59" s="183"/>
    </row>
    <row r="60" spans="3:7" x14ac:dyDescent="0.25">
      <c r="C60" s="191">
        <f>'9. Indices-Hist'!B56</f>
        <v>44470</v>
      </c>
      <c r="D60" s="183">
        <f>VLOOKUP(C60,'9. Indices-Hist'!$K$5:$N$64,2,FALSE)</f>
        <v>95.031706568523489</v>
      </c>
      <c r="E60" s="183">
        <f>VLOOKUP(C60,'9. Indices-Hist'!$K$5:$N$64,4,FALSE)</f>
        <v>2.9297943900359718</v>
      </c>
      <c r="F60" s="182"/>
      <c r="G60" s="183"/>
    </row>
    <row r="61" spans="3:7" x14ac:dyDescent="0.25">
      <c r="C61" s="191">
        <f>'9. Indices-Hist'!B57</f>
        <v>44501</v>
      </c>
      <c r="D61" s="183">
        <f>VLOOKUP(C61,'9. Indices-Hist'!$K$5:$N$64,2,FALSE)</f>
        <v>91.243386822970407</v>
      </c>
      <c r="E61" s="183">
        <f>VLOOKUP(C61,'9. Indices-Hist'!$K$5:$N$64,4,FALSE)</f>
        <v>2.8923519587976338</v>
      </c>
      <c r="F61" s="182"/>
      <c r="G61" s="183"/>
    </row>
    <row r="62" spans="3:7" x14ac:dyDescent="0.25">
      <c r="C62" s="191">
        <f>'9. Indices-Hist'!B58</f>
        <v>44531</v>
      </c>
      <c r="D62" s="183">
        <f>VLOOKUP(C62,'9. Indices-Hist'!$K$5:$N$64,2,FALSE)</f>
        <v>83.334223744292245</v>
      </c>
      <c r="E62" s="183">
        <f>VLOOKUP(C62,'9. Indices-Hist'!$K$5:$N$64,4,FALSE)</f>
        <v>2.6623721461187215</v>
      </c>
      <c r="F62" s="182"/>
      <c r="G62" s="183"/>
    </row>
    <row r="63" spans="3:7" x14ac:dyDescent="0.25">
      <c r="C63" s="191">
        <f>'9. Indices-Hist'!B59</f>
        <v>44562</v>
      </c>
      <c r="D63" s="183">
        <f>VLOOKUP(C63,'9. Indices-Hist'!$K$5:$N$64,2,FALSE)</f>
        <v>93.978321099402862</v>
      </c>
      <c r="E63" s="183">
        <f>VLOOKUP(C63,'9. Indices-Hist'!$K$5:$N$64,4,FALSE)</f>
        <v>3.0196831365032835</v>
      </c>
      <c r="F63" s="182"/>
      <c r="G63" s="183"/>
    </row>
    <row r="64" spans="3:7" x14ac:dyDescent="0.25">
      <c r="C64" s="191">
        <f>'9. Indices-Hist'!B60</f>
        <v>44593</v>
      </c>
      <c r="D64" s="183">
        <f>VLOOKUP(C64,'9. Indices-Hist'!$K$5:$N$64,2,FALSE)</f>
        <v>100.98529600597237</v>
      </c>
      <c r="E64" s="183">
        <f>VLOOKUP(C64,'9. Indices-Hist'!$K$5:$N$64,4,FALSE)</f>
        <v>3.1417402762224711</v>
      </c>
      <c r="F64" s="182"/>
      <c r="G64" s="183"/>
    </row>
    <row r="65" spans="3:7" x14ac:dyDescent="0.25">
      <c r="C65" s="191">
        <f>'9. Indices-Hist'!B61</f>
        <v>44621</v>
      </c>
      <c r="D65" s="183">
        <f>VLOOKUP(C65,'9. Indices-Hist'!$K$5:$N$64,2,FALSE)</f>
        <v>117.03139638634842</v>
      </c>
      <c r="E65" s="183">
        <f>VLOOKUP(C65,'9. Indices-Hist'!$K$5:$N$64,4,FALSE)</f>
        <v>3.9165069150122678</v>
      </c>
      <c r="F65" s="182"/>
      <c r="G65" s="183"/>
    </row>
    <row r="66" spans="3:7" x14ac:dyDescent="0.25">
      <c r="C66" s="191">
        <f>'9. Indices-Hist'!B62</f>
        <v>44652</v>
      </c>
      <c r="D66" s="183">
        <f>VLOOKUP(C66,'9. Indices-Hist'!$K$5:$N$64,2,FALSE)</f>
        <v>107.55021257516617</v>
      </c>
      <c r="E66" s="183">
        <f>VLOOKUP(C66,'9. Indices-Hist'!$K$5:$N$64,4,FALSE)</f>
        <v>4.1073656541527894</v>
      </c>
      <c r="F66" s="182"/>
      <c r="G66" s="183"/>
    </row>
    <row r="67" spans="3:7" x14ac:dyDescent="0.25">
      <c r="C67" s="191">
        <f>'9. Indices-Hist'!B63</f>
        <v>44682</v>
      </c>
      <c r="D67" s="183">
        <f>VLOOKUP(C67,'9. Indices-Hist'!$K$5:$N$64,2,FALSE)</f>
        <v>112.41962477131358</v>
      </c>
      <c r="E67" s="183">
        <f>VLOOKUP(C67,'9. Indices-Hist'!$K$5:$N$64,4,FALSE)</f>
        <v>4.1560883644346873</v>
      </c>
      <c r="F67" s="182"/>
      <c r="G67" s="183"/>
    </row>
    <row r="68" spans="3:7" x14ac:dyDescent="0.25">
      <c r="C68" s="191">
        <f>'9. Indices-Hist'!B64</f>
        <v>44713</v>
      </c>
      <c r="D68" s="183">
        <f>VLOOKUP(C68,'9. Indices-Hist'!$K$5:$N$64,2,FALSE)</f>
        <v>114.84</v>
      </c>
      <c r="E68" s="183">
        <f>VLOOKUP(C68,'9. Indices-Hist'!$K$5:$N$64,4,FALSE)</f>
        <v>4.3819999999999997</v>
      </c>
      <c r="F68" s="182"/>
      <c r="G68" s="183"/>
    </row>
    <row r="69" spans="3:7" x14ac:dyDescent="0.25">
      <c r="C69" s="191"/>
      <c r="D69" s="183"/>
      <c r="E69" s="183"/>
    </row>
    <row r="70" spans="3:7" x14ac:dyDescent="0.25">
      <c r="C70" s="191"/>
      <c r="D70" s="183"/>
      <c r="E70" s="183"/>
    </row>
    <row r="71" spans="3:7" x14ac:dyDescent="0.25">
      <c r="C71" s="191"/>
      <c r="D71" s="183"/>
      <c r="E71" s="183"/>
    </row>
    <row r="72" spans="3:7" x14ac:dyDescent="0.25">
      <c r="C72" s="191"/>
      <c r="D72" s="183"/>
      <c r="E72" s="183"/>
    </row>
    <row r="97" spans="3:3" x14ac:dyDescent="0.25">
      <c r="C97" s="191"/>
    </row>
    <row r="98" spans="3:3" x14ac:dyDescent="0.25">
      <c r="C98" s="191"/>
    </row>
    <row r="99" spans="3:3" x14ac:dyDescent="0.25">
      <c r="C99" s="191"/>
    </row>
    <row r="100" spans="3:3" x14ac:dyDescent="0.25">
      <c r="C100" s="191"/>
    </row>
    <row r="101" spans="3:3" x14ac:dyDescent="0.25">
      <c r="C101" s="191"/>
    </row>
    <row r="102" spans="3:3" x14ac:dyDescent="0.25">
      <c r="C102" s="191"/>
    </row>
    <row r="103" spans="3:3" x14ac:dyDescent="0.25">
      <c r="C103" s="191"/>
    </row>
    <row r="104" spans="3:3" x14ac:dyDescent="0.25">
      <c r="C104" s="191"/>
    </row>
    <row r="105" spans="3:3" x14ac:dyDescent="0.25">
      <c r="C105" s="191"/>
    </row>
    <row r="106" spans="3:3" x14ac:dyDescent="0.25">
      <c r="C106" s="191"/>
    </row>
    <row r="107" spans="3:3" x14ac:dyDescent="0.25">
      <c r="C107" s="191"/>
    </row>
    <row r="108" spans="3:3" x14ac:dyDescent="0.25">
      <c r="C108" s="191"/>
    </row>
    <row r="109" spans="3:3" x14ac:dyDescent="0.25">
      <c r="C109" s="191"/>
    </row>
    <row r="110" spans="3:3" x14ac:dyDescent="0.25">
      <c r="C110" s="191"/>
    </row>
    <row r="111" spans="3:3" x14ac:dyDescent="0.25">
      <c r="C111" s="191"/>
    </row>
    <row r="112" spans="3:3" x14ac:dyDescent="0.25">
      <c r="C112" s="191"/>
    </row>
    <row r="113" spans="3:3" x14ac:dyDescent="0.25">
      <c r="C113" s="191"/>
    </row>
    <row r="114" spans="3:3" x14ac:dyDescent="0.25">
      <c r="C114" s="191"/>
    </row>
    <row r="115" spans="3:3" x14ac:dyDescent="0.25">
      <c r="C115" s="191"/>
    </row>
    <row r="116" spans="3:3" x14ac:dyDescent="0.25">
      <c r="C116" s="191"/>
    </row>
    <row r="117" spans="3:3" x14ac:dyDescent="0.25">
      <c r="C117" s="191"/>
    </row>
    <row r="118" spans="3:3" x14ac:dyDescent="0.25">
      <c r="C118" s="191"/>
    </row>
    <row r="119" spans="3:3" x14ac:dyDescent="0.25">
      <c r="C119" s="191"/>
    </row>
    <row r="120" spans="3:3" x14ac:dyDescent="0.25">
      <c r="C120" s="191"/>
    </row>
    <row r="121" spans="3:3" x14ac:dyDescent="0.25">
      <c r="C121" s="191"/>
    </row>
    <row r="122" spans="3:3" x14ac:dyDescent="0.25">
      <c r="C122" s="191"/>
    </row>
    <row r="123" spans="3:3" x14ac:dyDescent="0.25">
      <c r="C123" s="191"/>
    </row>
    <row r="124" spans="3:3" x14ac:dyDescent="0.25">
      <c r="C124" s="191"/>
    </row>
    <row r="125" spans="3:3" x14ac:dyDescent="0.25">
      <c r="C125" s="191"/>
    </row>
    <row r="126" spans="3:3" x14ac:dyDescent="0.25">
      <c r="C126" s="191"/>
    </row>
    <row r="127" spans="3:3" x14ac:dyDescent="0.25">
      <c r="C127" s="191"/>
    </row>
    <row r="128" spans="3:3" x14ac:dyDescent="0.25">
      <c r="C128" s="191"/>
    </row>
    <row r="129" spans="3:3" x14ac:dyDescent="0.25">
      <c r="C129" s="191"/>
    </row>
    <row r="130" spans="3:3" x14ac:dyDescent="0.25">
      <c r="C130" s="191"/>
    </row>
    <row r="131" spans="3:3" x14ac:dyDescent="0.25">
      <c r="C131" s="191"/>
    </row>
    <row r="132" spans="3:3" x14ac:dyDescent="0.25">
      <c r="C132" s="191"/>
    </row>
    <row r="133" spans="3:3" x14ac:dyDescent="0.25">
      <c r="C133" s="191"/>
    </row>
    <row r="134" spans="3:3" x14ac:dyDescent="0.25">
      <c r="C134" s="191"/>
    </row>
    <row r="135" spans="3:3" x14ac:dyDescent="0.25">
      <c r="C135" s="191"/>
    </row>
    <row r="136" spans="3:3" x14ac:dyDescent="0.25">
      <c r="C136" s="191"/>
    </row>
    <row r="137" spans="3:3" x14ac:dyDescent="0.25">
      <c r="C137" s="191"/>
    </row>
    <row r="138" spans="3:3" x14ac:dyDescent="0.25">
      <c r="C138" s="191"/>
    </row>
    <row r="139" spans="3:3" x14ac:dyDescent="0.25">
      <c r="C139" s="191"/>
    </row>
    <row r="140" spans="3:3" x14ac:dyDescent="0.25">
      <c r="C140" s="191"/>
    </row>
    <row r="141" spans="3:3" x14ac:dyDescent="0.25">
      <c r="C141" s="191"/>
    </row>
    <row r="142" spans="3:3" x14ac:dyDescent="0.25">
      <c r="C142" s="191"/>
    </row>
    <row r="143" spans="3:3" x14ac:dyDescent="0.25">
      <c r="C143" s="191"/>
    </row>
    <row r="144" spans="3:3" x14ac:dyDescent="0.25">
      <c r="C144" s="191"/>
    </row>
    <row r="145" spans="3:3" x14ac:dyDescent="0.25">
      <c r="C145" s="191"/>
    </row>
    <row r="146" spans="3:3" x14ac:dyDescent="0.25">
      <c r="C146" s="191"/>
    </row>
    <row r="147" spans="3:3" x14ac:dyDescent="0.25">
      <c r="C147" s="191"/>
    </row>
    <row r="148" spans="3:3" x14ac:dyDescent="0.25">
      <c r="C148" s="191"/>
    </row>
    <row r="149" spans="3:3" x14ac:dyDescent="0.25">
      <c r="C149" s="191"/>
    </row>
  </sheetData>
  <mergeCells count="2">
    <mergeCell ref="C12:E12"/>
    <mergeCell ref="G12:I1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3E43E-DEA1-438C-B659-ABD7D3845B69}">
  <sheetPr codeName="Sheet26"/>
  <dimension ref="A1:X109"/>
  <sheetViews>
    <sheetView workbookViewId="0">
      <selection activeCell="N17" sqref="N17"/>
    </sheetView>
  </sheetViews>
  <sheetFormatPr defaultColWidth="8.85546875" defaultRowHeight="15" x14ac:dyDescent="0.25"/>
  <cols>
    <col min="1" max="1" width="8.85546875" style="1"/>
    <col min="2" max="2" width="33.140625" style="1" customWidth="1"/>
    <col min="3" max="3" width="9.7109375" style="1" bestFit="1" customWidth="1"/>
    <col min="4" max="4" width="4.85546875" style="1" customWidth="1"/>
    <col min="5" max="5" width="9" style="1" customWidth="1"/>
    <col min="6" max="7" width="11.7109375" style="1" customWidth="1"/>
    <col min="8" max="8" width="11.28515625" style="1" customWidth="1"/>
    <col min="9" max="9" width="11.85546875" style="1" customWidth="1"/>
    <col min="10" max="10" width="13" style="1" customWidth="1"/>
    <col min="11" max="11" width="12.5703125" style="1" customWidth="1"/>
    <col min="12" max="12" width="8.5703125" style="1" customWidth="1"/>
    <col min="13" max="13" width="10" style="1" customWidth="1"/>
    <col min="14" max="14" width="12.7109375" style="1" customWidth="1"/>
    <col min="15" max="15" width="9.7109375" style="1" customWidth="1"/>
    <col min="16" max="16" width="10.42578125" style="1" customWidth="1"/>
    <col min="17" max="17" width="11.42578125" style="1" customWidth="1"/>
    <col min="18" max="18" width="10.140625" style="1" customWidth="1"/>
    <col min="19" max="16384" width="8.85546875" style="1"/>
  </cols>
  <sheetData>
    <row r="1" spans="1:24" x14ac:dyDescent="0.25">
      <c r="A1" s="479" t="s">
        <v>421</v>
      </c>
      <c r="B1" s="51"/>
      <c r="C1" s="172" t="s">
        <v>422</v>
      </c>
      <c r="Q1" s="114"/>
      <c r="R1" s="482"/>
      <c r="S1" s="482"/>
      <c r="T1" s="482"/>
      <c r="U1" s="482"/>
      <c r="V1" s="482"/>
      <c r="W1" s="482"/>
      <c r="X1" s="482"/>
    </row>
    <row r="2" spans="1:24" x14ac:dyDescent="0.25">
      <c r="B2" s="114" t="s">
        <v>254</v>
      </c>
      <c r="C2" s="198">
        <f>'14. Reg Propane'!B17</f>
        <v>-6.6229245540062376E-2</v>
      </c>
      <c r="D2" s="173"/>
      <c r="E2" s="114"/>
      <c r="I2" s="480" t="s">
        <v>407</v>
      </c>
      <c r="J2" s="13">
        <f>90000/1000000</f>
        <v>0.09</v>
      </c>
      <c r="K2" s="1" t="s">
        <v>408</v>
      </c>
      <c r="Q2" s="114"/>
      <c r="R2" s="176"/>
      <c r="S2" s="176"/>
      <c r="T2" s="176"/>
      <c r="U2" s="176"/>
      <c r="V2" s="176"/>
      <c r="W2" s="176"/>
      <c r="X2" s="176"/>
    </row>
    <row r="3" spans="1:24" x14ac:dyDescent="0.25">
      <c r="B3" s="114" t="s">
        <v>423</v>
      </c>
      <c r="C3" s="198">
        <f>'14. Reg Propane'!B18</f>
        <v>8.7219976004179883E-2</v>
      </c>
      <c r="D3" s="173"/>
      <c r="E3" s="114"/>
      <c r="I3" s="480" t="s">
        <v>410</v>
      </c>
      <c r="J3" s="188">
        <v>0.1</v>
      </c>
      <c r="K3" s="1" t="s">
        <v>411</v>
      </c>
      <c r="Q3" s="484"/>
      <c r="R3" s="176"/>
      <c r="S3" s="176"/>
      <c r="T3" s="176"/>
      <c r="U3" s="176"/>
      <c r="V3" s="176"/>
      <c r="W3" s="176"/>
      <c r="X3" s="176"/>
    </row>
    <row r="4" spans="1:24" x14ac:dyDescent="0.25">
      <c r="B4" s="114" t="s">
        <v>424</v>
      </c>
      <c r="C4" s="198">
        <f>'14. Reg Propane'!B19</f>
        <v>8.9284590688944211E-3</v>
      </c>
      <c r="E4" s="114"/>
      <c r="R4" s="147"/>
      <c r="S4" s="147"/>
      <c r="T4" s="147"/>
      <c r="U4" s="147"/>
      <c r="V4" s="147"/>
      <c r="W4" s="147"/>
      <c r="X4" s="147"/>
    </row>
    <row r="5" spans="1:24" x14ac:dyDescent="0.25">
      <c r="B5" s="114" t="s">
        <v>425</v>
      </c>
      <c r="C5" s="481">
        <v>0.2</v>
      </c>
      <c r="E5" s="114"/>
      <c r="I5" s="114"/>
      <c r="J5" s="483"/>
    </row>
    <row r="6" spans="1:24" x14ac:dyDescent="0.25">
      <c r="E6" s="114"/>
      <c r="I6" s="114"/>
      <c r="J6" s="483"/>
    </row>
    <row r="8" spans="1:24" x14ac:dyDescent="0.25">
      <c r="C8" s="172"/>
      <c r="F8" s="33" t="s">
        <v>397</v>
      </c>
      <c r="G8" s="33"/>
      <c r="H8" s="33"/>
      <c r="I8" s="33"/>
      <c r="J8" s="33"/>
      <c r="K8" s="33"/>
      <c r="L8" s="172"/>
      <c r="M8" s="172"/>
      <c r="N8" s="553" t="s">
        <v>399</v>
      </c>
      <c r="O8" s="553"/>
      <c r="Q8" s="172"/>
    </row>
    <row r="9" spans="1:24" ht="63.75" x14ac:dyDescent="0.25">
      <c r="F9" s="177" t="s">
        <v>426</v>
      </c>
      <c r="G9" s="177" t="s">
        <v>400</v>
      </c>
      <c r="H9" s="177" t="s">
        <v>427</v>
      </c>
      <c r="I9" s="177" t="s">
        <v>428</v>
      </c>
      <c r="J9" s="177" t="s">
        <v>429</v>
      </c>
      <c r="K9" s="177" t="s">
        <v>429</v>
      </c>
      <c r="L9" s="177"/>
      <c r="M9" s="177"/>
      <c r="N9" s="554" t="s">
        <v>419</v>
      </c>
      <c r="O9" s="554"/>
      <c r="Q9" s="29"/>
      <c r="R9" s="29"/>
    </row>
    <row r="10" spans="1:24" ht="26.25" x14ac:dyDescent="0.25">
      <c r="F10" s="180" t="s">
        <v>430</v>
      </c>
      <c r="G10" s="180" t="s">
        <v>402</v>
      </c>
      <c r="H10" s="180" t="s">
        <v>431</v>
      </c>
      <c r="I10" s="180" t="s">
        <v>431</v>
      </c>
      <c r="J10" s="180" t="s">
        <v>431</v>
      </c>
      <c r="K10" s="180" t="s">
        <v>432</v>
      </c>
      <c r="L10" s="180"/>
      <c r="M10" s="180"/>
      <c r="N10" s="180" t="s">
        <v>433</v>
      </c>
      <c r="O10" s="180" t="s">
        <v>432</v>
      </c>
      <c r="Q10" s="180"/>
    </row>
    <row r="11" spans="1:24" x14ac:dyDescent="0.25">
      <c r="C11" s="191"/>
      <c r="D11" s="176"/>
      <c r="E11" s="182">
        <v>2022</v>
      </c>
      <c r="F11" s="183">
        <f>VLOOKUP(E11,'10. Indices-Forecast'!$N$5:$R$33,5,FALSE)</f>
        <v>6.0270009643201545</v>
      </c>
      <c r="G11" s="183">
        <f>VLOOKUP(E11,'10. Indices-Forecast'!$N$5:$R$33,4,FALSE)</f>
        <v>95.265188042430097</v>
      </c>
      <c r="H11" s="192">
        <f>$C$2+F11*$C$3+G11*$C$4</f>
        <v>1.3100169660724779</v>
      </c>
      <c r="I11" s="192">
        <f t="shared" ref="I11:I39" si="0">(H11)/(1-$C$5)-H11</f>
        <v>0.3275042415181193</v>
      </c>
      <c r="J11" s="192">
        <f t="shared" ref="J11:J39" si="1">SUM(H11:I11)</f>
        <v>1.6375212075905972</v>
      </c>
      <c r="K11" s="185">
        <f>J11/J$2*$J$3</f>
        <v>1.8194680084339969</v>
      </c>
      <c r="L11" s="118"/>
      <c r="M11" s="366">
        <f t="shared" ref="M11:M39" si="2">E11</f>
        <v>2022</v>
      </c>
      <c r="N11" s="192">
        <f>J11</f>
        <v>1.6375212075905972</v>
      </c>
      <c r="O11" s="185">
        <f>N11/$J$2*$J$3</f>
        <v>1.8194680084339969</v>
      </c>
      <c r="P11" s="366"/>
      <c r="Q11" s="367"/>
    </row>
    <row r="12" spans="1:24" x14ac:dyDescent="0.25">
      <c r="C12" s="191"/>
      <c r="E12" s="182">
        <v>2023</v>
      </c>
      <c r="F12" s="183">
        <f>VLOOKUP(E12,'10. Indices-Forecast'!$N$5:$R$33,5,FALSE)</f>
        <v>4.6339898464967417</v>
      </c>
      <c r="G12" s="183">
        <f>VLOOKUP(E12,'10. Indices-Forecast'!$N$5:$R$33,4,FALSE)</f>
        <v>84.190402575522782</v>
      </c>
      <c r="H12" s="192">
        <f t="shared" ref="H12:H39" si="3">$C$2+F12*$C$3+G12*$C$4</f>
        <v>1.0896378010642953</v>
      </c>
      <c r="I12" s="192">
        <f t="shared" si="0"/>
        <v>0.27240945026607366</v>
      </c>
      <c r="J12" s="192">
        <f t="shared" si="1"/>
        <v>1.362047251330369</v>
      </c>
      <c r="K12" s="185">
        <f t="shared" ref="K12:K39" si="4">J12/J$2*$J$3</f>
        <v>1.5133858348115212</v>
      </c>
      <c r="L12" s="118"/>
      <c r="M12" s="366">
        <f t="shared" si="2"/>
        <v>2023</v>
      </c>
      <c r="N12" s="192">
        <f t="shared" ref="N12:N39" si="5">J12</f>
        <v>1.362047251330369</v>
      </c>
      <c r="O12" s="185">
        <f t="shared" ref="O12:O39" si="6">N12/$J$2*$J$3</f>
        <v>1.5133858348115212</v>
      </c>
      <c r="P12" s="366"/>
      <c r="Q12" s="367"/>
    </row>
    <row r="13" spans="1:24" x14ac:dyDescent="0.25">
      <c r="C13" s="191"/>
      <c r="E13" s="182">
        <v>2024</v>
      </c>
      <c r="F13" s="183">
        <f>VLOOKUP(E13,'10. Indices-Forecast'!$N$5:$R$33,5,FALSE)</f>
        <v>3.2922727849999998</v>
      </c>
      <c r="G13" s="183">
        <f>VLOOKUP(E13,'10. Indices-Forecast'!$N$5:$R$33,4,FALSE)</f>
        <v>66.338410241999995</v>
      </c>
      <c r="H13" s="192">
        <f t="shared" si="3"/>
        <v>0.81322248830807553</v>
      </c>
      <c r="I13" s="192">
        <f t="shared" si="0"/>
        <v>0.20330562207701874</v>
      </c>
      <c r="J13" s="192">
        <f t="shared" si="1"/>
        <v>1.0165281103850943</v>
      </c>
      <c r="K13" s="185">
        <f t="shared" si="4"/>
        <v>1.1294756782056605</v>
      </c>
      <c r="L13" s="118"/>
      <c r="M13" s="366">
        <f t="shared" si="2"/>
        <v>2024</v>
      </c>
      <c r="N13" s="192">
        <f t="shared" si="5"/>
        <v>1.0165281103850943</v>
      </c>
      <c r="O13" s="185">
        <f t="shared" si="6"/>
        <v>1.1294756782056605</v>
      </c>
      <c r="P13" s="366"/>
      <c r="Q13" s="367"/>
    </row>
    <row r="14" spans="1:24" x14ac:dyDescent="0.25">
      <c r="C14" s="191"/>
      <c r="E14" s="182">
        <v>2025</v>
      </c>
      <c r="F14" s="183">
        <f>VLOOKUP(E14,'10. Indices-Forecast'!$N$5:$R$33,5,FALSE)</f>
        <v>3.1118658949999998</v>
      </c>
      <c r="G14" s="183">
        <f>VLOOKUP(E14,'10. Indices-Forecast'!$N$5:$R$33,4,FALSE)</f>
        <v>67.125860339999988</v>
      </c>
      <c r="H14" s="192">
        <f t="shared" si="3"/>
        <v>0.80451811966007658</v>
      </c>
      <c r="I14" s="192">
        <f t="shared" si="0"/>
        <v>0.20112952991501909</v>
      </c>
      <c r="J14" s="192">
        <f t="shared" si="1"/>
        <v>1.0056476495750957</v>
      </c>
      <c r="K14" s="185">
        <f t="shared" si="4"/>
        <v>1.117386277305662</v>
      </c>
      <c r="L14" s="118"/>
      <c r="M14" s="366">
        <f t="shared" si="2"/>
        <v>2025</v>
      </c>
      <c r="N14" s="192">
        <f t="shared" si="5"/>
        <v>1.0056476495750957</v>
      </c>
      <c r="O14" s="185">
        <f t="shared" si="6"/>
        <v>1.117386277305662</v>
      </c>
      <c r="P14" s="366"/>
      <c r="Q14" s="367"/>
    </row>
    <row r="15" spans="1:24" x14ac:dyDescent="0.25">
      <c r="C15" s="191"/>
      <c r="E15" s="182">
        <v>2026</v>
      </c>
      <c r="F15" s="183">
        <f>VLOOKUP(E15,'10. Indices-Forecast'!$N$5:$R$33,5,FALSE)</f>
        <v>3.0883249579999994</v>
      </c>
      <c r="G15" s="183">
        <f>VLOOKUP(E15,'10. Indices-Forecast'!$N$5:$R$33,4,FALSE)</f>
        <v>68.428384189999989</v>
      </c>
      <c r="H15" s="192">
        <f t="shared" si="3"/>
        <v>0.81409441058080434</v>
      </c>
      <c r="I15" s="192">
        <f t="shared" si="0"/>
        <v>0.20352360264520097</v>
      </c>
      <c r="J15" s="192">
        <f t="shared" si="1"/>
        <v>1.0176180132260053</v>
      </c>
      <c r="K15" s="185">
        <f t="shared" si="4"/>
        <v>1.1306866813622283</v>
      </c>
      <c r="L15" s="118"/>
      <c r="M15" s="366">
        <f t="shared" si="2"/>
        <v>2026</v>
      </c>
      <c r="N15" s="192">
        <f t="shared" si="5"/>
        <v>1.0176180132260053</v>
      </c>
      <c r="O15" s="185">
        <f t="shared" si="6"/>
        <v>1.1306866813622283</v>
      </c>
      <c r="P15" s="366"/>
      <c r="Q15" s="367"/>
    </row>
    <row r="16" spans="1:24" x14ac:dyDescent="0.25">
      <c r="C16" s="191"/>
      <c r="E16" s="182">
        <v>2027</v>
      </c>
      <c r="F16" s="183">
        <f>VLOOKUP(E16,'10. Indices-Forecast'!$N$5:$R$33,5,FALSE)</f>
        <v>3.1893370539999997</v>
      </c>
      <c r="G16" s="183">
        <f>VLOOKUP(E16,'10. Indices-Forecast'!$N$5:$R$33,4,FALSE)</f>
        <v>70.372870148999993</v>
      </c>
      <c r="H16" s="192">
        <f t="shared" si="3"/>
        <v>0.84026594646502795</v>
      </c>
      <c r="I16" s="192">
        <f t="shared" si="0"/>
        <v>0.21006648661625693</v>
      </c>
      <c r="J16" s="192">
        <f t="shared" si="1"/>
        <v>1.0503324330812849</v>
      </c>
      <c r="K16" s="185">
        <f t="shared" si="4"/>
        <v>1.1670360367569834</v>
      </c>
      <c r="L16" s="118"/>
      <c r="M16" s="366">
        <f t="shared" si="2"/>
        <v>2027</v>
      </c>
      <c r="N16" s="192">
        <f t="shared" si="5"/>
        <v>1.0503324330812849</v>
      </c>
      <c r="O16" s="185">
        <f t="shared" si="6"/>
        <v>1.1670360367569834</v>
      </c>
      <c r="P16" s="366"/>
      <c r="Q16" s="367"/>
    </row>
    <row r="17" spans="3:17" x14ac:dyDescent="0.25">
      <c r="C17" s="191"/>
      <c r="E17" s="182">
        <v>2028</v>
      </c>
      <c r="F17" s="183">
        <f>VLOOKUP(E17,'10. Indices-Forecast'!$N$5:$R$33,5,FALSE)</f>
        <v>3.366926415</v>
      </c>
      <c r="G17" s="183">
        <f>VLOOKUP(E17,'10. Indices-Forecast'!$N$5:$R$33,4,FALSE)</f>
        <v>71.794520410999993</v>
      </c>
      <c r="H17" s="192">
        <f t="shared" si="3"/>
        <v>0.86844843244459557</v>
      </c>
      <c r="I17" s="192">
        <f t="shared" si="0"/>
        <v>0.21711210811114889</v>
      </c>
      <c r="J17" s="192">
        <f t="shared" si="1"/>
        <v>1.0855605405557445</v>
      </c>
      <c r="K17" s="185">
        <f t="shared" si="4"/>
        <v>1.2061783783952718</v>
      </c>
      <c r="L17" s="118"/>
      <c r="M17" s="366">
        <f t="shared" si="2"/>
        <v>2028</v>
      </c>
      <c r="N17" s="192">
        <f t="shared" si="5"/>
        <v>1.0855605405557445</v>
      </c>
      <c r="O17" s="185">
        <f t="shared" si="6"/>
        <v>1.2061783783952718</v>
      </c>
      <c r="P17" s="366"/>
      <c r="Q17" s="367"/>
    </row>
    <row r="18" spans="3:17" x14ac:dyDescent="0.25">
      <c r="C18" s="191"/>
      <c r="E18" s="182">
        <v>2029</v>
      </c>
      <c r="F18" s="183">
        <f>VLOOKUP(E18,'10. Indices-Forecast'!$N$5:$R$33,5,FALSE)</f>
        <v>3.4891845669999997</v>
      </c>
      <c r="G18" s="183">
        <f>VLOOKUP(E18,'10. Indices-Forecast'!$N$5:$R$33,4,FALSE)</f>
        <v>72.849779906999999</v>
      </c>
      <c r="H18" s="192">
        <f t="shared" si="3"/>
        <v>0.88853362674544911</v>
      </c>
      <c r="I18" s="192">
        <f t="shared" si="0"/>
        <v>0.22213340668636228</v>
      </c>
      <c r="J18" s="192">
        <f t="shared" si="1"/>
        <v>1.1106670334318114</v>
      </c>
      <c r="K18" s="185">
        <f t="shared" si="4"/>
        <v>1.2340744815909017</v>
      </c>
      <c r="L18" s="118"/>
      <c r="M18" s="366">
        <f t="shared" si="2"/>
        <v>2029</v>
      </c>
      <c r="N18" s="192">
        <f t="shared" si="5"/>
        <v>1.1106670334318114</v>
      </c>
      <c r="O18" s="185">
        <f t="shared" si="6"/>
        <v>1.2340744815909017</v>
      </c>
      <c r="P18" s="366"/>
      <c r="Q18" s="367"/>
    </row>
    <row r="19" spans="3:17" x14ac:dyDescent="0.25">
      <c r="C19" s="191"/>
      <c r="E19" s="182">
        <v>2030</v>
      </c>
      <c r="F19" s="183">
        <f>VLOOKUP(E19,'10. Indices-Forecast'!$N$5:$R$33,5,FALSE)</f>
        <v>3.587659124</v>
      </c>
      <c r="G19" s="183">
        <f>VLOOKUP(E19,'10. Indices-Forecast'!$N$5:$R$33,4,FALSE)</f>
        <v>73.969844643999991</v>
      </c>
      <c r="H19" s="192">
        <f t="shared" si="3"/>
        <v>0.90712302740282769</v>
      </c>
      <c r="I19" s="192">
        <f t="shared" si="0"/>
        <v>0.22678075685070676</v>
      </c>
      <c r="J19" s="192">
        <f t="shared" si="1"/>
        <v>1.1339037842535344</v>
      </c>
      <c r="K19" s="185">
        <f t="shared" si="4"/>
        <v>1.2598930936150383</v>
      </c>
      <c r="L19" s="118"/>
      <c r="M19" s="366">
        <f t="shared" si="2"/>
        <v>2030</v>
      </c>
      <c r="N19" s="192">
        <f t="shared" si="5"/>
        <v>1.1339037842535344</v>
      </c>
      <c r="O19" s="185">
        <f t="shared" si="6"/>
        <v>1.2598930936150383</v>
      </c>
      <c r="P19" s="366"/>
      <c r="Q19" s="367"/>
    </row>
    <row r="20" spans="3:17" x14ac:dyDescent="0.25">
      <c r="C20" s="191"/>
      <c r="E20" s="182">
        <v>2031</v>
      </c>
      <c r="F20" s="183">
        <f>VLOOKUP(E20,'10. Indices-Forecast'!$N$5:$R$33,5,FALSE)</f>
        <v>3.6749620799999998</v>
      </c>
      <c r="G20" s="183">
        <f>VLOOKUP(E20,'10. Indices-Forecast'!$N$5:$R$33,4,FALSE)</f>
        <v>75.517646993</v>
      </c>
      <c r="H20" s="192">
        <f t="shared" si="3"/>
        <v>0.92855707905002693</v>
      </c>
      <c r="I20" s="192">
        <f t="shared" si="0"/>
        <v>0.23213926976250676</v>
      </c>
      <c r="J20" s="192">
        <f t="shared" si="1"/>
        <v>1.1606963488125337</v>
      </c>
      <c r="K20" s="185">
        <f t="shared" si="4"/>
        <v>1.2896626097917041</v>
      </c>
      <c r="L20" s="118"/>
      <c r="M20" s="366">
        <f t="shared" si="2"/>
        <v>2031</v>
      </c>
      <c r="N20" s="192">
        <f t="shared" si="5"/>
        <v>1.1606963488125337</v>
      </c>
      <c r="O20" s="185">
        <f t="shared" si="6"/>
        <v>1.2896626097917041</v>
      </c>
      <c r="P20" s="366"/>
      <c r="Q20" s="367"/>
    </row>
    <row r="21" spans="3:17" x14ac:dyDescent="0.25">
      <c r="C21" s="191"/>
      <c r="E21" s="182">
        <v>2032</v>
      </c>
      <c r="F21" s="183">
        <f>VLOOKUP(E21,'10. Indices-Forecast'!$N$5:$R$33,5,FALSE)</f>
        <v>3.7097461709999999</v>
      </c>
      <c r="G21" s="183">
        <f>VLOOKUP(E21,'10. Indices-Forecast'!$N$5:$R$33,4,FALSE)</f>
        <v>76.731425419999994</v>
      </c>
      <c r="H21" s="192">
        <f t="shared" si="3"/>
        <v>0.94242811763655054</v>
      </c>
      <c r="I21" s="192">
        <f t="shared" si="0"/>
        <v>0.23560702940913747</v>
      </c>
      <c r="J21" s="192">
        <f t="shared" si="1"/>
        <v>1.178035147045688</v>
      </c>
      <c r="K21" s="185">
        <f t="shared" si="4"/>
        <v>1.3089279411618757</v>
      </c>
      <c r="L21" s="118"/>
      <c r="M21" s="366">
        <f t="shared" si="2"/>
        <v>2032</v>
      </c>
      <c r="N21" s="192">
        <f t="shared" si="5"/>
        <v>1.178035147045688</v>
      </c>
      <c r="O21" s="185">
        <f t="shared" si="6"/>
        <v>1.3089279411618757</v>
      </c>
      <c r="P21" s="366"/>
      <c r="Q21" s="367"/>
    </row>
    <row r="22" spans="3:17" x14ac:dyDescent="0.25">
      <c r="C22" s="191"/>
      <c r="E22" s="182">
        <v>2033</v>
      </c>
      <c r="F22" s="183">
        <f>VLOOKUP(E22,'10. Indices-Forecast'!$N$5:$R$33,5,FALSE)</f>
        <v>3.7806769710000001</v>
      </c>
      <c r="G22" s="183">
        <f>VLOOKUP(E22,'10. Indices-Forecast'!$N$5:$R$33,4,FALSE)</f>
        <v>77.552136255999997</v>
      </c>
      <c r="H22" s="192">
        <f t="shared" si="3"/>
        <v>0.95594238341713211</v>
      </c>
      <c r="I22" s="192">
        <f t="shared" si="0"/>
        <v>0.23898559585428303</v>
      </c>
      <c r="J22" s="192">
        <f t="shared" si="1"/>
        <v>1.1949279792714151</v>
      </c>
      <c r="K22" s="185">
        <f t="shared" si="4"/>
        <v>1.3276977547460169</v>
      </c>
      <c r="L22" s="118"/>
      <c r="M22" s="366">
        <f t="shared" si="2"/>
        <v>2033</v>
      </c>
      <c r="N22" s="192">
        <f t="shared" si="5"/>
        <v>1.1949279792714151</v>
      </c>
      <c r="O22" s="185">
        <f t="shared" si="6"/>
        <v>1.3276977547460169</v>
      </c>
      <c r="P22" s="366"/>
      <c r="Q22" s="367"/>
    </row>
    <row r="23" spans="3:17" x14ac:dyDescent="0.25">
      <c r="C23" s="191"/>
      <c r="E23" s="182">
        <v>2034</v>
      </c>
      <c r="F23" s="183">
        <f>VLOOKUP(E23,'10. Indices-Forecast'!$N$5:$R$33,5,FALSE)</f>
        <v>3.7747743669999996</v>
      </c>
      <c r="G23" s="183">
        <f>VLOOKUP(E23,'10. Indices-Forecast'!$N$5:$R$33,4,FALSE)</f>
        <v>77.970457908</v>
      </c>
      <c r="H23" s="192">
        <f t="shared" si="3"/>
        <v>0.95916252618540421</v>
      </c>
      <c r="I23" s="192">
        <f t="shared" si="0"/>
        <v>0.23979063154635094</v>
      </c>
      <c r="J23" s="192">
        <f t="shared" si="1"/>
        <v>1.1989531577317551</v>
      </c>
      <c r="K23" s="185">
        <f t="shared" si="4"/>
        <v>1.3321701752575059</v>
      </c>
      <c r="L23" s="118"/>
      <c r="M23" s="366">
        <f t="shared" si="2"/>
        <v>2034</v>
      </c>
      <c r="N23" s="192">
        <f t="shared" si="5"/>
        <v>1.1989531577317551</v>
      </c>
      <c r="O23" s="185">
        <f t="shared" si="6"/>
        <v>1.3321701752575059</v>
      </c>
      <c r="P23" s="366"/>
      <c r="Q23" s="367"/>
    </row>
    <row r="24" spans="3:17" x14ac:dyDescent="0.25">
      <c r="C24" s="191"/>
      <c r="E24" s="182">
        <v>2035</v>
      </c>
      <c r="F24" s="183">
        <f>VLOOKUP(E24,'10. Indices-Forecast'!$N$5:$R$33,5,FALSE)</f>
        <v>3.7725064479999997</v>
      </c>
      <c r="G24" s="183">
        <f>VLOOKUP(E24,'10. Indices-Forecast'!$N$5:$R$33,4,FALSE)</f>
        <v>78.711315595999992</v>
      </c>
      <c r="H24" s="192">
        <f t="shared" si="3"/>
        <v>0.96557943588782846</v>
      </c>
      <c r="I24" s="192">
        <f t="shared" si="0"/>
        <v>0.241394858971957</v>
      </c>
      <c r="J24" s="192">
        <f t="shared" si="1"/>
        <v>1.2069742948597855</v>
      </c>
      <c r="K24" s="185">
        <f t="shared" si="4"/>
        <v>1.3410825498442063</v>
      </c>
      <c r="L24" s="118"/>
      <c r="M24" s="366">
        <f t="shared" si="2"/>
        <v>2035</v>
      </c>
      <c r="N24" s="192">
        <f t="shared" si="5"/>
        <v>1.2069742948597855</v>
      </c>
      <c r="O24" s="185">
        <f t="shared" si="6"/>
        <v>1.3410825498442063</v>
      </c>
      <c r="P24" s="366"/>
      <c r="Q24" s="367"/>
    </row>
    <row r="25" spans="3:17" x14ac:dyDescent="0.25">
      <c r="C25" s="191"/>
      <c r="E25" s="182">
        <v>2036</v>
      </c>
      <c r="F25" s="183">
        <f>VLOOKUP(E25,'10. Indices-Forecast'!$N$5:$R$33,5,FALSE)</f>
        <v>3.7827603039999995</v>
      </c>
      <c r="G25" s="183">
        <f>VLOOKUP(E25,'10. Indices-Forecast'!$N$5:$R$33,4,FALSE)</f>
        <v>79.970404700999993</v>
      </c>
      <c r="H25" s="192">
        <f t="shared" si="3"/>
        <v>0.97771550250018224</v>
      </c>
      <c r="I25" s="192">
        <f t="shared" si="0"/>
        <v>0.24442887562504545</v>
      </c>
      <c r="J25" s="192">
        <f t="shared" si="1"/>
        <v>1.2221443781252277</v>
      </c>
      <c r="K25" s="185">
        <f t="shared" si="4"/>
        <v>1.3579381979169198</v>
      </c>
      <c r="L25" s="118"/>
      <c r="M25" s="366">
        <f t="shared" si="2"/>
        <v>2036</v>
      </c>
      <c r="N25" s="192">
        <f t="shared" si="5"/>
        <v>1.2221443781252277</v>
      </c>
      <c r="O25" s="185">
        <f t="shared" si="6"/>
        <v>1.3579381979169198</v>
      </c>
      <c r="P25" s="366"/>
      <c r="Q25" s="367"/>
    </row>
    <row r="26" spans="3:17" x14ac:dyDescent="0.25">
      <c r="C26" s="191"/>
      <c r="E26" s="182">
        <v>2037</v>
      </c>
      <c r="F26" s="183">
        <f>VLOOKUP(E26,'10. Indices-Forecast'!$N$5:$R$33,5,FALSE)</f>
        <v>3.800654776</v>
      </c>
      <c r="G26" s="183">
        <f>VLOOKUP(E26,'10. Indices-Forecast'!$N$5:$R$33,4,FALSE)</f>
        <v>80.892155631999998</v>
      </c>
      <c r="H26" s="192">
        <f t="shared" si="3"/>
        <v>0.98750607337777863</v>
      </c>
      <c r="I26" s="192">
        <f t="shared" si="0"/>
        <v>0.24687651834444468</v>
      </c>
      <c r="J26" s="192">
        <f t="shared" si="1"/>
        <v>1.2343825917222233</v>
      </c>
      <c r="K26" s="185">
        <f t="shared" si="4"/>
        <v>1.3715362130246929</v>
      </c>
      <c r="L26" s="118"/>
      <c r="M26" s="366">
        <f t="shared" si="2"/>
        <v>2037</v>
      </c>
      <c r="N26" s="192">
        <f t="shared" si="5"/>
        <v>1.2343825917222233</v>
      </c>
      <c r="O26" s="185">
        <f t="shared" si="6"/>
        <v>1.3715362130246929</v>
      </c>
      <c r="P26" s="366"/>
      <c r="Q26" s="367"/>
    </row>
    <row r="27" spans="3:17" x14ac:dyDescent="0.25">
      <c r="C27" s="191"/>
      <c r="E27" s="182">
        <v>2038</v>
      </c>
      <c r="F27" s="183">
        <f>VLOOKUP(E27,'10. Indices-Forecast'!$N$5:$R$33,5,FALSE)</f>
        <v>3.8202125959999997</v>
      </c>
      <c r="G27" s="183">
        <f>VLOOKUP(E27,'10. Indices-Forecast'!$N$5:$R$33,4,FALSE)</f>
        <v>81.961394924999993</v>
      </c>
      <c r="H27" s="192">
        <f t="shared" si="3"/>
        <v>0.99875856523127671</v>
      </c>
      <c r="I27" s="192">
        <f t="shared" si="0"/>
        <v>0.24968964130781912</v>
      </c>
      <c r="J27" s="192">
        <f t="shared" si="1"/>
        <v>1.2484482065390958</v>
      </c>
      <c r="K27" s="185">
        <f t="shared" si="4"/>
        <v>1.3871646739323289</v>
      </c>
      <c r="L27" s="118"/>
      <c r="M27" s="366">
        <f t="shared" si="2"/>
        <v>2038</v>
      </c>
      <c r="N27" s="192">
        <f t="shared" si="5"/>
        <v>1.2484482065390958</v>
      </c>
      <c r="O27" s="185">
        <f t="shared" si="6"/>
        <v>1.3871646739323289</v>
      </c>
      <c r="P27" s="366"/>
      <c r="Q27" s="367"/>
    </row>
    <row r="28" spans="3:17" x14ac:dyDescent="0.25">
      <c r="C28" s="191"/>
      <c r="E28" s="182">
        <v>2039</v>
      </c>
      <c r="F28" s="183">
        <f>VLOOKUP(E28,'10. Indices-Forecast'!$N$5:$R$33,5,FALSE)</f>
        <v>3.8213678139999998</v>
      </c>
      <c r="G28" s="183">
        <f>VLOOKUP(E28,'10. Indices-Forecast'!$N$5:$R$33,4,FALSE)</f>
        <v>82.228968923999986</v>
      </c>
      <c r="H28" s="192">
        <f t="shared" si="3"/>
        <v>1.0012483468154882</v>
      </c>
      <c r="I28" s="192">
        <f t="shared" si="0"/>
        <v>0.25031208670387195</v>
      </c>
      <c r="J28" s="192">
        <f t="shared" si="1"/>
        <v>1.2515604335193602</v>
      </c>
      <c r="K28" s="185">
        <f t="shared" si="4"/>
        <v>1.3906227039104004</v>
      </c>
      <c r="L28" s="118"/>
      <c r="M28" s="366">
        <f t="shared" si="2"/>
        <v>2039</v>
      </c>
      <c r="N28" s="192">
        <f t="shared" si="5"/>
        <v>1.2515604335193602</v>
      </c>
      <c r="O28" s="185">
        <f t="shared" si="6"/>
        <v>1.3906227039104004</v>
      </c>
      <c r="P28" s="366"/>
      <c r="Q28" s="367"/>
    </row>
    <row r="29" spans="3:17" x14ac:dyDescent="0.25">
      <c r="C29" s="191"/>
      <c r="E29" s="182">
        <v>2040</v>
      </c>
      <c r="F29" s="183">
        <f>VLOOKUP(E29,'10. Indices-Forecast'!$N$5:$R$33,5,FALSE)</f>
        <v>3.8581979059999996</v>
      </c>
      <c r="G29" s="183">
        <f>VLOOKUP(E29,'10. Indices-Forecast'!$N$5:$R$33,4,FALSE)</f>
        <v>83.793598671999987</v>
      </c>
      <c r="H29" s="192">
        <f t="shared" si="3"/>
        <v>1.0184303992189525</v>
      </c>
      <c r="I29" s="192">
        <f t="shared" si="0"/>
        <v>0.25460759980473813</v>
      </c>
      <c r="J29" s="192">
        <f t="shared" si="1"/>
        <v>1.2730379990236906</v>
      </c>
      <c r="K29" s="185">
        <f t="shared" si="4"/>
        <v>1.4144866655818786</v>
      </c>
      <c r="L29" s="118"/>
      <c r="M29" s="366">
        <f t="shared" si="2"/>
        <v>2040</v>
      </c>
      <c r="N29" s="192">
        <f t="shared" si="5"/>
        <v>1.2730379990236906</v>
      </c>
      <c r="O29" s="185">
        <f t="shared" si="6"/>
        <v>1.4144866655818786</v>
      </c>
      <c r="P29" s="366"/>
      <c r="Q29" s="367"/>
    </row>
    <row r="30" spans="3:17" x14ac:dyDescent="0.25">
      <c r="C30" s="191"/>
      <c r="E30" s="182">
        <v>2041</v>
      </c>
      <c r="F30" s="183">
        <f>VLOOKUP(E30,'10. Indices-Forecast'!$N$5:$R$33,5,FALSE)</f>
        <v>3.8644769409999995</v>
      </c>
      <c r="G30" s="183">
        <f>VLOOKUP(E30,'10. Indices-Forecast'!$N$5:$R$33,4,FALSE)</f>
        <v>84.750745523999981</v>
      </c>
      <c r="H30" s="192">
        <f t="shared" si="3"/>
        <v>1.0275239029919851</v>
      </c>
      <c r="I30" s="192">
        <f t="shared" si="0"/>
        <v>0.25688097574799618</v>
      </c>
      <c r="J30" s="192">
        <f t="shared" si="1"/>
        <v>1.2844048787399813</v>
      </c>
      <c r="K30" s="185">
        <f t="shared" si="4"/>
        <v>1.4271165319333128</v>
      </c>
      <c r="L30" s="118"/>
      <c r="M30" s="366">
        <f t="shared" si="2"/>
        <v>2041</v>
      </c>
      <c r="N30" s="192">
        <f t="shared" si="5"/>
        <v>1.2844048787399813</v>
      </c>
      <c r="O30" s="185">
        <f t="shared" si="6"/>
        <v>1.4271165319333128</v>
      </c>
      <c r="P30" s="366"/>
      <c r="Q30" s="367"/>
    </row>
    <row r="31" spans="3:17" x14ac:dyDescent="0.25">
      <c r="C31" s="191"/>
      <c r="E31" s="182">
        <v>2042</v>
      </c>
      <c r="F31" s="183">
        <f>VLOOKUP(E31,'10. Indices-Forecast'!$N$5:$R$33,5,FALSE)</f>
        <v>3.8408717099999996</v>
      </c>
      <c r="G31" s="183">
        <f>VLOOKUP(E31,'10. Indices-Forecast'!$N$5:$R$33,4,FALSE)</f>
        <v>85.154645617</v>
      </c>
      <c r="H31" s="192">
        <f t="shared" si="3"/>
        <v>1.0290712607588652</v>
      </c>
      <c r="I31" s="192">
        <f t="shared" si="0"/>
        <v>0.25726781518971631</v>
      </c>
      <c r="J31" s="192">
        <f t="shared" si="1"/>
        <v>1.2863390759485815</v>
      </c>
      <c r="K31" s="185">
        <f t="shared" si="4"/>
        <v>1.4292656399428685</v>
      </c>
      <c r="L31" s="118"/>
      <c r="M31" s="366">
        <f t="shared" si="2"/>
        <v>2042</v>
      </c>
      <c r="N31" s="192">
        <f t="shared" si="5"/>
        <v>1.2863390759485815</v>
      </c>
      <c r="O31" s="185">
        <f t="shared" si="6"/>
        <v>1.4292656399428685</v>
      </c>
      <c r="P31" s="366"/>
      <c r="Q31" s="367"/>
    </row>
    <row r="32" spans="3:17" x14ac:dyDescent="0.25">
      <c r="C32" s="191"/>
      <c r="E32" s="182">
        <v>2043</v>
      </c>
      <c r="F32" s="183">
        <f>VLOOKUP(E32,'10. Indices-Forecast'!$N$5:$R$33,5,FALSE)</f>
        <v>3.8445416529999998</v>
      </c>
      <c r="G32" s="183">
        <f>VLOOKUP(E32,'10. Indices-Forecast'!$N$5:$R$33,4,FALSE)</f>
        <v>86.632460835999993</v>
      </c>
      <c r="H32" s="192">
        <f t="shared" si="3"/>
        <v>1.0425859657934926</v>
      </c>
      <c r="I32" s="192">
        <f t="shared" si="0"/>
        <v>0.26064649144837304</v>
      </c>
      <c r="J32" s="192">
        <f t="shared" si="1"/>
        <v>1.3032324572418656</v>
      </c>
      <c r="K32" s="185">
        <f t="shared" si="4"/>
        <v>1.448036063602073</v>
      </c>
      <c r="L32" s="118"/>
      <c r="M32" s="366">
        <f t="shared" si="2"/>
        <v>2043</v>
      </c>
      <c r="N32" s="192">
        <f t="shared" si="5"/>
        <v>1.3032324572418656</v>
      </c>
      <c r="O32" s="185">
        <f t="shared" si="6"/>
        <v>1.448036063602073</v>
      </c>
      <c r="P32" s="366"/>
      <c r="Q32" s="367"/>
    </row>
    <row r="33" spans="3:17" x14ac:dyDescent="0.25">
      <c r="C33" s="191"/>
      <c r="E33" s="182">
        <v>2044</v>
      </c>
      <c r="F33" s="183">
        <f>VLOOKUP(E33,'10. Indices-Forecast'!$N$5:$R$33,5,FALSE)</f>
        <v>3.7800132909999999</v>
      </c>
      <c r="G33" s="183">
        <f>VLOOKUP(E33,'10. Indices-Forecast'!$N$5:$R$33,4,FALSE)</f>
        <v>88.411402188999986</v>
      </c>
      <c r="H33" s="192">
        <f t="shared" si="3"/>
        <v>1.0528410086644877</v>
      </c>
      <c r="I33" s="192">
        <f t="shared" si="0"/>
        <v>0.26321025216612193</v>
      </c>
      <c r="J33" s="192">
        <f t="shared" si="1"/>
        <v>1.3160512608306096</v>
      </c>
      <c r="K33" s="185">
        <f t="shared" si="4"/>
        <v>1.4622791787006775</v>
      </c>
      <c r="L33" s="118"/>
      <c r="M33" s="366">
        <f t="shared" si="2"/>
        <v>2044</v>
      </c>
      <c r="N33" s="192">
        <f t="shared" si="5"/>
        <v>1.3160512608306096</v>
      </c>
      <c r="O33" s="185">
        <f t="shared" si="6"/>
        <v>1.4622791787006775</v>
      </c>
      <c r="P33" s="366"/>
      <c r="Q33" s="367"/>
    </row>
    <row r="34" spans="3:17" x14ac:dyDescent="0.25">
      <c r="C34" s="191"/>
      <c r="E34" s="182">
        <v>2045</v>
      </c>
      <c r="F34" s="183">
        <f>VLOOKUP(E34,'10. Indices-Forecast'!$N$5:$R$33,5,FALSE)</f>
        <v>3.7482696839999998</v>
      </c>
      <c r="G34" s="183">
        <f>VLOOKUP(E34,'10. Indices-Forecast'!$N$5:$R$33,4,FALSE)</f>
        <v>88.897733411999994</v>
      </c>
      <c r="H34" s="192">
        <f t="shared" si="3"/>
        <v>1.0544145204421425</v>
      </c>
      <c r="I34" s="192">
        <f t="shared" si="0"/>
        <v>0.26360363011053556</v>
      </c>
      <c r="J34" s="192">
        <f t="shared" si="1"/>
        <v>1.318018150552678</v>
      </c>
      <c r="K34" s="185">
        <f t="shared" si="4"/>
        <v>1.464464611725198</v>
      </c>
      <c r="L34" s="118"/>
      <c r="M34" s="366">
        <f t="shared" si="2"/>
        <v>2045</v>
      </c>
      <c r="N34" s="192">
        <f t="shared" si="5"/>
        <v>1.318018150552678</v>
      </c>
      <c r="O34" s="185">
        <f t="shared" si="6"/>
        <v>1.464464611725198</v>
      </c>
      <c r="P34" s="366"/>
      <c r="Q34" s="367"/>
    </row>
    <row r="35" spans="3:17" x14ac:dyDescent="0.25">
      <c r="C35" s="191"/>
      <c r="E35" s="182">
        <v>2046</v>
      </c>
      <c r="F35" s="183">
        <f>VLOOKUP(E35,'10. Indices-Forecast'!$N$5:$R$33,5,FALSE)</f>
        <v>3.7363711459999998</v>
      </c>
      <c r="G35" s="183">
        <f>VLOOKUP(E35,'10. Indices-Forecast'!$N$5:$R$33,4,FALSE)</f>
        <v>90.187242911999988</v>
      </c>
      <c r="H35" s="192">
        <f t="shared" si="3"/>
        <v>1.064890063032998</v>
      </c>
      <c r="I35" s="192">
        <f t="shared" si="0"/>
        <v>0.2662225157582494</v>
      </c>
      <c r="J35" s="192">
        <f t="shared" si="1"/>
        <v>1.3311125787912474</v>
      </c>
      <c r="K35" s="185">
        <f t="shared" si="4"/>
        <v>1.4790139764347197</v>
      </c>
      <c r="L35" s="118"/>
      <c r="M35" s="366">
        <f t="shared" si="2"/>
        <v>2046</v>
      </c>
      <c r="N35" s="192">
        <f t="shared" si="5"/>
        <v>1.3311125787912474</v>
      </c>
      <c r="O35" s="185">
        <f t="shared" si="6"/>
        <v>1.4790139764347197</v>
      </c>
      <c r="P35" s="366"/>
      <c r="Q35" s="367"/>
    </row>
    <row r="36" spans="3:17" x14ac:dyDescent="0.25">
      <c r="C36" s="191"/>
      <c r="E36" s="182">
        <v>2047</v>
      </c>
      <c r="F36" s="183">
        <f>VLOOKUP(E36,'10. Indices-Forecast'!$N$5:$R$33,5,FALSE)</f>
        <v>3.7299375979999998</v>
      </c>
      <c r="G36" s="183">
        <f>VLOOKUP(E36,'10. Indices-Forecast'!$N$5:$R$33,4,FALSE)</f>
        <v>90.134669085999988</v>
      </c>
      <c r="H36" s="192">
        <f t="shared" si="3"/>
        <v>1.0638595258772803</v>
      </c>
      <c r="I36" s="192">
        <f t="shared" si="0"/>
        <v>0.26596488146932007</v>
      </c>
      <c r="J36" s="192">
        <f t="shared" si="1"/>
        <v>1.3298244073466003</v>
      </c>
      <c r="K36" s="185">
        <f t="shared" si="4"/>
        <v>1.477582674829556</v>
      </c>
      <c r="L36" s="118"/>
      <c r="M36" s="366">
        <f t="shared" si="2"/>
        <v>2047</v>
      </c>
      <c r="N36" s="192">
        <f t="shared" si="5"/>
        <v>1.3298244073466003</v>
      </c>
      <c r="O36" s="185">
        <f t="shared" si="6"/>
        <v>1.477582674829556</v>
      </c>
      <c r="P36" s="366"/>
      <c r="Q36" s="367"/>
    </row>
    <row r="37" spans="3:17" x14ac:dyDescent="0.25">
      <c r="C37" s="191"/>
      <c r="E37" s="182">
        <v>2048</v>
      </c>
      <c r="F37" s="183">
        <f>VLOOKUP(E37,'10. Indices-Forecast'!$N$5:$R$33,5,FALSE)</f>
        <v>3.755083811</v>
      </c>
      <c r="G37" s="183">
        <f>VLOOKUP(E37,'10. Indices-Forecast'!$N$5:$R$33,4,FALSE)</f>
        <v>90.259325818999997</v>
      </c>
      <c r="H37" s="192">
        <f t="shared" si="3"/>
        <v>1.0671657705099888</v>
      </c>
      <c r="I37" s="192">
        <f t="shared" si="0"/>
        <v>0.2667914426274971</v>
      </c>
      <c r="J37" s="192">
        <f t="shared" si="1"/>
        <v>1.3339572131374859</v>
      </c>
      <c r="K37" s="185">
        <f t="shared" si="4"/>
        <v>1.4821746812638734</v>
      </c>
      <c r="L37" s="118"/>
      <c r="M37" s="366">
        <f t="shared" si="2"/>
        <v>2048</v>
      </c>
      <c r="N37" s="192">
        <f t="shared" si="5"/>
        <v>1.3339572131374859</v>
      </c>
      <c r="O37" s="185">
        <f t="shared" si="6"/>
        <v>1.4821746812638734</v>
      </c>
      <c r="P37" s="366"/>
      <c r="Q37" s="367"/>
    </row>
    <row r="38" spans="3:17" x14ac:dyDescent="0.25">
      <c r="C38" s="191"/>
      <c r="E38" s="182">
        <v>2049</v>
      </c>
      <c r="F38" s="183">
        <f>VLOOKUP(E38,'10. Indices-Forecast'!$N$5:$R$33,5,FALSE)</f>
        <v>3.7306956449999999</v>
      </c>
      <c r="G38" s="183">
        <f>VLOOKUP(E38,'10. Indices-Forecast'!$N$5:$R$33,4,FALSE)</f>
        <v>90.576632263999983</v>
      </c>
      <c r="H38" s="192">
        <f t="shared" si="3"/>
        <v>1.0678716928631617</v>
      </c>
      <c r="I38" s="192">
        <f t="shared" si="0"/>
        <v>0.26696792321579044</v>
      </c>
      <c r="J38" s="192">
        <f t="shared" si="1"/>
        <v>1.3348396160789522</v>
      </c>
      <c r="K38" s="185">
        <f t="shared" si="4"/>
        <v>1.4831551289766136</v>
      </c>
      <c r="L38" s="118"/>
      <c r="M38" s="366">
        <f t="shared" si="2"/>
        <v>2049</v>
      </c>
      <c r="N38" s="192">
        <f t="shared" si="5"/>
        <v>1.3348396160789522</v>
      </c>
      <c r="O38" s="185">
        <f t="shared" si="6"/>
        <v>1.4831551289766136</v>
      </c>
      <c r="P38" s="366"/>
      <c r="Q38" s="367"/>
    </row>
    <row r="39" spans="3:17" x14ac:dyDescent="0.25">
      <c r="C39" s="191"/>
      <c r="E39" s="182">
        <v>2050</v>
      </c>
      <c r="F39" s="183">
        <f>VLOOKUP(E39,'10. Indices-Forecast'!$N$5:$R$33,5,FALSE)</f>
        <v>3.723197098</v>
      </c>
      <c r="G39" s="183">
        <f>VLOOKUP(E39,'10. Indices-Forecast'!$N$5:$R$33,4,FALSE)</f>
        <v>90.29125712299998</v>
      </c>
      <c r="H39" s="192">
        <f t="shared" si="3"/>
        <v>1.0646697095080568</v>
      </c>
      <c r="I39" s="192">
        <f t="shared" si="0"/>
        <v>0.26616742737701404</v>
      </c>
      <c r="J39" s="192">
        <f t="shared" si="1"/>
        <v>1.3308371368850709</v>
      </c>
      <c r="K39" s="185">
        <f t="shared" si="4"/>
        <v>1.4787079298723012</v>
      </c>
      <c r="L39" s="118"/>
      <c r="M39" s="366">
        <f t="shared" si="2"/>
        <v>2050</v>
      </c>
      <c r="N39" s="192">
        <f t="shared" si="5"/>
        <v>1.3308371368850709</v>
      </c>
      <c r="O39" s="185">
        <f t="shared" si="6"/>
        <v>1.4787079298723012</v>
      </c>
      <c r="P39" s="366"/>
      <c r="Q39" s="367"/>
    </row>
    <row r="40" spans="3:17" x14ac:dyDescent="0.25">
      <c r="C40" s="191"/>
      <c r="E40" s="182"/>
      <c r="F40" s="183"/>
      <c r="G40" s="183"/>
    </row>
    <row r="41" spans="3:17" x14ac:dyDescent="0.25">
      <c r="C41" s="191"/>
      <c r="E41" s="182"/>
      <c r="F41" s="183"/>
      <c r="G41" s="183"/>
    </row>
    <row r="42" spans="3:17" x14ac:dyDescent="0.25">
      <c r="C42" s="191"/>
      <c r="E42" s="182"/>
      <c r="F42" s="183"/>
      <c r="G42" s="183"/>
    </row>
    <row r="43" spans="3:17" x14ac:dyDescent="0.25">
      <c r="C43" s="191"/>
      <c r="E43" s="182"/>
      <c r="F43" s="183"/>
      <c r="G43" s="183"/>
    </row>
    <row r="44" spans="3:17" x14ac:dyDescent="0.25">
      <c r="C44" s="191"/>
      <c r="E44" s="182"/>
      <c r="F44" s="183"/>
      <c r="G44" s="183"/>
    </row>
    <row r="45" spans="3:17" x14ac:dyDescent="0.25">
      <c r="C45" s="191"/>
      <c r="E45" s="182"/>
      <c r="F45" s="183"/>
      <c r="G45" s="183"/>
    </row>
    <row r="46" spans="3:17" x14ac:dyDescent="0.25">
      <c r="C46" s="191"/>
      <c r="E46" s="182"/>
      <c r="F46" s="183"/>
      <c r="G46" s="183"/>
    </row>
    <row r="47" spans="3:17" x14ac:dyDescent="0.25">
      <c r="C47" s="191"/>
      <c r="E47" s="182"/>
      <c r="F47" s="183"/>
      <c r="G47" s="183"/>
    </row>
    <row r="48" spans="3:17" x14ac:dyDescent="0.25">
      <c r="C48" s="191"/>
      <c r="E48" s="182"/>
      <c r="F48" s="183"/>
      <c r="G48" s="183"/>
    </row>
    <row r="49" spans="3:7" x14ac:dyDescent="0.25">
      <c r="C49" s="191"/>
      <c r="E49" s="182"/>
      <c r="F49" s="183"/>
      <c r="G49" s="183"/>
    </row>
    <row r="50" spans="3:7" x14ac:dyDescent="0.25">
      <c r="C50" s="191"/>
      <c r="E50" s="182"/>
      <c r="F50" s="183"/>
      <c r="G50" s="183"/>
    </row>
    <row r="51" spans="3:7" x14ac:dyDescent="0.25">
      <c r="C51" s="191"/>
      <c r="E51" s="182"/>
      <c r="F51" s="183"/>
      <c r="G51" s="183"/>
    </row>
    <row r="52" spans="3:7" x14ac:dyDescent="0.25">
      <c r="C52" s="191"/>
      <c r="E52" s="182"/>
      <c r="F52" s="183"/>
      <c r="G52" s="183"/>
    </row>
    <row r="53" spans="3:7" x14ac:dyDescent="0.25">
      <c r="C53" s="191"/>
      <c r="E53" s="182"/>
      <c r="F53" s="183"/>
      <c r="G53" s="183"/>
    </row>
    <row r="54" spans="3:7" x14ac:dyDescent="0.25">
      <c r="C54" s="191"/>
      <c r="E54" s="182"/>
      <c r="F54" s="183"/>
      <c r="G54" s="183"/>
    </row>
    <row r="55" spans="3:7" x14ac:dyDescent="0.25">
      <c r="C55" s="191"/>
      <c r="E55" s="182"/>
      <c r="F55" s="183"/>
      <c r="G55" s="183"/>
    </row>
    <row r="56" spans="3:7" x14ac:dyDescent="0.25">
      <c r="C56" s="191"/>
      <c r="E56" s="182"/>
      <c r="F56" s="183"/>
      <c r="G56" s="183"/>
    </row>
    <row r="57" spans="3:7" x14ac:dyDescent="0.25">
      <c r="C57" s="191"/>
      <c r="E57" s="182"/>
      <c r="F57" s="183"/>
      <c r="G57" s="183"/>
    </row>
    <row r="58" spans="3:7" x14ac:dyDescent="0.25">
      <c r="C58" s="191"/>
      <c r="E58" s="182"/>
      <c r="F58" s="183"/>
      <c r="G58" s="183"/>
    </row>
    <row r="59" spans="3:7" x14ac:dyDescent="0.25">
      <c r="C59" s="191"/>
      <c r="E59" s="182"/>
      <c r="F59" s="183"/>
      <c r="G59" s="183"/>
    </row>
    <row r="60" spans="3:7" x14ac:dyDescent="0.25">
      <c r="C60" s="191"/>
      <c r="E60" s="182"/>
      <c r="F60" s="183"/>
      <c r="G60" s="183"/>
    </row>
    <row r="61" spans="3:7" x14ac:dyDescent="0.25">
      <c r="C61" s="191"/>
      <c r="E61" s="182"/>
      <c r="F61" s="183"/>
      <c r="G61" s="183"/>
    </row>
    <row r="62" spans="3:7" x14ac:dyDescent="0.25">
      <c r="C62" s="191"/>
      <c r="E62" s="182"/>
      <c r="F62" s="183"/>
      <c r="G62" s="183"/>
    </row>
    <row r="63" spans="3:7" x14ac:dyDescent="0.25">
      <c r="C63" s="191"/>
      <c r="E63" s="182"/>
      <c r="F63" s="183"/>
      <c r="G63" s="183"/>
    </row>
    <row r="64" spans="3:7" x14ac:dyDescent="0.25">
      <c r="C64" s="191"/>
      <c r="E64" s="182"/>
      <c r="F64" s="183"/>
      <c r="G64" s="183"/>
    </row>
    <row r="65" spans="3:3" x14ac:dyDescent="0.25">
      <c r="C65" s="191"/>
    </row>
    <row r="66" spans="3:3" x14ac:dyDescent="0.25">
      <c r="C66" s="191"/>
    </row>
    <row r="67" spans="3:3" x14ac:dyDescent="0.25">
      <c r="C67" s="191"/>
    </row>
    <row r="68" spans="3:3" x14ac:dyDescent="0.25">
      <c r="C68" s="191"/>
    </row>
    <row r="69" spans="3:3" x14ac:dyDescent="0.25">
      <c r="C69" s="191"/>
    </row>
    <row r="70" spans="3:3" x14ac:dyDescent="0.25">
      <c r="C70" s="191"/>
    </row>
    <row r="71" spans="3:3" x14ac:dyDescent="0.25">
      <c r="C71" s="191"/>
    </row>
    <row r="72" spans="3:3" x14ac:dyDescent="0.25">
      <c r="C72" s="191"/>
    </row>
    <row r="73" spans="3:3" x14ac:dyDescent="0.25">
      <c r="C73" s="191"/>
    </row>
    <row r="74" spans="3:3" x14ac:dyDescent="0.25">
      <c r="C74" s="191"/>
    </row>
    <row r="75" spans="3:3" x14ac:dyDescent="0.25">
      <c r="C75" s="191"/>
    </row>
    <row r="76" spans="3:3" x14ac:dyDescent="0.25">
      <c r="C76" s="191"/>
    </row>
    <row r="77" spans="3:3" x14ac:dyDescent="0.25">
      <c r="C77" s="191"/>
    </row>
    <row r="78" spans="3:3" x14ac:dyDescent="0.25">
      <c r="C78" s="191"/>
    </row>
    <row r="79" spans="3:3" x14ac:dyDescent="0.25">
      <c r="C79" s="191"/>
    </row>
    <row r="80" spans="3:3" x14ac:dyDescent="0.25">
      <c r="C80" s="191"/>
    </row>
    <row r="81" spans="3:3" x14ac:dyDescent="0.25">
      <c r="C81" s="191"/>
    </row>
    <row r="82" spans="3:3" x14ac:dyDescent="0.25">
      <c r="C82" s="191"/>
    </row>
    <row r="83" spans="3:3" x14ac:dyDescent="0.25">
      <c r="C83" s="191"/>
    </row>
    <row r="84" spans="3:3" x14ac:dyDescent="0.25">
      <c r="C84" s="191"/>
    </row>
    <row r="85" spans="3:3" x14ac:dyDescent="0.25">
      <c r="C85" s="191"/>
    </row>
    <row r="86" spans="3:3" x14ac:dyDescent="0.25">
      <c r="C86" s="191"/>
    </row>
    <row r="87" spans="3:3" x14ac:dyDescent="0.25">
      <c r="C87" s="191"/>
    </row>
    <row r="88" spans="3:3" x14ac:dyDescent="0.25">
      <c r="C88" s="191"/>
    </row>
    <row r="89" spans="3:3" x14ac:dyDescent="0.25">
      <c r="C89" s="191"/>
    </row>
    <row r="90" spans="3:3" x14ac:dyDescent="0.25">
      <c r="C90" s="191"/>
    </row>
    <row r="91" spans="3:3" x14ac:dyDescent="0.25">
      <c r="C91" s="191"/>
    </row>
    <row r="92" spans="3:3" x14ac:dyDescent="0.25">
      <c r="C92" s="191"/>
    </row>
    <row r="93" spans="3:3" x14ac:dyDescent="0.25">
      <c r="C93" s="191"/>
    </row>
    <row r="94" spans="3:3" x14ac:dyDescent="0.25">
      <c r="C94" s="191"/>
    </row>
    <row r="95" spans="3:3" x14ac:dyDescent="0.25">
      <c r="C95" s="191"/>
    </row>
    <row r="96" spans="3:3" x14ac:dyDescent="0.25">
      <c r="C96" s="191"/>
    </row>
    <row r="97" spans="3:3" x14ac:dyDescent="0.25">
      <c r="C97" s="191"/>
    </row>
    <row r="98" spans="3:3" x14ac:dyDescent="0.25">
      <c r="C98" s="191"/>
    </row>
    <row r="99" spans="3:3" x14ac:dyDescent="0.25">
      <c r="C99" s="191"/>
    </row>
    <row r="100" spans="3:3" x14ac:dyDescent="0.25">
      <c r="C100" s="191"/>
    </row>
    <row r="101" spans="3:3" x14ac:dyDescent="0.25">
      <c r="C101" s="191"/>
    </row>
    <row r="102" spans="3:3" x14ac:dyDescent="0.25">
      <c r="C102" s="191"/>
    </row>
    <row r="103" spans="3:3" x14ac:dyDescent="0.25">
      <c r="C103" s="191"/>
    </row>
    <row r="104" spans="3:3" x14ac:dyDescent="0.25">
      <c r="C104" s="191"/>
    </row>
    <row r="105" spans="3:3" x14ac:dyDescent="0.25">
      <c r="C105" s="191"/>
    </row>
    <row r="106" spans="3:3" x14ac:dyDescent="0.25">
      <c r="C106" s="191"/>
    </row>
    <row r="107" spans="3:3" x14ac:dyDescent="0.25">
      <c r="C107" s="191"/>
    </row>
    <row r="108" spans="3:3" x14ac:dyDescent="0.25">
      <c r="C108" s="191"/>
    </row>
    <row r="109" spans="3:3" x14ac:dyDescent="0.25">
      <c r="C109" s="191"/>
    </row>
  </sheetData>
  <mergeCells count="2">
    <mergeCell ref="N8:O8"/>
    <mergeCell ref="N9:O9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D3E1C-B811-4BCB-B827-D53E9DCA49A7}">
  <sheetPr codeName="Sheet27"/>
  <dimension ref="B1:BB142"/>
  <sheetViews>
    <sheetView workbookViewId="0">
      <selection activeCell="N8" sqref="N8"/>
    </sheetView>
  </sheetViews>
  <sheetFormatPr defaultColWidth="8.85546875" defaultRowHeight="15" x14ac:dyDescent="0.25"/>
  <cols>
    <col min="1" max="1" width="8.85546875" style="1"/>
    <col min="2" max="2" width="22.28515625" style="1" bestFit="1" customWidth="1"/>
    <col min="3" max="3" width="9.7109375" style="1" bestFit="1" customWidth="1"/>
    <col min="4" max="4" width="15" style="1" customWidth="1"/>
    <col min="5" max="5" width="4.85546875" style="1" customWidth="1"/>
    <col min="6" max="6" width="8.85546875" style="1"/>
    <col min="7" max="7" width="10" style="1" bestFit="1" customWidth="1"/>
    <col min="8" max="9" width="10" style="1" customWidth="1"/>
    <col min="10" max="10" width="6.85546875" style="1" customWidth="1"/>
    <col min="11" max="11" width="14.7109375" style="1" customWidth="1"/>
    <col min="12" max="12" width="12" style="1" customWidth="1"/>
    <col min="13" max="13" width="11.140625" style="1" customWidth="1"/>
    <col min="14" max="14" width="12.28515625" style="1" customWidth="1"/>
    <col min="15" max="15" width="11.42578125" style="51" customWidth="1"/>
    <col min="16" max="16" width="7.85546875" style="51" customWidth="1"/>
    <col min="17" max="17" width="21.42578125" style="1" customWidth="1"/>
    <col min="18" max="18" width="12.7109375" style="1" customWidth="1"/>
    <col min="19" max="19" width="6.85546875" style="1" bestFit="1" customWidth="1"/>
    <col min="20" max="20" width="6.28515625" style="1" customWidth="1"/>
    <col min="21" max="21" width="16.7109375" style="171" customWidth="1"/>
    <col min="22" max="29" width="11.85546875" style="171" customWidth="1"/>
    <col min="30" max="35" width="10.5703125" style="1" customWidth="1"/>
    <col min="36" max="36" width="12.28515625" style="1" customWidth="1"/>
    <col min="37" max="37" width="10.85546875" style="1" bestFit="1" customWidth="1"/>
    <col min="38" max="38" width="11.85546875" style="51" customWidth="1"/>
    <col min="39" max="39" width="12.5703125" style="1" customWidth="1"/>
    <col min="40" max="40" width="14.7109375" style="1" customWidth="1"/>
    <col min="41" max="44" width="13.140625" style="1" bestFit="1" customWidth="1"/>
    <col min="45" max="48" width="8.85546875" style="1"/>
    <col min="49" max="49" width="0" style="1" hidden="1" customWidth="1"/>
    <col min="50" max="50" width="11.140625" style="1" hidden="1" customWidth="1"/>
    <col min="51" max="51" width="19.42578125" style="1" customWidth="1"/>
    <col min="52" max="52" width="10.7109375" style="1" customWidth="1"/>
    <col min="53" max="53" width="12.28515625" style="1" bestFit="1" customWidth="1"/>
    <col min="54" max="54" width="20.85546875" style="1" customWidth="1"/>
    <col min="55" max="16384" width="8.85546875" style="1"/>
  </cols>
  <sheetData>
    <row r="1" spans="2:54" x14ac:dyDescent="0.25">
      <c r="R1" s="110" t="s">
        <v>434</v>
      </c>
      <c r="S1" s="110"/>
      <c r="T1" s="110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</row>
    <row r="2" spans="2:54" x14ac:dyDescent="0.25">
      <c r="J2" s="114" t="s">
        <v>435</v>
      </c>
      <c r="K2" s="194">
        <v>7.0000000000000007E-2</v>
      </c>
      <c r="Q2" s="114"/>
      <c r="R2" s="195"/>
      <c r="S2" s="195"/>
      <c r="T2" s="195"/>
      <c r="U2" s="196"/>
      <c r="V2" s="196"/>
      <c r="W2" s="196"/>
      <c r="X2" s="196"/>
      <c r="Y2" s="196"/>
      <c r="Z2" s="196"/>
      <c r="AA2" s="196"/>
      <c r="AB2" s="196"/>
      <c r="AC2" s="196"/>
      <c r="AL2" s="1"/>
    </row>
    <row r="3" spans="2:54" x14ac:dyDescent="0.25">
      <c r="C3" s="110"/>
      <c r="J3" s="1" t="s">
        <v>436</v>
      </c>
      <c r="K3" s="194">
        <v>20</v>
      </c>
      <c r="Q3" s="114" t="s">
        <v>437</v>
      </c>
      <c r="R3" s="188">
        <v>0.1</v>
      </c>
      <c r="S3" s="197"/>
      <c r="T3" s="197"/>
      <c r="AJ3" s="114" t="s">
        <v>438</v>
      </c>
      <c r="AK3" s="112">
        <v>7000</v>
      </c>
      <c r="AL3" s="1" t="s">
        <v>439</v>
      </c>
    </row>
    <row r="4" spans="2:54" x14ac:dyDescent="0.25">
      <c r="B4" s="114"/>
      <c r="J4" s="114" t="s">
        <v>440</v>
      </c>
      <c r="K4" s="194">
        <f>VLOOKUP(L4,'9. Indices-Hist'!B5:C64,2,FALSE)</f>
        <v>199.3</v>
      </c>
      <c r="L4" s="191">
        <v>43831</v>
      </c>
      <c r="Q4" s="114" t="s">
        <v>441</v>
      </c>
      <c r="R4" s="198">
        <v>24.43</v>
      </c>
      <c r="S4" s="199"/>
      <c r="T4" s="199"/>
      <c r="U4" s="118"/>
      <c r="V4" s="118"/>
      <c r="W4" s="118"/>
      <c r="X4" s="118"/>
      <c r="Y4" s="118"/>
      <c r="Z4" s="118"/>
      <c r="AA4" s="118"/>
      <c r="AB4" s="118"/>
      <c r="AC4" s="118"/>
      <c r="AJ4" s="114" t="s">
        <v>442</v>
      </c>
      <c r="AK4" s="112">
        <v>2</v>
      </c>
      <c r="AL4" s="1"/>
    </row>
    <row r="5" spans="2:54" x14ac:dyDescent="0.25">
      <c r="B5" s="114"/>
      <c r="J5" s="114" t="s">
        <v>443</v>
      </c>
      <c r="K5" s="194">
        <f>VLOOKUP(L5,'9. Indices-Hist'!B5:C64,2,FALSE)</f>
        <v>280.459</v>
      </c>
      <c r="L5" s="191">
        <v>44713</v>
      </c>
      <c r="Q5" s="114"/>
      <c r="S5" s="199"/>
      <c r="T5" s="199"/>
      <c r="U5" s="118"/>
      <c r="V5" s="118"/>
      <c r="W5" s="118"/>
      <c r="X5" s="118"/>
      <c r="Y5" s="118"/>
      <c r="Z5" s="118"/>
      <c r="AA5" s="118"/>
      <c r="AB5" s="118"/>
      <c r="AC5" s="118"/>
      <c r="AD5" s="200"/>
      <c r="AE5" s="200"/>
      <c r="AF5" s="200"/>
      <c r="AG5" s="200"/>
      <c r="AH5" s="200"/>
      <c r="AI5" s="200"/>
      <c r="AL5" s="1"/>
    </row>
    <row r="6" spans="2:54" x14ac:dyDescent="0.25">
      <c r="J6" s="114" t="s">
        <v>444</v>
      </c>
      <c r="K6" s="194">
        <f>AVERAGE(141.3,123.1)/100-1</f>
        <v>0.32199999999999984</v>
      </c>
      <c r="L6" s="525" t="s">
        <v>445</v>
      </c>
      <c r="Q6" s="114"/>
      <c r="R6" s="118"/>
      <c r="S6" s="118"/>
      <c r="T6" s="118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L6" s="1"/>
    </row>
    <row r="7" spans="2:54" x14ac:dyDescent="0.25">
      <c r="Q7" s="114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200"/>
      <c r="AF7" s="200"/>
      <c r="AG7" s="200"/>
      <c r="AH7" s="200"/>
      <c r="AI7" s="200"/>
      <c r="AL7" s="1"/>
    </row>
    <row r="8" spans="2:54" ht="14.25" customHeight="1" x14ac:dyDescent="0.25">
      <c r="U8" s="200"/>
      <c r="V8" s="200"/>
      <c r="W8" s="200"/>
      <c r="X8" s="200"/>
      <c r="Y8" s="200"/>
      <c r="Z8" s="200"/>
      <c r="AA8" s="200"/>
      <c r="AB8" s="200"/>
      <c r="AC8" s="200"/>
      <c r="AD8" s="200"/>
      <c r="AE8" s="200"/>
      <c r="AF8" s="200"/>
      <c r="AG8" s="200"/>
      <c r="AH8" s="200"/>
      <c r="AI8" s="200"/>
      <c r="AJ8" s="12"/>
      <c r="AK8" s="12"/>
      <c r="AL8" s="1"/>
    </row>
    <row r="9" spans="2:54" x14ac:dyDescent="0.25">
      <c r="Q9" s="114"/>
      <c r="R9" s="118"/>
      <c r="S9" s="118"/>
      <c r="T9" s="118"/>
      <c r="AJ9" s="14"/>
      <c r="AK9" s="14"/>
      <c r="AL9" s="1"/>
    </row>
    <row r="10" spans="2:54" ht="60" customHeight="1" x14ac:dyDescent="0.25">
      <c r="C10" s="553" t="s">
        <v>416</v>
      </c>
      <c r="D10" s="553"/>
      <c r="G10" s="553" t="s">
        <v>446</v>
      </c>
      <c r="H10" s="553"/>
      <c r="I10" s="553"/>
      <c r="K10" s="564" t="s">
        <v>447</v>
      </c>
      <c r="L10" s="564"/>
      <c r="M10" s="564"/>
      <c r="N10" s="564"/>
      <c r="O10" s="564"/>
      <c r="P10" s="155"/>
      <c r="R10" s="201"/>
      <c r="U10" s="157" t="s">
        <v>448</v>
      </c>
      <c r="V10" s="11"/>
      <c r="W10" s="11"/>
      <c r="X10" s="553" t="s">
        <v>449</v>
      </c>
      <c r="Y10" s="553"/>
      <c r="Z10" s="553"/>
      <c r="AA10" s="553"/>
      <c r="AB10" s="553"/>
      <c r="AC10" s="11"/>
      <c r="AE10" s="565" t="s">
        <v>305</v>
      </c>
      <c r="AF10" s="565"/>
      <c r="AG10" s="565"/>
      <c r="AH10" s="565"/>
      <c r="AI10" s="565"/>
      <c r="AJ10" s="565"/>
      <c r="AL10" s="1"/>
      <c r="AN10" s="553" t="s">
        <v>450</v>
      </c>
      <c r="AO10" s="553"/>
      <c r="AP10" s="553"/>
      <c r="AQ10" s="553"/>
      <c r="AR10" s="553"/>
      <c r="AS10" s="553"/>
      <c r="AT10" s="553"/>
      <c r="AU10" s="553"/>
      <c r="AV10" s="553"/>
      <c r="AW10" s="553"/>
      <c r="AX10" s="553"/>
      <c r="AY10" s="553"/>
      <c r="AZ10" s="553"/>
      <c r="BA10" s="553"/>
      <c r="BB10" s="553"/>
    </row>
    <row r="11" spans="2:54" ht="43.5" customHeight="1" x14ac:dyDescent="0.25">
      <c r="G11" s="30" t="s">
        <v>340</v>
      </c>
      <c r="H11" s="29" t="s">
        <v>274</v>
      </c>
      <c r="I11" s="29" t="s">
        <v>276</v>
      </c>
      <c r="J11" s="11"/>
      <c r="K11" s="172">
        <f t="array" ref="K11:O11">TRANSPOSE('Supply Porfolio (Live)'!H25:H29)</f>
        <v>2035</v>
      </c>
      <c r="L11" s="172">
        <v>2040</v>
      </c>
      <c r="M11" s="172">
        <v>2045</v>
      </c>
      <c r="N11" s="172">
        <v>2050</v>
      </c>
      <c r="O11" s="172" t="str">
        <v>n/a</v>
      </c>
      <c r="P11" s="172"/>
      <c r="Q11" s="555" t="s">
        <v>441</v>
      </c>
      <c r="R11" s="11"/>
      <c r="S11" s="172"/>
      <c r="T11" s="172"/>
      <c r="X11" s="172">
        <f>K11</f>
        <v>2035</v>
      </c>
      <c r="Y11" s="172">
        <f>L11</f>
        <v>2040</v>
      </c>
      <c r="Z11" s="172">
        <f>M11</f>
        <v>2045</v>
      </c>
      <c r="AA11" s="172">
        <f>N11</f>
        <v>2050</v>
      </c>
      <c r="AB11" s="172" t="str">
        <f>O11</f>
        <v>n/a</v>
      </c>
      <c r="AE11" s="172">
        <f>K11</f>
        <v>2035</v>
      </c>
      <c r="AF11" s="172">
        <f>L11</f>
        <v>2040</v>
      </c>
      <c r="AG11" s="172">
        <f>M11</f>
        <v>2045</v>
      </c>
      <c r="AH11" s="172">
        <f>N11</f>
        <v>2050</v>
      </c>
      <c r="AI11" s="172" t="str">
        <f>O11</f>
        <v>n/a</v>
      </c>
      <c r="AJ11" s="29" t="s">
        <v>67</v>
      </c>
    </row>
    <row r="12" spans="2:54" ht="51.75" customHeight="1" x14ac:dyDescent="0.25">
      <c r="D12" s="177" t="s">
        <v>426</v>
      </c>
      <c r="G12" s="51">
        <v>1</v>
      </c>
      <c r="H12" s="51">
        <v>2</v>
      </c>
      <c r="I12" s="51">
        <v>3</v>
      </c>
      <c r="J12" s="177"/>
      <c r="K12" s="202" t="s">
        <v>379</v>
      </c>
      <c r="L12" s="202" t="s">
        <v>379</v>
      </c>
      <c r="M12" s="202" t="s">
        <v>379</v>
      </c>
      <c r="N12" s="202" t="s">
        <v>379</v>
      </c>
      <c r="O12" s="202" t="s">
        <v>379</v>
      </c>
      <c r="P12" s="177"/>
      <c r="Q12" s="556"/>
      <c r="R12" s="177"/>
      <c r="S12" s="11"/>
      <c r="T12" s="11"/>
      <c r="U12" s="177" t="s">
        <v>451</v>
      </c>
      <c r="V12" s="179"/>
      <c r="W12" s="179"/>
      <c r="X12" s="202" t="s">
        <v>379</v>
      </c>
      <c r="Y12" s="202" t="s">
        <v>380</v>
      </c>
      <c r="Z12" s="202" t="s">
        <v>381</v>
      </c>
      <c r="AA12" s="202" t="s">
        <v>382</v>
      </c>
      <c r="AB12" s="202" t="s">
        <v>383</v>
      </c>
      <c r="AC12" s="179"/>
      <c r="AL12" s="1"/>
    </row>
    <row r="13" spans="2:54" ht="27" thickBot="1" x14ac:dyDescent="0.3">
      <c r="D13" s="180" t="s">
        <v>430</v>
      </c>
      <c r="G13" s="180" t="s">
        <v>452</v>
      </c>
      <c r="H13" s="180" t="s">
        <v>452</v>
      </c>
      <c r="I13" s="180" t="s">
        <v>452</v>
      </c>
      <c r="J13" s="180"/>
      <c r="K13" s="180" t="s">
        <v>403</v>
      </c>
      <c r="L13" s="180" t="s">
        <v>403</v>
      </c>
      <c r="M13" s="180" t="s">
        <v>403</v>
      </c>
      <c r="N13" s="180" t="s">
        <v>403</v>
      </c>
      <c r="O13" s="180" t="s">
        <v>403</v>
      </c>
      <c r="P13" s="180"/>
      <c r="Q13" s="180" t="s">
        <v>430</v>
      </c>
      <c r="R13" s="180"/>
      <c r="S13" s="177"/>
      <c r="T13" s="177"/>
      <c r="U13" s="180" t="s">
        <v>453</v>
      </c>
      <c r="V13" s="180"/>
      <c r="W13" s="180"/>
      <c r="X13" s="180" t="s">
        <v>403</v>
      </c>
      <c r="Y13" s="180" t="s">
        <v>403</v>
      </c>
      <c r="Z13" s="180" t="s">
        <v>403</v>
      </c>
      <c r="AA13" s="180" t="s">
        <v>403</v>
      </c>
      <c r="AB13" s="180" t="s">
        <v>403</v>
      </c>
      <c r="AC13" s="180"/>
      <c r="AE13" s="180" t="s">
        <v>454</v>
      </c>
      <c r="AF13" s="180" t="s">
        <v>454</v>
      </c>
      <c r="AG13" s="180" t="s">
        <v>454</v>
      </c>
      <c r="AH13" s="180" t="s">
        <v>454</v>
      </c>
      <c r="AI13" s="180" t="s">
        <v>454</v>
      </c>
      <c r="AJ13" s="180" t="s">
        <v>455</v>
      </c>
      <c r="AL13" s="1"/>
      <c r="AN13" s="1" t="s">
        <v>456</v>
      </c>
    </row>
    <row r="14" spans="2:54" x14ac:dyDescent="0.25">
      <c r="C14" s="191">
        <f>'9. Indices-Hist'!B11</f>
        <v>43101</v>
      </c>
      <c r="D14" s="183">
        <f>VLOOKUP(C14,'9. Indices-Hist'!$K$5:$N$64,3,FALSE)</f>
        <v>5.4844685699848403</v>
      </c>
      <c r="F14" s="182">
        <f>'10. Indices-Forecast'!B5</f>
        <v>2022</v>
      </c>
      <c r="G14" s="183">
        <v>6.4547010607521695</v>
      </c>
      <c r="H14" s="183">
        <v>6.4547010607521695</v>
      </c>
      <c r="I14" s="183">
        <v>6.4547010607521695</v>
      </c>
      <c r="J14" s="183"/>
      <c r="K14" s="203">
        <f t="shared" ref="K14:O42" si="0">-PMT($K$2,$K$3,IF(AE14=0,0,VLOOKUP(AE14,$AQ$16:$BB$24,12,FALSE)))*IF(AE14=0,0,1000000/(AE14*365))</f>
        <v>0</v>
      </c>
      <c r="L14" s="203">
        <f t="shared" si="0"/>
        <v>0</v>
      </c>
      <c r="M14" s="203">
        <f t="shared" si="0"/>
        <v>0</v>
      </c>
      <c r="N14" s="203">
        <f t="shared" si="0"/>
        <v>0</v>
      </c>
      <c r="O14" s="203">
        <f t="shared" si="0"/>
        <v>0</v>
      </c>
      <c r="P14" s="183"/>
      <c r="Q14" s="194">
        <f>$R$4</f>
        <v>24.43</v>
      </c>
      <c r="R14" s="173"/>
      <c r="S14" s="204">
        <f t="shared" ref="S14:S42" si="1">F14</f>
        <v>2022</v>
      </c>
      <c r="T14" s="182"/>
      <c r="U14" s="192">
        <f>CHOOSE(HLOOKUP('Supply Porfolio (Live)'!$E$2,$G$11:$I$12,2,FALSE),G14,H14,I14)</f>
        <v>6.4547010607521695</v>
      </c>
      <c r="V14" s="183"/>
      <c r="W14" s="182">
        <f>F14</f>
        <v>2022</v>
      </c>
      <c r="X14" s="203">
        <f>IF(K14=0,0,K14+($Q14+$U14)*$R$3)</f>
        <v>0</v>
      </c>
      <c r="Y14" s="203">
        <f t="shared" ref="Y14:AB29" si="2">IF(L14=0,0,L14+($Q14+$U14)*$R$3)</f>
        <v>0</v>
      </c>
      <c r="Z14" s="203">
        <f t="shared" si="2"/>
        <v>0</v>
      </c>
      <c r="AA14" s="203">
        <f t="shared" si="2"/>
        <v>0</v>
      </c>
      <c r="AB14" s="203">
        <f t="shared" si="2"/>
        <v>0</v>
      </c>
      <c r="AC14" s="183"/>
      <c r="AD14" s="182">
        <f t="shared" ref="AD14:AD42" si="3">S14</f>
        <v>2022</v>
      </c>
      <c r="AE14" s="119">
        <f>IF($AD14&gt;='Supply Porfolio (Live)'!$H$25,VLOOKUP(AE$11,'Supply Porfolio (Live)'!$H$25:$I$29,2),0)</f>
        <v>0</v>
      </c>
      <c r="AF14" s="119">
        <f>IF($AD14&gt;='Supply Porfolio (Live)'!$H$26,VLOOKUP(AF$11,'Supply Porfolio (Live)'!$H$25:$I$29,2),0)</f>
        <v>0</v>
      </c>
      <c r="AG14" s="119">
        <f>IF($AD14&gt;='Supply Porfolio (Live)'!$H$27,VLOOKUP(AG$11,'Supply Porfolio (Live)'!$H$25:$I$29,2),0)</f>
        <v>0</v>
      </c>
      <c r="AH14" s="119">
        <f>IF($AD14&gt;='Supply Porfolio (Live)'!$H$28,VLOOKUP(AH$11,'Supply Porfolio (Live)'!$H$25:$I$29,2),0)</f>
        <v>0</v>
      </c>
      <c r="AI14" s="119">
        <f>IF($AD14&gt;='Supply Porfolio (Live)'!$H$29,VLOOKUP(AI$11,'Supply Porfolio (Live)'!$H$25:$I$29,2),0)</f>
        <v>0</v>
      </c>
      <c r="AJ14" s="205">
        <f>SUM(AE14:AI14)</f>
        <v>0</v>
      </c>
      <c r="AL14" s="1"/>
      <c r="AN14" s="206" t="s">
        <v>457</v>
      </c>
      <c r="AO14" s="206"/>
      <c r="AP14" s="207"/>
      <c r="AQ14" s="208" t="s">
        <v>458</v>
      </c>
      <c r="AR14" s="557" t="s">
        <v>459</v>
      </c>
      <c r="AS14" s="558"/>
      <c r="AT14" s="559"/>
      <c r="AU14" s="560" t="s">
        <v>460</v>
      </c>
      <c r="AV14" s="561"/>
      <c r="AW14" s="561"/>
      <c r="AX14" s="562"/>
      <c r="AY14" s="557" t="s">
        <v>461</v>
      </c>
      <c r="AZ14" s="558"/>
      <c r="BA14" s="559"/>
      <c r="BB14" s="209" t="s">
        <v>462</v>
      </c>
    </row>
    <row r="15" spans="2:54" ht="15.75" thickBot="1" x14ac:dyDescent="0.3">
      <c r="C15" s="191">
        <f>'9. Indices-Hist'!B12</f>
        <v>43132</v>
      </c>
      <c r="D15" s="183">
        <f>VLOOKUP(C15,'9. Indices-Hist'!$K$5:$N$64,3,FALSE)</f>
        <v>3.7572781234320116</v>
      </c>
      <c r="F15" s="182">
        <f>'10. Indices-Forecast'!B6</f>
        <v>2023</v>
      </c>
      <c r="G15" s="183">
        <v>4.9625200274662395</v>
      </c>
      <c r="H15" s="183">
        <v>4.9625200274662395</v>
      </c>
      <c r="I15" s="183">
        <v>4.9625200274662395</v>
      </c>
      <c r="J15" s="183"/>
      <c r="K15" s="203">
        <f t="shared" si="0"/>
        <v>0</v>
      </c>
      <c r="L15" s="203">
        <f t="shared" si="0"/>
        <v>0</v>
      </c>
      <c r="M15" s="203">
        <f t="shared" si="0"/>
        <v>0</v>
      </c>
      <c r="N15" s="203">
        <f t="shared" si="0"/>
        <v>0</v>
      </c>
      <c r="O15" s="203">
        <f t="shared" si="0"/>
        <v>0</v>
      </c>
      <c r="P15" s="183"/>
      <c r="Q15" s="194">
        <f t="shared" ref="Q15:Q42" si="4">$R$4</f>
        <v>24.43</v>
      </c>
      <c r="R15" s="173"/>
      <c r="S15" s="204">
        <f t="shared" si="1"/>
        <v>2023</v>
      </c>
      <c r="T15" s="182"/>
      <c r="U15" s="192">
        <f>CHOOSE(HLOOKUP('Supply Porfolio (Live)'!$E$2,$G$11:$I$12,2,FALSE),G15,H15,I15)</f>
        <v>4.9625200274662395</v>
      </c>
      <c r="V15" s="183"/>
      <c r="W15" s="182">
        <f t="shared" ref="W15:W42" si="5">F15</f>
        <v>2023</v>
      </c>
      <c r="X15" s="203">
        <f t="shared" ref="X15:AB43" si="6">IF(K15=0,0,K15+($Q15+$U15)*$R$3)</f>
        <v>0</v>
      </c>
      <c r="Y15" s="203">
        <f t="shared" si="2"/>
        <v>0</v>
      </c>
      <c r="Z15" s="203">
        <f t="shared" si="2"/>
        <v>0</v>
      </c>
      <c r="AA15" s="203">
        <f t="shared" si="2"/>
        <v>0</v>
      </c>
      <c r="AB15" s="203">
        <f t="shared" si="2"/>
        <v>0</v>
      </c>
      <c r="AC15" s="183"/>
      <c r="AD15" s="182">
        <f t="shared" si="3"/>
        <v>2023</v>
      </c>
      <c r="AE15" s="119">
        <f>IF($AD15&gt;='Supply Porfolio (Live)'!$H$25,VLOOKUP(AE$11,'Supply Porfolio (Live)'!$H$25:$I$29,2),0)</f>
        <v>0</v>
      </c>
      <c r="AF15" s="119">
        <f>IF($AD15&gt;='Supply Porfolio (Live)'!$H$26,VLOOKUP(AF$11,'Supply Porfolio (Live)'!$H$25:$I$29,2),0)</f>
        <v>0</v>
      </c>
      <c r="AG15" s="119">
        <f>IF($AD15&gt;='Supply Porfolio (Live)'!$H$27,VLOOKUP(AG$11,'Supply Porfolio (Live)'!$H$25:$I$29,2),0)</f>
        <v>0</v>
      </c>
      <c r="AH15" s="119">
        <f>IF($AD15&gt;='Supply Porfolio (Live)'!$H$28,VLOOKUP(AH$11,'Supply Porfolio (Live)'!$H$25:$I$29,2),0)</f>
        <v>0</v>
      </c>
      <c r="AI15" s="119">
        <f>IF($AD15&gt;='Supply Porfolio (Live)'!$H$29,VLOOKUP(AI$11,'Supply Porfolio (Live)'!$H$25:$I$29,2),0)</f>
        <v>0</v>
      </c>
      <c r="AJ15" s="205">
        <f t="shared" ref="AJ15:AJ42" si="7">SUM(AE15:AI15)</f>
        <v>0</v>
      </c>
      <c r="AL15" s="1"/>
      <c r="AN15" s="210" t="s">
        <v>463</v>
      </c>
      <c r="AO15" s="210" t="s">
        <v>464</v>
      </c>
      <c r="AP15" s="210" t="s">
        <v>465</v>
      </c>
      <c r="AQ15" s="211" t="s">
        <v>466</v>
      </c>
      <c r="AR15" s="212" t="s">
        <v>467</v>
      </c>
      <c r="AS15" s="213" t="s">
        <v>468</v>
      </c>
      <c r="AT15" s="214" t="s">
        <v>469</v>
      </c>
      <c r="AU15" s="212" t="s">
        <v>470</v>
      </c>
      <c r="AV15" s="213" t="s">
        <v>471</v>
      </c>
      <c r="AW15" s="213" t="s">
        <v>472</v>
      </c>
      <c r="AX15" s="214" t="s">
        <v>473</v>
      </c>
      <c r="AY15" s="212" t="s">
        <v>474</v>
      </c>
      <c r="AZ15" s="213" t="s">
        <v>475</v>
      </c>
      <c r="BA15" s="214" t="s">
        <v>476</v>
      </c>
      <c r="BB15" s="215" t="s">
        <v>477</v>
      </c>
    </row>
    <row r="16" spans="2:54" ht="16.5" thickTop="1" thickBot="1" x14ac:dyDescent="0.3">
      <c r="C16" s="191">
        <f>'9. Indices-Hist'!B13</f>
        <v>43160</v>
      </c>
      <c r="D16" s="183">
        <f>VLOOKUP(C16,'9. Indices-Hist'!$K$5:$N$64,3,FALSE)</f>
        <v>3.7854225288509782</v>
      </c>
      <c r="F16" s="182">
        <f>'10. Indices-Forecast'!B7</f>
        <v>2024</v>
      </c>
      <c r="G16" s="183">
        <v>3.620802965969498</v>
      </c>
      <c r="H16" s="183">
        <v>3.078994316969498</v>
      </c>
      <c r="I16" s="183">
        <v>4.726807019969498</v>
      </c>
      <c r="J16" s="183"/>
      <c r="K16" s="203">
        <f t="shared" si="0"/>
        <v>0</v>
      </c>
      <c r="L16" s="203">
        <f t="shared" si="0"/>
        <v>0</v>
      </c>
      <c r="M16" s="203">
        <f t="shared" si="0"/>
        <v>0</v>
      </c>
      <c r="N16" s="203">
        <f t="shared" si="0"/>
        <v>0</v>
      </c>
      <c r="O16" s="203">
        <f t="shared" si="0"/>
        <v>0</v>
      </c>
      <c r="P16" s="183"/>
      <c r="Q16" s="194">
        <f t="shared" si="4"/>
        <v>24.43</v>
      </c>
      <c r="R16" s="173"/>
      <c r="S16" s="204">
        <f t="shared" si="1"/>
        <v>2024</v>
      </c>
      <c r="T16" s="182"/>
      <c r="U16" s="192">
        <f>CHOOSE(HLOOKUP('Supply Porfolio (Live)'!$E$2,$G$11:$I$12,2,FALSE),G16,H16,I16)</f>
        <v>3.620802965969498</v>
      </c>
      <c r="V16" s="183"/>
      <c r="W16" s="182">
        <f t="shared" si="5"/>
        <v>2024</v>
      </c>
      <c r="X16" s="203">
        <f t="shared" si="6"/>
        <v>0</v>
      </c>
      <c r="Y16" s="203">
        <f t="shared" si="2"/>
        <v>0</v>
      </c>
      <c r="Z16" s="203">
        <f t="shared" si="2"/>
        <v>0</v>
      </c>
      <c r="AA16" s="203">
        <f t="shared" si="2"/>
        <v>0</v>
      </c>
      <c r="AB16" s="203">
        <f t="shared" si="2"/>
        <v>0</v>
      </c>
      <c r="AC16" s="183"/>
      <c r="AD16" s="182">
        <f t="shared" si="3"/>
        <v>2024</v>
      </c>
      <c r="AE16" s="119">
        <f>IF($AD16&gt;='Supply Porfolio (Live)'!$H$25,VLOOKUP(AE$11,'Supply Porfolio (Live)'!$H$25:$I$29,2),0)</f>
        <v>0</v>
      </c>
      <c r="AF16" s="119">
        <f>IF($AD16&gt;='Supply Porfolio (Live)'!$H$26,VLOOKUP(AF$11,'Supply Porfolio (Live)'!$H$25:$I$29,2),0)</f>
        <v>0</v>
      </c>
      <c r="AG16" s="119">
        <f>IF($AD16&gt;='Supply Porfolio (Live)'!$H$27,VLOOKUP(AG$11,'Supply Porfolio (Live)'!$H$25:$I$29,2),0)</f>
        <v>0</v>
      </c>
      <c r="AH16" s="119">
        <f>IF($AD16&gt;='Supply Porfolio (Live)'!$H$28,VLOOKUP(AH$11,'Supply Porfolio (Live)'!$H$25:$I$29,2),0)</f>
        <v>0</v>
      </c>
      <c r="AI16" s="119">
        <f>IF($AD16&gt;='Supply Porfolio (Live)'!$H$29,VLOOKUP(AI$11,'Supply Porfolio (Live)'!$H$25:$I$29,2),0)</f>
        <v>0</v>
      </c>
      <c r="AJ16" s="205">
        <f t="shared" si="7"/>
        <v>0</v>
      </c>
      <c r="AL16" s="1"/>
      <c r="AN16" s="210">
        <v>10</v>
      </c>
      <c r="AO16" s="216">
        <v>6.2100812379780237</v>
      </c>
      <c r="AP16" s="217">
        <v>8.9425169826883536E-3</v>
      </c>
      <c r="AQ16" s="218">
        <f>AP16*1000/$R$3</f>
        <v>89.425169826883533</v>
      </c>
      <c r="AR16" s="219">
        <v>6.5545551925170318E-5</v>
      </c>
      <c r="AS16" s="220">
        <v>0.10768347634682379</v>
      </c>
      <c r="AT16" s="221">
        <v>0.40759493484274756</v>
      </c>
      <c r="AU16" s="222">
        <v>3</v>
      </c>
      <c r="AV16" s="223">
        <v>1.2227848045282426</v>
      </c>
      <c r="AW16" s="223">
        <v>1</v>
      </c>
      <c r="AX16" s="217">
        <v>1.0768347634682379E-2</v>
      </c>
      <c r="AY16" s="224">
        <f t="shared" ref="AY16:BB24" si="8">(AY33*$K$5/$K$4)*(1+$K$6)</f>
        <v>0.9301725990968388</v>
      </c>
      <c r="AZ16" s="216">
        <f t="shared" si="8"/>
        <v>0.28010260182326369</v>
      </c>
      <c r="BA16" s="221">
        <f t="shared" si="8"/>
        <v>0.35414534639125667</v>
      </c>
      <c r="BB16" s="225">
        <f t="shared" si="8"/>
        <v>6.8369723827186899</v>
      </c>
    </row>
    <row r="17" spans="3:54" ht="15.75" thickTop="1" x14ac:dyDescent="0.25">
      <c r="C17" s="191">
        <f>'9. Indices-Hist'!B14</f>
        <v>43191</v>
      </c>
      <c r="D17" s="183">
        <f>VLOOKUP(C17,'9. Indices-Hist'!$K$5:$N$64,3,FALSE)</f>
        <v>3.9205451822266593</v>
      </c>
      <c r="F17" s="182">
        <f>'10. Indices-Forecast'!B8</f>
        <v>2025</v>
      </c>
      <c r="G17" s="183">
        <v>3.440396075969498</v>
      </c>
      <c r="H17" s="183">
        <v>2.877543585969498</v>
      </c>
      <c r="I17" s="183">
        <v>4.7126218969694982</v>
      </c>
      <c r="J17" s="183"/>
      <c r="K17" s="203">
        <f t="shared" si="0"/>
        <v>0</v>
      </c>
      <c r="L17" s="203">
        <f t="shared" si="0"/>
        <v>0</v>
      </c>
      <c r="M17" s="203">
        <f t="shared" si="0"/>
        <v>0</v>
      </c>
      <c r="N17" s="203">
        <f t="shared" si="0"/>
        <v>0</v>
      </c>
      <c r="O17" s="203">
        <f t="shared" si="0"/>
        <v>0</v>
      </c>
      <c r="P17" s="183"/>
      <c r="Q17" s="194">
        <f t="shared" si="4"/>
        <v>24.43</v>
      </c>
      <c r="R17" s="173"/>
      <c r="S17" s="204">
        <f t="shared" si="1"/>
        <v>2025</v>
      </c>
      <c r="T17" s="182"/>
      <c r="U17" s="192">
        <f>CHOOSE(HLOOKUP('Supply Porfolio (Live)'!$E$2,$G$11:$I$12,2,FALSE),G17,H17,I17)</f>
        <v>3.440396075969498</v>
      </c>
      <c r="V17" s="183"/>
      <c r="W17" s="182">
        <f t="shared" si="5"/>
        <v>2025</v>
      </c>
      <c r="X17" s="203">
        <f t="shared" si="6"/>
        <v>0</v>
      </c>
      <c r="Y17" s="203">
        <f t="shared" si="2"/>
        <v>0</v>
      </c>
      <c r="Z17" s="203">
        <f t="shared" si="2"/>
        <v>0</v>
      </c>
      <c r="AA17" s="203">
        <f t="shared" si="2"/>
        <v>0</v>
      </c>
      <c r="AB17" s="203">
        <f t="shared" si="2"/>
        <v>0</v>
      </c>
      <c r="AC17" s="183"/>
      <c r="AD17" s="182">
        <f t="shared" si="3"/>
        <v>2025</v>
      </c>
      <c r="AE17" s="119">
        <f>IF($AD17&gt;='Supply Porfolio (Live)'!$H$25,VLOOKUP(AE$11,'Supply Porfolio (Live)'!$H$25:$I$29,2),0)</f>
        <v>0</v>
      </c>
      <c r="AF17" s="119">
        <f>IF($AD17&gt;='Supply Porfolio (Live)'!$H$26,VLOOKUP(AF$11,'Supply Porfolio (Live)'!$H$25:$I$29,2),0)</f>
        <v>0</v>
      </c>
      <c r="AG17" s="119">
        <f>IF($AD17&gt;='Supply Porfolio (Live)'!$H$27,VLOOKUP(AG$11,'Supply Porfolio (Live)'!$H$25:$I$29,2),0)</f>
        <v>0</v>
      </c>
      <c r="AH17" s="119">
        <f>IF($AD17&gt;='Supply Porfolio (Live)'!$H$28,VLOOKUP(AH$11,'Supply Porfolio (Live)'!$H$25:$I$29,2),0)</f>
        <v>0</v>
      </c>
      <c r="AI17" s="119">
        <f>IF($AD17&gt;='Supply Porfolio (Live)'!$H$29,VLOOKUP(AI$11,'Supply Porfolio (Live)'!$H$25:$I$29,2),0)</f>
        <v>0</v>
      </c>
      <c r="AJ17" s="205">
        <f t="shared" si="7"/>
        <v>0</v>
      </c>
      <c r="AL17" s="1"/>
      <c r="AN17" s="226">
        <v>100</v>
      </c>
      <c r="AO17" s="227">
        <v>62.10081237978023</v>
      </c>
      <c r="AP17" s="228">
        <v>8.9425169826883533E-2</v>
      </c>
      <c r="AQ17" s="211">
        <f t="shared" ref="AQ17:AQ24" si="9">AP17*1000/$R$3</f>
        <v>894.2516982688353</v>
      </c>
      <c r="AR17" s="229">
        <v>6.5545551925170304E-4</v>
      </c>
      <c r="AS17" s="230">
        <v>1.076834763468238</v>
      </c>
      <c r="AT17" s="231">
        <v>4.0759493484274758</v>
      </c>
      <c r="AU17" s="232">
        <v>3</v>
      </c>
      <c r="AV17" s="227">
        <v>12.227848045282428</v>
      </c>
      <c r="AW17" s="227">
        <v>1</v>
      </c>
      <c r="AX17" s="228">
        <v>0.10768347634682379</v>
      </c>
      <c r="AY17" s="233">
        <f t="shared" si="8"/>
        <v>0.9301725990968388</v>
      </c>
      <c r="AZ17" s="230">
        <f t="shared" si="8"/>
        <v>0.28010260182326369</v>
      </c>
      <c r="BA17" s="231">
        <f t="shared" si="8"/>
        <v>0.35414534639125667</v>
      </c>
      <c r="BB17" s="234">
        <f t="shared" si="8"/>
        <v>6.8369723827186899</v>
      </c>
    </row>
    <row r="18" spans="3:54" x14ac:dyDescent="0.25">
      <c r="C18" s="191">
        <f>'9. Indices-Hist'!B15</f>
        <v>43221</v>
      </c>
      <c r="D18" s="183">
        <f>VLOOKUP(C18,'9. Indices-Hist'!$K$5:$N$64,3,FALSE)</f>
        <v>3.864592519685039</v>
      </c>
      <c r="F18" s="182">
        <f>'10. Indices-Forecast'!B9</f>
        <v>2026</v>
      </c>
      <c r="G18" s="183">
        <v>3.4168551389694977</v>
      </c>
      <c r="H18" s="183">
        <v>2.8134590599694982</v>
      </c>
      <c r="I18" s="183">
        <v>4.8276334929694968</v>
      </c>
      <c r="J18" s="183"/>
      <c r="K18" s="203">
        <f t="shared" si="0"/>
        <v>0</v>
      </c>
      <c r="L18" s="203">
        <f t="shared" si="0"/>
        <v>0</v>
      </c>
      <c r="M18" s="203">
        <f t="shared" si="0"/>
        <v>0</v>
      </c>
      <c r="N18" s="203">
        <f t="shared" si="0"/>
        <v>0</v>
      </c>
      <c r="O18" s="203">
        <f t="shared" si="0"/>
        <v>0</v>
      </c>
      <c r="P18" s="183"/>
      <c r="Q18" s="194">
        <f t="shared" si="4"/>
        <v>24.43</v>
      </c>
      <c r="R18" s="173"/>
      <c r="S18" s="204">
        <f t="shared" si="1"/>
        <v>2026</v>
      </c>
      <c r="T18" s="182"/>
      <c r="U18" s="192">
        <f>CHOOSE(HLOOKUP('Supply Porfolio (Live)'!$E$2,$G$11:$I$12,2,FALSE),G18,H18,I18)</f>
        <v>3.4168551389694977</v>
      </c>
      <c r="V18" s="183"/>
      <c r="W18" s="182">
        <f t="shared" si="5"/>
        <v>2026</v>
      </c>
      <c r="X18" s="203">
        <f t="shared" si="6"/>
        <v>0</v>
      </c>
      <c r="Y18" s="203">
        <f t="shared" si="2"/>
        <v>0</v>
      </c>
      <c r="Z18" s="203">
        <f t="shared" si="2"/>
        <v>0</v>
      </c>
      <c r="AA18" s="203">
        <f t="shared" si="2"/>
        <v>0</v>
      </c>
      <c r="AB18" s="203">
        <f t="shared" si="2"/>
        <v>0</v>
      </c>
      <c r="AC18" s="183"/>
      <c r="AD18" s="182">
        <f t="shared" si="3"/>
        <v>2026</v>
      </c>
      <c r="AE18" s="119">
        <f>IF($AD18&gt;='Supply Porfolio (Live)'!$H$25,VLOOKUP(AE$11,'Supply Porfolio (Live)'!$H$25:$I$29,2),0)</f>
        <v>0</v>
      </c>
      <c r="AF18" s="119">
        <f>IF($AD18&gt;='Supply Porfolio (Live)'!$H$26,VLOOKUP(AF$11,'Supply Porfolio (Live)'!$H$25:$I$29,2),0)</f>
        <v>0</v>
      </c>
      <c r="AG18" s="119">
        <f>IF($AD18&gt;='Supply Porfolio (Live)'!$H$27,VLOOKUP(AG$11,'Supply Porfolio (Live)'!$H$25:$I$29,2),0)</f>
        <v>0</v>
      </c>
      <c r="AH18" s="119">
        <f>IF($AD18&gt;='Supply Porfolio (Live)'!$H$28,VLOOKUP(AH$11,'Supply Porfolio (Live)'!$H$25:$I$29,2),0)</f>
        <v>0</v>
      </c>
      <c r="AI18" s="119">
        <f>IF($AD18&gt;='Supply Porfolio (Live)'!$H$29,VLOOKUP(AI$11,'Supply Porfolio (Live)'!$H$25:$I$29,2),0)</f>
        <v>0</v>
      </c>
      <c r="AJ18" s="205">
        <f t="shared" si="7"/>
        <v>0</v>
      </c>
      <c r="AL18" s="1"/>
      <c r="AN18" s="226">
        <v>500</v>
      </c>
      <c r="AO18" s="227">
        <v>310.50406189890117</v>
      </c>
      <c r="AP18" s="228">
        <v>0.44712584913441766</v>
      </c>
      <c r="AQ18" s="235">
        <f t="shared" si="9"/>
        <v>4471.258491344176</v>
      </c>
      <c r="AR18" s="236">
        <v>3.2772775962585164E-3</v>
      </c>
      <c r="AS18" s="230">
        <v>5.3841738173411917</v>
      </c>
      <c r="AT18" s="237">
        <v>20.379746742137385</v>
      </c>
      <c r="AU18" s="232">
        <v>3</v>
      </c>
      <c r="AV18" s="227">
        <v>61.139240226412156</v>
      </c>
      <c r="AW18" s="227">
        <v>1</v>
      </c>
      <c r="AX18" s="231">
        <v>0.53841738173411913</v>
      </c>
      <c r="AY18" s="233">
        <f t="shared" si="8"/>
        <v>0.9301725990968388</v>
      </c>
      <c r="AZ18" s="230">
        <f t="shared" si="8"/>
        <v>0.5153611993399847</v>
      </c>
      <c r="BA18" s="231">
        <f t="shared" si="8"/>
        <v>0.35414534639125667</v>
      </c>
      <c r="BB18" s="234">
        <f t="shared" si="8"/>
        <v>7.4015930167588211</v>
      </c>
    </row>
    <row r="19" spans="3:54" x14ac:dyDescent="0.25">
      <c r="C19" s="191">
        <f>'9. Indices-Hist'!B16</f>
        <v>43252</v>
      </c>
      <c r="D19" s="183">
        <f>VLOOKUP(C19,'9. Indices-Hist'!$K$5:$N$64,3,FALSE)</f>
        <v>4.0791539177277185</v>
      </c>
      <c r="F19" s="182">
        <f>'10. Indices-Forecast'!B10</f>
        <v>2027</v>
      </c>
      <c r="G19" s="183">
        <v>3.5178672349694979</v>
      </c>
      <c r="H19" s="183">
        <v>2.851145713969498</v>
      </c>
      <c r="I19" s="183">
        <v>4.9230966019694975</v>
      </c>
      <c r="J19" s="183"/>
      <c r="K19" s="203">
        <f t="shared" si="0"/>
        <v>0</v>
      </c>
      <c r="L19" s="203">
        <f t="shared" si="0"/>
        <v>0</v>
      </c>
      <c r="M19" s="203">
        <f t="shared" si="0"/>
        <v>0</v>
      </c>
      <c r="N19" s="203">
        <f t="shared" si="0"/>
        <v>0</v>
      </c>
      <c r="O19" s="203">
        <f t="shared" si="0"/>
        <v>0</v>
      </c>
      <c r="P19" s="183"/>
      <c r="Q19" s="194">
        <f t="shared" si="4"/>
        <v>24.43</v>
      </c>
      <c r="R19" s="173"/>
      <c r="S19" s="204">
        <f t="shared" si="1"/>
        <v>2027</v>
      </c>
      <c r="T19" s="182"/>
      <c r="U19" s="192">
        <f>CHOOSE(HLOOKUP('Supply Porfolio (Live)'!$E$2,$G$11:$I$12,2,FALSE),G19,H19,I19)</f>
        <v>3.5178672349694979</v>
      </c>
      <c r="V19" s="183"/>
      <c r="W19" s="182">
        <f t="shared" si="5"/>
        <v>2027</v>
      </c>
      <c r="X19" s="203">
        <f t="shared" si="6"/>
        <v>0</v>
      </c>
      <c r="Y19" s="203">
        <f t="shared" si="2"/>
        <v>0</v>
      </c>
      <c r="Z19" s="203">
        <f t="shared" si="2"/>
        <v>0</v>
      </c>
      <c r="AA19" s="203">
        <f t="shared" si="2"/>
        <v>0</v>
      </c>
      <c r="AB19" s="203">
        <f t="shared" si="2"/>
        <v>0</v>
      </c>
      <c r="AC19" s="183"/>
      <c r="AD19" s="182">
        <f t="shared" si="3"/>
        <v>2027</v>
      </c>
      <c r="AE19" s="119">
        <f>IF($AD19&gt;='Supply Porfolio (Live)'!$H$25,VLOOKUP(AE$11,'Supply Porfolio (Live)'!$H$25:$I$29,2),0)</f>
        <v>0</v>
      </c>
      <c r="AF19" s="119">
        <f>IF($AD19&gt;='Supply Porfolio (Live)'!$H$26,VLOOKUP(AF$11,'Supply Porfolio (Live)'!$H$25:$I$29,2),0)</f>
        <v>0</v>
      </c>
      <c r="AG19" s="119">
        <f>IF($AD19&gt;='Supply Porfolio (Live)'!$H$27,VLOOKUP(AG$11,'Supply Porfolio (Live)'!$H$25:$I$29,2),0)</f>
        <v>0</v>
      </c>
      <c r="AH19" s="119">
        <f>IF($AD19&gt;='Supply Porfolio (Live)'!$H$28,VLOOKUP(AH$11,'Supply Porfolio (Live)'!$H$25:$I$29,2),0)</f>
        <v>0</v>
      </c>
      <c r="AI19" s="119">
        <f>IF($AD19&gt;='Supply Porfolio (Live)'!$H$29,VLOOKUP(AI$11,'Supply Porfolio (Live)'!$H$25:$I$29,2),0)</f>
        <v>0</v>
      </c>
      <c r="AJ19" s="205">
        <f t="shared" si="7"/>
        <v>0</v>
      </c>
      <c r="AL19" s="1"/>
      <c r="AN19" s="226">
        <v>1000</v>
      </c>
      <c r="AO19" s="227">
        <v>621.00812379780234</v>
      </c>
      <c r="AP19" s="231">
        <v>0.89425169826883533</v>
      </c>
      <c r="AQ19" s="235">
        <f t="shared" si="9"/>
        <v>8942.5169826883521</v>
      </c>
      <c r="AR19" s="236">
        <v>6.5545551925170328E-3</v>
      </c>
      <c r="AS19" s="227">
        <v>10.768347634682383</v>
      </c>
      <c r="AT19" s="237">
        <v>40.75949348427477</v>
      </c>
      <c r="AU19" s="232">
        <v>3</v>
      </c>
      <c r="AV19" s="227">
        <v>122.27848045282431</v>
      </c>
      <c r="AW19" s="227">
        <v>2</v>
      </c>
      <c r="AX19" s="231">
        <v>1.0768347634682383</v>
      </c>
      <c r="AY19" s="233">
        <f t="shared" si="8"/>
        <v>0.9301725990968388</v>
      </c>
      <c r="AZ19" s="230">
        <f t="shared" si="8"/>
        <v>1.0307223986799694</v>
      </c>
      <c r="BA19" s="231">
        <f t="shared" si="8"/>
        <v>0.53678396847779108</v>
      </c>
      <c r="BB19" s="234">
        <f t="shared" si="8"/>
        <v>9.5151252811901497</v>
      </c>
    </row>
    <row r="20" spans="3:54" x14ac:dyDescent="0.25">
      <c r="C20" s="191">
        <f>'9. Indices-Hist'!B17</f>
        <v>43282</v>
      </c>
      <c r="D20" s="183">
        <f>VLOOKUP(C20,'9. Indices-Hist'!$K$5:$N$64,3,FALSE)</f>
        <v>3.8849680372001956</v>
      </c>
      <c r="F20" s="182">
        <f>'10. Indices-Forecast'!B11</f>
        <v>2028</v>
      </c>
      <c r="G20" s="183">
        <v>3.6954565959694983</v>
      </c>
      <c r="H20" s="183">
        <v>2.993829654969498</v>
      </c>
      <c r="I20" s="183">
        <v>5.2120276159694976</v>
      </c>
      <c r="J20" s="183"/>
      <c r="K20" s="203">
        <f t="shared" si="0"/>
        <v>0</v>
      </c>
      <c r="L20" s="203">
        <f t="shared" si="0"/>
        <v>0</v>
      </c>
      <c r="M20" s="203">
        <f t="shared" si="0"/>
        <v>0</v>
      </c>
      <c r="N20" s="203">
        <f t="shared" si="0"/>
        <v>0</v>
      </c>
      <c r="O20" s="203">
        <f t="shared" si="0"/>
        <v>0</v>
      </c>
      <c r="P20" s="183"/>
      <c r="Q20" s="194">
        <f t="shared" si="4"/>
        <v>24.43</v>
      </c>
      <c r="R20" s="173"/>
      <c r="S20" s="204">
        <f t="shared" si="1"/>
        <v>2028</v>
      </c>
      <c r="T20" s="182"/>
      <c r="U20" s="192">
        <f>CHOOSE(HLOOKUP('Supply Porfolio (Live)'!$E$2,$G$11:$I$12,2,FALSE),G20,H20,I20)</f>
        <v>3.6954565959694983</v>
      </c>
      <c r="V20" s="183"/>
      <c r="W20" s="182">
        <f t="shared" si="5"/>
        <v>2028</v>
      </c>
      <c r="X20" s="203">
        <f t="shared" si="6"/>
        <v>0</v>
      </c>
      <c r="Y20" s="203">
        <f t="shared" si="2"/>
        <v>0</v>
      </c>
      <c r="Z20" s="203">
        <f t="shared" si="2"/>
        <v>0</v>
      </c>
      <c r="AA20" s="203">
        <f t="shared" si="2"/>
        <v>0</v>
      </c>
      <c r="AB20" s="203">
        <f t="shared" si="2"/>
        <v>0</v>
      </c>
      <c r="AC20" s="183"/>
      <c r="AD20" s="182">
        <f t="shared" si="3"/>
        <v>2028</v>
      </c>
      <c r="AE20" s="119">
        <f>IF($AD20&gt;='Supply Porfolio (Live)'!$H$25,VLOOKUP(AE$11,'Supply Porfolio (Live)'!$H$25:$I$29,2),0)</f>
        <v>0</v>
      </c>
      <c r="AF20" s="119">
        <f>IF($AD20&gt;='Supply Porfolio (Live)'!$H$26,VLOOKUP(AF$11,'Supply Porfolio (Live)'!$H$25:$I$29,2),0)</f>
        <v>0</v>
      </c>
      <c r="AG20" s="119">
        <f>IF($AD20&gt;='Supply Porfolio (Live)'!$H$27,VLOOKUP(AG$11,'Supply Porfolio (Live)'!$H$25:$I$29,2),0)</f>
        <v>0</v>
      </c>
      <c r="AH20" s="119">
        <f>IF($AD20&gt;='Supply Porfolio (Live)'!$H$28,VLOOKUP(AH$11,'Supply Porfolio (Live)'!$H$25:$I$29,2),0)</f>
        <v>0</v>
      </c>
      <c r="AI20" s="119">
        <f>IF($AD20&gt;='Supply Porfolio (Live)'!$H$29,VLOOKUP(AI$11,'Supply Porfolio (Live)'!$H$25:$I$29,2),0)</f>
        <v>0</v>
      </c>
      <c r="AJ20" s="205">
        <f t="shared" si="7"/>
        <v>0</v>
      </c>
      <c r="AL20" s="1"/>
      <c r="AN20" s="226">
        <v>2500</v>
      </c>
      <c r="AO20" s="227">
        <v>1552.5203094945059</v>
      </c>
      <c r="AP20" s="231">
        <v>2.2356292456720888</v>
      </c>
      <c r="AQ20" s="235">
        <f t="shared" si="9"/>
        <v>22356.292456720887</v>
      </c>
      <c r="AR20" s="236">
        <v>1.6386387981292581E-2</v>
      </c>
      <c r="AS20" s="227">
        <v>26.920869086705956</v>
      </c>
      <c r="AT20" s="237">
        <v>101.89873371068691</v>
      </c>
      <c r="AU20" s="232">
        <v>3</v>
      </c>
      <c r="AV20" s="227">
        <v>305.69620113206076</v>
      </c>
      <c r="AW20" s="227">
        <v>3</v>
      </c>
      <c r="AX20" s="231">
        <v>2.6920869086705954</v>
      </c>
      <c r="AY20" s="233">
        <f t="shared" si="8"/>
        <v>0.9301725990968388</v>
      </c>
      <c r="AZ20" s="230">
        <f t="shared" si="8"/>
        <v>2.1003811415974782</v>
      </c>
      <c r="BA20" s="231">
        <f t="shared" si="8"/>
        <v>0.9301725990968388</v>
      </c>
      <c r="BB20" s="234">
        <f t="shared" si="8"/>
        <v>13.970571691163599</v>
      </c>
    </row>
    <row r="21" spans="3:54" x14ac:dyDescent="0.25">
      <c r="C21" s="191">
        <f>'9. Indices-Hist'!B18</f>
        <v>43313</v>
      </c>
      <c r="D21" s="183">
        <f>VLOOKUP(C21,'9. Indices-Hist'!$K$5:$N$64,3,FALSE)</f>
        <v>4.0814092428711897</v>
      </c>
      <c r="F21" s="182">
        <f>'10. Indices-Forecast'!B12</f>
        <v>2029</v>
      </c>
      <c r="G21" s="183">
        <v>3.8177147479694979</v>
      </c>
      <c r="H21" s="183">
        <v>3.0721044889694982</v>
      </c>
      <c r="I21" s="183">
        <v>5.4941704279694976</v>
      </c>
      <c r="J21" s="183"/>
      <c r="K21" s="203">
        <f t="shared" si="0"/>
        <v>0</v>
      </c>
      <c r="L21" s="203">
        <f t="shared" si="0"/>
        <v>0</v>
      </c>
      <c r="M21" s="203">
        <f t="shared" si="0"/>
        <v>0</v>
      </c>
      <c r="N21" s="203">
        <f t="shared" si="0"/>
        <v>0</v>
      </c>
      <c r="O21" s="203">
        <f t="shared" si="0"/>
        <v>0</v>
      </c>
      <c r="P21" s="183"/>
      <c r="Q21" s="194">
        <f t="shared" si="4"/>
        <v>24.43</v>
      </c>
      <c r="R21" s="173"/>
      <c r="S21" s="204">
        <f t="shared" si="1"/>
        <v>2029</v>
      </c>
      <c r="T21" s="182"/>
      <c r="U21" s="192">
        <f>CHOOSE(HLOOKUP('Supply Porfolio (Live)'!$E$2,$G$11:$I$12,2,FALSE),G21,H21,I21)</f>
        <v>3.8177147479694979</v>
      </c>
      <c r="V21" s="183"/>
      <c r="W21" s="182">
        <f t="shared" si="5"/>
        <v>2029</v>
      </c>
      <c r="X21" s="203">
        <f t="shared" si="6"/>
        <v>0</v>
      </c>
      <c r="Y21" s="203">
        <f t="shared" si="2"/>
        <v>0</v>
      </c>
      <c r="Z21" s="203">
        <f t="shared" si="2"/>
        <v>0</v>
      </c>
      <c r="AA21" s="203">
        <f t="shared" si="2"/>
        <v>0</v>
      </c>
      <c r="AB21" s="203">
        <f t="shared" si="2"/>
        <v>0</v>
      </c>
      <c r="AC21" s="183"/>
      <c r="AD21" s="182">
        <f t="shared" si="3"/>
        <v>2029</v>
      </c>
      <c r="AE21" s="119">
        <f>IF($AD21&gt;='Supply Porfolio (Live)'!$H$25,VLOOKUP(AE$11,'Supply Porfolio (Live)'!$H$25:$I$29,2),0)</f>
        <v>0</v>
      </c>
      <c r="AF21" s="119">
        <f>IF($AD21&gt;='Supply Porfolio (Live)'!$H$26,VLOOKUP(AF$11,'Supply Porfolio (Live)'!$H$25:$I$29,2),0)</f>
        <v>0</v>
      </c>
      <c r="AG21" s="119">
        <f>IF($AD21&gt;='Supply Porfolio (Live)'!$H$27,VLOOKUP(AG$11,'Supply Porfolio (Live)'!$H$25:$I$29,2),0)</f>
        <v>0</v>
      </c>
      <c r="AH21" s="119">
        <f>IF($AD21&gt;='Supply Porfolio (Live)'!$H$28,VLOOKUP(AH$11,'Supply Porfolio (Live)'!$H$25:$I$29,2),0)</f>
        <v>0</v>
      </c>
      <c r="AI21" s="119">
        <f>IF($AD21&gt;='Supply Porfolio (Live)'!$H$29,VLOOKUP(AI$11,'Supply Porfolio (Live)'!$H$25:$I$29,2),0)</f>
        <v>0</v>
      </c>
      <c r="AJ21" s="205">
        <f t="shared" si="7"/>
        <v>0</v>
      </c>
      <c r="AL21" s="1"/>
      <c r="AN21" s="226">
        <v>5000</v>
      </c>
      <c r="AO21" s="227">
        <v>3105.0406189890118</v>
      </c>
      <c r="AP21" s="231">
        <v>4.4712584913441775</v>
      </c>
      <c r="AQ21" s="235">
        <f t="shared" si="9"/>
        <v>44712.584913441773</v>
      </c>
      <c r="AR21" s="236">
        <v>3.2772775962585161E-2</v>
      </c>
      <c r="AS21" s="227">
        <v>53.841738173411912</v>
      </c>
      <c r="AT21" s="237">
        <v>203.79746742137382</v>
      </c>
      <c r="AU21" s="232">
        <v>3</v>
      </c>
      <c r="AV21" s="227">
        <v>611.39240226412153</v>
      </c>
      <c r="AW21" s="227">
        <v>2</v>
      </c>
      <c r="AX21" s="231">
        <v>5.3841738173411908</v>
      </c>
      <c r="AY21" s="233">
        <f t="shared" si="8"/>
        <v>0.9301725990968388</v>
      </c>
      <c r="AZ21" s="230">
        <f t="shared" si="8"/>
        <v>3.5346558765679865</v>
      </c>
      <c r="BA21" s="231">
        <f t="shared" si="8"/>
        <v>1.4098780181651134</v>
      </c>
      <c r="BB21" s="234">
        <f t="shared" si="8"/>
        <v>19.715417066620535</v>
      </c>
    </row>
    <row r="22" spans="3:54" x14ac:dyDescent="0.25">
      <c r="C22" s="191">
        <f>'9. Indices-Hist'!B19</f>
        <v>43344</v>
      </c>
      <c r="D22" s="183">
        <f>VLOOKUP(C22,'9. Indices-Hist'!$K$5:$N$64,3,FALSE)</f>
        <v>4.1325000000000003</v>
      </c>
      <c r="F22" s="182">
        <f>'10. Indices-Forecast'!B13</f>
        <v>2030</v>
      </c>
      <c r="G22" s="183">
        <v>3.9161893049694982</v>
      </c>
      <c r="H22" s="183">
        <v>3.1495258719694981</v>
      </c>
      <c r="I22" s="183">
        <v>5.6742994019694981</v>
      </c>
      <c r="J22" s="183"/>
      <c r="K22" s="203">
        <f t="shared" si="0"/>
        <v>0</v>
      </c>
      <c r="L22" s="203">
        <f t="shared" si="0"/>
        <v>0</v>
      </c>
      <c r="M22" s="203">
        <f t="shared" si="0"/>
        <v>0</v>
      </c>
      <c r="N22" s="203">
        <f t="shared" si="0"/>
        <v>0</v>
      </c>
      <c r="O22" s="203">
        <f t="shared" si="0"/>
        <v>0</v>
      </c>
      <c r="P22" s="183"/>
      <c r="Q22" s="194">
        <f t="shared" si="4"/>
        <v>24.43</v>
      </c>
      <c r="R22" s="173"/>
      <c r="S22" s="204">
        <f t="shared" si="1"/>
        <v>2030</v>
      </c>
      <c r="T22" s="182"/>
      <c r="U22" s="192">
        <f>CHOOSE(HLOOKUP('Supply Porfolio (Live)'!$E$2,$G$11:$I$12,2,FALSE),G22,H22,I22)</f>
        <v>3.9161893049694982</v>
      </c>
      <c r="V22" s="183"/>
      <c r="W22" s="182">
        <f t="shared" si="5"/>
        <v>2030</v>
      </c>
      <c r="X22" s="203">
        <f t="shared" si="6"/>
        <v>0</v>
      </c>
      <c r="Y22" s="203">
        <f t="shared" si="2"/>
        <v>0</v>
      </c>
      <c r="Z22" s="203">
        <f t="shared" si="2"/>
        <v>0</v>
      </c>
      <c r="AA22" s="203">
        <f t="shared" si="2"/>
        <v>0</v>
      </c>
      <c r="AB22" s="203">
        <f t="shared" si="2"/>
        <v>0</v>
      </c>
      <c r="AC22" s="183"/>
      <c r="AD22" s="182">
        <f t="shared" si="3"/>
        <v>2030</v>
      </c>
      <c r="AE22" s="119">
        <f>IF($AD22&gt;='Supply Porfolio (Live)'!$H$25,VLOOKUP(AE$11,'Supply Porfolio (Live)'!$H$25:$I$29,2),0)</f>
        <v>0</v>
      </c>
      <c r="AF22" s="119">
        <f>IF($AD22&gt;='Supply Porfolio (Live)'!$H$26,VLOOKUP(AF$11,'Supply Porfolio (Live)'!$H$25:$I$29,2),0)</f>
        <v>0</v>
      </c>
      <c r="AG22" s="119">
        <f>IF($AD22&gt;='Supply Porfolio (Live)'!$H$27,VLOOKUP(AG$11,'Supply Porfolio (Live)'!$H$25:$I$29,2),0)</f>
        <v>0</v>
      </c>
      <c r="AH22" s="119">
        <f>IF($AD22&gt;='Supply Porfolio (Live)'!$H$28,VLOOKUP(AH$11,'Supply Porfolio (Live)'!$H$25:$I$29,2),0)</f>
        <v>0</v>
      </c>
      <c r="AI22" s="119">
        <f>IF($AD22&gt;='Supply Porfolio (Live)'!$H$29,VLOOKUP(AI$11,'Supply Porfolio (Live)'!$H$25:$I$29,2),0)</f>
        <v>0</v>
      </c>
      <c r="AJ22" s="205">
        <f t="shared" si="7"/>
        <v>0</v>
      </c>
      <c r="AL22" s="1"/>
      <c r="AN22" s="226">
        <v>10000</v>
      </c>
      <c r="AO22" s="227">
        <v>6210.0812379780236</v>
      </c>
      <c r="AP22" s="231">
        <v>8.942516982688355</v>
      </c>
      <c r="AQ22" s="235">
        <f t="shared" si="9"/>
        <v>89425.169826883546</v>
      </c>
      <c r="AR22" s="238">
        <v>6.5545551925170323E-2</v>
      </c>
      <c r="AS22" s="227">
        <v>107.68347634682382</v>
      </c>
      <c r="AT22" s="237">
        <v>407.59493484274765</v>
      </c>
      <c r="AU22" s="232">
        <v>3</v>
      </c>
      <c r="AV22" s="227">
        <v>1222.7848045282431</v>
      </c>
      <c r="AW22" s="227">
        <v>4</v>
      </c>
      <c r="AX22" s="231">
        <v>10.768347634682382</v>
      </c>
      <c r="AY22" s="233">
        <f t="shared" si="8"/>
        <v>1.4882761585549422</v>
      </c>
      <c r="AZ22" s="230">
        <f t="shared" si="8"/>
        <v>7.069311753135973</v>
      </c>
      <c r="BA22" s="231">
        <f t="shared" si="8"/>
        <v>2.13697546889171</v>
      </c>
      <c r="BB22" s="234">
        <f t="shared" si="8"/>
        <v>34.367556019270268</v>
      </c>
    </row>
    <row r="23" spans="3:54" x14ac:dyDescent="0.25">
      <c r="C23" s="191">
        <f>'9. Indices-Hist'!B20</f>
        <v>43374</v>
      </c>
      <c r="D23" s="183">
        <f>VLOOKUP(C23,'9. Indices-Hist'!$K$5:$N$64,3,FALSE)</f>
        <v>4.4961169110459434</v>
      </c>
      <c r="F23" s="182">
        <f>'10. Indices-Forecast'!B14</f>
        <v>2031</v>
      </c>
      <c r="G23" s="183">
        <v>4.0034922609694981</v>
      </c>
      <c r="H23" s="183">
        <v>3.1785784639694983</v>
      </c>
      <c r="I23" s="183">
        <v>5.8817128829694969</v>
      </c>
      <c r="J23" s="183"/>
      <c r="K23" s="203">
        <f t="shared" si="0"/>
        <v>0</v>
      </c>
      <c r="L23" s="203">
        <f t="shared" si="0"/>
        <v>0</v>
      </c>
      <c r="M23" s="203">
        <f t="shared" si="0"/>
        <v>0</v>
      </c>
      <c r="N23" s="203">
        <f t="shared" si="0"/>
        <v>0</v>
      </c>
      <c r="O23" s="203">
        <f t="shared" si="0"/>
        <v>0</v>
      </c>
      <c r="P23" s="183"/>
      <c r="Q23" s="194">
        <f t="shared" si="4"/>
        <v>24.43</v>
      </c>
      <c r="R23" s="173"/>
      <c r="S23" s="204">
        <f t="shared" si="1"/>
        <v>2031</v>
      </c>
      <c r="T23" s="182"/>
      <c r="U23" s="192">
        <f>CHOOSE(HLOOKUP('Supply Porfolio (Live)'!$E$2,$G$11:$I$12,2,FALSE),G23,H23,I23)</f>
        <v>4.0034922609694981</v>
      </c>
      <c r="V23" s="183"/>
      <c r="W23" s="182">
        <f t="shared" si="5"/>
        <v>2031</v>
      </c>
      <c r="X23" s="203">
        <f t="shared" si="6"/>
        <v>0</v>
      </c>
      <c r="Y23" s="203">
        <f t="shared" si="2"/>
        <v>0</v>
      </c>
      <c r="Z23" s="203">
        <f t="shared" si="2"/>
        <v>0</v>
      </c>
      <c r="AA23" s="203">
        <f t="shared" si="2"/>
        <v>0</v>
      </c>
      <c r="AB23" s="203">
        <f t="shared" si="2"/>
        <v>0</v>
      </c>
      <c r="AC23" s="183"/>
      <c r="AD23" s="182">
        <f t="shared" si="3"/>
        <v>2031</v>
      </c>
      <c r="AE23" s="119">
        <f>IF($AD23&gt;='Supply Porfolio (Live)'!$H$25,VLOOKUP(AE$11,'Supply Porfolio (Live)'!$H$25:$I$29,2),0)</f>
        <v>0</v>
      </c>
      <c r="AF23" s="119">
        <f>IF($AD23&gt;='Supply Porfolio (Live)'!$H$26,VLOOKUP(AF$11,'Supply Porfolio (Live)'!$H$25:$I$29,2),0)</f>
        <v>0</v>
      </c>
      <c r="AG23" s="119">
        <f>IF($AD23&gt;='Supply Porfolio (Live)'!$H$27,VLOOKUP(AG$11,'Supply Porfolio (Live)'!$H$25:$I$29,2),0)</f>
        <v>0</v>
      </c>
      <c r="AH23" s="119">
        <f>IF($AD23&gt;='Supply Porfolio (Live)'!$H$28,VLOOKUP(AH$11,'Supply Porfolio (Live)'!$H$25:$I$29,2),0)</f>
        <v>0</v>
      </c>
      <c r="AI23" s="119">
        <f>IF($AD23&gt;='Supply Porfolio (Live)'!$H$29,VLOOKUP(AI$11,'Supply Porfolio (Live)'!$H$25:$I$29,2),0)</f>
        <v>0</v>
      </c>
      <c r="AJ23" s="205">
        <f t="shared" si="7"/>
        <v>0</v>
      </c>
      <c r="AL23" s="1"/>
      <c r="AN23" s="226">
        <v>25000</v>
      </c>
      <c r="AO23" s="227">
        <v>15525.203094945058</v>
      </c>
      <c r="AP23" s="231">
        <v>22.356292456720883</v>
      </c>
      <c r="AQ23" s="235">
        <f t="shared" si="9"/>
        <v>223562.92456720883</v>
      </c>
      <c r="AR23" s="238">
        <v>0.16386387981292583</v>
      </c>
      <c r="AS23" s="227">
        <v>269.20869086705954</v>
      </c>
      <c r="AT23" s="237">
        <v>1018.9873371068692</v>
      </c>
      <c r="AU23" s="232">
        <v>10</v>
      </c>
      <c r="AV23" s="227">
        <v>10189.873371068692</v>
      </c>
      <c r="AW23" s="227" t="s">
        <v>366</v>
      </c>
      <c r="AX23" s="239">
        <v>26.920869086705956</v>
      </c>
      <c r="AY23" s="233">
        <f t="shared" si="8"/>
        <v>2.9765523171098844</v>
      </c>
      <c r="AZ23" s="230">
        <f t="shared" si="8"/>
        <v>46.508629954841936</v>
      </c>
      <c r="BA23" s="231">
        <f t="shared" si="8"/>
        <v>3.7030838155283501</v>
      </c>
      <c r="BB23" s="234">
        <f t="shared" si="8"/>
        <v>87.872609382473854</v>
      </c>
    </row>
    <row r="24" spans="3:54" ht="15.75" thickBot="1" x14ac:dyDescent="0.3">
      <c r="C24" s="191">
        <f>'9. Indices-Hist'!B21</f>
        <v>43405</v>
      </c>
      <c r="D24" s="183">
        <f>VLOOKUP(C24,'9. Indices-Hist'!$K$5:$N$64,3,FALSE)</f>
        <v>5.670179485912012</v>
      </c>
      <c r="F24" s="182">
        <f>'10. Indices-Forecast'!B15</f>
        <v>2032</v>
      </c>
      <c r="G24" s="183">
        <v>4.0382763519694977</v>
      </c>
      <c r="H24" s="183">
        <v>3.1888240239694983</v>
      </c>
      <c r="I24" s="183">
        <v>6.0718820909694973</v>
      </c>
      <c r="J24" s="183"/>
      <c r="K24" s="203">
        <f t="shared" si="0"/>
        <v>0</v>
      </c>
      <c r="L24" s="203">
        <f t="shared" si="0"/>
        <v>0</v>
      </c>
      <c r="M24" s="203">
        <f t="shared" si="0"/>
        <v>0</v>
      </c>
      <c r="N24" s="203">
        <f t="shared" si="0"/>
        <v>0</v>
      </c>
      <c r="O24" s="203">
        <f t="shared" si="0"/>
        <v>0</v>
      </c>
      <c r="P24" s="183"/>
      <c r="Q24" s="194">
        <f t="shared" si="4"/>
        <v>24.43</v>
      </c>
      <c r="R24" s="173"/>
      <c r="S24" s="204">
        <f t="shared" si="1"/>
        <v>2032</v>
      </c>
      <c r="T24" s="182"/>
      <c r="U24" s="192">
        <f>CHOOSE(HLOOKUP('Supply Porfolio (Live)'!$E$2,$G$11:$I$12,2,FALSE),G24,H24,I24)</f>
        <v>4.0382763519694977</v>
      </c>
      <c r="V24" s="183"/>
      <c r="W24" s="182">
        <f t="shared" si="5"/>
        <v>2032</v>
      </c>
      <c r="X24" s="203">
        <f t="shared" si="6"/>
        <v>0</v>
      </c>
      <c r="Y24" s="203">
        <f t="shared" si="2"/>
        <v>0</v>
      </c>
      <c r="Z24" s="203">
        <f t="shared" si="2"/>
        <v>0</v>
      </c>
      <c r="AA24" s="203">
        <f t="shared" si="2"/>
        <v>0</v>
      </c>
      <c r="AB24" s="203">
        <f t="shared" si="2"/>
        <v>0</v>
      </c>
      <c r="AC24" s="183"/>
      <c r="AD24" s="182">
        <f t="shared" si="3"/>
        <v>2032</v>
      </c>
      <c r="AE24" s="119">
        <f>IF($AD24&gt;='Supply Porfolio (Live)'!$H$25,VLOOKUP(AE$11,'Supply Porfolio (Live)'!$H$25:$I$29,2),0)</f>
        <v>0</v>
      </c>
      <c r="AF24" s="119">
        <f>IF($AD24&gt;='Supply Porfolio (Live)'!$H$26,VLOOKUP(AF$11,'Supply Porfolio (Live)'!$H$25:$I$29,2),0)</f>
        <v>0</v>
      </c>
      <c r="AG24" s="119">
        <f>IF($AD24&gt;='Supply Porfolio (Live)'!$H$27,VLOOKUP(AG$11,'Supply Porfolio (Live)'!$H$25:$I$29,2),0)</f>
        <v>0</v>
      </c>
      <c r="AH24" s="119">
        <f>IF($AD24&gt;='Supply Porfolio (Live)'!$H$28,VLOOKUP(AH$11,'Supply Porfolio (Live)'!$H$25:$I$29,2),0)</f>
        <v>0</v>
      </c>
      <c r="AI24" s="119">
        <f>IF($AD24&gt;='Supply Porfolio (Live)'!$H$29,VLOOKUP(AI$11,'Supply Porfolio (Live)'!$H$25:$I$29,2),0)</f>
        <v>0</v>
      </c>
      <c r="AJ24" s="205">
        <f t="shared" si="7"/>
        <v>0</v>
      </c>
      <c r="AL24" s="1"/>
      <c r="AN24" s="240">
        <v>50000</v>
      </c>
      <c r="AO24" s="241">
        <v>31050.406189890116</v>
      </c>
      <c r="AP24" s="242">
        <v>44.712584913441766</v>
      </c>
      <c r="AQ24" s="243">
        <f t="shared" si="9"/>
        <v>447125.84913441766</v>
      </c>
      <c r="AR24" s="244">
        <v>0.32772775962585166</v>
      </c>
      <c r="AS24" s="241">
        <v>538.41738173411909</v>
      </c>
      <c r="AT24" s="245">
        <v>2037.9746742137384</v>
      </c>
      <c r="AU24" s="246">
        <v>7</v>
      </c>
      <c r="AV24" s="241">
        <v>14265.822719496169</v>
      </c>
      <c r="AW24" s="241" t="s">
        <v>366</v>
      </c>
      <c r="AX24" s="247">
        <v>53.841738173411912</v>
      </c>
      <c r="AY24" s="248">
        <f t="shared" si="8"/>
        <v>5.9531046342197689</v>
      </c>
      <c r="AZ24" s="249">
        <f t="shared" si="8"/>
        <v>55.810355945810329</v>
      </c>
      <c r="BA24" s="242">
        <f t="shared" si="8"/>
        <v>5.6128254863728539</v>
      </c>
      <c r="BB24" s="250">
        <f t="shared" si="8"/>
        <v>122.48889171381697</v>
      </c>
    </row>
    <row r="25" spans="3:54" x14ac:dyDescent="0.25">
      <c r="C25" s="191">
        <f>'9. Indices-Hist'!B22</f>
        <v>43435</v>
      </c>
      <c r="D25" s="183">
        <f>VLOOKUP(C25,'9. Indices-Hist'!$K$5:$N$64,3,FALSE)</f>
        <v>5.6370863681592045</v>
      </c>
      <c r="F25" s="182">
        <f>'10. Indices-Forecast'!B16</f>
        <v>2033</v>
      </c>
      <c r="G25" s="183">
        <v>4.1092071519694979</v>
      </c>
      <c r="H25" s="183">
        <v>3.2689115339694976</v>
      </c>
      <c r="I25" s="183">
        <v>6.2398947569694974</v>
      </c>
      <c r="J25" s="183"/>
      <c r="K25" s="203">
        <f t="shared" si="0"/>
        <v>0</v>
      </c>
      <c r="L25" s="203">
        <f t="shared" si="0"/>
        <v>0</v>
      </c>
      <c r="M25" s="203">
        <f t="shared" si="0"/>
        <v>0</v>
      </c>
      <c r="N25" s="203">
        <f t="shared" si="0"/>
        <v>0</v>
      </c>
      <c r="O25" s="203">
        <f t="shared" si="0"/>
        <v>0</v>
      </c>
      <c r="P25" s="183"/>
      <c r="Q25" s="194">
        <f t="shared" si="4"/>
        <v>24.43</v>
      </c>
      <c r="R25" s="173"/>
      <c r="S25" s="204">
        <f t="shared" si="1"/>
        <v>2033</v>
      </c>
      <c r="T25" s="182"/>
      <c r="U25" s="192">
        <f>CHOOSE(HLOOKUP('Supply Porfolio (Live)'!$E$2,$G$11:$I$12,2,FALSE),G25,H25,I25)</f>
        <v>4.1092071519694979</v>
      </c>
      <c r="V25" s="183"/>
      <c r="W25" s="182">
        <f t="shared" si="5"/>
        <v>2033</v>
      </c>
      <c r="X25" s="203">
        <f t="shared" si="6"/>
        <v>0</v>
      </c>
      <c r="Y25" s="203">
        <f t="shared" si="2"/>
        <v>0</v>
      </c>
      <c r="Z25" s="203">
        <f t="shared" si="2"/>
        <v>0</v>
      </c>
      <c r="AA25" s="203">
        <f t="shared" si="2"/>
        <v>0</v>
      </c>
      <c r="AB25" s="203">
        <f t="shared" si="2"/>
        <v>0</v>
      </c>
      <c r="AC25" s="183"/>
      <c r="AD25" s="182">
        <f t="shared" si="3"/>
        <v>2033</v>
      </c>
      <c r="AE25" s="119">
        <f>IF($AD25&gt;='Supply Porfolio (Live)'!$H$25,VLOOKUP(AE$11,'Supply Porfolio (Live)'!$H$25:$I$29,2),0)</f>
        <v>0</v>
      </c>
      <c r="AF25" s="119">
        <f>IF($AD25&gt;='Supply Porfolio (Live)'!$H$26,VLOOKUP(AF$11,'Supply Porfolio (Live)'!$H$25:$I$29,2),0)</f>
        <v>0</v>
      </c>
      <c r="AG25" s="119">
        <f>IF($AD25&gt;='Supply Porfolio (Live)'!$H$27,VLOOKUP(AG$11,'Supply Porfolio (Live)'!$H$25:$I$29,2),0)</f>
        <v>0</v>
      </c>
      <c r="AH25" s="119">
        <f>IF($AD25&gt;='Supply Porfolio (Live)'!$H$28,VLOOKUP(AH$11,'Supply Porfolio (Live)'!$H$25:$I$29,2),0)</f>
        <v>0</v>
      </c>
      <c r="AI25" s="119">
        <f>IF($AD25&gt;='Supply Porfolio (Live)'!$H$29,VLOOKUP(AI$11,'Supply Porfolio (Live)'!$H$25:$I$29,2),0)</f>
        <v>0</v>
      </c>
      <c r="AJ25" s="205">
        <f t="shared" si="7"/>
        <v>0</v>
      </c>
      <c r="AL25" s="1"/>
    </row>
    <row r="26" spans="3:54" x14ac:dyDescent="0.25">
      <c r="C26" s="191">
        <f>'9. Indices-Hist'!B23</f>
        <v>43466</v>
      </c>
      <c r="D26" s="183">
        <f>VLOOKUP(C26,'9. Indices-Hist'!$K$5:$N$64,3,FALSE)</f>
        <v>4.3808512807634354</v>
      </c>
      <c r="E26" s="176"/>
      <c r="F26" s="182">
        <f>'10. Indices-Forecast'!B17</f>
        <v>2034</v>
      </c>
      <c r="G26" s="183">
        <v>4.1033045479694978</v>
      </c>
      <c r="H26" s="183">
        <v>3.266298293969498</v>
      </c>
      <c r="I26" s="183">
        <v>6.356669252969497</v>
      </c>
      <c r="J26" s="183"/>
      <c r="K26" s="203">
        <f t="shared" si="0"/>
        <v>0</v>
      </c>
      <c r="L26" s="203">
        <f t="shared" si="0"/>
        <v>0</v>
      </c>
      <c r="M26" s="203">
        <f t="shared" si="0"/>
        <v>0</v>
      </c>
      <c r="N26" s="203">
        <f t="shared" si="0"/>
        <v>0</v>
      </c>
      <c r="O26" s="203">
        <f t="shared" si="0"/>
        <v>0</v>
      </c>
      <c r="P26" s="183"/>
      <c r="Q26" s="194">
        <f t="shared" si="4"/>
        <v>24.43</v>
      </c>
      <c r="R26" s="173"/>
      <c r="S26" s="204">
        <f t="shared" si="1"/>
        <v>2034</v>
      </c>
      <c r="T26" s="182"/>
      <c r="U26" s="192">
        <f>CHOOSE(HLOOKUP('Supply Porfolio (Live)'!$E$2,$G$11:$I$12,2,FALSE),G26,H26,I26)</f>
        <v>4.1033045479694978</v>
      </c>
      <c r="V26" s="183"/>
      <c r="W26" s="182">
        <f t="shared" si="5"/>
        <v>2034</v>
      </c>
      <c r="X26" s="203">
        <f t="shared" si="6"/>
        <v>0</v>
      </c>
      <c r="Y26" s="203">
        <f t="shared" si="2"/>
        <v>0</v>
      </c>
      <c r="Z26" s="203">
        <f t="shared" si="2"/>
        <v>0</v>
      </c>
      <c r="AA26" s="203">
        <f t="shared" si="2"/>
        <v>0</v>
      </c>
      <c r="AB26" s="203">
        <f t="shared" si="2"/>
        <v>0</v>
      </c>
      <c r="AC26" s="183"/>
      <c r="AD26" s="182">
        <f t="shared" si="3"/>
        <v>2034</v>
      </c>
      <c r="AE26" s="119">
        <f>IF($AD26&gt;='Supply Porfolio (Live)'!$H$25,VLOOKUP(AE$11,'Supply Porfolio (Live)'!$H$25:$I$29,2),0)</f>
        <v>0</v>
      </c>
      <c r="AF26" s="119">
        <f>IF($AD26&gt;='Supply Porfolio (Live)'!$H$26,VLOOKUP(AF$11,'Supply Porfolio (Live)'!$H$25:$I$29,2),0)</f>
        <v>0</v>
      </c>
      <c r="AG26" s="119">
        <f>IF($AD26&gt;='Supply Porfolio (Live)'!$H$27,VLOOKUP(AG$11,'Supply Porfolio (Live)'!$H$25:$I$29,2),0)</f>
        <v>0</v>
      </c>
      <c r="AH26" s="119">
        <f>IF($AD26&gt;='Supply Porfolio (Live)'!$H$28,VLOOKUP(AH$11,'Supply Porfolio (Live)'!$H$25:$I$29,2),0)</f>
        <v>0</v>
      </c>
      <c r="AI26" s="119">
        <f>IF($AD26&gt;='Supply Porfolio (Live)'!$H$29,VLOOKUP(AI$11,'Supply Porfolio (Live)'!$H$25:$I$29,2),0)</f>
        <v>0</v>
      </c>
      <c r="AJ26" s="205">
        <f t="shared" si="7"/>
        <v>0</v>
      </c>
      <c r="AL26" s="1"/>
    </row>
    <row r="27" spans="3:54" x14ac:dyDescent="0.25">
      <c r="C27" s="191">
        <f>'9. Indices-Hist'!B24</f>
        <v>43497</v>
      </c>
      <c r="D27" s="183">
        <f>VLOOKUP(C27,'9. Indices-Hist'!$K$5:$N$64,3,FALSE)</f>
        <v>3.7873228413654623</v>
      </c>
      <c r="E27" s="176"/>
      <c r="F27" s="182">
        <f>'10. Indices-Forecast'!B18</f>
        <v>2035</v>
      </c>
      <c r="G27" s="183">
        <v>4.1010366289694975</v>
      </c>
      <c r="H27" s="183">
        <v>3.230306097969498</v>
      </c>
      <c r="I27" s="183">
        <v>6.4226068979694979</v>
      </c>
      <c r="J27" s="183"/>
      <c r="K27" s="203">
        <f t="shared" si="0"/>
        <v>0</v>
      </c>
      <c r="L27" s="203">
        <f t="shared" si="0"/>
        <v>0</v>
      </c>
      <c r="M27" s="203">
        <f t="shared" si="0"/>
        <v>0</v>
      </c>
      <c r="N27" s="203">
        <f t="shared" si="0"/>
        <v>0</v>
      </c>
      <c r="O27" s="203">
        <f t="shared" si="0"/>
        <v>0</v>
      </c>
      <c r="P27" s="183"/>
      <c r="Q27" s="194">
        <f t="shared" si="4"/>
        <v>24.43</v>
      </c>
      <c r="R27" s="173"/>
      <c r="S27" s="204">
        <f t="shared" si="1"/>
        <v>2035</v>
      </c>
      <c r="T27" s="182"/>
      <c r="U27" s="192">
        <f>CHOOSE(HLOOKUP('Supply Porfolio (Live)'!$E$2,$G$11:$I$12,2,FALSE),G27,H27,I27)</f>
        <v>4.1010366289694975</v>
      </c>
      <c r="V27" s="183"/>
      <c r="W27" s="182">
        <f t="shared" si="5"/>
        <v>2035</v>
      </c>
      <c r="X27" s="203">
        <f t="shared" si="6"/>
        <v>0</v>
      </c>
      <c r="Y27" s="203">
        <f t="shared" si="2"/>
        <v>0</v>
      </c>
      <c r="Z27" s="203">
        <f t="shared" si="2"/>
        <v>0</v>
      </c>
      <c r="AA27" s="203">
        <f t="shared" si="2"/>
        <v>0</v>
      </c>
      <c r="AB27" s="203">
        <f t="shared" si="2"/>
        <v>0</v>
      </c>
      <c r="AC27" s="183"/>
      <c r="AD27" s="182">
        <f t="shared" si="3"/>
        <v>2035</v>
      </c>
      <c r="AE27" s="119">
        <f>IF($AD27&gt;='Supply Porfolio (Live)'!$H$25,VLOOKUP(AE$11,'Supply Porfolio (Live)'!$H$25:$I$29,2),0)</f>
        <v>0</v>
      </c>
      <c r="AF27" s="119">
        <f>IF($AD27&gt;='Supply Porfolio (Live)'!$H$26,VLOOKUP(AF$11,'Supply Porfolio (Live)'!$H$25:$I$29,2),0)</f>
        <v>0</v>
      </c>
      <c r="AG27" s="119">
        <f>IF($AD27&gt;='Supply Porfolio (Live)'!$H$27,VLOOKUP(AG$11,'Supply Porfolio (Live)'!$H$25:$I$29,2),0)</f>
        <v>0</v>
      </c>
      <c r="AH27" s="119">
        <f>IF($AD27&gt;='Supply Porfolio (Live)'!$H$28,VLOOKUP(AH$11,'Supply Porfolio (Live)'!$H$25:$I$29,2),0)</f>
        <v>0</v>
      </c>
      <c r="AI27" s="119">
        <f>IF($AD27&gt;='Supply Porfolio (Live)'!$H$29,VLOOKUP(AI$11,'Supply Porfolio (Live)'!$H$25:$I$29,2),0)</f>
        <v>0</v>
      </c>
      <c r="AJ27" s="205">
        <f t="shared" si="7"/>
        <v>0</v>
      </c>
      <c r="AL27" s="1"/>
    </row>
    <row r="28" spans="3:54" x14ac:dyDescent="0.25">
      <c r="C28" s="191">
        <f>'9. Indices-Hist'!B25</f>
        <v>43525</v>
      </c>
      <c r="D28" s="183">
        <f>VLOOKUP(C28,'9. Indices-Hist'!$K$5:$N$64,3,FALSE)</f>
        <v>4.1202890936254981</v>
      </c>
      <c r="E28" s="176"/>
      <c r="F28" s="182">
        <f>'10. Indices-Forecast'!B19</f>
        <v>2036</v>
      </c>
      <c r="G28" s="183">
        <v>4.1112904849694978</v>
      </c>
      <c r="H28" s="183">
        <v>3.2153266329694983</v>
      </c>
      <c r="I28" s="183">
        <v>6.6195684559694978</v>
      </c>
      <c r="J28" s="183"/>
      <c r="K28" s="203">
        <f t="shared" si="0"/>
        <v>0</v>
      </c>
      <c r="L28" s="203">
        <f t="shared" si="0"/>
        <v>0</v>
      </c>
      <c r="M28" s="203">
        <f t="shared" si="0"/>
        <v>0</v>
      </c>
      <c r="N28" s="203">
        <f t="shared" si="0"/>
        <v>0</v>
      </c>
      <c r="O28" s="203">
        <f t="shared" si="0"/>
        <v>0</v>
      </c>
      <c r="P28" s="183"/>
      <c r="Q28" s="194">
        <f t="shared" si="4"/>
        <v>24.43</v>
      </c>
      <c r="R28" s="173"/>
      <c r="S28" s="204">
        <f t="shared" si="1"/>
        <v>2036</v>
      </c>
      <c r="T28" s="182"/>
      <c r="U28" s="192">
        <f>CHOOSE(HLOOKUP('Supply Porfolio (Live)'!$E$2,$G$11:$I$12,2,FALSE),G28,H28,I28)</f>
        <v>4.1112904849694978</v>
      </c>
      <c r="V28" s="183"/>
      <c r="W28" s="182">
        <f t="shared" si="5"/>
        <v>2036</v>
      </c>
      <c r="X28" s="203">
        <f t="shared" si="6"/>
        <v>0</v>
      </c>
      <c r="Y28" s="203">
        <f t="shared" si="2"/>
        <v>0</v>
      </c>
      <c r="Z28" s="203">
        <f t="shared" si="2"/>
        <v>0</v>
      </c>
      <c r="AA28" s="203">
        <f t="shared" si="2"/>
        <v>0</v>
      </c>
      <c r="AB28" s="203">
        <f t="shared" si="2"/>
        <v>0</v>
      </c>
      <c r="AC28" s="183"/>
      <c r="AD28" s="182">
        <f t="shared" si="3"/>
        <v>2036</v>
      </c>
      <c r="AE28" s="119">
        <f>IF($AD28&gt;='Supply Porfolio (Live)'!$H$25,VLOOKUP(AE$11,'Supply Porfolio (Live)'!$H$25:$I$29,2),0)</f>
        <v>0</v>
      </c>
      <c r="AF28" s="119">
        <f>IF($AD28&gt;='Supply Porfolio (Live)'!$H$26,VLOOKUP(AF$11,'Supply Porfolio (Live)'!$H$25:$I$29,2),0)</f>
        <v>0</v>
      </c>
      <c r="AG28" s="119">
        <f>IF($AD28&gt;='Supply Porfolio (Live)'!$H$27,VLOOKUP(AG$11,'Supply Porfolio (Live)'!$H$25:$I$29,2),0)</f>
        <v>0</v>
      </c>
      <c r="AH28" s="119">
        <f>IF($AD28&gt;='Supply Porfolio (Live)'!$H$28,VLOOKUP(AH$11,'Supply Porfolio (Live)'!$H$25:$I$29,2),0)</f>
        <v>0</v>
      </c>
      <c r="AI28" s="119">
        <f>IF($AD28&gt;='Supply Porfolio (Live)'!$H$29,VLOOKUP(AI$11,'Supply Porfolio (Live)'!$H$25:$I$29,2),0)</f>
        <v>0</v>
      </c>
      <c r="AJ28" s="205">
        <f t="shared" si="7"/>
        <v>0</v>
      </c>
      <c r="AL28" s="1"/>
    </row>
    <row r="29" spans="3:54" x14ac:dyDescent="0.25">
      <c r="C29" s="191">
        <f>'9. Indices-Hist'!B26</f>
        <v>43556</v>
      </c>
      <c r="D29" s="183">
        <f>VLOOKUP(C29,'9. Indices-Hist'!$K$5:$N$64,3,FALSE)</f>
        <v>3.6774683325086595</v>
      </c>
      <c r="E29" s="176"/>
      <c r="F29" s="182">
        <f>'10. Indices-Forecast'!B20</f>
        <v>2037</v>
      </c>
      <c r="G29" s="183">
        <v>4.1291849569694978</v>
      </c>
      <c r="H29" s="183">
        <v>3.2100503769694981</v>
      </c>
      <c r="I29" s="183">
        <v>6.6765080519694973</v>
      </c>
      <c r="J29" s="183"/>
      <c r="K29" s="203">
        <f t="shared" si="0"/>
        <v>0</v>
      </c>
      <c r="L29" s="203">
        <f t="shared" si="0"/>
        <v>0</v>
      </c>
      <c r="M29" s="203">
        <f t="shared" si="0"/>
        <v>0</v>
      </c>
      <c r="N29" s="203">
        <f t="shared" si="0"/>
        <v>0</v>
      </c>
      <c r="O29" s="203">
        <f t="shared" si="0"/>
        <v>0</v>
      </c>
      <c r="P29" s="183"/>
      <c r="Q29" s="194">
        <f t="shared" si="4"/>
        <v>24.43</v>
      </c>
      <c r="R29" s="173"/>
      <c r="S29" s="204">
        <f t="shared" si="1"/>
        <v>2037</v>
      </c>
      <c r="T29" s="182"/>
      <c r="U29" s="192">
        <f>CHOOSE(HLOOKUP('Supply Porfolio (Live)'!$E$2,$G$11:$I$12,2,FALSE),G29,H29,I29)</f>
        <v>4.1291849569694978</v>
      </c>
      <c r="V29" s="183"/>
      <c r="W29" s="182">
        <f t="shared" si="5"/>
        <v>2037</v>
      </c>
      <c r="X29" s="203">
        <f t="shared" si="6"/>
        <v>0</v>
      </c>
      <c r="Y29" s="203">
        <f t="shared" si="2"/>
        <v>0</v>
      </c>
      <c r="Z29" s="203">
        <f t="shared" si="2"/>
        <v>0</v>
      </c>
      <c r="AA29" s="203">
        <f t="shared" si="2"/>
        <v>0</v>
      </c>
      <c r="AB29" s="203">
        <f t="shared" si="2"/>
        <v>0</v>
      </c>
      <c r="AC29" s="183"/>
      <c r="AD29" s="182">
        <f t="shared" si="3"/>
        <v>2037</v>
      </c>
      <c r="AE29" s="119">
        <f>IF($AD29&gt;='Supply Porfolio (Live)'!$H$25,VLOOKUP(AE$11,'Supply Porfolio (Live)'!$H$25:$I$29,2),0)</f>
        <v>0</v>
      </c>
      <c r="AF29" s="119">
        <f>IF($AD29&gt;='Supply Porfolio (Live)'!$H$26,VLOOKUP(AF$11,'Supply Porfolio (Live)'!$H$25:$I$29,2),0)</f>
        <v>0</v>
      </c>
      <c r="AG29" s="119">
        <f>IF($AD29&gt;='Supply Porfolio (Live)'!$H$27,VLOOKUP(AG$11,'Supply Porfolio (Live)'!$H$25:$I$29,2),0)</f>
        <v>0</v>
      </c>
      <c r="AH29" s="119">
        <f>IF($AD29&gt;='Supply Porfolio (Live)'!$H$28,VLOOKUP(AH$11,'Supply Porfolio (Live)'!$H$25:$I$29,2),0)</f>
        <v>0</v>
      </c>
      <c r="AI29" s="119">
        <f>IF($AD29&gt;='Supply Porfolio (Live)'!$H$29,VLOOKUP(AI$11,'Supply Porfolio (Live)'!$H$25:$I$29,2),0)</f>
        <v>0</v>
      </c>
      <c r="AJ29" s="205">
        <f t="shared" si="7"/>
        <v>0</v>
      </c>
      <c r="AL29" s="1"/>
    </row>
    <row r="30" spans="3:54" ht="15.75" thickBot="1" x14ac:dyDescent="0.3">
      <c r="C30" s="191">
        <f>'9. Indices-Hist'!B27</f>
        <v>43586</v>
      </c>
      <c r="D30" s="183">
        <f>VLOOKUP(C30,'9. Indices-Hist'!$K$5:$N$64,3,FALSE)</f>
        <v>3.6708565195835403</v>
      </c>
      <c r="E30" s="176"/>
      <c r="F30" s="182">
        <f>'10. Indices-Forecast'!B21</f>
        <v>2038</v>
      </c>
      <c r="G30" s="183">
        <v>4.148742776969498</v>
      </c>
      <c r="H30" s="183">
        <v>3.1856985059694978</v>
      </c>
      <c r="I30" s="183">
        <v>6.7490773119694971</v>
      </c>
      <c r="J30" s="183"/>
      <c r="K30" s="203">
        <f t="shared" si="0"/>
        <v>0</v>
      </c>
      <c r="L30" s="203">
        <f t="shared" si="0"/>
        <v>0</v>
      </c>
      <c r="M30" s="203">
        <f t="shared" si="0"/>
        <v>0</v>
      </c>
      <c r="N30" s="203">
        <f t="shared" si="0"/>
        <v>0</v>
      </c>
      <c r="O30" s="203">
        <f t="shared" si="0"/>
        <v>0</v>
      </c>
      <c r="P30" s="183"/>
      <c r="Q30" s="194">
        <f t="shared" si="4"/>
        <v>24.43</v>
      </c>
      <c r="R30" s="173"/>
      <c r="S30" s="204">
        <f t="shared" si="1"/>
        <v>2038</v>
      </c>
      <c r="T30" s="182"/>
      <c r="U30" s="192">
        <f>CHOOSE(HLOOKUP('Supply Porfolio (Live)'!$E$2,$G$11:$I$12,2,FALSE),G30,H30,I30)</f>
        <v>4.148742776969498</v>
      </c>
      <c r="V30" s="183"/>
      <c r="W30" s="182">
        <f t="shared" si="5"/>
        <v>2038</v>
      </c>
      <c r="X30" s="203">
        <f t="shared" si="6"/>
        <v>0</v>
      </c>
      <c r="Y30" s="203">
        <f t="shared" si="6"/>
        <v>0</v>
      </c>
      <c r="Z30" s="203">
        <f t="shared" si="6"/>
        <v>0</v>
      </c>
      <c r="AA30" s="203">
        <f t="shared" si="6"/>
        <v>0</v>
      </c>
      <c r="AB30" s="203">
        <f t="shared" si="6"/>
        <v>0</v>
      </c>
      <c r="AC30" s="183"/>
      <c r="AD30" s="182">
        <f t="shared" si="3"/>
        <v>2038</v>
      </c>
      <c r="AE30" s="119">
        <f>IF($AD30&gt;='Supply Porfolio (Live)'!$H$25,VLOOKUP(AE$11,'Supply Porfolio (Live)'!$H$25:$I$29,2),0)</f>
        <v>0</v>
      </c>
      <c r="AF30" s="119">
        <f>IF($AD30&gt;='Supply Porfolio (Live)'!$H$26,VLOOKUP(AF$11,'Supply Porfolio (Live)'!$H$25:$I$29,2),0)</f>
        <v>0</v>
      </c>
      <c r="AG30" s="119">
        <f>IF($AD30&gt;='Supply Porfolio (Live)'!$H$27,VLOOKUP(AG$11,'Supply Porfolio (Live)'!$H$25:$I$29,2),0)</f>
        <v>0</v>
      </c>
      <c r="AH30" s="119">
        <f>IF($AD30&gt;='Supply Porfolio (Live)'!$H$28,VLOOKUP(AH$11,'Supply Porfolio (Live)'!$H$25:$I$29,2),0)</f>
        <v>0</v>
      </c>
      <c r="AI30" s="119">
        <f>IF($AD30&gt;='Supply Porfolio (Live)'!$H$29,VLOOKUP(AI$11,'Supply Porfolio (Live)'!$H$25:$I$29,2),0)</f>
        <v>0</v>
      </c>
      <c r="AJ30" s="205">
        <f t="shared" si="7"/>
        <v>0</v>
      </c>
      <c r="AL30" s="1"/>
      <c r="AN30" s="1" t="s">
        <v>478</v>
      </c>
    </row>
    <row r="31" spans="3:54" x14ac:dyDescent="0.25">
      <c r="C31" s="191">
        <f>'9. Indices-Hist'!B28</f>
        <v>43617</v>
      </c>
      <c r="D31" s="183">
        <f>VLOOKUP(C31,'9. Indices-Hist'!$K$5:$N$64,3,FALSE)</f>
        <v>3.3604672990514226</v>
      </c>
      <c r="E31" s="176"/>
      <c r="F31" s="182">
        <f>'10. Indices-Forecast'!B22</f>
        <v>2039</v>
      </c>
      <c r="G31" s="183">
        <v>4.1498979949694981</v>
      </c>
      <c r="H31" s="183">
        <v>3.1953674939694983</v>
      </c>
      <c r="I31" s="183">
        <v>6.8739715179694967</v>
      </c>
      <c r="J31" s="183"/>
      <c r="K31" s="203">
        <f t="shared" si="0"/>
        <v>0</v>
      </c>
      <c r="L31" s="203">
        <f t="shared" si="0"/>
        <v>0</v>
      </c>
      <c r="M31" s="203">
        <f t="shared" si="0"/>
        <v>0</v>
      </c>
      <c r="N31" s="203">
        <f t="shared" si="0"/>
        <v>0</v>
      </c>
      <c r="O31" s="203">
        <f t="shared" si="0"/>
        <v>0</v>
      </c>
      <c r="P31" s="183"/>
      <c r="Q31" s="194">
        <f t="shared" si="4"/>
        <v>24.43</v>
      </c>
      <c r="R31" s="173"/>
      <c r="S31" s="204">
        <f t="shared" si="1"/>
        <v>2039</v>
      </c>
      <c r="T31" s="182"/>
      <c r="U31" s="192">
        <f>CHOOSE(HLOOKUP('Supply Porfolio (Live)'!$E$2,$G$11:$I$12,2,FALSE),G31,H31,I31)</f>
        <v>4.1498979949694981</v>
      </c>
      <c r="V31" s="183"/>
      <c r="W31" s="182">
        <f t="shared" si="5"/>
        <v>2039</v>
      </c>
      <c r="X31" s="203">
        <f t="shared" si="6"/>
        <v>0</v>
      </c>
      <c r="Y31" s="203">
        <f t="shared" si="6"/>
        <v>0</v>
      </c>
      <c r="Z31" s="203">
        <f t="shared" si="6"/>
        <v>0</v>
      </c>
      <c r="AA31" s="203">
        <f t="shared" si="6"/>
        <v>0</v>
      </c>
      <c r="AB31" s="203">
        <f t="shared" si="6"/>
        <v>0</v>
      </c>
      <c r="AC31" s="183"/>
      <c r="AD31" s="182">
        <f t="shared" si="3"/>
        <v>2039</v>
      </c>
      <c r="AE31" s="119">
        <f>IF($AD31&gt;='Supply Porfolio (Live)'!$H$25,VLOOKUP(AE$11,'Supply Porfolio (Live)'!$H$25:$I$29,2),0)</f>
        <v>0</v>
      </c>
      <c r="AF31" s="119">
        <f>IF($AD31&gt;='Supply Porfolio (Live)'!$H$26,VLOOKUP(AF$11,'Supply Porfolio (Live)'!$H$25:$I$29,2),0)</f>
        <v>0</v>
      </c>
      <c r="AG31" s="119">
        <f>IF($AD31&gt;='Supply Porfolio (Live)'!$H$27,VLOOKUP(AG$11,'Supply Porfolio (Live)'!$H$25:$I$29,2),0)</f>
        <v>0</v>
      </c>
      <c r="AH31" s="119">
        <f>IF($AD31&gt;='Supply Porfolio (Live)'!$H$28,VLOOKUP(AH$11,'Supply Porfolio (Live)'!$H$25:$I$29,2),0)</f>
        <v>0</v>
      </c>
      <c r="AI31" s="119">
        <f>IF($AD31&gt;='Supply Porfolio (Live)'!$H$29,VLOOKUP(AI$11,'Supply Porfolio (Live)'!$H$25:$I$29,2),0)</f>
        <v>0</v>
      </c>
      <c r="AJ31" s="205">
        <f t="shared" si="7"/>
        <v>0</v>
      </c>
      <c r="AL31" s="1"/>
      <c r="AN31" s="557" t="s">
        <v>457</v>
      </c>
      <c r="AO31" s="558"/>
      <c r="AP31" s="563"/>
      <c r="AQ31" s="251"/>
      <c r="AR31" s="558" t="s">
        <v>459</v>
      </c>
      <c r="AS31" s="558"/>
      <c r="AT31" s="558"/>
      <c r="AU31" s="558" t="s">
        <v>460</v>
      </c>
      <c r="AV31" s="558"/>
      <c r="AW31" s="558"/>
      <c r="AX31" s="558"/>
      <c r="AY31" s="558" t="s">
        <v>461</v>
      </c>
      <c r="AZ31" s="558"/>
      <c r="BA31" s="558"/>
      <c r="BB31" s="252" t="s">
        <v>479</v>
      </c>
    </row>
    <row r="32" spans="3:54" ht="15.75" thickBot="1" x14ac:dyDescent="0.3">
      <c r="C32" s="191">
        <f>'9. Indices-Hist'!B29</f>
        <v>43647</v>
      </c>
      <c r="D32" s="183">
        <f>VLOOKUP(C32,'9. Indices-Hist'!$K$5:$N$64,3,FALSE)</f>
        <v>3.3118476831091184</v>
      </c>
      <c r="E32" s="176"/>
      <c r="F32" s="182">
        <f>'10. Indices-Forecast'!B23</f>
        <v>2040</v>
      </c>
      <c r="G32" s="183">
        <v>4.1867280869694978</v>
      </c>
      <c r="H32" s="183">
        <v>3.1699475129694981</v>
      </c>
      <c r="I32" s="183">
        <v>7.0046687759694981</v>
      </c>
      <c r="J32" s="183"/>
      <c r="K32" s="203">
        <f t="shared" si="0"/>
        <v>0</v>
      </c>
      <c r="L32" s="203">
        <f t="shared" si="0"/>
        <v>0</v>
      </c>
      <c r="M32" s="203">
        <f t="shared" si="0"/>
        <v>0</v>
      </c>
      <c r="N32" s="203">
        <f t="shared" si="0"/>
        <v>0</v>
      </c>
      <c r="O32" s="203">
        <f t="shared" si="0"/>
        <v>0</v>
      </c>
      <c r="P32" s="183"/>
      <c r="Q32" s="194">
        <f t="shared" si="4"/>
        <v>24.43</v>
      </c>
      <c r="R32" s="173"/>
      <c r="S32" s="204">
        <f t="shared" si="1"/>
        <v>2040</v>
      </c>
      <c r="T32" s="182"/>
      <c r="U32" s="192">
        <f>CHOOSE(HLOOKUP('Supply Porfolio (Live)'!$E$2,$G$11:$I$12,2,FALSE),G32,H32,I32)</f>
        <v>4.1867280869694978</v>
      </c>
      <c r="V32" s="183"/>
      <c r="W32" s="182">
        <f t="shared" si="5"/>
        <v>2040</v>
      </c>
      <c r="X32" s="203">
        <f t="shared" si="6"/>
        <v>0</v>
      </c>
      <c r="Y32" s="203">
        <f t="shared" si="6"/>
        <v>0</v>
      </c>
      <c r="Z32" s="203">
        <f t="shared" si="6"/>
        <v>0</v>
      </c>
      <c r="AA32" s="203">
        <f t="shared" si="6"/>
        <v>0</v>
      </c>
      <c r="AB32" s="203">
        <f t="shared" si="6"/>
        <v>0</v>
      </c>
      <c r="AC32" s="183"/>
      <c r="AD32" s="182">
        <f t="shared" si="3"/>
        <v>2040</v>
      </c>
      <c r="AE32" s="119">
        <f>IF($AD32&gt;='Supply Porfolio (Live)'!$H$25,VLOOKUP(AE$11,'Supply Porfolio (Live)'!$H$25:$I$29,2),0)</f>
        <v>0</v>
      </c>
      <c r="AF32" s="119">
        <f>IF($AD32&gt;='Supply Porfolio (Live)'!$H$26,VLOOKUP(AF$11,'Supply Porfolio (Live)'!$H$25:$I$29,2),0)</f>
        <v>0</v>
      </c>
      <c r="AG32" s="119">
        <f>IF($AD32&gt;='Supply Porfolio (Live)'!$H$27,VLOOKUP(AG$11,'Supply Porfolio (Live)'!$H$25:$I$29,2),0)</f>
        <v>0</v>
      </c>
      <c r="AH32" s="119">
        <f>IF($AD32&gt;='Supply Porfolio (Live)'!$H$28,VLOOKUP(AH$11,'Supply Porfolio (Live)'!$H$25:$I$29,2),0)</f>
        <v>0</v>
      </c>
      <c r="AI32" s="119">
        <f>IF($AD32&gt;='Supply Porfolio (Live)'!$H$29,VLOOKUP(AI$11,'Supply Porfolio (Live)'!$H$25:$I$29,2),0)</f>
        <v>0</v>
      </c>
      <c r="AJ32" s="205">
        <f t="shared" si="7"/>
        <v>0</v>
      </c>
      <c r="AL32" s="1"/>
      <c r="AN32" s="212" t="s">
        <v>463</v>
      </c>
      <c r="AO32" s="213" t="s">
        <v>464</v>
      </c>
      <c r="AP32" s="253" t="s">
        <v>465</v>
      </c>
      <c r="AQ32" s="254" t="s">
        <v>466</v>
      </c>
      <c r="AR32" s="254" t="s">
        <v>467</v>
      </c>
      <c r="AS32" s="254" t="s">
        <v>468</v>
      </c>
      <c r="AT32" s="254" t="s">
        <v>469</v>
      </c>
      <c r="AU32" s="254" t="s">
        <v>470</v>
      </c>
      <c r="AV32" s="254" t="s">
        <v>471</v>
      </c>
      <c r="AW32" s="254" t="s">
        <v>472</v>
      </c>
      <c r="AX32" s="254" t="s">
        <v>480</v>
      </c>
      <c r="AY32" s="254" t="s">
        <v>474</v>
      </c>
      <c r="AZ32" s="254" t="s">
        <v>475</v>
      </c>
      <c r="BA32" s="254" t="s">
        <v>476</v>
      </c>
      <c r="BB32" s="255" t="s">
        <v>477</v>
      </c>
    </row>
    <row r="33" spans="3:54" ht="15.75" thickTop="1" x14ac:dyDescent="0.25">
      <c r="C33" s="191">
        <f>'9. Indices-Hist'!B30</f>
        <v>43678</v>
      </c>
      <c r="D33" s="183">
        <f>VLOOKUP(C33,'9. Indices-Hist'!$K$5:$N$64,3,FALSE)</f>
        <v>3.125597289156627</v>
      </c>
      <c r="E33" s="176"/>
      <c r="F33" s="182">
        <f>'10. Indices-Forecast'!B24</f>
        <v>2041</v>
      </c>
      <c r="G33" s="183">
        <v>4.1930071219694973</v>
      </c>
      <c r="H33" s="183">
        <v>3.1296268789694981</v>
      </c>
      <c r="I33" s="183">
        <v>6.9671044879694968</v>
      </c>
      <c r="J33" s="183"/>
      <c r="K33" s="203">
        <f t="shared" si="0"/>
        <v>0</v>
      </c>
      <c r="L33" s="203">
        <f t="shared" si="0"/>
        <v>0</v>
      </c>
      <c r="M33" s="203">
        <f t="shared" si="0"/>
        <v>0</v>
      </c>
      <c r="N33" s="203">
        <f t="shared" si="0"/>
        <v>0</v>
      </c>
      <c r="O33" s="203">
        <f t="shared" si="0"/>
        <v>0</v>
      </c>
      <c r="P33" s="183"/>
      <c r="Q33" s="194">
        <f t="shared" si="4"/>
        <v>24.43</v>
      </c>
      <c r="R33" s="173"/>
      <c r="S33" s="204">
        <f t="shared" si="1"/>
        <v>2041</v>
      </c>
      <c r="T33" s="182"/>
      <c r="U33" s="192">
        <f>CHOOSE(HLOOKUP('Supply Porfolio (Live)'!$E$2,$G$11:$I$12,2,FALSE),G33,H33,I33)</f>
        <v>4.1930071219694973</v>
      </c>
      <c r="V33" s="183"/>
      <c r="W33" s="182">
        <f t="shared" si="5"/>
        <v>2041</v>
      </c>
      <c r="X33" s="203">
        <f t="shared" si="6"/>
        <v>0</v>
      </c>
      <c r="Y33" s="203">
        <f t="shared" si="6"/>
        <v>0</v>
      </c>
      <c r="Z33" s="203">
        <f t="shared" si="6"/>
        <v>0</v>
      </c>
      <c r="AA33" s="203">
        <f t="shared" si="6"/>
        <v>0</v>
      </c>
      <c r="AB33" s="203">
        <f t="shared" si="6"/>
        <v>0</v>
      </c>
      <c r="AC33" s="183"/>
      <c r="AD33" s="182">
        <f t="shared" si="3"/>
        <v>2041</v>
      </c>
      <c r="AE33" s="119">
        <f>IF($AD33&gt;='Supply Porfolio (Live)'!$H$25,VLOOKUP(AE$11,'Supply Porfolio (Live)'!$H$25:$I$29,2),0)</f>
        <v>0</v>
      </c>
      <c r="AF33" s="119">
        <f>IF($AD33&gt;='Supply Porfolio (Live)'!$H$26,VLOOKUP(AF$11,'Supply Porfolio (Live)'!$H$25:$I$29,2),0)</f>
        <v>0</v>
      </c>
      <c r="AG33" s="119">
        <f>IF($AD33&gt;='Supply Porfolio (Live)'!$H$27,VLOOKUP(AG$11,'Supply Porfolio (Live)'!$H$25:$I$29,2),0)</f>
        <v>0</v>
      </c>
      <c r="AH33" s="119">
        <f>IF($AD33&gt;='Supply Porfolio (Live)'!$H$28,VLOOKUP(AH$11,'Supply Porfolio (Live)'!$H$25:$I$29,2),0)</f>
        <v>0</v>
      </c>
      <c r="AI33" s="119">
        <f>IF($AD33&gt;='Supply Porfolio (Live)'!$H$29,VLOOKUP(AI$11,'Supply Porfolio (Live)'!$H$25:$I$29,2),0)</f>
        <v>0</v>
      </c>
      <c r="AJ33" s="205">
        <f t="shared" si="7"/>
        <v>0</v>
      </c>
      <c r="AL33" s="1"/>
      <c r="AN33" s="210">
        <v>10</v>
      </c>
      <c r="AO33" s="216">
        <v>6.2100812379780237</v>
      </c>
      <c r="AP33" s="256">
        <v>8.9425169826883536E-3</v>
      </c>
      <c r="AQ33" s="227">
        <f>AP33*1000/$R$3</f>
        <v>89.425169826883533</v>
      </c>
      <c r="AR33" s="257">
        <v>6.5545551925170318E-5</v>
      </c>
      <c r="AS33" s="258">
        <v>0.10768347634682379</v>
      </c>
      <c r="AT33" s="230">
        <v>0.40759493484274756</v>
      </c>
      <c r="AU33" s="259">
        <v>3</v>
      </c>
      <c r="AV33" s="227">
        <v>1.2227848045282426</v>
      </c>
      <c r="AW33" s="227">
        <v>1</v>
      </c>
      <c r="AX33" s="258">
        <v>1.0768347634682379E-2</v>
      </c>
      <c r="AY33" s="230">
        <v>0.5</v>
      </c>
      <c r="AZ33" s="230">
        <v>0.15056485328380581</v>
      </c>
      <c r="BA33" s="230">
        <v>0.19036539387158788</v>
      </c>
      <c r="BB33" s="231">
        <f t="shared" ref="BB33:BB39" si="10">(AZ33*2+(BA33+AY33)*4)*1.2</f>
        <v>3.6751095384647554</v>
      </c>
    </row>
    <row r="34" spans="3:54" x14ac:dyDescent="0.25">
      <c r="C34" s="191">
        <f>'9. Indices-Hist'!B31</f>
        <v>43709</v>
      </c>
      <c r="D34" s="183">
        <f>VLOOKUP(C34,'9. Indices-Hist'!$K$5:$N$64,3,FALSE)</f>
        <v>3.6188258064516128</v>
      </c>
      <c r="E34" s="176"/>
      <c r="F34" s="182">
        <f>'10. Indices-Forecast'!B25</f>
        <v>2042</v>
      </c>
      <c r="G34" s="183">
        <v>4.1694018909694979</v>
      </c>
      <c r="H34" s="183">
        <v>3.0652592519694979</v>
      </c>
      <c r="I34" s="183">
        <v>6.8963292379694972</v>
      </c>
      <c r="J34" s="183"/>
      <c r="K34" s="203">
        <f t="shared" si="0"/>
        <v>0</v>
      </c>
      <c r="L34" s="203">
        <f t="shared" si="0"/>
        <v>0</v>
      </c>
      <c r="M34" s="203">
        <f t="shared" si="0"/>
        <v>0</v>
      </c>
      <c r="N34" s="203">
        <f t="shared" si="0"/>
        <v>0</v>
      </c>
      <c r="O34" s="203">
        <f t="shared" si="0"/>
        <v>0</v>
      </c>
      <c r="P34" s="183"/>
      <c r="Q34" s="194">
        <f t="shared" si="4"/>
        <v>24.43</v>
      </c>
      <c r="R34" s="173"/>
      <c r="S34" s="204">
        <f t="shared" si="1"/>
        <v>2042</v>
      </c>
      <c r="T34" s="182"/>
      <c r="U34" s="192">
        <f>CHOOSE(HLOOKUP('Supply Porfolio (Live)'!$E$2,$G$11:$I$12,2,FALSE),G34,H34,I34)</f>
        <v>4.1694018909694979</v>
      </c>
      <c r="V34" s="183"/>
      <c r="W34" s="182">
        <f t="shared" si="5"/>
        <v>2042</v>
      </c>
      <c r="X34" s="203">
        <f t="shared" si="6"/>
        <v>0</v>
      </c>
      <c r="Y34" s="203">
        <f t="shared" si="6"/>
        <v>0</v>
      </c>
      <c r="Z34" s="203">
        <f t="shared" si="6"/>
        <v>0</v>
      </c>
      <c r="AA34" s="203">
        <f t="shared" si="6"/>
        <v>0</v>
      </c>
      <c r="AB34" s="203">
        <f t="shared" si="6"/>
        <v>0</v>
      </c>
      <c r="AC34" s="183"/>
      <c r="AD34" s="182">
        <f t="shared" si="3"/>
        <v>2042</v>
      </c>
      <c r="AE34" s="119">
        <f>IF($AD34&gt;='Supply Porfolio (Live)'!$H$25,VLOOKUP(AE$11,'Supply Porfolio (Live)'!$H$25:$I$29,2),0)</f>
        <v>0</v>
      </c>
      <c r="AF34" s="119">
        <f>IF($AD34&gt;='Supply Porfolio (Live)'!$H$26,VLOOKUP(AF$11,'Supply Porfolio (Live)'!$H$25:$I$29,2),0)</f>
        <v>0</v>
      </c>
      <c r="AG34" s="119">
        <f>IF($AD34&gt;='Supply Porfolio (Live)'!$H$27,VLOOKUP(AG$11,'Supply Porfolio (Live)'!$H$25:$I$29,2),0)</f>
        <v>0</v>
      </c>
      <c r="AH34" s="119">
        <f>IF($AD34&gt;='Supply Porfolio (Live)'!$H$28,VLOOKUP(AH$11,'Supply Porfolio (Live)'!$H$25:$I$29,2),0)</f>
        <v>0</v>
      </c>
      <c r="AI34" s="119">
        <f>IF($AD34&gt;='Supply Porfolio (Live)'!$H$29,VLOOKUP(AI$11,'Supply Porfolio (Live)'!$H$25:$I$29,2),0)</f>
        <v>0</v>
      </c>
      <c r="AJ34" s="205">
        <f t="shared" si="7"/>
        <v>0</v>
      </c>
      <c r="AL34" s="1"/>
      <c r="AN34" s="226">
        <v>100</v>
      </c>
      <c r="AO34" s="227">
        <v>62.10081237978023</v>
      </c>
      <c r="AP34" s="260">
        <v>8.9425169826883533E-2</v>
      </c>
      <c r="AQ34" s="227">
        <f t="shared" ref="AQ34:AQ41" si="11">AP34*1000/$R$3</f>
        <v>894.2516982688353</v>
      </c>
      <c r="AR34" s="257">
        <v>6.5545551925170304E-4</v>
      </c>
      <c r="AS34" s="230">
        <v>1.076834763468238</v>
      </c>
      <c r="AT34" s="230">
        <v>4.0759493484274758</v>
      </c>
      <c r="AU34" s="259">
        <v>3</v>
      </c>
      <c r="AV34" s="227">
        <v>12.227848045282428</v>
      </c>
      <c r="AW34" s="227">
        <v>1</v>
      </c>
      <c r="AX34" s="258">
        <v>0.10768347634682379</v>
      </c>
      <c r="AY34" s="230">
        <v>0.5</v>
      </c>
      <c r="AZ34" s="230">
        <v>0.15056485328380581</v>
      </c>
      <c r="BA34" s="230">
        <v>0.19036539387158788</v>
      </c>
      <c r="BB34" s="231">
        <f t="shared" si="10"/>
        <v>3.6751095384647554</v>
      </c>
    </row>
    <row r="35" spans="3:54" x14ac:dyDescent="0.25">
      <c r="C35" s="191">
        <f>'9. Indices-Hist'!B32</f>
        <v>43739</v>
      </c>
      <c r="D35" s="183">
        <f>VLOOKUP(C35,'9. Indices-Hist'!$K$5:$N$64,3,FALSE)</f>
        <v>3.2903800100704936</v>
      </c>
      <c r="E35" s="176"/>
      <c r="F35" s="182">
        <f>'10. Indices-Forecast'!B26</f>
        <v>2043</v>
      </c>
      <c r="G35" s="183">
        <v>4.1730718339694981</v>
      </c>
      <c r="H35" s="183">
        <v>3.041758757969498</v>
      </c>
      <c r="I35" s="183">
        <v>6.8450879569694978</v>
      </c>
      <c r="J35" s="183"/>
      <c r="K35" s="203">
        <f t="shared" si="0"/>
        <v>0</v>
      </c>
      <c r="L35" s="203">
        <f t="shared" si="0"/>
        <v>0</v>
      </c>
      <c r="M35" s="203">
        <f t="shared" si="0"/>
        <v>0</v>
      </c>
      <c r="N35" s="203">
        <f t="shared" si="0"/>
        <v>0</v>
      </c>
      <c r="O35" s="203">
        <f t="shared" si="0"/>
        <v>0</v>
      </c>
      <c r="P35" s="183"/>
      <c r="Q35" s="194">
        <f t="shared" si="4"/>
        <v>24.43</v>
      </c>
      <c r="R35" s="173"/>
      <c r="S35" s="204">
        <f t="shared" si="1"/>
        <v>2043</v>
      </c>
      <c r="T35" s="182"/>
      <c r="U35" s="192">
        <f>CHOOSE(HLOOKUP('Supply Porfolio (Live)'!$E$2,$G$11:$I$12,2,FALSE),G35,H35,I35)</f>
        <v>4.1730718339694981</v>
      </c>
      <c r="V35" s="183"/>
      <c r="W35" s="182">
        <f t="shared" si="5"/>
        <v>2043</v>
      </c>
      <c r="X35" s="203">
        <f t="shared" si="6"/>
        <v>0</v>
      </c>
      <c r="Y35" s="203">
        <f t="shared" si="6"/>
        <v>0</v>
      </c>
      <c r="Z35" s="203">
        <f t="shared" si="6"/>
        <v>0</v>
      </c>
      <c r="AA35" s="203">
        <f t="shared" si="6"/>
        <v>0</v>
      </c>
      <c r="AB35" s="203">
        <f t="shared" si="6"/>
        <v>0</v>
      </c>
      <c r="AC35" s="183"/>
      <c r="AD35" s="182">
        <f t="shared" si="3"/>
        <v>2043</v>
      </c>
      <c r="AE35" s="119">
        <f>IF($AD35&gt;='Supply Porfolio (Live)'!$H$25,VLOOKUP(AE$11,'Supply Porfolio (Live)'!$H$25:$I$29,2),0)</f>
        <v>0</v>
      </c>
      <c r="AF35" s="119">
        <f>IF($AD35&gt;='Supply Porfolio (Live)'!$H$26,VLOOKUP(AF$11,'Supply Porfolio (Live)'!$H$25:$I$29,2),0)</f>
        <v>0</v>
      </c>
      <c r="AG35" s="119">
        <f>IF($AD35&gt;='Supply Porfolio (Live)'!$H$27,VLOOKUP(AG$11,'Supply Porfolio (Live)'!$H$25:$I$29,2),0)</f>
        <v>0</v>
      </c>
      <c r="AH35" s="119">
        <f>IF($AD35&gt;='Supply Porfolio (Live)'!$H$28,VLOOKUP(AH$11,'Supply Porfolio (Live)'!$H$25:$I$29,2),0)</f>
        <v>0</v>
      </c>
      <c r="AI35" s="119">
        <f>IF($AD35&gt;='Supply Porfolio (Live)'!$H$29,VLOOKUP(AI$11,'Supply Porfolio (Live)'!$H$25:$I$29,2),0)</f>
        <v>0</v>
      </c>
      <c r="AJ35" s="205">
        <f t="shared" si="7"/>
        <v>0</v>
      </c>
      <c r="AL35" s="1"/>
      <c r="AN35" s="226">
        <v>500</v>
      </c>
      <c r="AO35" s="227">
        <v>310.50406189890117</v>
      </c>
      <c r="AP35" s="260">
        <v>0.44712584913441766</v>
      </c>
      <c r="AQ35" s="227">
        <f t="shared" si="11"/>
        <v>4471.258491344176</v>
      </c>
      <c r="AR35" s="261">
        <v>3.2772775962585164E-3</v>
      </c>
      <c r="AS35" s="230">
        <v>5.3841738173411917</v>
      </c>
      <c r="AT35" s="227">
        <v>20.379746742137385</v>
      </c>
      <c r="AU35" s="259">
        <v>3</v>
      </c>
      <c r="AV35" s="227">
        <v>61.139240226412156</v>
      </c>
      <c r="AW35" s="227">
        <v>1</v>
      </c>
      <c r="AX35" s="230">
        <v>0.53841738173411913</v>
      </c>
      <c r="AY35" s="230">
        <v>0.5</v>
      </c>
      <c r="AZ35" s="230">
        <v>0.27702450052838601</v>
      </c>
      <c r="BA35" s="230">
        <v>0.19036539387158788</v>
      </c>
      <c r="BB35" s="231">
        <f t="shared" si="10"/>
        <v>3.9786126918517484</v>
      </c>
    </row>
    <row r="36" spans="3:54" x14ac:dyDescent="0.25">
      <c r="C36" s="191">
        <f>'9. Indices-Hist'!B33</f>
        <v>43770</v>
      </c>
      <c r="D36" s="183">
        <f>VLOOKUP(C36,'9. Indices-Hist'!$K$5:$N$64,3,FALSE)</f>
        <v>3.7347555276381907</v>
      </c>
      <c r="E36" s="176"/>
      <c r="F36" s="182">
        <f>'10. Indices-Forecast'!B27</f>
        <v>2044</v>
      </c>
      <c r="G36" s="183">
        <v>4.1085434719694982</v>
      </c>
      <c r="H36" s="183">
        <v>3.021038460969498</v>
      </c>
      <c r="I36" s="183">
        <v>6.988354691969497</v>
      </c>
      <c r="J36" s="183"/>
      <c r="K36" s="203">
        <f t="shared" si="0"/>
        <v>0</v>
      </c>
      <c r="L36" s="203">
        <f t="shared" si="0"/>
        <v>0</v>
      </c>
      <c r="M36" s="203">
        <f t="shared" si="0"/>
        <v>0</v>
      </c>
      <c r="N36" s="203">
        <f t="shared" si="0"/>
        <v>0</v>
      </c>
      <c r="O36" s="203">
        <f t="shared" si="0"/>
        <v>0</v>
      </c>
      <c r="P36" s="183"/>
      <c r="Q36" s="194">
        <f t="shared" si="4"/>
        <v>24.43</v>
      </c>
      <c r="R36" s="173"/>
      <c r="S36" s="204">
        <f t="shared" si="1"/>
        <v>2044</v>
      </c>
      <c r="T36" s="182"/>
      <c r="U36" s="192">
        <f>CHOOSE(HLOOKUP('Supply Porfolio (Live)'!$E$2,$G$11:$I$12,2,FALSE),G36,H36,I36)</f>
        <v>4.1085434719694982</v>
      </c>
      <c r="V36" s="183"/>
      <c r="W36" s="182">
        <f t="shared" si="5"/>
        <v>2044</v>
      </c>
      <c r="X36" s="203">
        <f t="shared" si="6"/>
        <v>0</v>
      </c>
      <c r="Y36" s="203">
        <f t="shared" si="6"/>
        <v>0</v>
      </c>
      <c r="Z36" s="203">
        <f t="shared" si="6"/>
        <v>0</v>
      </c>
      <c r="AA36" s="203">
        <f t="shared" si="6"/>
        <v>0</v>
      </c>
      <c r="AB36" s="203">
        <f t="shared" si="6"/>
        <v>0</v>
      </c>
      <c r="AC36" s="183"/>
      <c r="AD36" s="182">
        <f t="shared" si="3"/>
        <v>2044</v>
      </c>
      <c r="AE36" s="119">
        <f>IF($AD36&gt;='Supply Porfolio (Live)'!$H$25,VLOOKUP(AE$11,'Supply Porfolio (Live)'!$H$25:$I$29,2),0)</f>
        <v>0</v>
      </c>
      <c r="AF36" s="119">
        <f>IF($AD36&gt;='Supply Porfolio (Live)'!$H$26,VLOOKUP(AF$11,'Supply Porfolio (Live)'!$H$25:$I$29,2),0)</f>
        <v>0</v>
      </c>
      <c r="AG36" s="119">
        <f>IF($AD36&gt;='Supply Porfolio (Live)'!$H$27,VLOOKUP(AG$11,'Supply Porfolio (Live)'!$H$25:$I$29,2),0)</f>
        <v>0</v>
      </c>
      <c r="AH36" s="119">
        <f>IF($AD36&gt;='Supply Porfolio (Live)'!$H$28,VLOOKUP(AH$11,'Supply Porfolio (Live)'!$H$25:$I$29,2),0)</f>
        <v>0</v>
      </c>
      <c r="AI36" s="119">
        <f>IF($AD36&gt;='Supply Porfolio (Live)'!$H$29,VLOOKUP(AI$11,'Supply Porfolio (Live)'!$H$25:$I$29,2),0)</f>
        <v>0</v>
      </c>
      <c r="AJ36" s="205">
        <f t="shared" si="7"/>
        <v>0</v>
      </c>
      <c r="AL36" s="1"/>
      <c r="AN36" s="226">
        <v>1000</v>
      </c>
      <c r="AO36" s="227">
        <v>621.00812379780234</v>
      </c>
      <c r="AP36" s="262">
        <v>0.89425169826883533</v>
      </c>
      <c r="AQ36" s="227">
        <f t="shared" si="11"/>
        <v>8942.5169826883521</v>
      </c>
      <c r="AR36" s="261">
        <v>6.5545551925170328E-3</v>
      </c>
      <c r="AS36" s="227">
        <v>10.768347634682383</v>
      </c>
      <c r="AT36" s="227">
        <v>40.75949348427477</v>
      </c>
      <c r="AU36" s="259">
        <v>3</v>
      </c>
      <c r="AV36" s="227">
        <v>122.27848045282431</v>
      </c>
      <c r="AW36" s="227">
        <v>2</v>
      </c>
      <c r="AX36" s="230">
        <v>1.0768347634682383</v>
      </c>
      <c r="AY36" s="230">
        <v>0.5</v>
      </c>
      <c r="AZ36" s="230">
        <v>0.55404900105677202</v>
      </c>
      <c r="BA36" s="230">
        <v>0.28853998118144275</v>
      </c>
      <c r="BB36" s="231">
        <f t="shared" si="10"/>
        <v>5.1147095122071775</v>
      </c>
    </row>
    <row r="37" spans="3:54" x14ac:dyDescent="0.25">
      <c r="C37" s="191">
        <f>'9. Indices-Hist'!B34</f>
        <v>43800</v>
      </c>
      <c r="D37" s="183">
        <f>VLOOKUP(C37,'9. Indices-Hist'!$K$5:$N$64,3,FALSE)</f>
        <v>3.1287385929648246</v>
      </c>
      <c r="E37" s="176"/>
      <c r="F37" s="182">
        <f>'10. Indices-Forecast'!B28</f>
        <v>2045</v>
      </c>
      <c r="G37" s="183">
        <v>4.0767998649694981</v>
      </c>
      <c r="H37" s="183">
        <v>3.0077213069694979</v>
      </c>
      <c r="I37" s="183">
        <v>7.0288982809694973</v>
      </c>
      <c r="J37" s="183"/>
      <c r="K37" s="203">
        <f t="shared" si="0"/>
        <v>0</v>
      </c>
      <c r="L37" s="203">
        <f t="shared" si="0"/>
        <v>0</v>
      </c>
      <c r="M37" s="203">
        <f t="shared" si="0"/>
        <v>0</v>
      </c>
      <c r="N37" s="203">
        <f t="shared" si="0"/>
        <v>0</v>
      </c>
      <c r="O37" s="203">
        <f t="shared" si="0"/>
        <v>0</v>
      </c>
      <c r="P37" s="183"/>
      <c r="Q37" s="194">
        <f t="shared" si="4"/>
        <v>24.43</v>
      </c>
      <c r="R37" s="173"/>
      <c r="S37" s="204">
        <f t="shared" si="1"/>
        <v>2045</v>
      </c>
      <c r="T37" s="182"/>
      <c r="U37" s="192">
        <f>CHOOSE(HLOOKUP('Supply Porfolio (Live)'!$E$2,$G$11:$I$12,2,FALSE),G37,H37,I37)</f>
        <v>4.0767998649694981</v>
      </c>
      <c r="V37" s="183"/>
      <c r="W37" s="182">
        <f t="shared" si="5"/>
        <v>2045</v>
      </c>
      <c r="X37" s="203">
        <f t="shared" si="6"/>
        <v>0</v>
      </c>
      <c r="Y37" s="203">
        <f t="shared" si="6"/>
        <v>0</v>
      </c>
      <c r="Z37" s="203">
        <f t="shared" si="6"/>
        <v>0</v>
      </c>
      <c r="AA37" s="203">
        <f t="shared" si="6"/>
        <v>0</v>
      </c>
      <c r="AB37" s="203">
        <f t="shared" si="6"/>
        <v>0</v>
      </c>
      <c r="AC37" s="183"/>
      <c r="AD37" s="182">
        <f t="shared" si="3"/>
        <v>2045</v>
      </c>
      <c r="AE37" s="119">
        <f>IF($AD37&gt;='Supply Porfolio (Live)'!$H$25,VLOOKUP(AE$11,'Supply Porfolio (Live)'!$H$25:$I$29,2),0)</f>
        <v>0</v>
      </c>
      <c r="AF37" s="119">
        <f>IF($AD37&gt;='Supply Porfolio (Live)'!$H$26,VLOOKUP(AF$11,'Supply Porfolio (Live)'!$H$25:$I$29,2),0)</f>
        <v>0</v>
      </c>
      <c r="AG37" s="119">
        <f>IF($AD37&gt;='Supply Porfolio (Live)'!$H$27,VLOOKUP(AG$11,'Supply Porfolio (Live)'!$H$25:$I$29,2),0)</f>
        <v>0</v>
      </c>
      <c r="AH37" s="119">
        <f>IF($AD37&gt;='Supply Porfolio (Live)'!$H$28,VLOOKUP(AH$11,'Supply Porfolio (Live)'!$H$25:$I$29,2),0)</f>
        <v>0</v>
      </c>
      <c r="AI37" s="119">
        <f>IF($AD37&gt;='Supply Porfolio (Live)'!$H$29,VLOOKUP(AI$11,'Supply Porfolio (Live)'!$H$25:$I$29,2),0)</f>
        <v>0</v>
      </c>
      <c r="AJ37" s="205">
        <f t="shared" si="7"/>
        <v>0</v>
      </c>
      <c r="AL37" s="1"/>
      <c r="AN37" s="226">
        <v>2500</v>
      </c>
      <c r="AO37" s="227">
        <v>1552.5203094945059</v>
      </c>
      <c r="AP37" s="262">
        <v>2.2356292456720888</v>
      </c>
      <c r="AQ37" s="227">
        <f t="shared" si="11"/>
        <v>22356.292456720887</v>
      </c>
      <c r="AR37" s="261">
        <v>1.6386387981292581E-2</v>
      </c>
      <c r="AS37" s="227">
        <v>26.920869086705956</v>
      </c>
      <c r="AT37" s="227">
        <v>101.89873371068691</v>
      </c>
      <c r="AU37" s="259">
        <v>3</v>
      </c>
      <c r="AV37" s="227">
        <v>305.69620113206076</v>
      </c>
      <c r="AW37" s="227">
        <v>3</v>
      </c>
      <c r="AX37" s="230">
        <v>2.6920869086705954</v>
      </c>
      <c r="AY37" s="230">
        <v>0.5</v>
      </c>
      <c r="AZ37" s="230">
        <v>1.1290276361811056</v>
      </c>
      <c r="BA37" s="230">
        <v>0.5</v>
      </c>
      <c r="BB37" s="231">
        <f t="shared" si="10"/>
        <v>7.5096663268346537</v>
      </c>
    </row>
    <row r="38" spans="3:54" x14ac:dyDescent="0.25">
      <c r="C38" s="191">
        <f>'9. Indices-Hist'!B35</f>
        <v>43831</v>
      </c>
      <c r="D38" s="183">
        <f>VLOOKUP(C38,'9. Indices-Hist'!$K$5:$N$64,3,FALSE)</f>
        <v>2.8425849473156046</v>
      </c>
      <c r="E38" s="176"/>
      <c r="F38" s="182">
        <f>'10. Indices-Forecast'!B29</f>
        <v>2046</v>
      </c>
      <c r="G38" s="183">
        <v>4.0649013269694976</v>
      </c>
      <c r="H38" s="183">
        <v>2.9884434769694983</v>
      </c>
      <c r="I38" s="183">
        <v>7.0875447789694972</v>
      </c>
      <c r="J38" s="183"/>
      <c r="K38" s="203">
        <f t="shared" si="0"/>
        <v>0</v>
      </c>
      <c r="L38" s="203">
        <f t="shared" si="0"/>
        <v>0</v>
      </c>
      <c r="M38" s="203">
        <f t="shared" si="0"/>
        <v>0</v>
      </c>
      <c r="N38" s="203">
        <f t="shared" si="0"/>
        <v>0</v>
      </c>
      <c r="O38" s="203">
        <f t="shared" si="0"/>
        <v>0</v>
      </c>
      <c r="P38" s="183"/>
      <c r="Q38" s="194">
        <f t="shared" si="4"/>
        <v>24.43</v>
      </c>
      <c r="R38" s="173"/>
      <c r="S38" s="204">
        <f t="shared" si="1"/>
        <v>2046</v>
      </c>
      <c r="T38" s="182"/>
      <c r="U38" s="192">
        <f>CHOOSE(HLOOKUP('Supply Porfolio (Live)'!$E$2,$G$11:$I$12,2,FALSE),G38,H38,I38)</f>
        <v>4.0649013269694976</v>
      </c>
      <c r="V38" s="183"/>
      <c r="W38" s="182">
        <f t="shared" si="5"/>
        <v>2046</v>
      </c>
      <c r="X38" s="203">
        <f t="shared" si="6"/>
        <v>0</v>
      </c>
      <c r="Y38" s="203">
        <f t="shared" si="6"/>
        <v>0</v>
      </c>
      <c r="Z38" s="203">
        <f t="shared" si="6"/>
        <v>0</v>
      </c>
      <c r="AA38" s="203">
        <f t="shared" si="6"/>
        <v>0</v>
      </c>
      <c r="AB38" s="203">
        <f t="shared" si="6"/>
        <v>0</v>
      </c>
      <c r="AC38" s="183"/>
      <c r="AD38" s="182">
        <f t="shared" si="3"/>
        <v>2046</v>
      </c>
      <c r="AE38" s="119">
        <f>IF($AD38&gt;='Supply Porfolio (Live)'!$H$25,VLOOKUP(AE$11,'Supply Porfolio (Live)'!$H$25:$I$29,2),0)</f>
        <v>0</v>
      </c>
      <c r="AF38" s="119">
        <f>IF($AD38&gt;='Supply Porfolio (Live)'!$H$26,VLOOKUP(AF$11,'Supply Porfolio (Live)'!$H$25:$I$29,2),0)</f>
        <v>0</v>
      </c>
      <c r="AG38" s="119">
        <f>IF($AD38&gt;='Supply Porfolio (Live)'!$H$27,VLOOKUP(AG$11,'Supply Porfolio (Live)'!$H$25:$I$29,2),0)</f>
        <v>0</v>
      </c>
      <c r="AH38" s="119">
        <f>IF($AD38&gt;='Supply Porfolio (Live)'!$H$28,VLOOKUP(AH$11,'Supply Porfolio (Live)'!$H$25:$I$29,2),0)</f>
        <v>0</v>
      </c>
      <c r="AI38" s="119">
        <f>IF($AD38&gt;='Supply Porfolio (Live)'!$H$29,VLOOKUP(AI$11,'Supply Porfolio (Live)'!$H$25:$I$29,2),0)</f>
        <v>0</v>
      </c>
      <c r="AJ38" s="205">
        <f t="shared" si="7"/>
        <v>0</v>
      </c>
      <c r="AL38" s="1"/>
      <c r="AN38" s="226">
        <v>5000</v>
      </c>
      <c r="AO38" s="227">
        <v>3105.0406189890118</v>
      </c>
      <c r="AP38" s="262">
        <v>4.4712584913441775</v>
      </c>
      <c r="AQ38" s="227">
        <f t="shared" si="11"/>
        <v>44712.584913441773</v>
      </c>
      <c r="AR38" s="261">
        <v>3.2772775962585161E-2</v>
      </c>
      <c r="AS38" s="227">
        <v>53.841738173411912</v>
      </c>
      <c r="AT38" s="227">
        <v>203.79746742137382</v>
      </c>
      <c r="AU38" s="259">
        <v>3</v>
      </c>
      <c r="AV38" s="227">
        <v>611.39240226412153</v>
      </c>
      <c r="AW38" s="227">
        <v>2</v>
      </c>
      <c r="AX38" s="230">
        <v>5.3841738173411908</v>
      </c>
      <c r="AY38" s="230">
        <v>0.5</v>
      </c>
      <c r="AZ38" s="230">
        <v>1.9</v>
      </c>
      <c r="BA38" s="230">
        <v>0.75785828325519899</v>
      </c>
      <c r="BB38" s="231">
        <f t="shared" si="10"/>
        <v>10.597719759624953</v>
      </c>
    </row>
    <row r="39" spans="3:54" x14ac:dyDescent="0.25">
      <c r="C39" s="191">
        <f>'9. Indices-Hist'!B36</f>
        <v>43862</v>
      </c>
      <c r="D39" s="183">
        <f>VLOOKUP(C39,'9. Indices-Hist'!$K$5:$N$64,3,FALSE)</f>
        <v>2.7233182003050329</v>
      </c>
      <c r="E39" s="176"/>
      <c r="F39" s="182">
        <f>'10. Indices-Forecast'!B30</f>
        <v>2047</v>
      </c>
      <c r="G39" s="183">
        <v>4.0584677789694981</v>
      </c>
      <c r="H39" s="183">
        <v>2.9464740129694977</v>
      </c>
      <c r="I39" s="183">
        <v>7.1288277489694973</v>
      </c>
      <c r="J39" s="183"/>
      <c r="K39" s="203">
        <f t="shared" si="0"/>
        <v>0</v>
      </c>
      <c r="L39" s="203">
        <f t="shared" si="0"/>
        <v>0</v>
      </c>
      <c r="M39" s="203">
        <f t="shared" si="0"/>
        <v>0</v>
      </c>
      <c r="N39" s="203">
        <f t="shared" si="0"/>
        <v>0</v>
      </c>
      <c r="O39" s="203">
        <f t="shared" si="0"/>
        <v>0</v>
      </c>
      <c r="P39" s="183"/>
      <c r="Q39" s="194">
        <f t="shared" si="4"/>
        <v>24.43</v>
      </c>
      <c r="R39" s="173"/>
      <c r="S39" s="204">
        <f t="shared" si="1"/>
        <v>2047</v>
      </c>
      <c r="T39" s="182"/>
      <c r="U39" s="192">
        <f>CHOOSE(HLOOKUP('Supply Porfolio (Live)'!$E$2,$G$11:$I$12,2,FALSE),G39,H39,I39)</f>
        <v>4.0584677789694981</v>
      </c>
      <c r="V39" s="183"/>
      <c r="W39" s="182">
        <f t="shared" si="5"/>
        <v>2047</v>
      </c>
      <c r="X39" s="203">
        <f t="shared" si="6"/>
        <v>0</v>
      </c>
      <c r="Y39" s="203">
        <f t="shared" si="6"/>
        <v>0</v>
      </c>
      <c r="Z39" s="203">
        <f t="shared" si="6"/>
        <v>0</v>
      </c>
      <c r="AA39" s="203">
        <f t="shared" si="6"/>
        <v>0</v>
      </c>
      <c r="AB39" s="203">
        <f t="shared" si="6"/>
        <v>0</v>
      </c>
      <c r="AC39" s="183"/>
      <c r="AD39" s="182">
        <f t="shared" si="3"/>
        <v>2047</v>
      </c>
      <c r="AE39" s="119">
        <f>IF($AD39&gt;='Supply Porfolio (Live)'!$H$25,VLOOKUP(AE$11,'Supply Porfolio (Live)'!$H$25:$I$29,2),0)</f>
        <v>0</v>
      </c>
      <c r="AF39" s="119">
        <f>IF($AD39&gt;='Supply Porfolio (Live)'!$H$26,VLOOKUP(AF$11,'Supply Porfolio (Live)'!$H$25:$I$29,2),0)</f>
        <v>0</v>
      </c>
      <c r="AG39" s="119">
        <f>IF($AD39&gt;='Supply Porfolio (Live)'!$H$27,VLOOKUP(AG$11,'Supply Porfolio (Live)'!$H$25:$I$29,2),0)</f>
        <v>0</v>
      </c>
      <c r="AH39" s="119">
        <f>IF($AD39&gt;='Supply Porfolio (Live)'!$H$28,VLOOKUP(AH$11,'Supply Porfolio (Live)'!$H$25:$I$29,2),0)</f>
        <v>0</v>
      </c>
      <c r="AI39" s="119">
        <f>IF($AD39&gt;='Supply Porfolio (Live)'!$H$29,VLOOKUP(AI$11,'Supply Porfolio (Live)'!$H$25:$I$29,2),0)</f>
        <v>0</v>
      </c>
      <c r="AJ39" s="205">
        <f t="shared" si="7"/>
        <v>0</v>
      </c>
      <c r="AL39" s="1"/>
      <c r="AN39" s="226">
        <v>10000</v>
      </c>
      <c r="AO39" s="227">
        <v>6210.0812379780236</v>
      </c>
      <c r="AP39" s="262">
        <v>8.942516982688355</v>
      </c>
      <c r="AQ39" s="227">
        <f t="shared" si="11"/>
        <v>89425.169826883546</v>
      </c>
      <c r="AR39" s="258">
        <v>6.5545551925170323E-2</v>
      </c>
      <c r="AS39" s="227">
        <v>107.68347634682382</v>
      </c>
      <c r="AT39" s="227">
        <v>407.59493484274765</v>
      </c>
      <c r="AU39" s="259">
        <v>3</v>
      </c>
      <c r="AV39" s="227">
        <v>1222.7848045282431</v>
      </c>
      <c r="AW39" s="227">
        <v>4</v>
      </c>
      <c r="AX39" s="230">
        <v>10.768347634682382</v>
      </c>
      <c r="AY39" s="230">
        <v>0.8</v>
      </c>
      <c r="AZ39" s="230">
        <v>3.8</v>
      </c>
      <c r="BA39" s="230">
        <v>1.1486983549970349</v>
      </c>
      <c r="BB39" s="231">
        <f t="shared" si="10"/>
        <v>18.473752103985767</v>
      </c>
    </row>
    <row r="40" spans="3:54" x14ac:dyDescent="0.25">
      <c r="C40" s="191">
        <f>'9. Indices-Hist'!B37</f>
        <v>43891</v>
      </c>
      <c r="D40" s="183">
        <f>VLOOKUP(C40,'9. Indices-Hist'!$K$5:$N$64,3,FALSE)</f>
        <v>2.5998011910926979</v>
      </c>
      <c r="E40" s="176"/>
      <c r="F40" s="182">
        <f>'10. Indices-Forecast'!B31</f>
        <v>2048</v>
      </c>
      <c r="G40" s="183">
        <v>4.0836139919694983</v>
      </c>
      <c r="H40" s="183">
        <v>2.9517834529694982</v>
      </c>
      <c r="I40" s="183">
        <v>7.1694511869694972</v>
      </c>
      <c r="J40" s="183"/>
      <c r="K40" s="203">
        <f t="shared" si="0"/>
        <v>0</v>
      </c>
      <c r="L40" s="203">
        <f t="shared" si="0"/>
        <v>0</v>
      </c>
      <c r="M40" s="203">
        <f t="shared" si="0"/>
        <v>0</v>
      </c>
      <c r="N40" s="203">
        <f t="shared" si="0"/>
        <v>0</v>
      </c>
      <c r="O40" s="203">
        <f t="shared" si="0"/>
        <v>0</v>
      </c>
      <c r="P40" s="183"/>
      <c r="Q40" s="194">
        <f t="shared" si="4"/>
        <v>24.43</v>
      </c>
      <c r="R40" s="173"/>
      <c r="S40" s="204">
        <f t="shared" si="1"/>
        <v>2048</v>
      </c>
      <c r="T40" s="182"/>
      <c r="U40" s="192">
        <f>CHOOSE(HLOOKUP('Supply Porfolio (Live)'!$E$2,$G$11:$I$12,2,FALSE),G40,H40,I40)</f>
        <v>4.0836139919694983</v>
      </c>
      <c r="V40" s="183"/>
      <c r="W40" s="182">
        <f t="shared" si="5"/>
        <v>2048</v>
      </c>
      <c r="X40" s="203">
        <f t="shared" si="6"/>
        <v>0</v>
      </c>
      <c r="Y40" s="203">
        <f t="shared" si="6"/>
        <v>0</v>
      </c>
      <c r="Z40" s="203">
        <f t="shared" si="6"/>
        <v>0</v>
      </c>
      <c r="AA40" s="203">
        <f t="shared" si="6"/>
        <v>0</v>
      </c>
      <c r="AB40" s="203">
        <f t="shared" si="6"/>
        <v>0</v>
      </c>
      <c r="AC40" s="183"/>
      <c r="AD40" s="182">
        <f t="shared" si="3"/>
        <v>2048</v>
      </c>
      <c r="AE40" s="119">
        <f>IF($AD40&gt;='Supply Porfolio (Live)'!$H$25,VLOOKUP(AE$11,'Supply Porfolio (Live)'!$H$25:$I$29,2),0)</f>
        <v>0</v>
      </c>
      <c r="AF40" s="119">
        <f>IF($AD40&gt;='Supply Porfolio (Live)'!$H$26,VLOOKUP(AF$11,'Supply Porfolio (Live)'!$H$25:$I$29,2),0)</f>
        <v>0</v>
      </c>
      <c r="AG40" s="119">
        <f>IF($AD40&gt;='Supply Porfolio (Live)'!$H$27,VLOOKUP(AG$11,'Supply Porfolio (Live)'!$H$25:$I$29,2),0)</f>
        <v>0</v>
      </c>
      <c r="AH40" s="119">
        <f>IF($AD40&gt;='Supply Porfolio (Live)'!$H$28,VLOOKUP(AH$11,'Supply Porfolio (Live)'!$H$25:$I$29,2),0)</f>
        <v>0</v>
      </c>
      <c r="AI40" s="119">
        <f>IF($AD40&gt;='Supply Porfolio (Live)'!$H$29,VLOOKUP(AI$11,'Supply Porfolio (Live)'!$H$25:$I$29,2),0)</f>
        <v>0</v>
      </c>
      <c r="AJ40" s="205">
        <f t="shared" si="7"/>
        <v>0</v>
      </c>
      <c r="AL40" s="1"/>
      <c r="AN40" s="226">
        <v>25000</v>
      </c>
      <c r="AO40" s="227">
        <v>15525.203094945058</v>
      </c>
      <c r="AP40" s="262">
        <v>22.356292456720883</v>
      </c>
      <c r="AQ40" s="227">
        <f t="shared" si="11"/>
        <v>223562.92456720883</v>
      </c>
      <c r="AR40" s="258">
        <v>0.16386387981292583</v>
      </c>
      <c r="AS40" s="227">
        <v>269.20869086705954</v>
      </c>
      <c r="AT40" s="227">
        <v>1018.9873371068692</v>
      </c>
      <c r="AU40" s="259">
        <v>10</v>
      </c>
      <c r="AV40" s="227">
        <v>10189.873371068692</v>
      </c>
      <c r="AW40" s="227" t="s">
        <v>366</v>
      </c>
      <c r="AX40" s="263">
        <v>26.920869086705956</v>
      </c>
      <c r="AY40" s="230">
        <v>1.6</v>
      </c>
      <c r="AZ40" s="230">
        <v>25</v>
      </c>
      <c r="BA40" s="230">
        <v>1.9905358527674861</v>
      </c>
      <c r="BB40" s="231">
        <f>(AZ40+(BA40+AY40)*4)*1.2</f>
        <v>47.23457209328393</v>
      </c>
    </row>
    <row r="41" spans="3:54" ht="15.75" thickBot="1" x14ac:dyDescent="0.3">
      <c r="C41" s="191">
        <f>'9. Indices-Hist'!B38</f>
        <v>43922</v>
      </c>
      <c r="D41" s="183">
        <f>VLOOKUP(C41,'9. Indices-Hist'!$K$5:$N$64,3,FALSE)</f>
        <v>2.630720539083558</v>
      </c>
      <c r="E41" s="176"/>
      <c r="F41" s="182">
        <f>'10. Indices-Forecast'!B32</f>
        <v>2049</v>
      </c>
      <c r="G41" s="183">
        <v>4.0592258259694978</v>
      </c>
      <c r="H41" s="183">
        <v>2.954379063969498</v>
      </c>
      <c r="I41" s="183">
        <v>7.2498705369694978</v>
      </c>
      <c r="J41" s="183"/>
      <c r="K41" s="203">
        <f t="shared" si="0"/>
        <v>0</v>
      </c>
      <c r="L41" s="203">
        <f t="shared" si="0"/>
        <v>0</v>
      </c>
      <c r="M41" s="203">
        <f t="shared" si="0"/>
        <v>0</v>
      </c>
      <c r="N41" s="203">
        <f t="shared" si="0"/>
        <v>0</v>
      </c>
      <c r="O41" s="203">
        <f t="shared" si="0"/>
        <v>0</v>
      </c>
      <c r="P41" s="183"/>
      <c r="Q41" s="194">
        <f t="shared" si="4"/>
        <v>24.43</v>
      </c>
      <c r="R41" s="173"/>
      <c r="S41" s="204">
        <f t="shared" si="1"/>
        <v>2049</v>
      </c>
      <c r="T41" s="182"/>
      <c r="U41" s="192">
        <f>CHOOSE(HLOOKUP('Supply Porfolio (Live)'!$E$2,$G$11:$I$12,2,FALSE),G41,H41,I41)</f>
        <v>4.0592258259694978</v>
      </c>
      <c r="V41" s="183"/>
      <c r="W41" s="182">
        <f t="shared" si="5"/>
        <v>2049</v>
      </c>
      <c r="X41" s="203">
        <f t="shared" si="6"/>
        <v>0</v>
      </c>
      <c r="Y41" s="203">
        <f t="shared" si="6"/>
        <v>0</v>
      </c>
      <c r="Z41" s="203">
        <f t="shared" si="6"/>
        <v>0</v>
      </c>
      <c r="AA41" s="203">
        <f t="shared" si="6"/>
        <v>0</v>
      </c>
      <c r="AB41" s="203">
        <f t="shared" si="6"/>
        <v>0</v>
      </c>
      <c r="AC41" s="183"/>
      <c r="AD41" s="182">
        <f t="shared" si="3"/>
        <v>2049</v>
      </c>
      <c r="AE41" s="119">
        <f>IF($AD41&gt;='Supply Porfolio (Live)'!$H$25,VLOOKUP(AE$11,'Supply Porfolio (Live)'!$H$25:$I$29,2),0)</f>
        <v>0</v>
      </c>
      <c r="AF41" s="119">
        <f>IF($AD41&gt;='Supply Porfolio (Live)'!$H$26,VLOOKUP(AF$11,'Supply Porfolio (Live)'!$H$25:$I$29,2),0)</f>
        <v>0</v>
      </c>
      <c r="AG41" s="119">
        <f>IF($AD41&gt;='Supply Porfolio (Live)'!$H$27,VLOOKUP(AG$11,'Supply Porfolio (Live)'!$H$25:$I$29,2),0)</f>
        <v>0</v>
      </c>
      <c r="AH41" s="119">
        <f>IF($AD41&gt;='Supply Porfolio (Live)'!$H$28,VLOOKUP(AH$11,'Supply Porfolio (Live)'!$H$25:$I$29,2),0)</f>
        <v>0</v>
      </c>
      <c r="AI41" s="119">
        <f>IF($AD41&gt;='Supply Porfolio (Live)'!$H$29,VLOOKUP(AI$11,'Supply Porfolio (Live)'!$H$25:$I$29,2),0)</f>
        <v>0</v>
      </c>
      <c r="AJ41" s="205">
        <f t="shared" si="7"/>
        <v>0</v>
      </c>
      <c r="AL41" s="1"/>
      <c r="AN41" s="240">
        <v>50000</v>
      </c>
      <c r="AO41" s="241">
        <v>31050.406189890116</v>
      </c>
      <c r="AP41" s="264">
        <v>44.712584913441766</v>
      </c>
      <c r="AQ41" s="241">
        <f t="shared" si="11"/>
        <v>447125.84913441766</v>
      </c>
      <c r="AR41" s="265">
        <v>0.32772775962585166</v>
      </c>
      <c r="AS41" s="241">
        <v>538.41738173411909</v>
      </c>
      <c r="AT41" s="241">
        <v>2037.9746742137384</v>
      </c>
      <c r="AU41" s="266">
        <v>7</v>
      </c>
      <c r="AV41" s="241">
        <v>14265.822719496169</v>
      </c>
      <c r="AW41" s="241" t="s">
        <v>366</v>
      </c>
      <c r="AX41" s="267">
        <v>53.841738173411912</v>
      </c>
      <c r="AY41" s="249">
        <v>3.2</v>
      </c>
      <c r="AZ41" s="249">
        <v>30</v>
      </c>
      <c r="BA41" s="249">
        <v>3.017088168272581</v>
      </c>
      <c r="BB41" s="242">
        <f>(AZ41+(BA41+AY41)*4)*1.2</f>
        <v>65.842023207708394</v>
      </c>
    </row>
    <row r="42" spans="3:54" x14ac:dyDescent="0.25">
      <c r="C42" s="191">
        <f>'9. Indices-Hist'!B39</f>
        <v>43952</v>
      </c>
      <c r="D42" s="183">
        <f>VLOOKUP(C42,'9. Indices-Hist'!$K$5:$N$64,3,FALSE)</f>
        <v>2.6023502120890774</v>
      </c>
      <c r="E42" s="176"/>
      <c r="F42" s="182">
        <f>'10. Indices-Forecast'!B33</f>
        <v>2050</v>
      </c>
      <c r="G42" s="183">
        <v>4.0517272789694978</v>
      </c>
      <c r="H42" s="183">
        <v>2.962958164969498</v>
      </c>
      <c r="I42" s="183">
        <v>7.3179164029694972</v>
      </c>
      <c r="J42" s="183"/>
      <c r="K42" s="203">
        <f t="shared" si="0"/>
        <v>0</v>
      </c>
      <c r="L42" s="203">
        <f t="shared" si="0"/>
        <v>0</v>
      </c>
      <c r="M42" s="203">
        <f t="shared" si="0"/>
        <v>0</v>
      </c>
      <c r="N42" s="203">
        <f t="shared" si="0"/>
        <v>0</v>
      </c>
      <c r="O42" s="203">
        <f t="shared" si="0"/>
        <v>0</v>
      </c>
      <c r="P42" s="183"/>
      <c r="Q42" s="194">
        <f t="shared" si="4"/>
        <v>24.43</v>
      </c>
      <c r="R42" s="173"/>
      <c r="S42" s="204">
        <f t="shared" si="1"/>
        <v>2050</v>
      </c>
      <c r="T42" s="182"/>
      <c r="U42" s="192">
        <f>CHOOSE(HLOOKUP('Supply Porfolio (Live)'!$E$2,$G$11:$I$12,2,FALSE),G42,H42,I42)</f>
        <v>4.0517272789694978</v>
      </c>
      <c r="V42" s="183"/>
      <c r="W42" s="182">
        <f t="shared" si="5"/>
        <v>2050</v>
      </c>
      <c r="X42" s="203">
        <f t="shared" si="6"/>
        <v>0</v>
      </c>
      <c r="Y42" s="203">
        <f t="shared" si="6"/>
        <v>0</v>
      </c>
      <c r="Z42" s="203">
        <f t="shared" si="6"/>
        <v>0</v>
      </c>
      <c r="AA42" s="203">
        <f t="shared" si="6"/>
        <v>0</v>
      </c>
      <c r="AB42" s="203">
        <f t="shared" si="6"/>
        <v>0</v>
      </c>
      <c r="AC42" s="183"/>
      <c r="AD42" s="182">
        <f t="shared" si="3"/>
        <v>2050</v>
      </c>
      <c r="AE42" s="119">
        <f>IF($AD42&gt;='Supply Porfolio (Live)'!$H$25,VLOOKUP(AE$11,'Supply Porfolio (Live)'!$H$25:$I$29,2),0)</f>
        <v>0</v>
      </c>
      <c r="AF42" s="119">
        <f>IF($AD42&gt;='Supply Porfolio (Live)'!$H$26,VLOOKUP(AF$11,'Supply Porfolio (Live)'!$H$25:$I$29,2),0)</f>
        <v>0</v>
      </c>
      <c r="AG42" s="119">
        <f>IF($AD42&gt;='Supply Porfolio (Live)'!$H$27,VLOOKUP(AG$11,'Supply Porfolio (Live)'!$H$25:$I$29,2),0)</f>
        <v>0</v>
      </c>
      <c r="AH42" s="119">
        <f>IF($AD42&gt;='Supply Porfolio (Live)'!$H$28,VLOOKUP(AH$11,'Supply Porfolio (Live)'!$H$25:$I$29,2),0)</f>
        <v>0</v>
      </c>
      <c r="AI42" s="119">
        <f>IF($AD42&gt;='Supply Porfolio (Live)'!$H$29,VLOOKUP(AI$11,'Supply Porfolio (Live)'!$H$25:$I$29,2),0)</f>
        <v>0</v>
      </c>
      <c r="AJ42" s="205">
        <f t="shared" si="7"/>
        <v>0</v>
      </c>
      <c r="AL42" s="1"/>
    </row>
    <row r="43" spans="3:54" x14ac:dyDescent="0.25">
      <c r="C43" s="191">
        <f>'9. Indices-Hist'!B40</f>
        <v>43983</v>
      </c>
      <c r="D43" s="183">
        <f>VLOOKUP(C43,'9. Indices-Hist'!$K$5:$N$64,3,FALSE)</f>
        <v>2.3909423117154813</v>
      </c>
      <c r="F43" s="182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U43" s="1"/>
      <c r="V43" s="1"/>
      <c r="W43" s="114" t="s">
        <v>366</v>
      </c>
      <c r="X43" s="200">
        <f t="shared" si="6"/>
        <v>0</v>
      </c>
      <c r="Y43" s="200">
        <f t="shared" si="6"/>
        <v>0</v>
      </c>
      <c r="Z43" s="200">
        <f t="shared" si="6"/>
        <v>0</v>
      </c>
      <c r="AA43" s="200">
        <f t="shared" si="6"/>
        <v>0</v>
      </c>
      <c r="AB43" s="200">
        <f t="shared" si="6"/>
        <v>0</v>
      </c>
      <c r="AC43" s="1"/>
      <c r="AD43" s="114" t="s">
        <v>366</v>
      </c>
      <c r="AE43" s="200">
        <f>IF(R43=0,0,R43+($Q43+$U43)*$R$3)</f>
        <v>0</v>
      </c>
      <c r="AF43" s="200">
        <f>IF(S43=0,0,S43+($Q43+$U43)*$R$3)</f>
        <v>0</v>
      </c>
      <c r="AG43" s="200">
        <f>IF(T43=0,0,T43+($Q43+$U43)*$R$3)</f>
        <v>0</v>
      </c>
      <c r="AH43" s="200">
        <f>IF(U43=0,0,U43+($Q43+$U43)*$R$3)</f>
        <v>0</v>
      </c>
      <c r="AI43" s="200">
        <f>IF(V43=0,0,V43+($Q43+$U43)*$R$3)</f>
        <v>0</v>
      </c>
      <c r="AL43" s="1"/>
    </row>
    <row r="44" spans="3:54" x14ac:dyDescent="0.25">
      <c r="C44" s="191">
        <f>'9. Indices-Hist'!B41</f>
        <v>44013</v>
      </c>
      <c r="D44" s="183">
        <f>VLOOKUP(C44,'9. Indices-Hist'!$K$5:$N$64,3,FALSE)</f>
        <v>2.5720851295336788</v>
      </c>
      <c r="F44" s="182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"/>
      <c r="V44" s="1"/>
      <c r="W44" s="1"/>
      <c r="X44" s="1"/>
      <c r="Y44" s="1"/>
      <c r="Z44" s="1"/>
      <c r="AA44" s="1"/>
      <c r="AB44" s="1"/>
      <c r="AC44" s="1"/>
      <c r="AJ44" s="51"/>
      <c r="AL44" s="1"/>
    </row>
    <row r="45" spans="3:54" x14ac:dyDescent="0.25">
      <c r="C45" s="191">
        <f>'9. Indices-Hist'!B42</f>
        <v>44044</v>
      </c>
      <c r="D45" s="183">
        <f>VLOOKUP(C45,'9. Indices-Hist'!$K$5:$N$64,3,FALSE)</f>
        <v>3.3198955223880593</v>
      </c>
      <c r="F45" s="182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"/>
      <c r="V45" s="1"/>
      <c r="W45" s="1"/>
      <c r="X45" s="1"/>
      <c r="Y45" s="1"/>
      <c r="Z45" s="1"/>
      <c r="AA45" s="1"/>
      <c r="AB45" s="1"/>
      <c r="AC45" s="1"/>
      <c r="AK45" s="51"/>
      <c r="AL45" s="1"/>
      <c r="AN45" s="553" t="s">
        <v>481</v>
      </c>
      <c r="AO45" s="553"/>
      <c r="AP45" s="553"/>
      <c r="AQ45" s="553"/>
      <c r="AR45" s="553"/>
      <c r="AS45" s="553"/>
      <c r="AT45" s="553"/>
      <c r="AU45" s="553"/>
      <c r="AV45" s="553"/>
      <c r="AW45" s="553"/>
      <c r="AX45" s="553"/>
      <c r="AY45" s="553"/>
      <c r="AZ45" s="553"/>
      <c r="BA45" s="553"/>
      <c r="BB45" s="553"/>
    </row>
    <row r="46" spans="3:54" x14ac:dyDescent="0.25">
      <c r="C46" s="191">
        <f>'9. Indices-Hist'!B43</f>
        <v>44075</v>
      </c>
      <c r="D46" s="183">
        <f>VLOOKUP(C46,'9. Indices-Hist'!$K$5:$N$64,3,FALSE)</f>
        <v>2.7543799488491048</v>
      </c>
      <c r="F46" s="182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"/>
      <c r="V46" s="1"/>
      <c r="W46" s="1"/>
      <c r="X46" s="1"/>
      <c r="Y46" s="1"/>
      <c r="Z46" s="1"/>
      <c r="AA46" s="1"/>
      <c r="AB46" s="1"/>
      <c r="AC46" s="1"/>
      <c r="AK46" s="51"/>
      <c r="AL46" s="1"/>
      <c r="AO46" s="1">
        <f>'Supply Porfolio (Live)'!H25</f>
        <v>2035</v>
      </c>
      <c r="AP46" s="1">
        <f>'Supply Porfolio (Live)'!H26</f>
        <v>2040</v>
      </c>
      <c r="AQ46" s="1">
        <f>'Supply Porfolio (Live)'!H27</f>
        <v>2045</v>
      </c>
      <c r="AR46" s="1">
        <f>'Supply Porfolio (Live)'!H28</f>
        <v>2050</v>
      </c>
      <c r="AS46" s="51" t="str">
        <f>'Supply Porfolio (Live)'!H29</f>
        <v>n/a</v>
      </c>
    </row>
    <row r="47" spans="3:54" x14ac:dyDescent="0.25">
      <c r="C47" s="191">
        <f>'9. Indices-Hist'!B44</f>
        <v>44105</v>
      </c>
      <c r="D47" s="183">
        <f>VLOOKUP(C47,'9. Indices-Hist'!$K$5:$N$64,3,FALSE)</f>
        <v>3.4111807124681932</v>
      </c>
      <c r="F47" s="182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"/>
      <c r="V47" s="1"/>
      <c r="W47" s="1"/>
      <c r="X47" s="1"/>
      <c r="Y47" s="1"/>
      <c r="Z47" s="1"/>
      <c r="AA47" s="1"/>
      <c r="AB47" s="1"/>
      <c r="AC47" s="1"/>
      <c r="AK47" s="51"/>
      <c r="AL47" s="1"/>
      <c r="AO47" s="51" t="str">
        <f t="array" ref="AO47:AS47">TRANSPOSE('Supply Porfolio (Live)'!G25:G29)</f>
        <v>Expansion 1</v>
      </c>
      <c r="AP47" s="51" t="str">
        <v>Expansion 2</v>
      </c>
      <c r="AQ47" s="51" t="str">
        <v>Expansion 3</v>
      </c>
      <c r="AR47" s="51" t="str">
        <v>Expansion 4</v>
      </c>
      <c r="AS47" s="51" t="str">
        <v>Expansion 5</v>
      </c>
    </row>
    <row r="48" spans="3:54" x14ac:dyDescent="0.25">
      <c r="C48" s="191">
        <f>'9. Indices-Hist'!B45</f>
        <v>44136</v>
      </c>
      <c r="D48" s="183">
        <f>VLOOKUP(C48,'9. Indices-Hist'!$K$5:$N$64,3,FALSE)</f>
        <v>3.6913665658093797</v>
      </c>
      <c r="F48" s="182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"/>
      <c r="V48" s="1"/>
      <c r="W48" s="1"/>
      <c r="X48" s="1"/>
      <c r="Y48" s="1"/>
      <c r="Z48" s="1"/>
      <c r="AA48" s="1"/>
      <c r="AB48" s="1"/>
      <c r="AC48" s="1"/>
      <c r="AK48" s="51"/>
      <c r="AL48" s="1"/>
      <c r="AN48" s="1" t="s">
        <v>353</v>
      </c>
      <c r="AO48" s="268">
        <f>IF(AO46="n/a",0,HLOOKUP(AO$46,'Supply Porfolio (Live)'!$G$16:$AI$17,2)*'Supply Porfolio (Live)'!$H$22)</f>
        <v>25688.774858352332</v>
      </c>
      <c r="AP48" s="268">
        <f>IF(AP46="n/a",0,HLOOKUP(AO$46,'Supply Porfolio (Live)'!$G$16:$AI$17,2)*'Supply Porfolio (Live)'!$H$22-SUM($AO$49:AO49))</f>
        <v>25688.774858352332</v>
      </c>
      <c r="AQ48" s="268">
        <f>IF(AQ46="n/a",0,HLOOKUP(AO$46,'Supply Porfolio (Live)'!$G$16:$AI$17,2)*'Supply Porfolio (Live)'!$H$22-SUM($AO$49:AP49))</f>
        <v>25688.774858352332</v>
      </c>
      <c r="AR48" s="268">
        <f>IF(AR46="n/a",0,HLOOKUP(AO$46,'Supply Porfolio (Live)'!$G$16:$AI$17,2)*'Supply Porfolio (Live)'!$H$22-SUM($AO$49:AQ49))</f>
        <v>25688.774858352332</v>
      </c>
      <c r="AS48" s="268">
        <f>IF(AS46="n/a",0,HLOOKUP(AO$46,'Supply Porfolio (Live)'!$G$16:$AI$17,2)*'Supply Porfolio (Live)'!$H$22-SUM($AO$49:AR49))</f>
        <v>0</v>
      </c>
    </row>
    <row r="49" spans="3:45" x14ac:dyDescent="0.25">
      <c r="C49" s="191">
        <f>'9. Indices-Hist'!B46</f>
        <v>44166</v>
      </c>
      <c r="D49" s="183">
        <f>VLOOKUP(C49,'9. Indices-Hist'!$K$5:$N$64,3,FALSE)</f>
        <v>3.6228868329177057</v>
      </c>
      <c r="F49" s="182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"/>
      <c r="V49" s="1"/>
      <c r="W49" s="1"/>
      <c r="X49" s="1"/>
      <c r="Y49" s="1"/>
      <c r="Z49" s="1"/>
      <c r="AA49" s="1"/>
      <c r="AB49" s="1"/>
      <c r="AC49" s="1"/>
      <c r="AK49" s="51"/>
      <c r="AL49" s="1"/>
      <c r="AN49" s="1" t="s">
        <v>482</v>
      </c>
      <c r="AO49" s="268">
        <f>VLOOKUP(AO47,'Supply Porfolio (Live)'!$G$25:$I$29,3,FALSE)</f>
        <v>0</v>
      </c>
      <c r="AP49" s="268">
        <f>VLOOKUP(AP47,'Supply Porfolio (Live)'!$G$25:$I$29,3,FALSE)</f>
        <v>0</v>
      </c>
      <c r="AQ49" s="268">
        <f>VLOOKUP(AQ47,'Supply Porfolio (Live)'!$G$25:$I$29,3,FALSE)</f>
        <v>0</v>
      </c>
      <c r="AR49" s="268">
        <f>VLOOKUP(AR47,'Supply Porfolio (Live)'!$G$25:$I$29,3,FALSE)</f>
        <v>0</v>
      </c>
      <c r="AS49" s="268">
        <f>VLOOKUP(AS47,'Supply Porfolio (Live)'!$G$25:$I$29,3,FALSE)</f>
        <v>0</v>
      </c>
    </row>
    <row r="50" spans="3:45" x14ac:dyDescent="0.25">
      <c r="C50" s="191">
        <f>'9. Indices-Hist'!B47</f>
        <v>44197</v>
      </c>
      <c r="D50" s="183">
        <f>VLOOKUP(C50,'9. Indices-Hist'!$K$5:$N$64,3,FALSE)</f>
        <v>3.7111518066406246</v>
      </c>
      <c r="F50" s="182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AO50" s="168">
        <f t="shared" ref="AO50:AS56" si="12">IF($AQ16&lt;AO$48,$AQ16,0)</f>
        <v>89.425169826883533</v>
      </c>
      <c r="AP50" s="168">
        <f t="shared" si="12"/>
        <v>89.425169826883533</v>
      </c>
      <c r="AQ50" s="168">
        <f t="shared" si="12"/>
        <v>89.425169826883533</v>
      </c>
      <c r="AR50" s="168">
        <f t="shared" si="12"/>
        <v>89.425169826883533</v>
      </c>
      <c r="AS50" s="168">
        <f t="shared" si="12"/>
        <v>0</v>
      </c>
    </row>
    <row r="51" spans="3:45" x14ac:dyDescent="0.25">
      <c r="C51" s="191">
        <f>'9. Indices-Hist'!B48</f>
        <v>44228</v>
      </c>
      <c r="D51" s="183">
        <f>VLOOKUP(C51,'9. Indices-Hist'!$K$5:$N$64,3,FALSE)</f>
        <v>7.1246707027540355</v>
      </c>
      <c r="F51" s="182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AO51" s="168">
        <f t="shared" si="12"/>
        <v>894.2516982688353</v>
      </c>
      <c r="AP51" s="168">
        <f t="shared" si="12"/>
        <v>894.2516982688353</v>
      </c>
      <c r="AQ51" s="168">
        <f t="shared" si="12"/>
        <v>894.2516982688353</v>
      </c>
      <c r="AR51" s="168">
        <f t="shared" si="12"/>
        <v>894.2516982688353</v>
      </c>
      <c r="AS51" s="168">
        <f t="shared" si="12"/>
        <v>0</v>
      </c>
    </row>
    <row r="52" spans="3:45" x14ac:dyDescent="0.25">
      <c r="C52" s="191">
        <f>'9. Indices-Hist'!B49</f>
        <v>44256</v>
      </c>
      <c r="D52" s="183">
        <f>VLOOKUP(C52,'9. Indices-Hist'!$K$5:$N$64,3,FALSE)</f>
        <v>3.4176864186046512</v>
      </c>
      <c r="F52" s="182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AO52" s="168">
        <f t="shared" si="12"/>
        <v>4471.258491344176</v>
      </c>
      <c r="AP52" s="168">
        <f t="shared" si="12"/>
        <v>4471.258491344176</v>
      </c>
      <c r="AQ52" s="168">
        <f t="shared" si="12"/>
        <v>4471.258491344176</v>
      </c>
      <c r="AR52" s="168">
        <f t="shared" si="12"/>
        <v>4471.258491344176</v>
      </c>
      <c r="AS52" s="168">
        <f t="shared" si="12"/>
        <v>0</v>
      </c>
    </row>
    <row r="53" spans="3:45" x14ac:dyDescent="0.25">
      <c r="C53" s="191">
        <f>'9. Indices-Hist'!B50</f>
        <v>44287</v>
      </c>
      <c r="D53" s="183">
        <f>VLOOKUP(C53,'9. Indices-Hist'!$K$5:$N$64,3,FALSE)</f>
        <v>3.4236849013308857</v>
      </c>
      <c r="F53" s="182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AO53" s="168">
        <f t="shared" si="12"/>
        <v>8942.5169826883521</v>
      </c>
      <c r="AP53" s="168">
        <f t="shared" si="12"/>
        <v>8942.5169826883521</v>
      </c>
      <c r="AQ53" s="168">
        <f t="shared" si="12"/>
        <v>8942.5169826883521</v>
      </c>
      <c r="AR53" s="168">
        <f t="shared" si="12"/>
        <v>8942.5169826883521</v>
      </c>
      <c r="AS53" s="168">
        <f t="shared" si="12"/>
        <v>0</v>
      </c>
    </row>
    <row r="54" spans="3:45" x14ac:dyDescent="0.25">
      <c r="C54" s="191">
        <f>'9. Indices-Hist'!B51</f>
        <v>44317</v>
      </c>
      <c r="D54" s="183">
        <f>VLOOKUP(C54,'9. Indices-Hist'!$K$5:$N$64,3,FALSE)</f>
        <v>3.6288825700311254</v>
      </c>
      <c r="F54" s="182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AO54" s="168">
        <f t="shared" si="12"/>
        <v>22356.292456720887</v>
      </c>
      <c r="AP54" s="168">
        <f t="shared" si="12"/>
        <v>22356.292456720887</v>
      </c>
      <c r="AQ54" s="168">
        <f t="shared" si="12"/>
        <v>22356.292456720887</v>
      </c>
      <c r="AR54" s="168">
        <f t="shared" si="12"/>
        <v>22356.292456720887</v>
      </c>
      <c r="AS54" s="168">
        <f t="shared" si="12"/>
        <v>0</v>
      </c>
    </row>
    <row r="55" spans="3:45" x14ac:dyDescent="0.25">
      <c r="C55" s="191">
        <f>'9. Indices-Hist'!B52</f>
        <v>44348</v>
      </c>
      <c r="D55" s="183">
        <f>VLOOKUP(C55,'9. Indices-Hist'!$K$5:$N$64,3,FALSE)</f>
        <v>3.9943046745303619</v>
      </c>
      <c r="F55" s="182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AO55" s="168">
        <f t="shared" si="12"/>
        <v>0</v>
      </c>
      <c r="AP55" s="168">
        <f t="shared" si="12"/>
        <v>0</v>
      </c>
      <c r="AQ55" s="168">
        <f t="shared" si="12"/>
        <v>0</v>
      </c>
      <c r="AR55" s="168">
        <f t="shared" si="12"/>
        <v>0</v>
      </c>
      <c r="AS55" s="168">
        <f t="shared" si="12"/>
        <v>0</v>
      </c>
    </row>
    <row r="56" spans="3:45" x14ac:dyDescent="0.25">
      <c r="C56" s="191">
        <f>'9. Indices-Hist'!B53</f>
        <v>44378</v>
      </c>
      <c r="D56" s="183">
        <f>VLOOKUP(C56,'9. Indices-Hist'!$K$5:$N$64,3,FALSE)</f>
        <v>4.6450832866077203</v>
      </c>
      <c r="F56" s="182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AO56" s="168">
        <f t="shared" si="12"/>
        <v>0</v>
      </c>
      <c r="AP56" s="168">
        <f t="shared" si="12"/>
        <v>0</v>
      </c>
      <c r="AQ56" s="168">
        <f t="shared" si="12"/>
        <v>0</v>
      </c>
      <c r="AR56" s="168">
        <f t="shared" si="12"/>
        <v>0</v>
      </c>
      <c r="AS56" s="168">
        <f t="shared" si="12"/>
        <v>0</v>
      </c>
    </row>
    <row r="57" spans="3:45" x14ac:dyDescent="0.25">
      <c r="C57" s="191">
        <f>'9. Indices-Hist'!B54</f>
        <v>44409</v>
      </c>
      <c r="D57" s="183">
        <f>VLOOKUP(C57,'9. Indices-Hist'!$K$5:$N$64,3,FALSE)</f>
        <v>4.8902946682946693</v>
      </c>
      <c r="F57" s="182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AN57" s="168"/>
      <c r="AO57" s="168"/>
    </row>
    <row r="58" spans="3:45" x14ac:dyDescent="0.25">
      <c r="C58" s="191">
        <f>'9. Indices-Hist'!B55</f>
        <v>44440</v>
      </c>
      <c r="D58" s="183">
        <f>VLOOKUP(C58,'9. Indices-Hist'!$K$5:$N$64,3,FALSE)</f>
        <v>6.1404477295292725</v>
      </c>
      <c r="F58" s="182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AN58" s="168"/>
      <c r="AO58" s="168"/>
    </row>
    <row r="59" spans="3:45" x14ac:dyDescent="0.25">
      <c r="C59" s="191">
        <f>'9. Indices-Hist'!B56</f>
        <v>44470</v>
      </c>
      <c r="D59" s="183">
        <f>VLOOKUP(C59,'9. Indices-Hist'!$K$5:$N$64,3,FALSE)</f>
        <v>6.4264200195454633</v>
      </c>
      <c r="F59" s="182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</row>
    <row r="60" spans="3:45" x14ac:dyDescent="0.25">
      <c r="C60" s="191">
        <f>'9. Indices-Hist'!B57</f>
        <v>44501</v>
      </c>
      <c r="D60" s="183">
        <f>VLOOKUP(C60,'9. Indices-Hist'!$K$5:$N$64,3,FALSE)</f>
        <v>5.8215932211749903</v>
      </c>
      <c r="F60" s="182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</row>
    <row r="61" spans="3:45" x14ac:dyDescent="0.25">
      <c r="C61" s="191">
        <f>'9. Indices-Hist'!B58</f>
        <v>44531</v>
      </c>
      <c r="D61" s="183">
        <f>VLOOKUP(C61,'9. Indices-Hist'!$K$5:$N$64,3,FALSE)</f>
        <v>4.3694977168949771</v>
      </c>
      <c r="F61" s="182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</row>
    <row r="62" spans="3:45" x14ac:dyDescent="0.25">
      <c r="C62" s="191">
        <f>'9. Indices-Hist'!B59</f>
        <v>44562</v>
      </c>
      <c r="D62" s="183">
        <f>VLOOKUP(C62,'9. Indices-Hist'!$K$5:$N$64,3,FALSE)</f>
        <v>4.9462274262843611</v>
      </c>
      <c r="F62" s="182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</row>
    <row r="63" spans="3:45" x14ac:dyDescent="0.25">
      <c r="C63" s="191">
        <f>'9. Indices-Hist'!B60</f>
        <v>44593</v>
      </c>
      <c r="D63" s="183">
        <f>VLOOKUP(C63,'9. Indices-Hist'!$K$5:$N$64,3,FALSE)</f>
        <v>5.1682784621127285</v>
      </c>
      <c r="F63" s="182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</row>
    <row r="64" spans="3:45" x14ac:dyDescent="0.25">
      <c r="C64" s="191">
        <f>'9. Indices-Hist'!B61</f>
        <v>44621</v>
      </c>
      <c r="D64" s="183">
        <f>VLOOKUP(C64,'9. Indices-Hist'!$K$5:$N$64,3,FALSE)</f>
        <v>5.2852888690608966</v>
      </c>
      <c r="F64" s="182"/>
      <c r="G64" s="183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</row>
    <row r="65" spans="3:20" x14ac:dyDescent="0.25">
      <c r="C65" s="191">
        <f>'9. Indices-Hist'!B62</f>
        <v>44652</v>
      </c>
      <c r="D65" s="183">
        <f>VLOOKUP(C65,'9. Indices-Hist'!$K$5:$N$64,3,FALSE)</f>
        <v>6.9741737374346302</v>
      </c>
      <c r="F65" s="182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</row>
    <row r="66" spans="3:20" x14ac:dyDescent="0.25">
      <c r="C66" s="191">
        <f>'9. Indices-Hist'!B63</f>
        <v>44682</v>
      </c>
      <c r="D66" s="183">
        <f>VLOOKUP(C66,'9. Indices-Hist'!$K$5:$N$64,3,FALSE)</f>
        <v>8.3532245151847793</v>
      </c>
      <c r="F66" s="182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</row>
    <row r="67" spans="3:20" x14ac:dyDescent="0.25">
      <c r="C67" s="191">
        <f>'9. Indices-Hist'!B64</f>
        <v>44713</v>
      </c>
      <c r="D67" s="183">
        <f>VLOOKUP(C67,'9. Indices-Hist'!$K$5:$N$64,3,FALSE)</f>
        <v>7.7</v>
      </c>
      <c r="F67" s="182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</row>
    <row r="68" spans="3:20" x14ac:dyDescent="0.25">
      <c r="C68" s="191"/>
    </row>
    <row r="69" spans="3:20" x14ac:dyDescent="0.25">
      <c r="C69" s="191"/>
    </row>
    <row r="70" spans="3:20" x14ac:dyDescent="0.25">
      <c r="C70" s="191"/>
    </row>
    <row r="71" spans="3:20" x14ac:dyDescent="0.25">
      <c r="C71" s="191"/>
    </row>
    <row r="72" spans="3:20" x14ac:dyDescent="0.25">
      <c r="C72" s="191"/>
    </row>
    <row r="73" spans="3:20" x14ac:dyDescent="0.25">
      <c r="C73" s="191"/>
    </row>
    <row r="74" spans="3:20" x14ac:dyDescent="0.25">
      <c r="C74" s="191"/>
    </row>
    <row r="75" spans="3:20" x14ac:dyDescent="0.25">
      <c r="C75" s="191"/>
    </row>
    <row r="76" spans="3:20" x14ac:dyDescent="0.25">
      <c r="C76" s="191"/>
    </row>
    <row r="77" spans="3:20" x14ac:dyDescent="0.25">
      <c r="C77" s="191"/>
    </row>
    <row r="78" spans="3:20" x14ac:dyDescent="0.25">
      <c r="C78" s="191"/>
    </row>
    <row r="79" spans="3:20" x14ac:dyDescent="0.25">
      <c r="C79" s="191"/>
    </row>
    <row r="80" spans="3:20" x14ac:dyDescent="0.25">
      <c r="C80" s="191"/>
    </row>
    <row r="81" spans="3:3" x14ac:dyDescent="0.25">
      <c r="C81" s="191"/>
    </row>
    <row r="82" spans="3:3" x14ac:dyDescent="0.25">
      <c r="C82" s="191"/>
    </row>
    <row r="83" spans="3:3" x14ac:dyDescent="0.25">
      <c r="C83" s="191"/>
    </row>
    <row r="84" spans="3:3" x14ac:dyDescent="0.25">
      <c r="C84" s="191"/>
    </row>
    <row r="85" spans="3:3" x14ac:dyDescent="0.25">
      <c r="C85" s="191"/>
    </row>
    <row r="86" spans="3:3" x14ac:dyDescent="0.25">
      <c r="C86" s="191"/>
    </row>
    <row r="87" spans="3:3" x14ac:dyDescent="0.25">
      <c r="C87" s="191"/>
    </row>
    <row r="88" spans="3:3" x14ac:dyDescent="0.25">
      <c r="C88" s="191"/>
    </row>
    <row r="89" spans="3:3" x14ac:dyDescent="0.25">
      <c r="C89" s="191"/>
    </row>
    <row r="90" spans="3:3" x14ac:dyDescent="0.25">
      <c r="C90" s="191"/>
    </row>
    <row r="91" spans="3:3" x14ac:dyDescent="0.25">
      <c r="C91" s="191"/>
    </row>
    <row r="92" spans="3:3" x14ac:dyDescent="0.25">
      <c r="C92" s="191"/>
    </row>
    <row r="93" spans="3:3" x14ac:dyDescent="0.25">
      <c r="C93" s="191"/>
    </row>
    <row r="94" spans="3:3" x14ac:dyDescent="0.25">
      <c r="C94" s="191"/>
    </row>
    <row r="95" spans="3:3" x14ac:dyDescent="0.25">
      <c r="C95" s="191"/>
    </row>
    <row r="96" spans="3:3" x14ac:dyDescent="0.25">
      <c r="C96" s="191"/>
    </row>
    <row r="97" spans="3:3" x14ac:dyDescent="0.25">
      <c r="C97" s="191"/>
    </row>
    <row r="98" spans="3:3" x14ac:dyDescent="0.25">
      <c r="C98" s="191"/>
    </row>
    <row r="99" spans="3:3" x14ac:dyDescent="0.25">
      <c r="C99" s="191"/>
    </row>
    <row r="100" spans="3:3" x14ac:dyDescent="0.25">
      <c r="C100" s="191"/>
    </row>
    <row r="101" spans="3:3" x14ac:dyDescent="0.25">
      <c r="C101" s="191"/>
    </row>
    <row r="102" spans="3:3" x14ac:dyDescent="0.25">
      <c r="C102" s="191"/>
    </row>
    <row r="103" spans="3:3" x14ac:dyDescent="0.25">
      <c r="C103" s="191"/>
    </row>
    <row r="104" spans="3:3" x14ac:dyDescent="0.25">
      <c r="C104" s="191"/>
    </row>
    <row r="105" spans="3:3" x14ac:dyDescent="0.25">
      <c r="C105" s="191"/>
    </row>
    <row r="106" spans="3:3" x14ac:dyDescent="0.25">
      <c r="C106" s="191"/>
    </row>
    <row r="107" spans="3:3" x14ac:dyDescent="0.25">
      <c r="C107" s="191"/>
    </row>
    <row r="108" spans="3:3" x14ac:dyDescent="0.25">
      <c r="C108" s="191"/>
    </row>
    <row r="109" spans="3:3" x14ac:dyDescent="0.25">
      <c r="C109" s="191"/>
    </row>
    <row r="110" spans="3:3" x14ac:dyDescent="0.25">
      <c r="C110" s="191"/>
    </row>
    <row r="111" spans="3:3" x14ac:dyDescent="0.25">
      <c r="C111" s="191"/>
    </row>
    <row r="112" spans="3:3" x14ac:dyDescent="0.25">
      <c r="C112" s="191"/>
    </row>
    <row r="113" spans="3:3" x14ac:dyDescent="0.25">
      <c r="C113" s="191"/>
    </row>
    <row r="114" spans="3:3" x14ac:dyDescent="0.25">
      <c r="C114" s="191"/>
    </row>
    <row r="115" spans="3:3" x14ac:dyDescent="0.25">
      <c r="C115" s="191"/>
    </row>
    <row r="116" spans="3:3" x14ac:dyDescent="0.25">
      <c r="C116" s="191"/>
    </row>
    <row r="117" spans="3:3" x14ac:dyDescent="0.25">
      <c r="C117" s="191"/>
    </row>
    <row r="118" spans="3:3" x14ac:dyDescent="0.25">
      <c r="C118" s="191"/>
    </row>
    <row r="119" spans="3:3" x14ac:dyDescent="0.25">
      <c r="C119" s="191"/>
    </row>
    <row r="120" spans="3:3" x14ac:dyDescent="0.25">
      <c r="C120" s="191"/>
    </row>
    <row r="121" spans="3:3" x14ac:dyDescent="0.25">
      <c r="C121" s="191"/>
    </row>
    <row r="122" spans="3:3" x14ac:dyDescent="0.25">
      <c r="C122" s="191"/>
    </row>
    <row r="123" spans="3:3" x14ac:dyDescent="0.25">
      <c r="C123" s="191"/>
    </row>
    <row r="124" spans="3:3" x14ac:dyDescent="0.25">
      <c r="C124" s="191"/>
    </row>
    <row r="125" spans="3:3" x14ac:dyDescent="0.25">
      <c r="C125" s="191"/>
    </row>
    <row r="126" spans="3:3" x14ac:dyDescent="0.25">
      <c r="C126" s="191"/>
    </row>
    <row r="127" spans="3:3" x14ac:dyDescent="0.25">
      <c r="C127" s="191"/>
    </row>
    <row r="128" spans="3:3" x14ac:dyDescent="0.25">
      <c r="C128" s="191"/>
    </row>
    <row r="129" spans="3:3" x14ac:dyDescent="0.25">
      <c r="C129" s="191"/>
    </row>
    <row r="130" spans="3:3" x14ac:dyDescent="0.25">
      <c r="C130" s="191"/>
    </row>
    <row r="131" spans="3:3" x14ac:dyDescent="0.25">
      <c r="C131" s="191"/>
    </row>
    <row r="132" spans="3:3" x14ac:dyDescent="0.25">
      <c r="C132" s="191"/>
    </row>
    <row r="133" spans="3:3" x14ac:dyDescent="0.25">
      <c r="C133" s="191"/>
    </row>
    <row r="134" spans="3:3" x14ac:dyDescent="0.25">
      <c r="C134" s="191"/>
    </row>
    <row r="135" spans="3:3" x14ac:dyDescent="0.25">
      <c r="C135" s="191"/>
    </row>
    <row r="136" spans="3:3" x14ac:dyDescent="0.25">
      <c r="C136" s="191"/>
    </row>
    <row r="137" spans="3:3" x14ac:dyDescent="0.25">
      <c r="C137" s="191"/>
    </row>
    <row r="138" spans="3:3" x14ac:dyDescent="0.25">
      <c r="C138" s="191"/>
    </row>
    <row r="139" spans="3:3" x14ac:dyDescent="0.25">
      <c r="C139" s="191"/>
    </row>
    <row r="140" spans="3:3" x14ac:dyDescent="0.25">
      <c r="C140" s="191"/>
    </row>
    <row r="141" spans="3:3" x14ac:dyDescent="0.25">
      <c r="C141" s="191"/>
    </row>
    <row r="142" spans="3:3" x14ac:dyDescent="0.25">
      <c r="C142" s="191"/>
    </row>
  </sheetData>
  <mergeCells count="15">
    <mergeCell ref="AN10:BB10"/>
    <mergeCell ref="C10:D10"/>
    <mergeCell ref="G10:I10"/>
    <mergeCell ref="K10:O10"/>
    <mergeCell ref="X10:AB10"/>
    <mergeCell ref="AE10:AJ10"/>
    <mergeCell ref="AN45:BB45"/>
    <mergeCell ref="Q11:Q12"/>
    <mergeCell ref="AR14:AT14"/>
    <mergeCell ref="AU14:AX14"/>
    <mergeCell ref="AY14:BA14"/>
    <mergeCell ref="AN31:AP31"/>
    <mergeCell ref="AR31:AT31"/>
    <mergeCell ref="AU31:AX31"/>
    <mergeCell ref="AY31:BA31"/>
  </mergeCells>
  <hyperlinks>
    <hyperlink ref="L6" r:id="rId1" xr:uid="{34D752E1-1635-456F-8F98-7DC5597F602F}"/>
  </hyperlinks>
  <pageMargins left="0.7" right="0.7" top="0.75" bottom="0.75" header="0.3" footer="0.3"/>
  <pageSetup orientation="portrait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D0CC2-F98A-4E2A-869E-BD5BDF442130}">
  <sheetPr codeName="Sheet28"/>
  <dimension ref="B1:P142"/>
  <sheetViews>
    <sheetView workbookViewId="0">
      <selection activeCell="Q21" sqref="Q21"/>
    </sheetView>
  </sheetViews>
  <sheetFormatPr defaultColWidth="8.85546875" defaultRowHeight="15" x14ac:dyDescent="0.25"/>
  <cols>
    <col min="1" max="1" width="8.85546875" style="1"/>
    <col min="2" max="2" width="22.28515625" style="1" bestFit="1" customWidth="1"/>
    <col min="3" max="3" width="8.85546875" style="1"/>
    <col min="4" max="4" width="15" style="1" customWidth="1"/>
    <col min="5" max="5" width="4.85546875" style="1" customWidth="1"/>
    <col min="6" max="6" width="8.85546875" style="1"/>
    <col min="7" max="7" width="10" style="1" bestFit="1" customWidth="1"/>
    <col min="8" max="9" width="10" style="1" customWidth="1"/>
    <col min="10" max="10" width="6.85546875" style="1" customWidth="1"/>
    <col min="11" max="11" width="13.140625" style="1" customWidth="1"/>
    <col min="12" max="12" width="12.7109375" style="1" customWidth="1"/>
    <col min="13" max="13" width="6.28515625" style="1" customWidth="1"/>
    <col min="14" max="14" width="16.7109375" style="171" customWidth="1"/>
    <col min="15" max="15" width="6.140625" style="171" customWidth="1"/>
    <col min="16" max="16" width="12.85546875" style="171" customWidth="1"/>
    <col min="17" max="17" width="12.5703125" style="1" customWidth="1"/>
    <col min="18" max="16384" width="8.85546875" style="1"/>
  </cols>
  <sheetData>
    <row r="1" spans="2:16" x14ac:dyDescent="0.25">
      <c r="L1" s="110" t="s">
        <v>434</v>
      </c>
      <c r="M1" s="110"/>
      <c r="N1" s="193"/>
      <c r="O1" s="193"/>
      <c r="P1" s="193"/>
    </row>
    <row r="2" spans="2:16" x14ac:dyDescent="0.25">
      <c r="K2" s="114"/>
      <c r="L2" s="195"/>
      <c r="M2" s="195"/>
      <c r="N2" s="196"/>
      <c r="O2" s="196"/>
      <c r="P2" s="269"/>
    </row>
    <row r="3" spans="2:16" x14ac:dyDescent="0.25">
      <c r="C3" s="110"/>
      <c r="K3" s="114" t="s">
        <v>437</v>
      </c>
      <c r="L3" s="188">
        <v>0.1</v>
      </c>
      <c r="M3" s="197"/>
      <c r="P3" s="1"/>
    </row>
    <row r="4" spans="2:16" x14ac:dyDescent="0.25">
      <c r="B4" s="114"/>
      <c r="K4" s="114" t="s">
        <v>441</v>
      </c>
      <c r="L4" s="198">
        <v>24.43</v>
      </c>
      <c r="M4" s="199"/>
      <c r="N4" s="118"/>
      <c r="O4" s="118"/>
      <c r="P4" s="270"/>
    </row>
    <row r="5" spans="2:16" x14ac:dyDescent="0.25">
      <c r="B5" s="114"/>
      <c r="K5" s="114"/>
      <c r="M5" s="199"/>
      <c r="N5" s="118"/>
      <c r="O5" s="118"/>
      <c r="P5" s="1"/>
    </row>
    <row r="6" spans="2:16" x14ac:dyDescent="0.25">
      <c r="K6" s="114"/>
      <c r="L6" s="118"/>
      <c r="M6" s="118"/>
      <c r="N6" s="200"/>
      <c r="O6" s="200"/>
      <c r="P6" s="200"/>
    </row>
    <row r="7" spans="2:16" x14ac:dyDescent="0.25">
      <c r="K7" s="114"/>
      <c r="N7" s="200"/>
      <c r="O7" s="200"/>
      <c r="P7" s="200"/>
    </row>
    <row r="8" spans="2:16" x14ac:dyDescent="0.25">
      <c r="N8" s="200"/>
      <c r="O8" s="200"/>
      <c r="P8" s="200"/>
    </row>
    <row r="9" spans="2:16" x14ac:dyDescent="0.25">
      <c r="K9" s="114"/>
      <c r="L9" s="118"/>
      <c r="M9" s="118"/>
    </row>
    <row r="10" spans="2:16" ht="31.5" customHeight="1" x14ac:dyDescent="0.25">
      <c r="C10" s="553" t="s">
        <v>416</v>
      </c>
      <c r="D10" s="553"/>
      <c r="G10" s="553" t="s">
        <v>446</v>
      </c>
      <c r="H10" s="553"/>
      <c r="I10" s="553"/>
      <c r="J10" s="565" t="s">
        <v>441</v>
      </c>
      <c r="K10" s="565"/>
      <c r="L10" s="565"/>
      <c r="N10" s="202" t="s">
        <v>448</v>
      </c>
      <c r="O10" s="11"/>
      <c r="P10" s="33" t="s">
        <v>399</v>
      </c>
    </row>
    <row r="11" spans="2:16" x14ac:dyDescent="0.25">
      <c r="G11" s="30" t="s">
        <v>340</v>
      </c>
      <c r="H11" s="29" t="s">
        <v>274</v>
      </c>
      <c r="I11" s="29" t="s">
        <v>276</v>
      </c>
      <c r="J11" s="11"/>
      <c r="K11" s="11"/>
      <c r="L11" s="11"/>
      <c r="M11" s="172"/>
    </row>
    <row r="12" spans="2:16" ht="37.5" customHeight="1" x14ac:dyDescent="0.25">
      <c r="D12" s="177" t="s">
        <v>426</v>
      </c>
      <c r="G12" s="51">
        <v>1</v>
      </c>
      <c r="H12" s="51">
        <v>2</v>
      </c>
      <c r="I12" s="51">
        <v>3</v>
      </c>
      <c r="J12" s="177"/>
      <c r="L12" s="177"/>
      <c r="M12" s="11"/>
      <c r="N12" s="177" t="s">
        <v>451</v>
      </c>
      <c r="O12" s="179"/>
      <c r="P12" s="179" t="s">
        <v>419</v>
      </c>
    </row>
    <row r="13" spans="2:16" ht="26.25" x14ac:dyDescent="0.25">
      <c r="D13" s="180" t="s">
        <v>430</v>
      </c>
      <c r="G13" s="180" t="s">
        <v>452</v>
      </c>
      <c r="H13" s="180" t="s">
        <v>452</v>
      </c>
      <c r="I13" s="180" t="s">
        <v>452</v>
      </c>
      <c r="J13" s="180"/>
      <c r="K13" s="180" t="s">
        <v>430</v>
      </c>
      <c r="L13" s="180"/>
      <c r="M13" s="177"/>
      <c r="N13" s="180" t="s">
        <v>453</v>
      </c>
      <c r="O13" s="180"/>
      <c r="P13" s="180" t="s">
        <v>483</v>
      </c>
    </row>
    <row r="14" spans="2:16" x14ac:dyDescent="0.25">
      <c r="C14" s="191">
        <f>'9. Indices-Hist'!B11</f>
        <v>43101</v>
      </c>
      <c r="D14" s="183">
        <f>VLOOKUP(C14,'9. Indices-Hist'!$K$5:$N$64,3,FALSE)</f>
        <v>5.4844685699848403</v>
      </c>
      <c r="F14" s="182">
        <f>'10. Indices-Forecast'!B5</f>
        <v>2022</v>
      </c>
      <c r="G14" s="183">
        <v>6.4547010607521695</v>
      </c>
      <c r="H14" s="183">
        <v>6.4547010607521695</v>
      </c>
      <c r="I14" s="183">
        <v>6.4547010607521695</v>
      </c>
      <c r="J14" s="183"/>
      <c r="K14" s="194">
        <f>$L$4</f>
        <v>24.43</v>
      </c>
      <c r="L14" s="173"/>
      <c r="M14" s="182">
        <f t="shared" ref="M14:M42" si="0">F14</f>
        <v>2022</v>
      </c>
      <c r="N14" s="192">
        <f>CHOOSE(HLOOKUP('Supply Porfolio (Live)'!$E$2,$G$11:$I$12,2,FALSE),G14,H14,I14)</f>
        <v>6.4547010607521695</v>
      </c>
      <c r="O14" s="118"/>
      <c r="P14" s="271">
        <f>N14*$L$3+K14*$L$3</f>
        <v>3.0884701060752171</v>
      </c>
    </row>
    <row r="15" spans="2:16" x14ac:dyDescent="0.25">
      <c r="C15" s="191">
        <f>'9. Indices-Hist'!B12</f>
        <v>43132</v>
      </c>
      <c r="D15" s="183">
        <f>VLOOKUP(C15,'9. Indices-Hist'!$K$5:$N$64,3,FALSE)</f>
        <v>3.7572781234320116</v>
      </c>
      <c r="F15" s="182">
        <f>'10. Indices-Forecast'!B6</f>
        <v>2023</v>
      </c>
      <c r="G15" s="183">
        <v>4.9625200274662395</v>
      </c>
      <c r="H15" s="183">
        <v>4.9625200274662395</v>
      </c>
      <c r="I15" s="183">
        <v>4.9625200274662395</v>
      </c>
      <c r="J15" s="183"/>
      <c r="K15" s="194">
        <f t="shared" ref="K15:K42" si="1">$L$4</f>
        <v>24.43</v>
      </c>
      <c r="L15" s="173"/>
      <c r="M15" s="182">
        <f t="shared" si="0"/>
        <v>2023</v>
      </c>
      <c r="N15" s="192">
        <f>CHOOSE(HLOOKUP('Supply Porfolio (Live)'!$E$2,$G$11:$I$12,2,FALSE),G15,H15,I15)</f>
        <v>4.9625200274662395</v>
      </c>
      <c r="O15" s="118"/>
      <c r="P15" s="271">
        <f t="shared" ref="P15:P42" si="2">N15*$L$3+K15*$L$3</f>
        <v>2.939252002746624</v>
      </c>
    </row>
    <row r="16" spans="2:16" x14ac:dyDescent="0.25">
      <c r="C16" s="191">
        <f>'9. Indices-Hist'!B13</f>
        <v>43160</v>
      </c>
      <c r="D16" s="183">
        <f>VLOOKUP(C16,'9. Indices-Hist'!$K$5:$N$64,3,FALSE)</f>
        <v>3.7854225288509782</v>
      </c>
      <c r="F16" s="182">
        <f>'10. Indices-Forecast'!B7</f>
        <v>2024</v>
      </c>
      <c r="G16" s="183">
        <v>3.620802965969498</v>
      </c>
      <c r="H16" s="183">
        <v>3.078994316969498</v>
      </c>
      <c r="I16" s="183">
        <v>4.726807019969498</v>
      </c>
      <c r="J16" s="183"/>
      <c r="K16" s="194">
        <f t="shared" si="1"/>
        <v>24.43</v>
      </c>
      <c r="L16" s="173"/>
      <c r="M16" s="182">
        <f t="shared" si="0"/>
        <v>2024</v>
      </c>
      <c r="N16" s="192">
        <f>CHOOSE(HLOOKUP('Supply Porfolio (Live)'!$E$2,$G$11:$I$12,2,FALSE),G16,H16,I16)</f>
        <v>3.620802965969498</v>
      </c>
      <c r="O16" s="118"/>
      <c r="P16" s="271">
        <f t="shared" si="2"/>
        <v>2.8050802965969499</v>
      </c>
    </row>
    <row r="17" spans="3:16" x14ac:dyDescent="0.25">
      <c r="C17" s="191">
        <f>'9. Indices-Hist'!B14</f>
        <v>43191</v>
      </c>
      <c r="D17" s="183">
        <f>VLOOKUP(C17,'9. Indices-Hist'!$K$5:$N$64,3,FALSE)</f>
        <v>3.9205451822266593</v>
      </c>
      <c r="F17" s="182">
        <f>'10. Indices-Forecast'!B8</f>
        <v>2025</v>
      </c>
      <c r="G17" s="183">
        <v>3.440396075969498</v>
      </c>
      <c r="H17" s="183">
        <v>2.877543585969498</v>
      </c>
      <c r="I17" s="183">
        <v>4.7126218969694982</v>
      </c>
      <c r="J17" s="183"/>
      <c r="K17" s="194">
        <f t="shared" si="1"/>
        <v>24.43</v>
      </c>
      <c r="L17" s="173"/>
      <c r="M17" s="182">
        <f t="shared" si="0"/>
        <v>2025</v>
      </c>
      <c r="N17" s="192">
        <f>CHOOSE(HLOOKUP('Supply Porfolio (Live)'!$E$2,$G$11:$I$12,2,FALSE),G17,H17,I17)</f>
        <v>3.440396075969498</v>
      </c>
      <c r="O17" s="118"/>
      <c r="P17" s="271">
        <f t="shared" si="2"/>
        <v>2.7870396075969497</v>
      </c>
    </row>
    <row r="18" spans="3:16" x14ac:dyDescent="0.25">
      <c r="C18" s="191">
        <f>'9. Indices-Hist'!B15</f>
        <v>43221</v>
      </c>
      <c r="D18" s="183">
        <f>VLOOKUP(C18,'9. Indices-Hist'!$K$5:$N$64,3,FALSE)</f>
        <v>3.864592519685039</v>
      </c>
      <c r="F18" s="182">
        <f>'10. Indices-Forecast'!B9</f>
        <v>2026</v>
      </c>
      <c r="G18" s="183">
        <v>3.4168551389694977</v>
      </c>
      <c r="H18" s="183">
        <v>2.8134590599694982</v>
      </c>
      <c r="I18" s="183">
        <v>4.8276334929694968</v>
      </c>
      <c r="J18" s="183"/>
      <c r="K18" s="194">
        <f t="shared" si="1"/>
        <v>24.43</v>
      </c>
      <c r="L18" s="173"/>
      <c r="M18" s="182">
        <f t="shared" si="0"/>
        <v>2026</v>
      </c>
      <c r="N18" s="192">
        <f>CHOOSE(HLOOKUP('Supply Porfolio (Live)'!$E$2,$G$11:$I$12,2,FALSE),G18,H18,I18)</f>
        <v>3.4168551389694977</v>
      </c>
      <c r="O18" s="118"/>
      <c r="P18" s="271">
        <f t="shared" si="2"/>
        <v>2.78468551389695</v>
      </c>
    </row>
    <row r="19" spans="3:16" x14ac:dyDescent="0.25">
      <c r="C19" s="191">
        <f>'9. Indices-Hist'!B16</f>
        <v>43252</v>
      </c>
      <c r="D19" s="183">
        <f>VLOOKUP(C19,'9. Indices-Hist'!$K$5:$N$64,3,FALSE)</f>
        <v>4.0791539177277185</v>
      </c>
      <c r="F19" s="182">
        <f>'10. Indices-Forecast'!B10</f>
        <v>2027</v>
      </c>
      <c r="G19" s="183">
        <v>3.5178672349694979</v>
      </c>
      <c r="H19" s="183">
        <v>2.851145713969498</v>
      </c>
      <c r="I19" s="183">
        <v>4.9230966019694975</v>
      </c>
      <c r="J19" s="183"/>
      <c r="K19" s="194">
        <f t="shared" si="1"/>
        <v>24.43</v>
      </c>
      <c r="L19" s="173"/>
      <c r="M19" s="182">
        <f t="shared" si="0"/>
        <v>2027</v>
      </c>
      <c r="N19" s="192">
        <f>CHOOSE(HLOOKUP('Supply Porfolio (Live)'!$E$2,$G$11:$I$12,2,FALSE),G19,H19,I19)</f>
        <v>3.5178672349694979</v>
      </c>
      <c r="O19" s="118"/>
      <c r="P19" s="271">
        <f t="shared" si="2"/>
        <v>2.7947867234969497</v>
      </c>
    </row>
    <row r="20" spans="3:16" x14ac:dyDescent="0.25">
      <c r="C20" s="191">
        <f>'9. Indices-Hist'!B17</f>
        <v>43282</v>
      </c>
      <c r="D20" s="183">
        <f>VLOOKUP(C20,'9. Indices-Hist'!$K$5:$N$64,3,FALSE)</f>
        <v>3.8849680372001956</v>
      </c>
      <c r="F20" s="182">
        <f>'10. Indices-Forecast'!B11</f>
        <v>2028</v>
      </c>
      <c r="G20" s="183">
        <v>3.6954565959694983</v>
      </c>
      <c r="H20" s="183">
        <v>2.993829654969498</v>
      </c>
      <c r="I20" s="183">
        <v>5.2120276159694976</v>
      </c>
      <c r="J20" s="183"/>
      <c r="K20" s="194">
        <f t="shared" si="1"/>
        <v>24.43</v>
      </c>
      <c r="L20" s="173"/>
      <c r="M20" s="182">
        <f t="shared" si="0"/>
        <v>2028</v>
      </c>
      <c r="N20" s="192">
        <f>CHOOSE(HLOOKUP('Supply Porfolio (Live)'!$E$2,$G$11:$I$12,2,FALSE),G20,H20,I20)</f>
        <v>3.6954565959694983</v>
      </c>
      <c r="O20" s="118"/>
      <c r="P20" s="271">
        <f t="shared" si="2"/>
        <v>2.81254565959695</v>
      </c>
    </row>
    <row r="21" spans="3:16" x14ac:dyDescent="0.25">
      <c r="C21" s="191">
        <f>'9. Indices-Hist'!B18</f>
        <v>43313</v>
      </c>
      <c r="D21" s="183">
        <f>VLOOKUP(C21,'9. Indices-Hist'!$K$5:$N$64,3,FALSE)</f>
        <v>4.0814092428711897</v>
      </c>
      <c r="F21" s="182">
        <f>'10. Indices-Forecast'!B12</f>
        <v>2029</v>
      </c>
      <c r="G21" s="183">
        <v>3.8177147479694979</v>
      </c>
      <c r="H21" s="183">
        <v>3.0721044889694982</v>
      </c>
      <c r="I21" s="183">
        <v>5.4941704279694976</v>
      </c>
      <c r="J21" s="183"/>
      <c r="K21" s="194">
        <f t="shared" si="1"/>
        <v>24.43</v>
      </c>
      <c r="L21" s="173"/>
      <c r="M21" s="182">
        <f t="shared" si="0"/>
        <v>2029</v>
      </c>
      <c r="N21" s="192">
        <f>CHOOSE(HLOOKUP('Supply Porfolio (Live)'!$E$2,$G$11:$I$12,2,FALSE),G21,H21,I21)</f>
        <v>3.8177147479694979</v>
      </c>
      <c r="O21" s="118"/>
      <c r="P21" s="271">
        <f t="shared" si="2"/>
        <v>2.8247714747969499</v>
      </c>
    </row>
    <row r="22" spans="3:16" x14ac:dyDescent="0.25">
      <c r="C22" s="191">
        <f>'9. Indices-Hist'!B19</f>
        <v>43344</v>
      </c>
      <c r="D22" s="183">
        <f>VLOOKUP(C22,'9. Indices-Hist'!$K$5:$N$64,3,FALSE)</f>
        <v>4.1325000000000003</v>
      </c>
      <c r="F22" s="182">
        <f>'10. Indices-Forecast'!B13</f>
        <v>2030</v>
      </c>
      <c r="G22" s="183">
        <v>3.9161893049694982</v>
      </c>
      <c r="H22" s="183">
        <v>3.1495258719694981</v>
      </c>
      <c r="I22" s="183">
        <v>5.6742994019694981</v>
      </c>
      <c r="J22" s="183"/>
      <c r="K22" s="194">
        <f t="shared" si="1"/>
        <v>24.43</v>
      </c>
      <c r="L22" s="173"/>
      <c r="M22" s="182">
        <f t="shared" si="0"/>
        <v>2030</v>
      </c>
      <c r="N22" s="192">
        <f>CHOOSE(HLOOKUP('Supply Porfolio (Live)'!$E$2,$G$11:$I$12,2,FALSE),G22,H22,I22)</f>
        <v>3.9161893049694982</v>
      </c>
      <c r="O22" s="118"/>
      <c r="P22" s="271">
        <f t="shared" si="2"/>
        <v>2.83461893049695</v>
      </c>
    </row>
    <row r="23" spans="3:16" x14ac:dyDescent="0.25">
      <c r="C23" s="191">
        <f>'9. Indices-Hist'!B20</f>
        <v>43374</v>
      </c>
      <c r="D23" s="183">
        <f>VLOOKUP(C23,'9. Indices-Hist'!$K$5:$N$64,3,FALSE)</f>
        <v>4.4961169110459434</v>
      </c>
      <c r="F23" s="182">
        <f>'10. Indices-Forecast'!B14</f>
        <v>2031</v>
      </c>
      <c r="G23" s="183">
        <v>4.0034922609694981</v>
      </c>
      <c r="H23" s="183">
        <v>3.1785784639694983</v>
      </c>
      <c r="I23" s="183">
        <v>5.8817128829694969</v>
      </c>
      <c r="J23" s="183"/>
      <c r="K23" s="194">
        <f t="shared" si="1"/>
        <v>24.43</v>
      </c>
      <c r="L23" s="173"/>
      <c r="M23" s="182">
        <f t="shared" si="0"/>
        <v>2031</v>
      </c>
      <c r="N23" s="192">
        <f>CHOOSE(HLOOKUP('Supply Porfolio (Live)'!$E$2,$G$11:$I$12,2,FALSE),G23,H23,I23)</f>
        <v>4.0034922609694981</v>
      </c>
      <c r="O23" s="118"/>
      <c r="P23" s="271">
        <f t="shared" si="2"/>
        <v>2.84334922609695</v>
      </c>
    </row>
    <row r="24" spans="3:16" x14ac:dyDescent="0.25">
      <c r="C24" s="191">
        <f>'9. Indices-Hist'!B21</f>
        <v>43405</v>
      </c>
      <c r="D24" s="183">
        <f>VLOOKUP(C24,'9. Indices-Hist'!$K$5:$N$64,3,FALSE)</f>
        <v>5.670179485912012</v>
      </c>
      <c r="F24" s="182">
        <f>'10. Indices-Forecast'!B15</f>
        <v>2032</v>
      </c>
      <c r="G24" s="183">
        <v>4.0382763519694977</v>
      </c>
      <c r="H24" s="183">
        <v>3.1888240239694983</v>
      </c>
      <c r="I24" s="183">
        <v>6.0718820909694973</v>
      </c>
      <c r="J24" s="183"/>
      <c r="K24" s="194">
        <f t="shared" si="1"/>
        <v>24.43</v>
      </c>
      <c r="L24" s="173"/>
      <c r="M24" s="182">
        <f t="shared" si="0"/>
        <v>2032</v>
      </c>
      <c r="N24" s="192">
        <f>CHOOSE(HLOOKUP('Supply Porfolio (Live)'!$E$2,$G$11:$I$12,2,FALSE),G24,H24,I24)</f>
        <v>4.0382763519694977</v>
      </c>
      <c r="O24" s="118"/>
      <c r="P24" s="271">
        <f t="shared" si="2"/>
        <v>2.8468276351969499</v>
      </c>
    </row>
    <row r="25" spans="3:16" x14ac:dyDescent="0.25">
      <c r="C25" s="191">
        <f>'9. Indices-Hist'!B22</f>
        <v>43435</v>
      </c>
      <c r="D25" s="183">
        <f>VLOOKUP(C25,'9. Indices-Hist'!$K$5:$N$64,3,FALSE)</f>
        <v>5.6370863681592045</v>
      </c>
      <c r="F25" s="182">
        <f>'10. Indices-Forecast'!B16</f>
        <v>2033</v>
      </c>
      <c r="G25" s="183">
        <v>4.1092071519694979</v>
      </c>
      <c r="H25" s="183">
        <v>3.2689115339694976</v>
      </c>
      <c r="I25" s="183">
        <v>6.2398947569694974</v>
      </c>
      <c r="J25" s="183"/>
      <c r="K25" s="194">
        <f t="shared" si="1"/>
        <v>24.43</v>
      </c>
      <c r="L25" s="173"/>
      <c r="M25" s="182">
        <f t="shared" si="0"/>
        <v>2033</v>
      </c>
      <c r="N25" s="192">
        <f>CHOOSE(HLOOKUP('Supply Porfolio (Live)'!$E$2,$G$11:$I$12,2,FALSE),G25,H25,I25)</f>
        <v>4.1092071519694979</v>
      </c>
      <c r="O25" s="118"/>
      <c r="P25" s="271">
        <f t="shared" si="2"/>
        <v>2.8539207151969501</v>
      </c>
    </row>
    <row r="26" spans="3:16" x14ac:dyDescent="0.25">
      <c r="C26" s="191">
        <f>'9. Indices-Hist'!B23</f>
        <v>43466</v>
      </c>
      <c r="D26" s="183">
        <f>VLOOKUP(C26,'9. Indices-Hist'!$K$5:$N$64,3,FALSE)</f>
        <v>4.3808512807634354</v>
      </c>
      <c r="E26" s="176"/>
      <c r="F26" s="182">
        <f>'10. Indices-Forecast'!B17</f>
        <v>2034</v>
      </c>
      <c r="G26" s="183">
        <v>4.1033045479694978</v>
      </c>
      <c r="H26" s="183">
        <v>3.266298293969498</v>
      </c>
      <c r="I26" s="183">
        <v>6.356669252969497</v>
      </c>
      <c r="J26" s="183"/>
      <c r="K26" s="194">
        <f t="shared" si="1"/>
        <v>24.43</v>
      </c>
      <c r="L26" s="173"/>
      <c r="M26" s="182">
        <f t="shared" si="0"/>
        <v>2034</v>
      </c>
      <c r="N26" s="192">
        <f>CHOOSE(HLOOKUP('Supply Porfolio (Live)'!$E$2,$G$11:$I$12,2,FALSE),G26,H26,I26)</f>
        <v>4.1033045479694978</v>
      </c>
      <c r="O26" s="118"/>
      <c r="P26" s="271">
        <f t="shared" si="2"/>
        <v>2.85333045479695</v>
      </c>
    </row>
    <row r="27" spans="3:16" x14ac:dyDescent="0.25">
      <c r="C27" s="191">
        <f>'9. Indices-Hist'!B24</f>
        <v>43497</v>
      </c>
      <c r="D27" s="183">
        <f>VLOOKUP(C27,'9. Indices-Hist'!$K$5:$N$64,3,FALSE)</f>
        <v>3.7873228413654623</v>
      </c>
      <c r="E27" s="176"/>
      <c r="F27" s="182">
        <f>'10. Indices-Forecast'!B18</f>
        <v>2035</v>
      </c>
      <c r="G27" s="183">
        <v>4.1010366289694975</v>
      </c>
      <c r="H27" s="183">
        <v>3.230306097969498</v>
      </c>
      <c r="I27" s="183">
        <v>6.4226068979694979</v>
      </c>
      <c r="J27" s="183"/>
      <c r="K27" s="194">
        <f t="shared" si="1"/>
        <v>24.43</v>
      </c>
      <c r="L27" s="173"/>
      <c r="M27" s="182">
        <f t="shared" si="0"/>
        <v>2035</v>
      </c>
      <c r="N27" s="192">
        <f>CHOOSE(HLOOKUP('Supply Porfolio (Live)'!$E$2,$G$11:$I$12,2,FALSE),G27,H27,I27)</f>
        <v>4.1010366289694975</v>
      </c>
      <c r="O27" s="118"/>
      <c r="P27" s="271">
        <f t="shared" si="2"/>
        <v>2.8531036628969497</v>
      </c>
    </row>
    <row r="28" spans="3:16" x14ac:dyDescent="0.25">
      <c r="C28" s="191">
        <f>'9. Indices-Hist'!B25</f>
        <v>43525</v>
      </c>
      <c r="D28" s="183">
        <f>VLOOKUP(C28,'9. Indices-Hist'!$K$5:$N$64,3,FALSE)</f>
        <v>4.1202890936254981</v>
      </c>
      <c r="E28" s="176"/>
      <c r="F28" s="182">
        <f>'10. Indices-Forecast'!B19</f>
        <v>2036</v>
      </c>
      <c r="G28" s="183">
        <v>4.1112904849694978</v>
      </c>
      <c r="H28" s="183">
        <v>3.2153266329694983</v>
      </c>
      <c r="I28" s="183">
        <v>6.6195684559694978</v>
      </c>
      <c r="J28" s="183"/>
      <c r="K28" s="194">
        <f t="shared" si="1"/>
        <v>24.43</v>
      </c>
      <c r="L28" s="173"/>
      <c r="M28" s="182">
        <f t="shared" si="0"/>
        <v>2036</v>
      </c>
      <c r="N28" s="192">
        <f>CHOOSE(HLOOKUP('Supply Porfolio (Live)'!$E$2,$G$11:$I$12,2,FALSE),G28,H28,I28)</f>
        <v>4.1112904849694978</v>
      </c>
      <c r="O28" s="118"/>
      <c r="P28" s="271">
        <f t="shared" si="2"/>
        <v>2.8541290484969499</v>
      </c>
    </row>
    <row r="29" spans="3:16" x14ac:dyDescent="0.25">
      <c r="C29" s="191">
        <f>'9. Indices-Hist'!B26</f>
        <v>43556</v>
      </c>
      <c r="D29" s="183">
        <f>VLOOKUP(C29,'9. Indices-Hist'!$K$5:$N$64,3,FALSE)</f>
        <v>3.6774683325086595</v>
      </c>
      <c r="E29" s="176"/>
      <c r="F29" s="182">
        <f>'10. Indices-Forecast'!B20</f>
        <v>2037</v>
      </c>
      <c r="G29" s="183">
        <v>4.1291849569694978</v>
      </c>
      <c r="H29" s="183">
        <v>3.2100503769694981</v>
      </c>
      <c r="I29" s="183">
        <v>6.6765080519694973</v>
      </c>
      <c r="J29" s="183"/>
      <c r="K29" s="194">
        <f t="shared" si="1"/>
        <v>24.43</v>
      </c>
      <c r="L29" s="173"/>
      <c r="M29" s="182">
        <f t="shared" si="0"/>
        <v>2037</v>
      </c>
      <c r="N29" s="192">
        <f>CHOOSE(HLOOKUP('Supply Porfolio (Live)'!$E$2,$G$11:$I$12,2,FALSE),G29,H29,I29)</f>
        <v>4.1291849569694978</v>
      </c>
      <c r="O29" s="118"/>
      <c r="P29" s="271">
        <f t="shared" si="2"/>
        <v>2.8559184956969501</v>
      </c>
    </row>
    <row r="30" spans="3:16" x14ac:dyDescent="0.25">
      <c r="C30" s="191">
        <f>'9. Indices-Hist'!B27</f>
        <v>43586</v>
      </c>
      <c r="D30" s="183">
        <f>VLOOKUP(C30,'9. Indices-Hist'!$K$5:$N$64,3,FALSE)</f>
        <v>3.6708565195835403</v>
      </c>
      <c r="E30" s="176"/>
      <c r="F30" s="182">
        <f>'10. Indices-Forecast'!B21</f>
        <v>2038</v>
      </c>
      <c r="G30" s="183">
        <v>4.148742776969498</v>
      </c>
      <c r="H30" s="183">
        <v>3.1856985059694978</v>
      </c>
      <c r="I30" s="183">
        <v>6.7490773119694971</v>
      </c>
      <c r="J30" s="183"/>
      <c r="K30" s="194">
        <f t="shared" si="1"/>
        <v>24.43</v>
      </c>
      <c r="L30" s="173"/>
      <c r="M30" s="182">
        <f t="shared" si="0"/>
        <v>2038</v>
      </c>
      <c r="N30" s="192">
        <f>CHOOSE(HLOOKUP('Supply Porfolio (Live)'!$E$2,$G$11:$I$12,2,FALSE),G30,H30,I30)</f>
        <v>4.148742776969498</v>
      </c>
      <c r="O30" s="118"/>
      <c r="P30" s="271">
        <f t="shared" si="2"/>
        <v>2.8578742776969497</v>
      </c>
    </row>
    <row r="31" spans="3:16" x14ac:dyDescent="0.25">
      <c r="C31" s="191">
        <f>'9. Indices-Hist'!B28</f>
        <v>43617</v>
      </c>
      <c r="D31" s="183">
        <f>VLOOKUP(C31,'9. Indices-Hist'!$K$5:$N$64,3,FALSE)</f>
        <v>3.3604672990514226</v>
      </c>
      <c r="E31" s="176"/>
      <c r="F31" s="182">
        <f>'10. Indices-Forecast'!B22</f>
        <v>2039</v>
      </c>
      <c r="G31" s="183">
        <v>4.1498979949694981</v>
      </c>
      <c r="H31" s="183">
        <v>3.1953674939694983</v>
      </c>
      <c r="I31" s="183">
        <v>6.8739715179694967</v>
      </c>
      <c r="J31" s="183"/>
      <c r="K31" s="194">
        <f t="shared" si="1"/>
        <v>24.43</v>
      </c>
      <c r="L31" s="173"/>
      <c r="M31" s="182">
        <f t="shared" si="0"/>
        <v>2039</v>
      </c>
      <c r="N31" s="192">
        <f>CHOOSE(HLOOKUP('Supply Porfolio (Live)'!$E$2,$G$11:$I$12,2,FALSE),G31,H31,I31)</f>
        <v>4.1498979949694981</v>
      </c>
      <c r="O31" s="118"/>
      <c r="P31" s="271">
        <f t="shared" si="2"/>
        <v>2.8579897994969499</v>
      </c>
    </row>
    <row r="32" spans="3:16" x14ac:dyDescent="0.25">
      <c r="C32" s="191">
        <f>'9. Indices-Hist'!B29</f>
        <v>43647</v>
      </c>
      <c r="D32" s="183">
        <f>VLOOKUP(C32,'9. Indices-Hist'!$K$5:$N$64,3,FALSE)</f>
        <v>3.3118476831091184</v>
      </c>
      <c r="E32" s="176"/>
      <c r="F32" s="182">
        <f>'10. Indices-Forecast'!B23</f>
        <v>2040</v>
      </c>
      <c r="G32" s="183">
        <v>4.1867280869694978</v>
      </c>
      <c r="H32" s="183">
        <v>3.1699475129694981</v>
      </c>
      <c r="I32" s="183">
        <v>7.0046687759694981</v>
      </c>
      <c r="J32" s="183"/>
      <c r="K32" s="194">
        <f t="shared" si="1"/>
        <v>24.43</v>
      </c>
      <c r="L32" s="173"/>
      <c r="M32" s="182">
        <f t="shared" si="0"/>
        <v>2040</v>
      </c>
      <c r="N32" s="192">
        <f>CHOOSE(HLOOKUP('Supply Porfolio (Live)'!$E$2,$G$11:$I$12,2,FALSE),G32,H32,I32)</f>
        <v>4.1867280869694978</v>
      </c>
      <c r="O32" s="118"/>
      <c r="P32" s="271">
        <f t="shared" si="2"/>
        <v>2.8616728086969498</v>
      </c>
    </row>
    <row r="33" spans="3:16" x14ac:dyDescent="0.25">
      <c r="C33" s="191">
        <f>'9. Indices-Hist'!B30</f>
        <v>43678</v>
      </c>
      <c r="D33" s="183">
        <f>VLOOKUP(C33,'9. Indices-Hist'!$K$5:$N$64,3,FALSE)</f>
        <v>3.125597289156627</v>
      </c>
      <c r="E33" s="176"/>
      <c r="F33" s="182">
        <f>'10. Indices-Forecast'!B24</f>
        <v>2041</v>
      </c>
      <c r="G33" s="183">
        <v>4.1930071219694973</v>
      </c>
      <c r="H33" s="183">
        <v>3.1296268789694981</v>
      </c>
      <c r="I33" s="183">
        <v>6.9671044879694968</v>
      </c>
      <c r="J33" s="183"/>
      <c r="K33" s="194">
        <f t="shared" si="1"/>
        <v>24.43</v>
      </c>
      <c r="L33" s="173"/>
      <c r="M33" s="182">
        <f t="shared" si="0"/>
        <v>2041</v>
      </c>
      <c r="N33" s="192">
        <f>CHOOSE(HLOOKUP('Supply Porfolio (Live)'!$E$2,$G$11:$I$12,2,FALSE),G33,H33,I33)</f>
        <v>4.1930071219694973</v>
      </c>
      <c r="O33" s="118"/>
      <c r="P33" s="271">
        <f t="shared" si="2"/>
        <v>2.8623007121969497</v>
      </c>
    </row>
    <row r="34" spans="3:16" x14ac:dyDescent="0.25">
      <c r="C34" s="191">
        <f>'9. Indices-Hist'!B31</f>
        <v>43709</v>
      </c>
      <c r="D34" s="183">
        <f>VLOOKUP(C34,'9. Indices-Hist'!$K$5:$N$64,3,FALSE)</f>
        <v>3.6188258064516128</v>
      </c>
      <c r="E34" s="176"/>
      <c r="F34" s="182">
        <f>'10. Indices-Forecast'!B25</f>
        <v>2042</v>
      </c>
      <c r="G34" s="183">
        <v>4.1694018909694979</v>
      </c>
      <c r="H34" s="183">
        <v>3.0652592519694979</v>
      </c>
      <c r="I34" s="183">
        <v>6.8963292379694972</v>
      </c>
      <c r="J34" s="183"/>
      <c r="K34" s="194">
        <f t="shared" si="1"/>
        <v>24.43</v>
      </c>
      <c r="L34" s="173"/>
      <c r="M34" s="182">
        <f t="shared" si="0"/>
        <v>2042</v>
      </c>
      <c r="N34" s="192">
        <f>CHOOSE(HLOOKUP('Supply Porfolio (Live)'!$E$2,$G$11:$I$12,2,FALSE),G34,H34,I34)</f>
        <v>4.1694018909694979</v>
      </c>
      <c r="O34" s="118"/>
      <c r="P34" s="271">
        <f t="shared" si="2"/>
        <v>2.85994018909695</v>
      </c>
    </row>
    <row r="35" spans="3:16" x14ac:dyDescent="0.25">
      <c r="C35" s="191">
        <f>'9. Indices-Hist'!B32</f>
        <v>43739</v>
      </c>
      <c r="D35" s="183">
        <f>VLOOKUP(C35,'9. Indices-Hist'!$K$5:$N$64,3,FALSE)</f>
        <v>3.2903800100704936</v>
      </c>
      <c r="E35" s="176"/>
      <c r="F35" s="182">
        <f>'10. Indices-Forecast'!B26</f>
        <v>2043</v>
      </c>
      <c r="G35" s="183">
        <v>4.1730718339694981</v>
      </c>
      <c r="H35" s="183">
        <v>3.041758757969498</v>
      </c>
      <c r="I35" s="183">
        <v>6.8450879569694978</v>
      </c>
      <c r="J35" s="183"/>
      <c r="K35" s="194">
        <f t="shared" si="1"/>
        <v>24.43</v>
      </c>
      <c r="L35" s="173"/>
      <c r="M35" s="182">
        <f t="shared" si="0"/>
        <v>2043</v>
      </c>
      <c r="N35" s="192">
        <f>CHOOSE(HLOOKUP('Supply Porfolio (Live)'!$E$2,$G$11:$I$12,2,FALSE),G35,H35,I35)</f>
        <v>4.1730718339694981</v>
      </c>
      <c r="O35" s="118"/>
      <c r="P35" s="271">
        <f t="shared" si="2"/>
        <v>2.8603071833969498</v>
      </c>
    </row>
    <row r="36" spans="3:16" x14ac:dyDescent="0.25">
      <c r="C36" s="191">
        <f>'9. Indices-Hist'!B33</f>
        <v>43770</v>
      </c>
      <c r="D36" s="183">
        <f>VLOOKUP(C36,'9. Indices-Hist'!$K$5:$N$64,3,FALSE)</f>
        <v>3.7347555276381907</v>
      </c>
      <c r="E36" s="176"/>
      <c r="F36" s="182">
        <f>'10. Indices-Forecast'!B27</f>
        <v>2044</v>
      </c>
      <c r="G36" s="183">
        <v>4.1085434719694982</v>
      </c>
      <c r="H36" s="183">
        <v>3.021038460969498</v>
      </c>
      <c r="I36" s="183">
        <v>6.988354691969497</v>
      </c>
      <c r="J36" s="183"/>
      <c r="K36" s="194">
        <f t="shared" si="1"/>
        <v>24.43</v>
      </c>
      <c r="L36" s="173"/>
      <c r="M36" s="182">
        <f t="shared" si="0"/>
        <v>2044</v>
      </c>
      <c r="N36" s="192">
        <f>CHOOSE(HLOOKUP('Supply Porfolio (Live)'!$E$2,$G$11:$I$12,2,FALSE),G36,H36,I36)</f>
        <v>4.1085434719694982</v>
      </c>
      <c r="O36" s="118"/>
      <c r="P36" s="271">
        <f t="shared" si="2"/>
        <v>2.85385434719695</v>
      </c>
    </row>
    <row r="37" spans="3:16" x14ac:dyDescent="0.25">
      <c r="C37" s="191">
        <f>'9. Indices-Hist'!B34</f>
        <v>43800</v>
      </c>
      <c r="D37" s="183">
        <f>VLOOKUP(C37,'9. Indices-Hist'!$K$5:$N$64,3,FALSE)</f>
        <v>3.1287385929648246</v>
      </c>
      <c r="E37" s="176"/>
      <c r="F37" s="182">
        <f>'10. Indices-Forecast'!B28</f>
        <v>2045</v>
      </c>
      <c r="G37" s="183">
        <v>4.0767998649694981</v>
      </c>
      <c r="H37" s="183">
        <v>3.0077213069694979</v>
      </c>
      <c r="I37" s="183">
        <v>7.0288982809694973</v>
      </c>
      <c r="J37" s="183"/>
      <c r="K37" s="194">
        <f t="shared" si="1"/>
        <v>24.43</v>
      </c>
      <c r="L37" s="173"/>
      <c r="M37" s="182">
        <f t="shared" si="0"/>
        <v>2045</v>
      </c>
      <c r="N37" s="192">
        <f>CHOOSE(HLOOKUP('Supply Porfolio (Live)'!$E$2,$G$11:$I$12,2,FALSE),G37,H37,I37)</f>
        <v>4.0767998649694981</v>
      </c>
      <c r="O37" s="118"/>
      <c r="P37" s="271">
        <f t="shared" si="2"/>
        <v>2.8506799864969499</v>
      </c>
    </row>
    <row r="38" spans="3:16" x14ac:dyDescent="0.25">
      <c r="C38" s="191">
        <f>'9. Indices-Hist'!B35</f>
        <v>43831</v>
      </c>
      <c r="D38" s="183">
        <f>VLOOKUP(C38,'9. Indices-Hist'!$K$5:$N$64,3,FALSE)</f>
        <v>2.8425849473156046</v>
      </c>
      <c r="E38" s="176"/>
      <c r="F38" s="182">
        <f>'10. Indices-Forecast'!B29</f>
        <v>2046</v>
      </c>
      <c r="G38" s="183">
        <v>4.0649013269694976</v>
      </c>
      <c r="H38" s="183">
        <v>2.9884434769694983</v>
      </c>
      <c r="I38" s="183">
        <v>7.0875447789694972</v>
      </c>
      <c r="J38" s="183"/>
      <c r="K38" s="194">
        <f t="shared" si="1"/>
        <v>24.43</v>
      </c>
      <c r="L38" s="173"/>
      <c r="M38" s="182">
        <f t="shared" si="0"/>
        <v>2046</v>
      </c>
      <c r="N38" s="192">
        <f>CHOOSE(HLOOKUP('Supply Porfolio (Live)'!$E$2,$G$11:$I$12,2,FALSE),G38,H38,I38)</f>
        <v>4.0649013269694976</v>
      </c>
      <c r="O38" s="118"/>
      <c r="P38" s="271">
        <f t="shared" si="2"/>
        <v>2.8494901326969497</v>
      </c>
    </row>
    <row r="39" spans="3:16" x14ac:dyDescent="0.25">
      <c r="C39" s="191">
        <f>'9. Indices-Hist'!B36</f>
        <v>43862</v>
      </c>
      <c r="D39" s="183">
        <f>VLOOKUP(C39,'9. Indices-Hist'!$K$5:$N$64,3,FALSE)</f>
        <v>2.7233182003050329</v>
      </c>
      <c r="E39" s="176"/>
      <c r="F39" s="182">
        <f>'10. Indices-Forecast'!B30</f>
        <v>2047</v>
      </c>
      <c r="G39" s="183">
        <v>4.0584677789694981</v>
      </c>
      <c r="H39" s="183">
        <v>2.9464740129694977</v>
      </c>
      <c r="I39" s="183">
        <v>7.1288277489694973</v>
      </c>
      <c r="J39" s="183"/>
      <c r="K39" s="194">
        <f t="shared" si="1"/>
        <v>24.43</v>
      </c>
      <c r="L39" s="173"/>
      <c r="M39" s="182">
        <f t="shared" si="0"/>
        <v>2047</v>
      </c>
      <c r="N39" s="192">
        <f>CHOOSE(HLOOKUP('Supply Porfolio (Live)'!$E$2,$G$11:$I$12,2,FALSE),G39,H39,I39)</f>
        <v>4.0584677789694981</v>
      </c>
      <c r="O39" s="118"/>
      <c r="P39" s="271">
        <f t="shared" si="2"/>
        <v>2.84884677789695</v>
      </c>
    </row>
    <row r="40" spans="3:16" x14ac:dyDescent="0.25">
      <c r="C40" s="191">
        <f>'9. Indices-Hist'!B37</f>
        <v>43891</v>
      </c>
      <c r="D40" s="183">
        <f>VLOOKUP(C40,'9. Indices-Hist'!$K$5:$N$64,3,FALSE)</f>
        <v>2.5998011910926979</v>
      </c>
      <c r="E40" s="176"/>
      <c r="F40" s="182">
        <f>'10. Indices-Forecast'!B31</f>
        <v>2048</v>
      </c>
      <c r="G40" s="183">
        <v>4.0836139919694983</v>
      </c>
      <c r="H40" s="183">
        <v>2.9517834529694982</v>
      </c>
      <c r="I40" s="183">
        <v>7.1694511869694972</v>
      </c>
      <c r="J40" s="183"/>
      <c r="K40" s="194">
        <f t="shared" si="1"/>
        <v>24.43</v>
      </c>
      <c r="L40" s="173"/>
      <c r="M40" s="182">
        <f t="shared" si="0"/>
        <v>2048</v>
      </c>
      <c r="N40" s="192">
        <f>CHOOSE(HLOOKUP('Supply Porfolio (Live)'!$E$2,$G$11:$I$12,2,FALSE),G40,H40,I40)</f>
        <v>4.0836139919694983</v>
      </c>
      <c r="O40" s="118"/>
      <c r="P40" s="271">
        <f t="shared" si="2"/>
        <v>2.85136139919695</v>
      </c>
    </row>
    <row r="41" spans="3:16" x14ac:dyDescent="0.25">
      <c r="C41" s="191">
        <f>'9. Indices-Hist'!B38</f>
        <v>43922</v>
      </c>
      <c r="D41" s="183">
        <f>VLOOKUP(C41,'9. Indices-Hist'!$K$5:$N$64,3,FALSE)</f>
        <v>2.630720539083558</v>
      </c>
      <c r="E41" s="176"/>
      <c r="F41" s="182">
        <f>'10. Indices-Forecast'!B32</f>
        <v>2049</v>
      </c>
      <c r="G41" s="183">
        <v>4.0592258259694978</v>
      </c>
      <c r="H41" s="183">
        <v>2.954379063969498</v>
      </c>
      <c r="I41" s="183">
        <v>7.2498705369694978</v>
      </c>
      <c r="J41" s="183"/>
      <c r="K41" s="194">
        <f t="shared" si="1"/>
        <v>24.43</v>
      </c>
      <c r="L41" s="173"/>
      <c r="M41" s="182">
        <f t="shared" si="0"/>
        <v>2049</v>
      </c>
      <c r="N41" s="192">
        <f>CHOOSE(HLOOKUP('Supply Porfolio (Live)'!$E$2,$G$11:$I$12,2,FALSE),G41,H41,I41)</f>
        <v>4.0592258259694978</v>
      </c>
      <c r="O41" s="118"/>
      <c r="P41" s="271">
        <f t="shared" si="2"/>
        <v>2.8489225825969497</v>
      </c>
    </row>
    <row r="42" spans="3:16" x14ac:dyDescent="0.25">
      <c r="C42" s="191">
        <f>'9. Indices-Hist'!B39</f>
        <v>43952</v>
      </c>
      <c r="D42" s="183">
        <f>VLOOKUP(C42,'9. Indices-Hist'!$K$5:$N$64,3,FALSE)</f>
        <v>2.6023502120890774</v>
      </c>
      <c r="E42" s="176"/>
      <c r="F42" s="182">
        <f>'10. Indices-Forecast'!B33</f>
        <v>2050</v>
      </c>
      <c r="G42" s="183">
        <v>4.0517272789694978</v>
      </c>
      <c r="H42" s="183">
        <v>2.962958164969498</v>
      </c>
      <c r="I42" s="183">
        <v>7.3179164029694972</v>
      </c>
      <c r="J42" s="183"/>
      <c r="K42" s="194">
        <f t="shared" si="1"/>
        <v>24.43</v>
      </c>
      <c r="L42" s="173"/>
      <c r="M42" s="182">
        <f t="shared" si="0"/>
        <v>2050</v>
      </c>
      <c r="N42" s="192">
        <f>CHOOSE(HLOOKUP('Supply Porfolio (Live)'!$E$2,$G$11:$I$12,2,FALSE),G42,H42,I42)</f>
        <v>4.0517272789694978</v>
      </c>
      <c r="O42" s="118"/>
      <c r="P42" s="271">
        <f t="shared" si="2"/>
        <v>2.8481727278969498</v>
      </c>
    </row>
    <row r="43" spans="3:16" x14ac:dyDescent="0.25">
      <c r="C43" s="191">
        <f>'9. Indices-Hist'!B40</f>
        <v>43983</v>
      </c>
      <c r="D43" s="183">
        <f>VLOOKUP(C43,'9. Indices-Hist'!$K$5:$N$64,3,FALSE)</f>
        <v>2.3909423117154813</v>
      </c>
      <c r="F43" s="140" t="s">
        <v>366</v>
      </c>
      <c r="G43" s="183"/>
      <c r="H43" s="183"/>
      <c r="I43" s="183"/>
      <c r="J43" s="183"/>
      <c r="N43" s="1"/>
      <c r="O43" s="1"/>
      <c r="P43" s="1"/>
    </row>
    <row r="44" spans="3:16" x14ac:dyDescent="0.25">
      <c r="C44" s="191">
        <f>'9. Indices-Hist'!B41</f>
        <v>44013</v>
      </c>
      <c r="D44" s="183">
        <f>VLOOKUP(C44,'9. Indices-Hist'!$K$5:$N$64,3,FALSE)</f>
        <v>2.5720851295336788</v>
      </c>
      <c r="F44" s="182"/>
      <c r="G44" s="183"/>
      <c r="H44" s="183"/>
      <c r="I44" s="183"/>
      <c r="J44" s="183"/>
      <c r="K44" s="183"/>
      <c r="L44" s="183"/>
      <c r="M44" s="183"/>
      <c r="N44" s="1"/>
      <c r="O44" s="1"/>
      <c r="P44" s="1"/>
    </row>
    <row r="45" spans="3:16" x14ac:dyDescent="0.25">
      <c r="C45" s="191">
        <f>'9. Indices-Hist'!B42</f>
        <v>44044</v>
      </c>
      <c r="D45" s="183">
        <f>VLOOKUP(C45,'9. Indices-Hist'!$K$5:$N$64,3,FALSE)</f>
        <v>3.3198955223880593</v>
      </c>
      <c r="F45" s="182"/>
      <c r="G45" s="183"/>
      <c r="H45" s="183"/>
      <c r="I45" s="183"/>
      <c r="J45" s="183"/>
      <c r="K45" s="183"/>
      <c r="L45" s="183"/>
      <c r="M45" s="183"/>
      <c r="N45" s="1"/>
      <c r="O45" s="1"/>
      <c r="P45" s="1"/>
    </row>
    <row r="46" spans="3:16" x14ac:dyDescent="0.25">
      <c r="C46" s="191">
        <f>'9. Indices-Hist'!B43</f>
        <v>44075</v>
      </c>
      <c r="D46" s="183">
        <f>VLOOKUP(C46,'9. Indices-Hist'!$K$5:$N$64,3,FALSE)</f>
        <v>2.7543799488491048</v>
      </c>
      <c r="F46" s="182"/>
      <c r="G46" s="183"/>
      <c r="H46" s="183"/>
      <c r="I46" s="183"/>
      <c r="J46" s="183"/>
      <c r="K46" s="183"/>
      <c r="L46" s="183"/>
      <c r="M46" s="183"/>
      <c r="N46" s="1"/>
      <c r="O46" s="1"/>
      <c r="P46" s="1"/>
    </row>
    <row r="47" spans="3:16" x14ac:dyDescent="0.25">
      <c r="C47" s="191">
        <f>'9. Indices-Hist'!B44</f>
        <v>44105</v>
      </c>
      <c r="D47" s="183">
        <f>VLOOKUP(C47,'9. Indices-Hist'!$K$5:$N$64,3,FALSE)</f>
        <v>3.4111807124681932</v>
      </c>
      <c r="F47" s="182"/>
      <c r="G47" s="183"/>
      <c r="H47" s="183"/>
      <c r="I47" s="183"/>
      <c r="J47" s="183"/>
      <c r="K47" s="183"/>
      <c r="L47" s="183"/>
      <c r="M47" s="183"/>
      <c r="N47" s="1"/>
      <c r="O47" s="1"/>
      <c r="P47" s="1"/>
    </row>
    <row r="48" spans="3:16" x14ac:dyDescent="0.25">
      <c r="C48" s="191">
        <f>'9. Indices-Hist'!B45</f>
        <v>44136</v>
      </c>
      <c r="D48" s="183">
        <f>VLOOKUP(C48,'9. Indices-Hist'!$K$5:$N$64,3,FALSE)</f>
        <v>3.6913665658093797</v>
      </c>
      <c r="F48" s="182"/>
      <c r="G48" s="183"/>
      <c r="H48" s="183"/>
      <c r="I48" s="183"/>
      <c r="J48" s="183"/>
      <c r="K48" s="183"/>
      <c r="L48" s="183"/>
      <c r="M48" s="183"/>
      <c r="N48" s="1"/>
      <c r="O48" s="1"/>
      <c r="P48" s="1"/>
    </row>
    <row r="49" spans="3:16" x14ac:dyDescent="0.25">
      <c r="C49" s="191">
        <f>'9. Indices-Hist'!B46</f>
        <v>44166</v>
      </c>
      <c r="D49" s="183">
        <f>VLOOKUP(C49,'9. Indices-Hist'!$K$5:$N$64,3,FALSE)</f>
        <v>3.6228868329177057</v>
      </c>
      <c r="F49" s="182"/>
      <c r="G49" s="183"/>
      <c r="H49" s="183"/>
      <c r="I49" s="183"/>
      <c r="J49" s="183"/>
      <c r="K49" s="183"/>
      <c r="L49" s="183"/>
      <c r="M49" s="183"/>
      <c r="N49" s="1"/>
      <c r="O49" s="1"/>
      <c r="P49" s="1"/>
    </row>
    <row r="50" spans="3:16" x14ac:dyDescent="0.25">
      <c r="C50" s="191">
        <f>'9. Indices-Hist'!B47</f>
        <v>44197</v>
      </c>
      <c r="D50" s="183">
        <f>VLOOKUP(C50,'9. Indices-Hist'!$K$5:$N$64,3,FALSE)</f>
        <v>3.7111518066406246</v>
      </c>
      <c r="F50" s="182"/>
      <c r="G50" s="183"/>
      <c r="H50" s="183"/>
      <c r="I50" s="183"/>
      <c r="J50" s="183"/>
      <c r="K50" s="183"/>
      <c r="L50" s="183"/>
      <c r="M50" s="183"/>
    </row>
    <row r="51" spans="3:16" x14ac:dyDescent="0.25">
      <c r="C51" s="191">
        <f>'9. Indices-Hist'!B48</f>
        <v>44228</v>
      </c>
      <c r="D51" s="183">
        <f>VLOOKUP(C51,'9. Indices-Hist'!$K$5:$N$64,3,FALSE)</f>
        <v>7.1246707027540355</v>
      </c>
      <c r="F51" s="182"/>
      <c r="G51" s="183"/>
      <c r="H51" s="183"/>
      <c r="I51" s="183"/>
      <c r="J51" s="183"/>
      <c r="K51" s="183"/>
      <c r="L51" s="183"/>
      <c r="M51" s="183"/>
    </row>
    <row r="52" spans="3:16" x14ac:dyDescent="0.25">
      <c r="C52" s="191">
        <f>'9. Indices-Hist'!B49</f>
        <v>44256</v>
      </c>
      <c r="D52" s="183">
        <f>VLOOKUP(C52,'9. Indices-Hist'!$K$5:$N$64,3,FALSE)</f>
        <v>3.4176864186046512</v>
      </c>
      <c r="F52" s="182"/>
      <c r="G52" s="183"/>
      <c r="H52" s="183"/>
      <c r="I52" s="183"/>
      <c r="J52" s="183"/>
      <c r="K52" s="183"/>
      <c r="L52" s="183"/>
      <c r="M52" s="183"/>
    </row>
    <row r="53" spans="3:16" x14ac:dyDescent="0.25">
      <c r="C53" s="191">
        <f>'9. Indices-Hist'!B50</f>
        <v>44287</v>
      </c>
      <c r="D53" s="183">
        <f>VLOOKUP(C53,'9. Indices-Hist'!$K$5:$N$64,3,FALSE)</f>
        <v>3.4236849013308857</v>
      </c>
      <c r="F53" s="182"/>
      <c r="G53" s="183"/>
      <c r="H53" s="183"/>
      <c r="I53" s="183"/>
      <c r="J53" s="183"/>
      <c r="K53" s="183"/>
      <c r="L53" s="183"/>
      <c r="M53" s="183"/>
    </row>
    <row r="54" spans="3:16" x14ac:dyDescent="0.25">
      <c r="C54" s="191">
        <f>'9. Indices-Hist'!B51</f>
        <v>44317</v>
      </c>
      <c r="D54" s="183">
        <f>VLOOKUP(C54,'9. Indices-Hist'!$K$5:$N$64,3,FALSE)</f>
        <v>3.6288825700311254</v>
      </c>
      <c r="F54" s="182"/>
      <c r="G54" s="183"/>
      <c r="H54" s="183"/>
      <c r="I54" s="183"/>
      <c r="J54" s="183"/>
      <c r="K54" s="183"/>
      <c r="L54" s="183"/>
      <c r="M54" s="183"/>
    </row>
    <row r="55" spans="3:16" x14ac:dyDescent="0.25">
      <c r="C55" s="191">
        <f>'9. Indices-Hist'!B52</f>
        <v>44348</v>
      </c>
      <c r="D55" s="183">
        <f>VLOOKUP(C55,'9. Indices-Hist'!$K$5:$N$64,3,FALSE)</f>
        <v>3.9943046745303619</v>
      </c>
      <c r="F55" s="182"/>
      <c r="G55" s="183"/>
      <c r="H55" s="183"/>
      <c r="I55" s="183"/>
      <c r="J55" s="183"/>
      <c r="K55" s="183"/>
      <c r="L55" s="183"/>
      <c r="M55" s="183"/>
    </row>
    <row r="56" spans="3:16" x14ac:dyDescent="0.25">
      <c r="C56" s="191">
        <f>'9. Indices-Hist'!B53</f>
        <v>44378</v>
      </c>
      <c r="D56" s="183">
        <f>VLOOKUP(C56,'9. Indices-Hist'!$K$5:$N$64,3,FALSE)</f>
        <v>4.6450832866077203</v>
      </c>
      <c r="F56" s="182"/>
      <c r="G56" s="183"/>
      <c r="H56" s="183"/>
      <c r="I56" s="183"/>
      <c r="J56" s="183"/>
      <c r="K56" s="183"/>
      <c r="L56" s="183"/>
      <c r="M56" s="183"/>
    </row>
    <row r="57" spans="3:16" x14ac:dyDescent="0.25">
      <c r="C57" s="191">
        <f>'9. Indices-Hist'!B54</f>
        <v>44409</v>
      </c>
      <c r="D57" s="183">
        <f>VLOOKUP(C57,'9. Indices-Hist'!$K$5:$N$64,3,FALSE)</f>
        <v>4.8902946682946693</v>
      </c>
      <c r="F57" s="182"/>
      <c r="G57" s="183"/>
      <c r="H57" s="183"/>
      <c r="I57" s="183"/>
      <c r="J57" s="183"/>
      <c r="K57" s="183"/>
      <c r="L57" s="183"/>
      <c r="M57" s="183"/>
    </row>
    <row r="58" spans="3:16" x14ac:dyDescent="0.25">
      <c r="C58" s="191">
        <f>'9. Indices-Hist'!B55</f>
        <v>44440</v>
      </c>
      <c r="D58" s="183">
        <f>VLOOKUP(C58,'9. Indices-Hist'!$K$5:$N$64,3,FALSE)</f>
        <v>6.1404477295292725</v>
      </c>
      <c r="F58" s="182"/>
      <c r="G58" s="183"/>
      <c r="H58" s="183"/>
      <c r="I58" s="183"/>
      <c r="J58" s="183"/>
      <c r="K58" s="183"/>
      <c r="L58" s="183"/>
      <c r="M58" s="183"/>
    </row>
    <row r="59" spans="3:16" x14ac:dyDescent="0.25">
      <c r="C59" s="191">
        <f>'9. Indices-Hist'!B56</f>
        <v>44470</v>
      </c>
      <c r="D59" s="183">
        <f>VLOOKUP(C59,'9. Indices-Hist'!$K$5:$N$64,3,FALSE)</f>
        <v>6.4264200195454633</v>
      </c>
      <c r="F59" s="182"/>
      <c r="G59" s="183"/>
      <c r="H59" s="183"/>
      <c r="I59" s="183"/>
      <c r="J59" s="183"/>
      <c r="K59" s="183"/>
      <c r="L59" s="183"/>
      <c r="M59" s="183"/>
    </row>
    <row r="60" spans="3:16" x14ac:dyDescent="0.25">
      <c r="C60" s="191">
        <f>'9. Indices-Hist'!B57</f>
        <v>44501</v>
      </c>
      <c r="D60" s="183">
        <f>VLOOKUP(C60,'9. Indices-Hist'!$K$5:$N$64,3,FALSE)</f>
        <v>5.8215932211749903</v>
      </c>
      <c r="F60" s="182"/>
      <c r="G60" s="183"/>
      <c r="H60" s="183"/>
      <c r="I60" s="183"/>
      <c r="J60" s="183"/>
      <c r="K60" s="183"/>
      <c r="L60" s="183"/>
      <c r="M60" s="183"/>
    </row>
    <row r="61" spans="3:16" x14ac:dyDescent="0.25">
      <c r="C61" s="191">
        <f>'9. Indices-Hist'!B58</f>
        <v>44531</v>
      </c>
      <c r="D61" s="183">
        <f>VLOOKUP(C61,'9. Indices-Hist'!$K$5:$N$64,3,FALSE)</f>
        <v>4.3694977168949771</v>
      </c>
      <c r="F61" s="182"/>
      <c r="G61" s="183"/>
      <c r="H61" s="183"/>
      <c r="I61" s="183"/>
      <c r="J61" s="183"/>
      <c r="K61" s="183"/>
      <c r="L61" s="183"/>
      <c r="M61" s="183"/>
    </row>
    <row r="62" spans="3:16" x14ac:dyDescent="0.25">
      <c r="C62" s="191">
        <f>'9. Indices-Hist'!B59</f>
        <v>44562</v>
      </c>
      <c r="D62" s="183">
        <f>VLOOKUP(C62,'9. Indices-Hist'!$K$5:$N$64,3,FALSE)</f>
        <v>4.9462274262843611</v>
      </c>
      <c r="F62" s="182"/>
      <c r="G62" s="183"/>
      <c r="H62" s="183"/>
      <c r="I62" s="183"/>
      <c r="J62" s="183"/>
      <c r="K62" s="183"/>
      <c r="L62" s="183"/>
      <c r="M62" s="183"/>
    </row>
    <row r="63" spans="3:16" x14ac:dyDescent="0.25">
      <c r="C63" s="191">
        <f>'9. Indices-Hist'!B60</f>
        <v>44593</v>
      </c>
      <c r="D63" s="183">
        <f>VLOOKUP(C63,'9. Indices-Hist'!$K$5:$N$64,3,FALSE)</f>
        <v>5.1682784621127285</v>
      </c>
      <c r="F63" s="182"/>
      <c r="G63" s="183"/>
      <c r="H63" s="183"/>
      <c r="I63" s="183"/>
      <c r="J63" s="183"/>
      <c r="K63" s="183"/>
      <c r="L63" s="183"/>
      <c r="M63" s="183"/>
    </row>
    <row r="64" spans="3:16" x14ac:dyDescent="0.25">
      <c r="C64" s="191">
        <f>'9. Indices-Hist'!B61</f>
        <v>44621</v>
      </c>
      <c r="D64" s="183">
        <f>VLOOKUP(C64,'9. Indices-Hist'!$K$5:$N$64,3,FALSE)</f>
        <v>5.2852888690608966</v>
      </c>
      <c r="F64" s="182"/>
      <c r="G64" s="183"/>
      <c r="H64" s="183"/>
      <c r="I64" s="183"/>
      <c r="J64" s="183"/>
      <c r="K64" s="183"/>
      <c r="L64" s="183"/>
      <c r="M64" s="183"/>
    </row>
    <row r="65" spans="3:13" x14ac:dyDescent="0.25">
      <c r="C65" s="191">
        <f>'9. Indices-Hist'!B62</f>
        <v>44652</v>
      </c>
      <c r="D65" s="183">
        <f>VLOOKUP(C65,'9. Indices-Hist'!$K$5:$N$64,3,FALSE)</f>
        <v>6.9741737374346302</v>
      </c>
      <c r="F65" s="182"/>
      <c r="G65" s="183"/>
      <c r="H65" s="183"/>
      <c r="I65" s="183"/>
      <c r="J65" s="183"/>
      <c r="K65" s="183"/>
      <c r="L65" s="183"/>
      <c r="M65" s="183"/>
    </row>
    <row r="66" spans="3:13" x14ac:dyDescent="0.25">
      <c r="C66" s="191">
        <f>'9. Indices-Hist'!B63</f>
        <v>44682</v>
      </c>
      <c r="D66" s="183">
        <f>VLOOKUP(C66,'9. Indices-Hist'!$K$5:$N$64,3,FALSE)</f>
        <v>8.3532245151847793</v>
      </c>
      <c r="F66" s="182"/>
      <c r="G66" s="183"/>
      <c r="H66" s="183"/>
      <c r="I66" s="183"/>
      <c r="J66" s="183"/>
      <c r="K66" s="183"/>
      <c r="L66" s="183"/>
      <c r="M66" s="183"/>
    </row>
    <row r="67" spans="3:13" x14ac:dyDescent="0.25">
      <c r="C67" s="191">
        <f>'9. Indices-Hist'!B64</f>
        <v>44713</v>
      </c>
      <c r="D67" s="183">
        <f>VLOOKUP(C67,'9. Indices-Hist'!$K$5:$N$64,3,FALSE)</f>
        <v>7.7</v>
      </c>
      <c r="F67" s="182"/>
      <c r="G67" s="183"/>
      <c r="H67" s="183"/>
      <c r="I67" s="183"/>
      <c r="J67" s="183"/>
      <c r="K67" s="183"/>
      <c r="L67" s="183"/>
      <c r="M67" s="183"/>
    </row>
    <row r="68" spans="3:13" x14ac:dyDescent="0.25">
      <c r="C68" s="191"/>
    </row>
    <row r="69" spans="3:13" x14ac:dyDescent="0.25">
      <c r="C69" s="191"/>
    </row>
    <row r="70" spans="3:13" x14ac:dyDescent="0.25">
      <c r="C70" s="191"/>
    </row>
    <row r="71" spans="3:13" x14ac:dyDescent="0.25">
      <c r="C71" s="191"/>
    </row>
    <row r="72" spans="3:13" x14ac:dyDescent="0.25">
      <c r="C72" s="191"/>
    </row>
    <row r="73" spans="3:13" x14ac:dyDescent="0.25">
      <c r="C73" s="191"/>
    </row>
    <row r="74" spans="3:13" x14ac:dyDescent="0.25">
      <c r="C74" s="191"/>
    </row>
    <row r="75" spans="3:13" x14ac:dyDescent="0.25">
      <c r="C75" s="191"/>
    </row>
    <row r="76" spans="3:13" x14ac:dyDescent="0.25">
      <c r="C76" s="191"/>
    </row>
    <row r="77" spans="3:13" x14ac:dyDescent="0.25">
      <c r="C77" s="191"/>
    </row>
    <row r="78" spans="3:13" x14ac:dyDescent="0.25">
      <c r="C78" s="191"/>
    </row>
    <row r="79" spans="3:13" x14ac:dyDescent="0.25">
      <c r="C79" s="191"/>
    </row>
    <row r="80" spans="3:13" x14ac:dyDescent="0.25">
      <c r="C80" s="191"/>
    </row>
    <row r="81" spans="3:3" x14ac:dyDescent="0.25">
      <c r="C81" s="191"/>
    </row>
    <row r="82" spans="3:3" x14ac:dyDescent="0.25">
      <c r="C82" s="191"/>
    </row>
    <row r="83" spans="3:3" x14ac:dyDescent="0.25">
      <c r="C83" s="191"/>
    </row>
    <row r="84" spans="3:3" x14ac:dyDescent="0.25">
      <c r="C84" s="191"/>
    </row>
    <row r="85" spans="3:3" x14ac:dyDescent="0.25">
      <c r="C85" s="191"/>
    </row>
    <row r="86" spans="3:3" x14ac:dyDescent="0.25">
      <c r="C86" s="191"/>
    </row>
    <row r="87" spans="3:3" x14ac:dyDescent="0.25">
      <c r="C87" s="191"/>
    </row>
    <row r="88" spans="3:3" x14ac:dyDescent="0.25">
      <c r="C88" s="191"/>
    </row>
    <row r="89" spans="3:3" x14ac:dyDescent="0.25">
      <c r="C89" s="191"/>
    </row>
    <row r="90" spans="3:3" x14ac:dyDescent="0.25">
      <c r="C90" s="191"/>
    </row>
    <row r="91" spans="3:3" x14ac:dyDescent="0.25">
      <c r="C91" s="191"/>
    </row>
    <row r="92" spans="3:3" x14ac:dyDescent="0.25">
      <c r="C92" s="191"/>
    </row>
    <row r="93" spans="3:3" x14ac:dyDescent="0.25">
      <c r="C93" s="191"/>
    </row>
    <row r="94" spans="3:3" x14ac:dyDescent="0.25">
      <c r="C94" s="191"/>
    </row>
    <row r="95" spans="3:3" x14ac:dyDescent="0.25">
      <c r="C95" s="191"/>
    </row>
    <row r="96" spans="3:3" x14ac:dyDescent="0.25">
      <c r="C96" s="191"/>
    </row>
    <row r="97" spans="3:3" x14ac:dyDescent="0.25">
      <c r="C97" s="191"/>
    </row>
    <row r="98" spans="3:3" x14ac:dyDescent="0.25">
      <c r="C98" s="191"/>
    </row>
    <row r="99" spans="3:3" x14ac:dyDescent="0.25">
      <c r="C99" s="191"/>
    </row>
    <row r="100" spans="3:3" x14ac:dyDescent="0.25">
      <c r="C100" s="191"/>
    </row>
    <row r="101" spans="3:3" x14ac:dyDescent="0.25">
      <c r="C101" s="191"/>
    </row>
    <row r="102" spans="3:3" x14ac:dyDescent="0.25">
      <c r="C102" s="191"/>
    </row>
    <row r="103" spans="3:3" x14ac:dyDescent="0.25">
      <c r="C103" s="191"/>
    </row>
    <row r="104" spans="3:3" x14ac:dyDescent="0.25">
      <c r="C104" s="191"/>
    </row>
    <row r="105" spans="3:3" x14ac:dyDescent="0.25">
      <c r="C105" s="191"/>
    </row>
    <row r="106" spans="3:3" x14ac:dyDescent="0.25">
      <c r="C106" s="191"/>
    </row>
    <row r="107" spans="3:3" x14ac:dyDescent="0.25">
      <c r="C107" s="191"/>
    </row>
    <row r="108" spans="3:3" x14ac:dyDescent="0.25">
      <c r="C108" s="191"/>
    </row>
    <row r="109" spans="3:3" x14ac:dyDescent="0.25">
      <c r="C109" s="191"/>
    </row>
    <row r="110" spans="3:3" x14ac:dyDescent="0.25">
      <c r="C110" s="191"/>
    </row>
    <row r="111" spans="3:3" x14ac:dyDescent="0.25">
      <c r="C111" s="191"/>
    </row>
    <row r="112" spans="3:3" x14ac:dyDescent="0.25">
      <c r="C112" s="191"/>
    </row>
    <row r="113" spans="3:3" x14ac:dyDescent="0.25">
      <c r="C113" s="191"/>
    </row>
    <row r="114" spans="3:3" x14ac:dyDescent="0.25">
      <c r="C114" s="191"/>
    </row>
    <row r="115" spans="3:3" x14ac:dyDescent="0.25">
      <c r="C115" s="191"/>
    </row>
    <row r="116" spans="3:3" x14ac:dyDescent="0.25">
      <c r="C116" s="191"/>
    </row>
    <row r="117" spans="3:3" x14ac:dyDescent="0.25">
      <c r="C117" s="191"/>
    </row>
    <row r="118" spans="3:3" x14ac:dyDescent="0.25">
      <c r="C118" s="191"/>
    </row>
    <row r="119" spans="3:3" x14ac:dyDescent="0.25">
      <c r="C119" s="191"/>
    </row>
    <row r="120" spans="3:3" x14ac:dyDescent="0.25">
      <c r="C120" s="191"/>
    </row>
    <row r="121" spans="3:3" x14ac:dyDescent="0.25">
      <c r="C121" s="191"/>
    </row>
    <row r="122" spans="3:3" x14ac:dyDescent="0.25">
      <c r="C122" s="191"/>
    </row>
    <row r="123" spans="3:3" x14ac:dyDescent="0.25">
      <c r="C123" s="191"/>
    </row>
    <row r="124" spans="3:3" x14ac:dyDescent="0.25">
      <c r="C124" s="191"/>
    </row>
    <row r="125" spans="3:3" x14ac:dyDescent="0.25">
      <c r="C125" s="191"/>
    </row>
    <row r="126" spans="3:3" x14ac:dyDescent="0.25">
      <c r="C126" s="191"/>
    </row>
    <row r="127" spans="3:3" x14ac:dyDescent="0.25">
      <c r="C127" s="191"/>
    </row>
    <row r="128" spans="3:3" x14ac:dyDescent="0.25">
      <c r="C128" s="191"/>
    </row>
    <row r="129" spans="3:3" x14ac:dyDescent="0.25">
      <c r="C129" s="191"/>
    </row>
    <row r="130" spans="3:3" x14ac:dyDescent="0.25">
      <c r="C130" s="191"/>
    </row>
    <row r="131" spans="3:3" x14ac:dyDescent="0.25">
      <c r="C131" s="191"/>
    </row>
    <row r="132" spans="3:3" x14ac:dyDescent="0.25">
      <c r="C132" s="191"/>
    </row>
    <row r="133" spans="3:3" x14ac:dyDescent="0.25">
      <c r="C133" s="191"/>
    </row>
    <row r="134" spans="3:3" x14ac:dyDescent="0.25">
      <c r="C134" s="191"/>
    </row>
    <row r="135" spans="3:3" x14ac:dyDescent="0.25">
      <c r="C135" s="191"/>
    </row>
    <row r="136" spans="3:3" x14ac:dyDescent="0.25">
      <c r="C136" s="191"/>
    </row>
    <row r="137" spans="3:3" x14ac:dyDescent="0.25">
      <c r="C137" s="191"/>
    </row>
    <row r="138" spans="3:3" x14ac:dyDescent="0.25">
      <c r="C138" s="191"/>
    </row>
    <row r="139" spans="3:3" x14ac:dyDescent="0.25">
      <c r="C139" s="191"/>
    </row>
    <row r="140" spans="3:3" x14ac:dyDescent="0.25">
      <c r="C140" s="191"/>
    </row>
    <row r="141" spans="3:3" x14ac:dyDescent="0.25">
      <c r="C141" s="191"/>
    </row>
    <row r="142" spans="3:3" x14ac:dyDescent="0.25">
      <c r="C142" s="191"/>
    </row>
  </sheetData>
  <mergeCells count="3">
    <mergeCell ref="C10:D10"/>
    <mergeCell ref="G10:I10"/>
    <mergeCell ref="J10:L10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CC311-60BD-4749-8A8B-28821D375762}">
  <sheetPr codeName="Sheet29"/>
  <dimension ref="A1:Y153"/>
  <sheetViews>
    <sheetView workbookViewId="0">
      <selection activeCell="M13" sqref="M13"/>
    </sheetView>
  </sheetViews>
  <sheetFormatPr defaultColWidth="9.140625" defaultRowHeight="15" x14ac:dyDescent="0.25"/>
  <cols>
    <col min="1" max="1" width="11.42578125" style="1" bestFit="1" customWidth="1"/>
    <col min="2" max="2" width="9.140625" style="1"/>
    <col min="3" max="3" width="14.85546875" style="1" bestFit="1" customWidth="1"/>
    <col min="4" max="4" width="10.140625" style="1" bestFit="1" customWidth="1"/>
    <col min="5" max="5" width="11.42578125" style="1" bestFit="1" customWidth="1"/>
    <col min="6" max="6" width="9.85546875" style="1" customWidth="1"/>
    <col min="7" max="7" width="7" style="1" customWidth="1"/>
    <col min="8" max="8" width="20.5703125" style="1" bestFit="1" customWidth="1"/>
    <col min="9" max="9" width="10.7109375" style="1" customWidth="1"/>
    <col min="10" max="10" width="17.28515625" style="1" customWidth="1"/>
    <col min="11" max="11" width="13.140625" style="1" customWidth="1"/>
    <col min="12" max="12" width="7" style="1" customWidth="1"/>
    <col min="13" max="13" width="18" style="1" bestFit="1" customWidth="1"/>
    <col min="14" max="14" width="18.85546875" style="1" bestFit="1" customWidth="1"/>
    <col min="15" max="15" width="18.85546875" style="1" customWidth="1"/>
    <col min="16" max="16" width="20.5703125" style="1" bestFit="1" customWidth="1"/>
    <col min="17" max="17" width="8.28515625" style="51" customWidth="1"/>
    <col min="18" max="18" width="7.85546875" style="1" customWidth="1"/>
    <col min="19" max="19" width="12" style="1" customWidth="1"/>
    <col min="20" max="20" width="12.42578125" style="1" customWidth="1"/>
    <col min="21" max="21" width="19.85546875" style="1" bestFit="1" customWidth="1"/>
    <col min="22" max="22" width="14.85546875" style="1" bestFit="1" customWidth="1"/>
    <col min="23" max="23" width="24.5703125" style="1" bestFit="1" customWidth="1"/>
    <col min="25" max="26" width="9.140625" style="1"/>
    <col min="27" max="27" width="10.85546875" style="1" customWidth="1"/>
    <col min="28" max="29" width="9.140625" style="1"/>
    <col min="30" max="30" width="10.140625" style="1" customWidth="1"/>
    <col min="31" max="31" width="11" style="1" customWidth="1"/>
    <col min="32" max="32" width="9.140625" style="1"/>
    <col min="33" max="33" width="10.28515625" style="1" customWidth="1"/>
    <col min="34" max="16384" width="9.140625" style="1"/>
  </cols>
  <sheetData>
    <row r="1" spans="1:25" x14ac:dyDescent="0.25">
      <c r="C1" s="1" t="s">
        <v>484</v>
      </c>
      <c r="M1" s="114" t="s">
        <v>485</v>
      </c>
      <c r="N1" s="51">
        <f>VLOOKUP(1,B4:C7,2,FALSE)</f>
        <v>2045</v>
      </c>
      <c r="X1" s="1"/>
    </row>
    <row r="2" spans="1:25" x14ac:dyDescent="0.25">
      <c r="A2" s="272"/>
      <c r="B2" s="51" t="s">
        <v>173</v>
      </c>
      <c r="C2" s="11" t="s">
        <v>486</v>
      </c>
      <c r="D2" s="172" t="s">
        <v>418</v>
      </c>
      <c r="E2" s="11" t="s">
        <v>487</v>
      </c>
      <c r="I2" s="110" t="s">
        <v>488</v>
      </c>
      <c r="N2" s="1" t="s">
        <v>489</v>
      </c>
      <c r="O2" s="1" t="s">
        <v>490</v>
      </c>
      <c r="Q2" s="172"/>
      <c r="R2" s="553" t="s">
        <v>491</v>
      </c>
      <c r="S2" s="553"/>
      <c r="T2" s="553"/>
      <c r="U2" s="553"/>
      <c r="V2" s="553"/>
      <c r="W2" s="553"/>
      <c r="X2" s="1"/>
      <c r="Y2" s="11"/>
    </row>
    <row r="3" spans="1:25" x14ac:dyDescent="0.25">
      <c r="A3" s="273"/>
      <c r="B3" s="51" t="s">
        <v>492</v>
      </c>
      <c r="D3" s="51" t="s">
        <v>362</v>
      </c>
      <c r="E3" s="51" t="s">
        <v>493</v>
      </c>
      <c r="H3" s="114" t="s">
        <v>494</v>
      </c>
      <c r="I3" s="168">
        <v>60920</v>
      </c>
      <c r="J3" s="1" t="s">
        <v>495</v>
      </c>
      <c r="N3" s="51" t="s">
        <v>362</v>
      </c>
      <c r="O3" s="51" t="s">
        <v>493</v>
      </c>
      <c r="R3" s="51"/>
      <c r="S3" s="51"/>
      <c r="T3" s="51"/>
      <c r="U3" s="1" t="s">
        <v>496</v>
      </c>
      <c r="V3" s="51">
        <v>0.15</v>
      </c>
      <c r="X3" s="1"/>
    </row>
    <row r="4" spans="1:25" x14ac:dyDescent="0.25">
      <c r="A4" s="273"/>
      <c r="B4" s="51">
        <f>IF(AND('Supply Porfolio (Live)'!$Q$25&gt;=C4,'Supply Porfolio (Live)'!$Q$25&lt;C5),1,0)</f>
        <v>0</v>
      </c>
      <c r="C4" s="1">
        <v>2030</v>
      </c>
      <c r="D4" s="274">
        <v>98.5</v>
      </c>
      <c r="E4" s="274">
        <v>85</v>
      </c>
      <c r="H4" s="114" t="s">
        <v>497</v>
      </c>
      <c r="I4" s="51">
        <v>2.2046199999999998</v>
      </c>
      <c r="J4" s="1" t="s">
        <v>498</v>
      </c>
      <c r="N4" s="274">
        <f>VLOOKUP(N1,C4:E7,2)</f>
        <v>86.7</v>
      </c>
      <c r="O4" s="51" t="s">
        <v>340</v>
      </c>
      <c r="P4" s="110"/>
      <c r="R4" s="1" t="s">
        <v>173</v>
      </c>
      <c r="S4" s="51" t="s">
        <v>499</v>
      </c>
      <c r="T4" s="51" t="s">
        <v>500</v>
      </c>
      <c r="U4" s="51" t="s">
        <v>501</v>
      </c>
      <c r="V4" s="51" t="s">
        <v>502</v>
      </c>
      <c r="W4" s="51" t="s">
        <v>503</v>
      </c>
      <c r="X4" s="1"/>
    </row>
    <row r="5" spans="1:25" x14ac:dyDescent="0.25">
      <c r="A5" s="273"/>
      <c r="B5" s="51">
        <f>IF(AND('Supply Porfolio (Live)'!$Q$25&gt;=C5,'Supply Porfolio (Live)'!$Q$25&lt;C6),1,0)</f>
        <v>0</v>
      </c>
      <c r="C5" s="1">
        <v>2035</v>
      </c>
      <c r="D5" s="274">
        <v>91.7</v>
      </c>
      <c r="E5" s="274">
        <v>71.900000000000006</v>
      </c>
      <c r="H5" s="114" t="s">
        <v>494</v>
      </c>
      <c r="I5" s="173">
        <f>(I3/1000000)*$I$4</f>
        <v>0.1343054504</v>
      </c>
      <c r="J5" s="1" t="s">
        <v>504</v>
      </c>
      <c r="N5" s="274">
        <v>70</v>
      </c>
      <c r="O5" s="275">
        <v>-0.2</v>
      </c>
      <c r="S5" s="51" t="s">
        <v>505</v>
      </c>
      <c r="T5" s="51" t="s">
        <v>506</v>
      </c>
      <c r="U5" s="51" t="s">
        <v>388</v>
      </c>
      <c r="V5" s="51" t="s">
        <v>388</v>
      </c>
      <c r="W5" s="51" t="s">
        <v>330</v>
      </c>
      <c r="X5" s="1"/>
    </row>
    <row r="6" spans="1:25" x14ac:dyDescent="0.25">
      <c r="A6" s="273"/>
      <c r="B6" s="51">
        <f>IF(AND('Supply Porfolio (Live)'!$Q$25&gt;=C6,'Supply Porfolio (Live)'!$Q$25&lt;C7),1,0)</f>
        <v>0</v>
      </c>
      <c r="C6" s="1">
        <v>2040</v>
      </c>
      <c r="D6" s="274">
        <v>89.4</v>
      </c>
      <c r="E6" s="274">
        <v>60.8</v>
      </c>
      <c r="H6" s="114" t="s">
        <v>494</v>
      </c>
      <c r="I6" s="173">
        <f>I5/0.1</f>
        <v>1.3430545039999999</v>
      </c>
      <c r="J6" s="1" t="s">
        <v>507</v>
      </c>
      <c r="N6" s="274">
        <v>50</v>
      </c>
      <c r="O6" s="51" t="s">
        <v>508</v>
      </c>
      <c r="P6" s="1">
        <v>1</v>
      </c>
      <c r="Q6" s="51">
        <f>IF(AND(R6=$N$1,S6='Supply Porfolio (Live)'!$R$25,T6='Supply Porfolio (Live)'!$S$25),1,0)</f>
        <v>0</v>
      </c>
      <c r="R6" s="51">
        <v>2030</v>
      </c>
      <c r="S6" s="276">
        <v>98.5</v>
      </c>
      <c r="T6" s="275" t="str">
        <f>O4</f>
        <v>Reference</v>
      </c>
      <c r="U6" s="277">
        <f>INDEX($H$12:$K$15,MATCH(S6,$H$12:$H$15,0),MATCH(T6,$H$12:$K$12,0))</f>
        <v>4.2812856685077616</v>
      </c>
      <c r="V6" s="277">
        <f>U6+$V$3</f>
        <v>4.431285668507762</v>
      </c>
      <c r="W6" s="168">
        <v>43743.820358892881</v>
      </c>
      <c r="X6" s="1"/>
    </row>
    <row r="7" spans="1:25" x14ac:dyDescent="0.25">
      <c r="A7" s="273"/>
      <c r="B7" s="51">
        <f>IF('Supply Porfolio (Live)'!$Q$25&gt;=C7,1,0)</f>
        <v>1</v>
      </c>
      <c r="C7" s="1">
        <v>2045</v>
      </c>
      <c r="D7" s="274">
        <v>86.7</v>
      </c>
      <c r="E7" s="274">
        <v>51.4</v>
      </c>
      <c r="P7" s="1">
        <f>P6+1</f>
        <v>2</v>
      </c>
      <c r="Q7" s="51">
        <f>IF(AND(R7=$N$1,S7='Supply Porfolio (Live)'!$R$25,T7='Supply Porfolio (Live)'!$S$25),1,0)</f>
        <v>0</v>
      </c>
      <c r="R7" s="51">
        <v>2030</v>
      </c>
      <c r="S7" s="276">
        <v>70</v>
      </c>
      <c r="T7" s="275" t="s">
        <v>340</v>
      </c>
      <c r="U7" s="277">
        <f t="shared" ref="U7:U14" si="0">INDEX($H$12:$K$15,MATCH(S7,$H$12:$H$15,0),MATCH(T7,$H$12:$K$12,0))</f>
        <v>2.9485028256157801</v>
      </c>
      <c r="V7" s="277">
        <f t="shared" ref="V7:V41" si="1">U7+$V$3</f>
        <v>3.0985028256157801</v>
      </c>
      <c r="W7" s="168">
        <v>43743.820358892881</v>
      </c>
      <c r="X7" s="1"/>
    </row>
    <row r="8" spans="1:25" x14ac:dyDescent="0.25">
      <c r="A8" s="273"/>
      <c r="C8" s="114"/>
      <c r="K8" s="176"/>
      <c r="P8" s="1">
        <f t="shared" ref="P8:P41" si="2">P7+1</f>
        <v>3</v>
      </c>
      <c r="Q8" s="51">
        <f>IF(AND(R8=$N$1,S8='Supply Porfolio (Live)'!$R$25,T8='Supply Porfolio (Live)'!$S$25),1,0)</f>
        <v>0</v>
      </c>
      <c r="R8" s="51">
        <v>2030</v>
      </c>
      <c r="S8" s="276">
        <v>50</v>
      </c>
      <c r="T8" s="275" t="s">
        <v>340</v>
      </c>
      <c r="U8" s="277">
        <f t="shared" si="0"/>
        <v>2.0103428356471231</v>
      </c>
      <c r="V8" s="277">
        <f t="shared" si="1"/>
        <v>2.160342835647123</v>
      </c>
      <c r="W8" s="168">
        <v>43743.820358892881</v>
      </c>
      <c r="X8" s="1"/>
    </row>
    <row r="9" spans="1:25" x14ac:dyDescent="0.25">
      <c r="C9" s="1" t="s">
        <v>509</v>
      </c>
      <c r="H9" s="1" t="s">
        <v>388</v>
      </c>
      <c r="M9" s="110"/>
      <c r="N9" s="51"/>
      <c r="O9" s="51"/>
      <c r="P9" s="1">
        <f t="shared" si="2"/>
        <v>4</v>
      </c>
      <c r="Q9" s="51">
        <f>IF(AND(R9=$N$1,S9='Supply Porfolio (Live)'!$R$25,T9='Supply Porfolio (Live)'!$S$25),1,0)</f>
        <v>0</v>
      </c>
      <c r="R9" s="51">
        <v>2030</v>
      </c>
      <c r="S9" s="276">
        <v>98.5</v>
      </c>
      <c r="T9" s="275">
        <v>-0.2</v>
      </c>
      <c r="U9" s="277">
        <f t="shared" si="0"/>
        <v>4.1844913838284556</v>
      </c>
      <c r="V9" s="277">
        <f t="shared" si="1"/>
        <v>4.334491383828456</v>
      </c>
      <c r="W9" s="168">
        <v>43743.820358892881</v>
      </c>
      <c r="X9" s="1"/>
    </row>
    <row r="10" spans="1:25" x14ac:dyDescent="0.25">
      <c r="A10" s="274"/>
      <c r="C10" s="553">
        <v>2030</v>
      </c>
      <c r="D10" s="553"/>
      <c r="E10" s="553"/>
      <c r="F10" s="553"/>
      <c r="H10" s="546">
        <v>2030</v>
      </c>
      <c r="I10" s="546"/>
      <c r="J10" s="546"/>
      <c r="K10" s="546"/>
      <c r="P10" s="1">
        <f t="shared" si="2"/>
        <v>5</v>
      </c>
      <c r="Q10" s="51">
        <f>IF(AND(R10=$N$1,S10='Supply Porfolio (Live)'!$R$25,T10='Supply Porfolio (Live)'!$S$25),1,0)</f>
        <v>0</v>
      </c>
      <c r="R10" s="51">
        <v>2030</v>
      </c>
      <c r="S10" s="276">
        <v>70</v>
      </c>
      <c r="T10" s="275">
        <v>-0.2</v>
      </c>
      <c r="U10" s="277">
        <f t="shared" si="0"/>
        <v>2.8442628267303736</v>
      </c>
      <c r="V10" s="277">
        <f t="shared" si="1"/>
        <v>2.9942628267303735</v>
      </c>
      <c r="W10" s="168">
        <v>43743.820358892881</v>
      </c>
      <c r="X10" s="1"/>
    </row>
    <row r="11" spans="1:25" x14ac:dyDescent="0.25">
      <c r="A11" s="274"/>
      <c r="D11" s="553" t="s">
        <v>510</v>
      </c>
      <c r="E11" s="553"/>
      <c r="F11" s="553"/>
      <c r="H11" s="278"/>
      <c r="I11" s="566" t="s">
        <v>511</v>
      </c>
      <c r="J11" s="566"/>
      <c r="K11" s="567"/>
      <c r="P11" s="1">
        <f t="shared" si="2"/>
        <v>6</v>
      </c>
      <c r="Q11" s="51">
        <f>IF(AND(R11=$N$1,S11='Supply Porfolio (Live)'!$R$25,T11='Supply Porfolio (Live)'!$S$25),1,0)</f>
        <v>0</v>
      </c>
      <c r="R11" s="51">
        <v>2030</v>
      </c>
      <c r="S11" s="276">
        <v>50</v>
      </c>
      <c r="T11" s="275">
        <v>-0.2</v>
      </c>
      <c r="U11" s="277">
        <f t="shared" si="0"/>
        <v>1.9061028367617165</v>
      </c>
      <c r="V11" s="277">
        <f t="shared" si="1"/>
        <v>2.0561028367617165</v>
      </c>
      <c r="W11" s="168">
        <v>43743.820358892881</v>
      </c>
      <c r="X11" s="1"/>
    </row>
    <row r="12" spans="1:25" x14ac:dyDescent="0.25">
      <c r="C12" s="110" t="s">
        <v>512</v>
      </c>
      <c r="D12" s="51" t="s">
        <v>340</v>
      </c>
      <c r="E12" s="275">
        <v>-0.2</v>
      </c>
      <c r="F12" s="279" t="s">
        <v>508</v>
      </c>
      <c r="H12" s="280" t="s">
        <v>512</v>
      </c>
      <c r="I12" s="51" t="s">
        <v>340</v>
      </c>
      <c r="J12" s="275">
        <v>-0.2</v>
      </c>
      <c r="K12" s="281" t="s">
        <v>508</v>
      </c>
      <c r="P12" s="1">
        <f t="shared" si="2"/>
        <v>7</v>
      </c>
      <c r="Q12" s="51">
        <f>IF(AND(R12=$N$1,S12='Supply Porfolio (Live)'!$R$25,T12='Supply Porfolio (Live)'!$S$25),1,0)</f>
        <v>0</v>
      </c>
      <c r="R12" s="51">
        <v>2030</v>
      </c>
      <c r="S12" s="276">
        <v>98.5</v>
      </c>
      <c r="T12" s="275" t="s">
        <v>508</v>
      </c>
      <c r="U12" s="277">
        <f t="shared" si="0"/>
        <v>4.3855256673931677</v>
      </c>
      <c r="V12" s="277">
        <f t="shared" si="1"/>
        <v>4.5355256673931681</v>
      </c>
      <c r="W12" s="168">
        <v>43743.820358892881</v>
      </c>
      <c r="X12" s="1"/>
    </row>
    <row r="13" spans="1:25" x14ac:dyDescent="0.25">
      <c r="C13" s="276">
        <f>D4</f>
        <v>98.5</v>
      </c>
      <c r="D13" s="51">
        <v>5.75</v>
      </c>
      <c r="E13" s="51">
        <v>5.62</v>
      </c>
      <c r="F13" s="51">
        <v>5.89</v>
      </c>
      <c r="H13" s="282">
        <f>C13</f>
        <v>98.5</v>
      </c>
      <c r="I13" s="173">
        <f>D13/$I$6</f>
        <v>4.2812856685077616</v>
      </c>
      <c r="J13" s="173">
        <f t="shared" ref="J13:K15" si="3">E13/$I$6</f>
        <v>4.1844913838284556</v>
      </c>
      <c r="K13" s="283">
        <f t="shared" si="3"/>
        <v>4.3855256673931677</v>
      </c>
      <c r="P13" s="1">
        <f t="shared" si="2"/>
        <v>8</v>
      </c>
      <c r="Q13" s="51">
        <f>IF(AND(R13=$N$1,S13='Supply Porfolio (Live)'!$R$25,T13='Supply Porfolio (Live)'!$S$25),1,0)</f>
        <v>0</v>
      </c>
      <c r="R13" s="51">
        <v>2030</v>
      </c>
      <c r="S13" s="276">
        <v>70</v>
      </c>
      <c r="T13" s="275" t="s">
        <v>508</v>
      </c>
      <c r="U13" s="277">
        <f t="shared" si="0"/>
        <v>3.0452971102950861</v>
      </c>
      <c r="V13" s="277">
        <f t="shared" si="1"/>
        <v>3.195297110295086</v>
      </c>
      <c r="W13" s="168">
        <v>43743.820358892881</v>
      </c>
      <c r="X13" s="1"/>
    </row>
    <row r="14" spans="1:25" x14ac:dyDescent="0.25">
      <c r="C14" s="276">
        <v>70</v>
      </c>
      <c r="D14" s="51">
        <v>3.96</v>
      </c>
      <c r="E14" s="51">
        <v>3.82</v>
      </c>
      <c r="F14" s="51">
        <v>4.09</v>
      </c>
      <c r="H14" s="282">
        <f>C14</f>
        <v>70</v>
      </c>
      <c r="I14" s="173">
        <f>D14/$I$6</f>
        <v>2.9485028256157801</v>
      </c>
      <c r="J14" s="173">
        <f t="shared" si="3"/>
        <v>2.8442628267303736</v>
      </c>
      <c r="K14" s="283">
        <f t="shared" si="3"/>
        <v>3.0452971102950861</v>
      </c>
      <c r="P14" s="10">
        <f t="shared" si="2"/>
        <v>9</v>
      </c>
      <c r="Q14" s="51">
        <f>IF(AND(R14=$N$1,S14='Supply Porfolio (Live)'!$R$25,T14='Supply Porfolio (Live)'!$S$25),1,0)</f>
        <v>0</v>
      </c>
      <c r="R14" s="284">
        <v>2030</v>
      </c>
      <c r="S14" s="285">
        <v>50</v>
      </c>
      <c r="T14" s="286" t="s">
        <v>508</v>
      </c>
      <c r="U14" s="287">
        <f t="shared" si="0"/>
        <v>2.1071371203264286</v>
      </c>
      <c r="V14" s="287">
        <f t="shared" si="1"/>
        <v>2.2571371203264285</v>
      </c>
      <c r="W14" s="288">
        <v>43743.820358892881</v>
      </c>
      <c r="X14" s="1"/>
    </row>
    <row r="15" spans="1:25" x14ac:dyDescent="0.25">
      <c r="C15" s="276">
        <v>50</v>
      </c>
      <c r="D15" s="173">
        <v>2.7</v>
      </c>
      <c r="E15" s="173">
        <v>2.56</v>
      </c>
      <c r="F15" s="51">
        <v>2.83</v>
      </c>
      <c r="H15" s="289">
        <f>C15</f>
        <v>50</v>
      </c>
      <c r="I15" s="290">
        <f>D15/$I$6</f>
        <v>2.0103428356471231</v>
      </c>
      <c r="J15" s="290">
        <f t="shared" si="3"/>
        <v>1.9061028367617165</v>
      </c>
      <c r="K15" s="291">
        <f t="shared" si="3"/>
        <v>2.1071371203264286</v>
      </c>
      <c r="P15" s="1">
        <f t="shared" si="2"/>
        <v>10</v>
      </c>
      <c r="Q15" s="51">
        <f>IF(AND(R15=$N$1,S15='Supply Porfolio (Live)'!$R$25,T15='Supply Porfolio (Live)'!$S$25),1,0)</f>
        <v>0</v>
      </c>
      <c r="R15" s="51">
        <v>2035</v>
      </c>
      <c r="S15" s="276">
        <v>91.7</v>
      </c>
      <c r="T15" s="275" t="str">
        <f>T6</f>
        <v>Reference</v>
      </c>
      <c r="U15" s="277">
        <f>INDEX($H$20:$K$23,MATCH(S15,$H$20:$H$23,0),MATCH(T15,$H$20:$K$20,0))</f>
        <v>3.7749771024929308</v>
      </c>
      <c r="V15" s="277">
        <f t="shared" si="1"/>
        <v>3.9249771024929307</v>
      </c>
      <c r="W15" s="168">
        <v>44678.379338058148</v>
      </c>
      <c r="X15" s="1"/>
    </row>
    <row r="16" spans="1:25" x14ac:dyDescent="0.25">
      <c r="P16" s="1">
        <f t="shared" si="2"/>
        <v>11</v>
      </c>
      <c r="Q16" s="51">
        <f>IF(AND(R16=$N$1,S16='Supply Porfolio (Live)'!$R$25,T16='Supply Porfolio (Live)'!$S$25),1,0)</f>
        <v>0</v>
      </c>
      <c r="R16" s="51">
        <v>2035</v>
      </c>
      <c r="S16" s="276">
        <v>70</v>
      </c>
      <c r="T16" s="275" t="str">
        <f t="shared" ref="T16:T23" si="4">T7</f>
        <v>Reference</v>
      </c>
      <c r="U16" s="277">
        <f t="shared" ref="U16:U23" si="5">INDEX($H$20:$K$23,MATCH(S16,$H$20:$H$23,0),MATCH(T16,$H$20:$K$20,0))</f>
        <v>2.7772513988754697</v>
      </c>
      <c r="V16" s="277">
        <f t="shared" si="1"/>
        <v>2.9272513988754696</v>
      </c>
      <c r="W16" s="168">
        <v>44678.379338058148</v>
      </c>
      <c r="X16" s="1"/>
    </row>
    <row r="17" spans="3:24" x14ac:dyDescent="0.25">
      <c r="P17" s="1">
        <f t="shared" si="2"/>
        <v>12</v>
      </c>
      <c r="Q17" s="51">
        <f>IF(AND(R17=$N$1,S17='Supply Porfolio (Live)'!$R$25,T17='Supply Porfolio (Live)'!$S$25),1,0)</f>
        <v>0</v>
      </c>
      <c r="R17" s="51">
        <v>2035</v>
      </c>
      <c r="S17" s="276">
        <v>50</v>
      </c>
      <c r="T17" s="275" t="str">
        <f t="shared" si="4"/>
        <v>Reference</v>
      </c>
      <c r="U17" s="277">
        <f t="shared" si="5"/>
        <v>1.8614285515251139</v>
      </c>
      <c r="V17" s="277">
        <f t="shared" si="1"/>
        <v>2.011428551525114</v>
      </c>
      <c r="W17" s="168">
        <v>44678.379338058148</v>
      </c>
      <c r="X17" s="1"/>
    </row>
    <row r="18" spans="3:24" x14ac:dyDescent="0.25">
      <c r="C18" s="553">
        <v>2035</v>
      </c>
      <c r="D18" s="553"/>
      <c r="E18" s="553"/>
      <c r="F18" s="553"/>
      <c r="H18" s="546">
        <v>2035</v>
      </c>
      <c r="I18" s="546"/>
      <c r="J18" s="546"/>
      <c r="K18" s="546"/>
      <c r="P18" s="1">
        <f t="shared" si="2"/>
        <v>13</v>
      </c>
      <c r="Q18" s="51">
        <f>IF(AND(R18=$N$1,S18='Supply Porfolio (Live)'!$R$25,T18='Supply Porfolio (Live)'!$S$25),1,0)</f>
        <v>0</v>
      </c>
      <c r="R18" s="51">
        <v>2035</v>
      </c>
      <c r="S18" s="276">
        <v>91.7</v>
      </c>
      <c r="T18" s="275">
        <f t="shared" si="4"/>
        <v>-0.2</v>
      </c>
      <c r="U18" s="277">
        <f t="shared" si="5"/>
        <v>3.6930742462258257</v>
      </c>
      <c r="V18" s="277">
        <f t="shared" si="1"/>
        <v>3.8430742462258256</v>
      </c>
      <c r="W18" s="168">
        <v>44678.379338058148</v>
      </c>
      <c r="X18" s="1"/>
    </row>
    <row r="19" spans="3:24" x14ac:dyDescent="0.25">
      <c r="D19" s="553" t="s">
        <v>510</v>
      </c>
      <c r="E19" s="553"/>
      <c r="F19" s="553"/>
      <c r="H19" s="278"/>
      <c r="I19" s="566" t="s">
        <v>511</v>
      </c>
      <c r="J19" s="566"/>
      <c r="K19" s="567"/>
      <c r="P19" s="1">
        <f t="shared" si="2"/>
        <v>14</v>
      </c>
      <c r="Q19" s="51">
        <f>IF(AND(R19=$N$1,S19='Supply Porfolio (Live)'!$R$25,T19='Supply Porfolio (Live)'!$S$25),1,0)</f>
        <v>0</v>
      </c>
      <c r="R19" s="51">
        <v>2035</v>
      </c>
      <c r="S19" s="276">
        <v>70</v>
      </c>
      <c r="T19" s="275">
        <f t="shared" si="4"/>
        <v>-0.2</v>
      </c>
      <c r="U19" s="277">
        <f t="shared" si="5"/>
        <v>2.695348542608365</v>
      </c>
      <c r="V19" s="277">
        <f t="shared" si="1"/>
        <v>2.8453485426083649</v>
      </c>
      <c r="W19" s="168">
        <v>44678.379338058148</v>
      </c>
      <c r="X19" s="1"/>
    </row>
    <row r="20" spans="3:24" x14ac:dyDescent="0.25">
      <c r="C20" s="110" t="s">
        <v>512</v>
      </c>
      <c r="D20" s="51" t="s">
        <v>340</v>
      </c>
      <c r="E20" s="275">
        <v>-0.2</v>
      </c>
      <c r="F20" s="279" t="s">
        <v>508</v>
      </c>
      <c r="H20" s="280" t="s">
        <v>512</v>
      </c>
      <c r="I20" s="51" t="s">
        <v>340</v>
      </c>
      <c r="J20" s="275">
        <v>-0.2</v>
      </c>
      <c r="K20" s="281" t="s">
        <v>508</v>
      </c>
      <c r="P20" s="1">
        <f t="shared" si="2"/>
        <v>15</v>
      </c>
      <c r="Q20" s="51">
        <f>IF(AND(R20=$N$1,S20='Supply Porfolio (Live)'!$R$25,T20='Supply Porfolio (Live)'!$S$25),1,0)</f>
        <v>0</v>
      </c>
      <c r="R20" s="51">
        <v>2035</v>
      </c>
      <c r="S20" s="276">
        <v>50</v>
      </c>
      <c r="T20" s="275">
        <f t="shared" si="4"/>
        <v>-0.2</v>
      </c>
      <c r="U20" s="277">
        <f t="shared" si="5"/>
        <v>1.7720799810519083</v>
      </c>
      <c r="V20" s="277">
        <f t="shared" si="1"/>
        <v>1.9220799810519082</v>
      </c>
      <c r="W20" s="168">
        <v>44678.379338058148</v>
      </c>
      <c r="X20" s="1"/>
    </row>
    <row r="21" spans="3:24" x14ac:dyDescent="0.25">
      <c r="C21" s="276">
        <f>D5</f>
        <v>91.7</v>
      </c>
      <c r="D21" s="51">
        <v>5.07</v>
      </c>
      <c r="E21" s="51">
        <v>4.96</v>
      </c>
      <c r="F21" s="51">
        <v>5.18</v>
      </c>
      <c r="H21" s="282">
        <f>C21</f>
        <v>91.7</v>
      </c>
      <c r="I21" s="173">
        <f>D21/$I$6</f>
        <v>3.7749771024929308</v>
      </c>
      <c r="J21" s="173">
        <f t="shared" ref="J21:K23" si="6">E21/$I$6</f>
        <v>3.6930742462258257</v>
      </c>
      <c r="K21" s="283">
        <f t="shared" si="6"/>
        <v>3.8568799587600355</v>
      </c>
      <c r="P21" s="1">
        <f t="shared" si="2"/>
        <v>16</v>
      </c>
      <c r="Q21" s="51">
        <f>IF(AND(R21=$N$1,S21='Supply Porfolio (Live)'!$R$25,T21='Supply Porfolio (Live)'!$S$25),1,0)</f>
        <v>0</v>
      </c>
      <c r="R21" s="51">
        <v>2035</v>
      </c>
      <c r="S21" s="276">
        <v>91.7</v>
      </c>
      <c r="T21" s="275" t="str">
        <f t="shared" si="4"/>
        <v>+20%</v>
      </c>
      <c r="U21" s="277">
        <f t="shared" si="5"/>
        <v>3.8568799587600355</v>
      </c>
      <c r="V21" s="277">
        <f t="shared" si="1"/>
        <v>4.0068799587600354</v>
      </c>
      <c r="W21" s="168">
        <v>44678.379338058148</v>
      </c>
      <c r="X21" s="1"/>
    </row>
    <row r="22" spans="3:24" x14ac:dyDescent="0.25">
      <c r="C22" s="276">
        <v>70</v>
      </c>
      <c r="D22" s="51">
        <v>3.73</v>
      </c>
      <c r="E22" s="51">
        <v>3.62</v>
      </c>
      <c r="F22" s="51">
        <v>3.84</v>
      </c>
      <c r="H22" s="282">
        <f>C22</f>
        <v>70</v>
      </c>
      <c r="I22" s="173">
        <f>D22/$I$6</f>
        <v>2.7772513988754697</v>
      </c>
      <c r="J22" s="173">
        <f t="shared" si="6"/>
        <v>2.695348542608365</v>
      </c>
      <c r="K22" s="283">
        <f t="shared" si="6"/>
        <v>2.8591542551425748</v>
      </c>
      <c r="P22" s="1">
        <f t="shared" si="2"/>
        <v>17</v>
      </c>
      <c r="Q22" s="51">
        <f>IF(AND(R22=$N$1,S22='Supply Porfolio (Live)'!$R$25,T22='Supply Porfolio (Live)'!$S$25),1,0)</f>
        <v>0</v>
      </c>
      <c r="R22" s="51">
        <v>2035</v>
      </c>
      <c r="S22" s="276">
        <v>70</v>
      </c>
      <c r="T22" s="275" t="str">
        <f t="shared" si="4"/>
        <v>+20%</v>
      </c>
      <c r="U22" s="277">
        <f t="shared" si="5"/>
        <v>2.8591542551425748</v>
      </c>
      <c r="V22" s="277">
        <f t="shared" si="1"/>
        <v>3.0091542551425747</v>
      </c>
      <c r="W22" s="168">
        <v>44678.379338058148</v>
      </c>
      <c r="X22" s="1"/>
    </row>
    <row r="23" spans="3:24" x14ac:dyDescent="0.25">
      <c r="C23" s="276">
        <v>50</v>
      </c>
      <c r="D23" s="173">
        <v>2.5</v>
      </c>
      <c r="E23" s="173">
        <v>2.38</v>
      </c>
      <c r="F23" s="51">
        <v>2.61</v>
      </c>
      <c r="H23" s="289">
        <f>C23</f>
        <v>50</v>
      </c>
      <c r="I23" s="290">
        <f>D23/$I$6</f>
        <v>1.8614285515251139</v>
      </c>
      <c r="J23" s="290">
        <f t="shared" si="6"/>
        <v>1.7720799810519083</v>
      </c>
      <c r="K23" s="291">
        <f t="shared" si="6"/>
        <v>1.9433314077922188</v>
      </c>
      <c r="P23" s="10">
        <f t="shared" si="2"/>
        <v>18</v>
      </c>
      <c r="Q23" s="51">
        <f>IF(AND(R23=$N$1,S23='Supply Porfolio (Live)'!$R$25,T23='Supply Porfolio (Live)'!$S$25),1,0)</f>
        <v>0</v>
      </c>
      <c r="R23" s="284">
        <v>2035</v>
      </c>
      <c r="S23" s="285">
        <v>50</v>
      </c>
      <c r="T23" s="286" t="str">
        <f t="shared" si="4"/>
        <v>+20%</v>
      </c>
      <c r="U23" s="287">
        <f t="shared" si="5"/>
        <v>1.9433314077922188</v>
      </c>
      <c r="V23" s="287">
        <f t="shared" si="1"/>
        <v>2.0933314077922187</v>
      </c>
      <c r="W23" s="288">
        <v>44678.379338058148</v>
      </c>
      <c r="X23" s="1"/>
    </row>
    <row r="24" spans="3:24" x14ac:dyDescent="0.25">
      <c r="P24" s="1">
        <f t="shared" si="2"/>
        <v>19</v>
      </c>
      <c r="Q24" s="51">
        <f>IF(AND(R24=$N$1,S24='Supply Porfolio (Live)'!$R$25,T24='Supply Porfolio (Live)'!$S$25),1,0)</f>
        <v>0</v>
      </c>
      <c r="R24" s="51">
        <v>2040</v>
      </c>
      <c r="S24" s="276">
        <v>89.4</v>
      </c>
      <c r="T24" s="275" t="str">
        <f>T15</f>
        <v>Reference</v>
      </c>
      <c r="U24" s="277">
        <f>INDEX($H$28:$K$31,MATCH(S24,$H$28:$H$31,0),MATCH(T24,$H$28:$K$28,0))</f>
        <v>3.4994856768672142</v>
      </c>
      <c r="V24" s="277">
        <f t="shared" si="1"/>
        <v>3.6494856768672141</v>
      </c>
      <c r="W24" s="168">
        <v>45632.904577105837</v>
      </c>
      <c r="X24" s="1"/>
    </row>
    <row r="25" spans="3:24" x14ac:dyDescent="0.25">
      <c r="P25" s="1">
        <f t="shared" si="2"/>
        <v>20</v>
      </c>
      <c r="Q25" s="51">
        <f>IF(AND(R25=$N$1,S25='Supply Porfolio (Live)'!$R$25,T25='Supply Porfolio (Live)'!$S$25),1,0)</f>
        <v>0</v>
      </c>
      <c r="R25" s="51">
        <v>2040</v>
      </c>
      <c r="S25" s="276">
        <v>70</v>
      </c>
      <c r="T25" s="275" t="str">
        <f t="shared" ref="T25:T32" si="7">T16</f>
        <v>Reference</v>
      </c>
      <c r="U25" s="277">
        <f t="shared" ref="U25:U32" si="8">INDEX($H$28:$K$31,MATCH(S25,$H$28:$H$31,0),MATCH(T25,$H$28:$K$28,0))</f>
        <v>2.62089140054736</v>
      </c>
      <c r="V25" s="277">
        <f t="shared" si="1"/>
        <v>2.7708914005473599</v>
      </c>
      <c r="W25" s="168">
        <v>45632.904577105837</v>
      </c>
      <c r="X25" s="1"/>
    </row>
    <row r="26" spans="3:24" x14ac:dyDescent="0.25">
      <c r="C26" s="553">
        <v>2040</v>
      </c>
      <c r="D26" s="553"/>
      <c r="E26" s="553"/>
      <c r="F26" s="553"/>
      <c r="H26" s="546">
        <v>2040</v>
      </c>
      <c r="I26" s="546"/>
      <c r="J26" s="546"/>
      <c r="K26" s="546"/>
      <c r="P26" s="1">
        <f t="shared" si="2"/>
        <v>21</v>
      </c>
      <c r="Q26" s="51">
        <f>IF(AND(R26=$N$1,S26='Supply Porfolio (Live)'!$R$25,T26='Supply Porfolio (Live)'!$S$25),1,0)</f>
        <v>0</v>
      </c>
      <c r="R26" s="51">
        <v>2040</v>
      </c>
      <c r="S26" s="276">
        <v>50</v>
      </c>
      <c r="T26" s="275" t="str">
        <f t="shared" si="7"/>
        <v>Reference</v>
      </c>
      <c r="U26" s="277">
        <f t="shared" si="8"/>
        <v>1.7274056958153055</v>
      </c>
      <c r="V26" s="277">
        <f t="shared" si="1"/>
        <v>1.8774056958153054</v>
      </c>
      <c r="W26" s="168">
        <v>45632.904577105837</v>
      </c>
      <c r="X26" s="1"/>
    </row>
    <row r="27" spans="3:24" x14ac:dyDescent="0.25">
      <c r="D27" s="553" t="s">
        <v>510</v>
      </c>
      <c r="E27" s="553"/>
      <c r="F27" s="553"/>
      <c r="H27" s="278"/>
      <c r="I27" s="566" t="s">
        <v>511</v>
      </c>
      <c r="J27" s="566"/>
      <c r="K27" s="567"/>
      <c r="P27" s="1">
        <f t="shared" si="2"/>
        <v>22</v>
      </c>
      <c r="Q27" s="51">
        <f>IF(AND(R27=$N$1,S27='Supply Porfolio (Live)'!$R$25,T27='Supply Porfolio (Live)'!$S$25),1,0)</f>
        <v>0</v>
      </c>
      <c r="R27" s="51">
        <v>2040</v>
      </c>
      <c r="S27" s="276">
        <v>89.4</v>
      </c>
      <c r="T27" s="275">
        <f t="shared" si="7"/>
        <v>-0.2</v>
      </c>
      <c r="U27" s="277">
        <f t="shared" si="8"/>
        <v>3.4250285348062093</v>
      </c>
      <c r="V27" s="277">
        <f t="shared" si="1"/>
        <v>3.5750285348062092</v>
      </c>
      <c r="W27" s="168">
        <v>45632.904577105837</v>
      </c>
      <c r="X27" s="1"/>
    </row>
    <row r="28" spans="3:24" x14ac:dyDescent="0.25">
      <c r="C28" s="110" t="s">
        <v>512</v>
      </c>
      <c r="D28" s="51" t="s">
        <v>340</v>
      </c>
      <c r="E28" s="275">
        <v>-0.2</v>
      </c>
      <c r="F28" s="279" t="s">
        <v>508</v>
      </c>
      <c r="H28" s="280" t="s">
        <v>512</v>
      </c>
      <c r="I28" s="51" t="s">
        <v>340</v>
      </c>
      <c r="J28" s="275">
        <v>-0.2</v>
      </c>
      <c r="K28" s="281" t="s">
        <v>508</v>
      </c>
      <c r="P28" s="1">
        <f t="shared" si="2"/>
        <v>23</v>
      </c>
      <c r="Q28" s="51">
        <f>IF(AND(R28=$N$1,S28='Supply Porfolio (Live)'!$R$25,T28='Supply Porfolio (Live)'!$S$25),1,0)</f>
        <v>0</v>
      </c>
      <c r="R28" s="51">
        <v>2040</v>
      </c>
      <c r="S28" s="276">
        <v>70</v>
      </c>
      <c r="T28" s="275">
        <f t="shared" si="7"/>
        <v>-0.2</v>
      </c>
      <c r="U28" s="277">
        <f t="shared" si="8"/>
        <v>2.5464342584863555</v>
      </c>
      <c r="V28" s="277">
        <f t="shared" si="1"/>
        <v>2.6964342584863554</v>
      </c>
      <c r="W28" s="168">
        <v>45632.904577105837</v>
      </c>
      <c r="X28" s="1"/>
    </row>
    <row r="29" spans="3:24" x14ac:dyDescent="0.25">
      <c r="C29" s="276">
        <f>D6</f>
        <v>89.4</v>
      </c>
      <c r="D29" s="51">
        <v>4.7</v>
      </c>
      <c r="E29" s="51">
        <v>4.5999999999999996</v>
      </c>
      <c r="F29" s="51">
        <v>4.79</v>
      </c>
      <c r="H29" s="282">
        <f>C29</f>
        <v>89.4</v>
      </c>
      <c r="I29" s="173">
        <f>D29/$I$6</f>
        <v>3.4994856768672142</v>
      </c>
      <c r="J29" s="173">
        <f t="shared" ref="J29:K31" si="9">E29/$I$6</f>
        <v>3.4250285348062093</v>
      </c>
      <c r="K29" s="283">
        <f t="shared" si="9"/>
        <v>3.5664971047221181</v>
      </c>
      <c r="P29" s="1">
        <f t="shared" si="2"/>
        <v>24</v>
      </c>
      <c r="Q29" s="51">
        <f>IF(AND(R29=$N$1,S29='Supply Porfolio (Live)'!$R$25,T29='Supply Porfolio (Live)'!$S$25),1,0)</f>
        <v>0</v>
      </c>
      <c r="R29" s="51">
        <v>2040</v>
      </c>
      <c r="S29" s="276">
        <v>50</v>
      </c>
      <c r="T29" s="275">
        <f t="shared" si="7"/>
        <v>-0.2</v>
      </c>
      <c r="U29" s="277">
        <f t="shared" si="8"/>
        <v>1.6529485537543012</v>
      </c>
      <c r="V29" s="277">
        <f t="shared" si="1"/>
        <v>1.8029485537543011</v>
      </c>
      <c r="W29" s="168">
        <v>45632.904577105837</v>
      </c>
      <c r="X29" s="1"/>
    </row>
    <row r="30" spans="3:24" x14ac:dyDescent="0.25">
      <c r="C30" s="276">
        <v>70</v>
      </c>
      <c r="D30" s="51">
        <v>3.52</v>
      </c>
      <c r="E30" s="51">
        <v>3.42</v>
      </c>
      <c r="F30" s="51">
        <v>3.62</v>
      </c>
      <c r="H30" s="282">
        <f>C30</f>
        <v>70</v>
      </c>
      <c r="I30" s="173">
        <f>D30/$I$6</f>
        <v>2.62089140054736</v>
      </c>
      <c r="J30" s="173">
        <f t="shared" si="9"/>
        <v>2.5464342584863555</v>
      </c>
      <c r="K30" s="283">
        <f t="shared" si="9"/>
        <v>2.695348542608365</v>
      </c>
      <c r="P30" s="1">
        <f t="shared" si="2"/>
        <v>25</v>
      </c>
      <c r="Q30" s="51">
        <f>IF(AND(R30=$N$1,S30='Supply Porfolio (Live)'!$R$25,T30='Supply Porfolio (Live)'!$S$25),1,0)</f>
        <v>0</v>
      </c>
      <c r="R30" s="51">
        <v>2040</v>
      </c>
      <c r="S30" s="276">
        <v>89.4</v>
      </c>
      <c r="T30" s="275" t="str">
        <f t="shared" si="7"/>
        <v>+20%</v>
      </c>
      <c r="U30" s="277">
        <f t="shared" si="8"/>
        <v>3.5664971047221181</v>
      </c>
      <c r="V30" s="277">
        <f t="shared" si="1"/>
        <v>3.716497104722118</v>
      </c>
      <c r="W30" s="168">
        <v>45632.904577105837</v>
      </c>
      <c r="X30" s="1"/>
    </row>
    <row r="31" spans="3:24" x14ac:dyDescent="0.25">
      <c r="C31" s="276">
        <v>50</v>
      </c>
      <c r="D31" s="51">
        <v>2.3199999999999998</v>
      </c>
      <c r="E31" s="51">
        <v>2.2200000000000002</v>
      </c>
      <c r="F31" s="51">
        <v>2.41</v>
      </c>
      <c r="H31" s="289">
        <f>C31</f>
        <v>50</v>
      </c>
      <c r="I31" s="290">
        <f>D31/$I$6</f>
        <v>1.7274056958153055</v>
      </c>
      <c r="J31" s="290">
        <f t="shared" si="9"/>
        <v>1.6529485537543012</v>
      </c>
      <c r="K31" s="291">
        <f t="shared" si="9"/>
        <v>1.7944171236702098</v>
      </c>
      <c r="P31" s="1">
        <f t="shared" si="2"/>
        <v>26</v>
      </c>
      <c r="Q31" s="51">
        <f>IF(AND(R31=$N$1,S31='Supply Porfolio (Live)'!$R$25,T31='Supply Porfolio (Live)'!$S$25),1,0)</f>
        <v>0</v>
      </c>
      <c r="R31" s="51">
        <v>2040</v>
      </c>
      <c r="S31" s="276">
        <v>70</v>
      </c>
      <c r="T31" s="275" t="str">
        <f t="shared" si="7"/>
        <v>+20%</v>
      </c>
      <c r="U31" s="277">
        <f t="shared" si="8"/>
        <v>2.695348542608365</v>
      </c>
      <c r="V31" s="277">
        <f t="shared" si="1"/>
        <v>2.8453485426083649</v>
      </c>
      <c r="W31" s="168">
        <v>45632.904577105837</v>
      </c>
      <c r="X31" s="1"/>
    </row>
    <row r="32" spans="3:24" x14ac:dyDescent="0.25">
      <c r="P32" s="10">
        <f t="shared" si="2"/>
        <v>27</v>
      </c>
      <c r="Q32" s="51">
        <f>IF(AND(R32=$N$1,S32='Supply Porfolio (Live)'!$R$25,T32='Supply Porfolio (Live)'!$S$25),1,0)</f>
        <v>0</v>
      </c>
      <c r="R32" s="284">
        <v>2040</v>
      </c>
      <c r="S32" s="285">
        <v>50</v>
      </c>
      <c r="T32" s="286" t="str">
        <f t="shared" si="7"/>
        <v>+20%</v>
      </c>
      <c r="U32" s="287">
        <f t="shared" si="8"/>
        <v>1.7944171236702098</v>
      </c>
      <c r="V32" s="287">
        <f t="shared" si="1"/>
        <v>1.9444171236702097</v>
      </c>
      <c r="W32" s="288">
        <v>45632.904577105837</v>
      </c>
      <c r="X32" s="1"/>
    </row>
    <row r="33" spans="3:24" x14ac:dyDescent="0.25">
      <c r="P33" s="1">
        <f t="shared" si="2"/>
        <v>28</v>
      </c>
      <c r="Q33" s="51">
        <f>IF(AND(R33=$N$1,S33='Supply Porfolio (Live)'!$R$25,T33='Supply Porfolio (Live)'!$S$25),1,0)</f>
        <v>0</v>
      </c>
      <c r="R33" s="51">
        <v>2045</v>
      </c>
      <c r="S33" s="276">
        <v>86.7</v>
      </c>
      <c r="T33" s="275" t="str">
        <f>T24</f>
        <v>Reference</v>
      </c>
      <c r="U33" s="277">
        <f>INDEX($H$36:$K$39,MATCH(S33,$H$36:$H$39,0),MATCH(T33,$H$36:$K$36,0))</f>
        <v>3.2239942512414972</v>
      </c>
      <c r="V33" s="277">
        <f t="shared" si="1"/>
        <v>3.3739942512414971</v>
      </c>
      <c r="W33" s="168">
        <v>46607.822642515617</v>
      </c>
      <c r="X33" s="1"/>
    </row>
    <row r="34" spans="3:24" x14ac:dyDescent="0.25">
      <c r="C34" s="553">
        <v>2045</v>
      </c>
      <c r="D34" s="553"/>
      <c r="E34" s="553"/>
      <c r="F34" s="553"/>
      <c r="H34" s="546">
        <v>2045</v>
      </c>
      <c r="I34" s="546"/>
      <c r="J34" s="546"/>
      <c r="K34" s="546"/>
      <c r="P34" s="1">
        <f t="shared" si="2"/>
        <v>29</v>
      </c>
      <c r="Q34" s="51">
        <f>IF(AND(R34=$N$1,S34='Supply Porfolio (Live)'!$R$25,T34='Supply Porfolio (Live)'!$S$25),1,0)</f>
        <v>0</v>
      </c>
      <c r="R34" s="51">
        <v>2045</v>
      </c>
      <c r="S34" s="276">
        <v>70</v>
      </c>
      <c r="T34" s="275" t="str">
        <f t="shared" ref="T34:T41" si="10">T25</f>
        <v>Reference</v>
      </c>
      <c r="U34" s="277">
        <f t="shared" ref="U34:U41" si="11">INDEX($H$36:$K$39,MATCH(S34,$H$36:$H$39,0),MATCH(T34,$H$36:$K$36,0))</f>
        <v>2.4868685448375518</v>
      </c>
      <c r="V34" s="277">
        <f t="shared" si="1"/>
        <v>2.6368685448375517</v>
      </c>
      <c r="W34" s="168">
        <v>46607.822642515617</v>
      </c>
      <c r="X34" s="1"/>
    </row>
    <row r="35" spans="3:24" x14ac:dyDescent="0.25">
      <c r="D35" s="553" t="s">
        <v>510</v>
      </c>
      <c r="E35" s="553"/>
      <c r="F35" s="553"/>
      <c r="H35" s="278"/>
      <c r="I35" s="566" t="s">
        <v>511</v>
      </c>
      <c r="J35" s="566"/>
      <c r="K35" s="567"/>
      <c r="P35" s="1">
        <f t="shared" si="2"/>
        <v>30</v>
      </c>
      <c r="Q35" s="51">
        <f>IF(AND(R35=$N$1,S35='Supply Porfolio (Live)'!$R$25,T35='Supply Porfolio (Live)'!$S$25),1,0)</f>
        <v>0</v>
      </c>
      <c r="R35" s="51">
        <v>2045</v>
      </c>
      <c r="S35" s="276">
        <v>50</v>
      </c>
      <c r="T35" s="275" t="str">
        <f t="shared" si="10"/>
        <v>Reference</v>
      </c>
      <c r="U35" s="277">
        <f t="shared" si="11"/>
        <v>1.6082742685176985</v>
      </c>
      <c r="V35" s="277">
        <f t="shared" si="1"/>
        <v>1.7582742685176984</v>
      </c>
      <c r="W35" s="168">
        <v>46607.822642515617</v>
      </c>
      <c r="X35" s="1"/>
    </row>
    <row r="36" spans="3:24" x14ac:dyDescent="0.25">
      <c r="C36" s="110" t="s">
        <v>512</v>
      </c>
      <c r="D36" s="51" t="s">
        <v>340</v>
      </c>
      <c r="E36" s="275">
        <v>-0.2</v>
      </c>
      <c r="F36" s="279" t="s">
        <v>508</v>
      </c>
      <c r="H36" s="280" t="s">
        <v>512</v>
      </c>
      <c r="I36" s="51" t="s">
        <v>340</v>
      </c>
      <c r="J36" s="275">
        <v>-0.2</v>
      </c>
      <c r="K36" s="281" t="s">
        <v>508</v>
      </c>
      <c r="P36" s="1">
        <f t="shared" si="2"/>
        <v>31</v>
      </c>
      <c r="Q36" s="51">
        <f>IF(AND(R36=$N$1,S36='Supply Porfolio (Live)'!$R$25,T36='Supply Porfolio (Live)'!$S$25),1,0)</f>
        <v>0</v>
      </c>
      <c r="R36" s="51">
        <v>2045</v>
      </c>
      <c r="S36" s="276">
        <v>86.7</v>
      </c>
      <c r="T36" s="275">
        <f t="shared" si="10"/>
        <v>-0.2</v>
      </c>
      <c r="U36" s="277">
        <f t="shared" si="11"/>
        <v>3.1644285375926935</v>
      </c>
      <c r="V36" s="277">
        <f t="shared" si="1"/>
        <v>3.3144285375926934</v>
      </c>
      <c r="W36" s="168">
        <v>46607.822642515617</v>
      </c>
      <c r="X36" s="1"/>
    </row>
    <row r="37" spans="3:24" x14ac:dyDescent="0.25">
      <c r="C37" s="276">
        <f>D7</f>
        <v>86.7</v>
      </c>
      <c r="D37" s="51">
        <v>4.33</v>
      </c>
      <c r="E37" s="51">
        <v>4.25</v>
      </c>
      <c r="F37" s="51">
        <v>4.41</v>
      </c>
      <c r="H37" s="282">
        <f>C37</f>
        <v>86.7</v>
      </c>
      <c r="I37" s="173">
        <f>D37/$I$6</f>
        <v>3.2239942512414972</v>
      </c>
      <c r="J37" s="173">
        <f t="shared" ref="J37:K39" si="12">E37/$I$6</f>
        <v>3.1644285375926935</v>
      </c>
      <c r="K37" s="283">
        <f t="shared" si="12"/>
        <v>3.2835599648903009</v>
      </c>
      <c r="P37" s="1">
        <f t="shared" si="2"/>
        <v>32</v>
      </c>
      <c r="Q37" s="51">
        <f>IF(AND(R37=$N$1,S37='Supply Porfolio (Live)'!$R$25,T37='Supply Porfolio (Live)'!$S$25),1,0)</f>
        <v>0</v>
      </c>
      <c r="R37" s="51">
        <v>2045</v>
      </c>
      <c r="S37" s="276">
        <v>70</v>
      </c>
      <c r="T37" s="275">
        <f t="shared" si="10"/>
        <v>-0.2</v>
      </c>
      <c r="U37" s="277">
        <f t="shared" si="11"/>
        <v>2.4347485453948488</v>
      </c>
      <c r="V37" s="277">
        <f t="shared" si="1"/>
        <v>2.5847485453948487</v>
      </c>
      <c r="W37" s="168">
        <v>46607.822642515617</v>
      </c>
      <c r="X37" s="1"/>
    </row>
    <row r="38" spans="3:24" x14ac:dyDescent="0.25">
      <c r="C38" s="276">
        <v>70</v>
      </c>
      <c r="D38" s="51">
        <v>3.34</v>
      </c>
      <c r="E38" s="51">
        <v>3.27</v>
      </c>
      <c r="F38" s="51">
        <v>3.42</v>
      </c>
      <c r="H38" s="282">
        <f>C38</f>
        <v>70</v>
      </c>
      <c r="I38" s="173">
        <f>D38/$I$6</f>
        <v>2.4868685448375518</v>
      </c>
      <c r="J38" s="173">
        <f t="shared" si="12"/>
        <v>2.4347485453948488</v>
      </c>
      <c r="K38" s="283">
        <f t="shared" si="12"/>
        <v>2.5464342584863555</v>
      </c>
      <c r="P38" s="1">
        <f t="shared" si="2"/>
        <v>33</v>
      </c>
      <c r="Q38" s="51">
        <f>IF(AND(R38=$N$1,S38='Supply Porfolio (Live)'!$R$25,T38='Supply Porfolio (Live)'!$S$25),1,0)</f>
        <v>0</v>
      </c>
      <c r="R38" s="51">
        <v>2045</v>
      </c>
      <c r="S38" s="276">
        <v>50</v>
      </c>
      <c r="T38" s="275">
        <f t="shared" si="10"/>
        <v>-0.2</v>
      </c>
      <c r="U38" s="277">
        <f t="shared" si="11"/>
        <v>1.5487085548688948</v>
      </c>
      <c r="V38" s="277">
        <f t="shared" si="1"/>
        <v>1.6987085548688947</v>
      </c>
      <c r="W38" s="168">
        <v>46607.822642515617</v>
      </c>
      <c r="X38" s="1"/>
    </row>
    <row r="39" spans="3:24" x14ac:dyDescent="0.25">
      <c r="C39" s="276">
        <v>50</v>
      </c>
      <c r="D39" s="51">
        <v>2.16</v>
      </c>
      <c r="E39" s="51">
        <v>2.08</v>
      </c>
      <c r="F39" s="51">
        <v>2.2400000000000002</v>
      </c>
      <c r="H39" s="289">
        <f>C39</f>
        <v>50</v>
      </c>
      <c r="I39" s="290">
        <f>D39/$I$6</f>
        <v>1.6082742685176985</v>
      </c>
      <c r="J39" s="290">
        <f t="shared" si="12"/>
        <v>1.5487085548688948</v>
      </c>
      <c r="K39" s="291">
        <f t="shared" si="12"/>
        <v>1.6678399821665022</v>
      </c>
      <c r="P39" s="1">
        <f t="shared" si="2"/>
        <v>34</v>
      </c>
      <c r="Q39" s="51">
        <f>IF(AND(R39=$N$1,S39='Supply Porfolio (Live)'!$R$25,T39='Supply Porfolio (Live)'!$S$25),1,0)</f>
        <v>0</v>
      </c>
      <c r="R39" s="51">
        <v>2045</v>
      </c>
      <c r="S39" s="276">
        <v>86.7</v>
      </c>
      <c r="T39" s="275" t="str">
        <f t="shared" si="10"/>
        <v>+20%</v>
      </c>
      <c r="U39" s="277">
        <f t="shared" si="11"/>
        <v>3.2835599648903009</v>
      </c>
      <c r="V39" s="277">
        <f t="shared" si="1"/>
        <v>3.4335599648903008</v>
      </c>
      <c r="W39" s="168">
        <v>46607.822642515617</v>
      </c>
      <c r="X39" s="1"/>
    </row>
    <row r="40" spans="3:24" x14ac:dyDescent="0.25">
      <c r="P40" s="1">
        <f t="shared" si="2"/>
        <v>35</v>
      </c>
      <c r="Q40" s="51">
        <f>IF(AND(R40=$N$1,S40='Supply Porfolio (Live)'!$R$25,T40='Supply Porfolio (Live)'!$S$25),1,0)</f>
        <v>0</v>
      </c>
      <c r="R40" s="51">
        <v>2045</v>
      </c>
      <c r="S40" s="276">
        <v>70</v>
      </c>
      <c r="T40" s="275" t="str">
        <f t="shared" si="10"/>
        <v>+20%</v>
      </c>
      <c r="U40" s="277">
        <f t="shared" si="11"/>
        <v>2.5464342584863555</v>
      </c>
      <c r="V40" s="277">
        <f t="shared" si="1"/>
        <v>2.6964342584863554</v>
      </c>
      <c r="W40" s="168">
        <v>46607.822642515617</v>
      </c>
      <c r="X40" s="1"/>
    </row>
    <row r="41" spans="3:24" x14ac:dyDescent="0.25">
      <c r="P41" s="1">
        <f t="shared" si="2"/>
        <v>36</v>
      </c>
      <c r="Q41" s="51">
        <f>IF(AND(R41=$N$1,S41='Supply Porfolio (Live)'!$R$25,T41='Supply Porfolio (Live)'!$S$25),1,0)</f>
        <v>0</v>
      </c>
      <c r="R41" s="51">
        <v>2045</v>
      </c>
      <c r="S41" s="276">
        <v>50</v>
      </c>
      <c r="T41" s="275" t="str">
        <f t="shared" si="10"/>
        <v>+20%</v>
      </c>
      <c r="U41" s="277">
        <f t="shared" si="11"/>
        <v>1.6678399821665022</v>
      </c>
      <c r="V41" s="277">
        <f t="shared" si="1"/>
        <v>1.8178399821665021</v>
      </c>
      <c r="W41" s="168">
        <v>46607.822642515617</v>
      </c>
      <c r="X41" s="1"/>
    </row>
    <row r="42" spans="3:24" x14ac:dyDescent="0.25">
      <c r="X42" s="1"/>
    </row>
    <row r="43" spans="3:24" x14ac:dyDescent="0.25">
      <c r="X43" s="1"/>
    </row>
    <row r="44" spans="3:24" x14ac:dyDescent="0.25">
      <c r="X44" s="1"/>
    </row>
    <row r="45" spans="3:24" x14ac:dyDescent="0.25">
      <c r="X45" s="1"/>
    </row>
    <row r="46" spans="3:24" x14ac:dyDescent="0.25">
      <c r="X46" s="1"/>
    </row>
    <row r="47" spans="3:24" x14ac:dyDescent="0.25">
      <c r="X47" s="1"/>
    </row>
    <row r="48" spans="3:24" x14ac:dyDescent="0.25">
      <c r="X48" s="1"/>
    </row>
    <row r="49" spans="24:24" x14ac:dyDescent="0.25">
      <c r="X49" s="1"/>
    </row>
    <row r="50" spans="24:24" x14ac:dyDescent="0.25">
      <c r="X50" s="1"/>
    </row>
    <row r="51" spans="24:24" x14ac:dyDescent="0.25">
      <c r="X51" s="1"/>
    </row>
    <row r="52" spans="24:24" x14ac:dyDescent="0.25">
      <c r="X52" s="1"/>
    </row>
    <row r="53" spans="24:24" x14ac:dyDescent="0.25">
      <c r="X53" s="1"/>
    </row>
    <row r="54" spans="24:24" x14ac:dyDescent="0.25">
      <c r="X54" s="1"/>
    </row>
    <row r="55" spans="24:24" x14ac:dyDescent="0.25">
      <c r="X55" s="1"/>
    </row>
    <row r="56" spans="24:24" x14ac:dyDescent="0.25">
      <c r="X56" s="1"/>
    </row>
    <row r="57" spans="24:24" x14ac:dyDescent="0.25">
      <c r="X57" s="1"/>
    </row>
    <row r="58" spans="24:24" x14ac:dyDescent="0.25">
      <c r="X58" s="1"/>
    </row>
    <row r="59" spans="24:24" x14ac:dyDescent="0.25">
      <c r="X59" s="1"/>
    </row>
    <row r="60" spans="24:24" x14ac:dyDescent="0.25">
      <c r="X60" s="1"/>
    </row>
    <row r="61" spans="24:24" x14ac:dyDescent="0.25">
      <c r="X61" s="1"/>
    </row>
    <row r="62" spans="24:24" x14ac:dyDescent="0.25">
      <c r="X62" s="1"/>
    </row>
    <row r="63" spans="24:24" x14ac:dyDescent="0.25">
      <c r="X63" s="1"/>
    </row>
    <row r="64" spans="24:24" x14ac:dyDescent="0.25">
      <c r="X64" s="1"/>
    </row>
    <row r="65" spans="24:24" x14ac:dyDescent="0.25">
      <c r="X65" s="1"/>
    </row>
    <row r="66" spans="24:24" x14ac:dyDescent="0.25">
      <c r="X66" s="1"/>
    </row>
    <row r="67" spans="24:24" x14ac:dyDescent="0.25">
      <c r="X67" s="1"/>
    </row>
    <row r="68" spans="24:24" x14ac:dyDescent="0.25">
      <c r="X68" s="1"/>
    </row>
    <row r="69" spans="24:24" x14ac:dyDescent="0.25">
      <c r="X69" s="1"/>
    </row>
    <row r="70" spans="24:24" x14ac:dyDescent="0.25">
      <c r="X70" s="1"/>
    </row>
    <row r="71" spans="24:24" x14ac:dyDescent="0.25">
      <c r="X71" s="1"/>
    </row>
    <row r="72" spans="24:24" x14ac:dyDescent="0.25">
      <c r="X72" s="1"/>
    </row>
    <row r="73" spans="24:24" x14ac:dyDescent="0.25">
      <c r="X73" s="1"/>
    </row>
    <row r="74" spans="24:24" x14ac:dyDescent="0.25">
      <c r="X74" s="1"/>
    </row>
    <row r="75" spans="24:24" x14ac:dyDescent="0.25">
      <c r="X75" s="1"/>
    </row>
    <row r="76" spans="24:24" x14ac:dyDescent="0.25">
      <c r="X76" s="1"/>
    </row>
    <row r="77" spans="24:24" x14ac:dyDescent="0.25">
      <c r="X77" s="1"/>
    </row>
    <row r="78" spans="24:24" x14ac:dyDescent="0.25">
      <c r="X78" s="1"/>
    </row>
    <row r="79" spans="24:24" x14ac:dyDescent="0.25">
      <c r="X79" s="1"/>
    </row>
    <row r="80" spans="24:24" x14ac:dyDescent="0.25">
      <c r="X80" s="1"/>
    </row>
    <row r="81" spans="24:24" x14ac:dyDescent="0.25">
      <c r="X81" s="1"/>
    </row>
    <row r="82" spans="24:24" x14ac:dyDescent="0.25">
      <c r="X82" s="1"/>
    </row>
    <row r="83" spans="24:24" x14ac:dyDescent="0.25">
      <c r="X83" s="1"/>
    </row>
    <row r="84" spans="24:24" x14ac:dyDescent="0.25">
      <c r="X84" s="1"/>
    </row>
    <row r="85" spans="24:24" x14ac:dyDescent="0.25">
      <c r="X85" s="1"/>
    </row>
    <row r="86" spans="24:24" x14ac:dyDescent="0.25">
      <c r="X86" s="1"/>
    </row>
    <row r="87" spans="24:24" x14ac:dyDescent="0.25">
      <c r="X87" s="1"/>
    </row>
    <row r="88" spans="24:24" x14ac:dyDescent="0.25">
      <c r="X88" s="1"/>
    </row>
    <row r="89" spans="24:24" x14ac:dyDescent="0.25">
      <c r="X89" s="1"/>
    </row>
    <row r="90" spans="24:24" x14ac:dyDescent="0.25">
      <c r="X90" s="1"/>
    </row>
    <row r="91" spans="24:24" x14ac:dyDescent="0.25">
      <c r="X91" s="1"/>
    </row>
    <row r="92" spans="24:24" x14ac:dyDescent="0.25">
      <c r="X92" s="1"/>
    </row>
    <row r="93" spans="24:24" x14ac:dyDescent="0.25">
      <c r="X93" s="1"/>
    </row>
    <row r="94" spans="24:24" x14ac:dyDescent="0.25">
      <c r="X94" s="1"/>
    </row>
    <row r="95" spans="24:24" x14ac:dyDescent="0.25">
      <c r="X95" s="1"/>
    </row>
    <row r="96" spans="24:24" x14ac:dyDescent="0.25">
      <c r="X96" s="1"/>
    </row>
    <row r="97" spans="24:24" x14ac:dyDescent="0.25">
      <c r="X97" s="1"/>
    </row>
    <row r="98" spans="24:24" x14ac:dyDescent="0.25">
      <c r="X98" s="1"/>
    </row>
    <row r="99" spans="24:24" x14ac:dyDescent="0.25">
      <c r="X99" s="1"/>
    </row>
    <row r="100" spans="24:24" x14ac:dyDescent="0.25">
      <c r="X100" s="1"/>
    </row>
    <row r="101" spans="24:24" x14ac:dyDescent="0.25">
      <c r="X101" s="1"/>
    </row>
    <row r="102" spans="24:24" x14ac:dyDescent="0.25">
      <c r="X102" s="1"/>
    </row>
    <row r="103" spans="24:24" x14ac:dyDescent="0.25">
      <c r="X103" s="1"/>
    </row>
    <row r="104" spans="24:24" x14ac:dyDescent="0.25">
      <c r="X104" s="1"/>
    </row>
    <row r="105" spans="24:24" x14ac:dyDescent="0.25">
      <c r="X105" s="1"/>
    </row>
    <row r="106" spans="24:24" x14ac:dyDescent="0.25">
      <c r="X106" s="1"/>
    </row>
    <row r="107" spans="24:24" x14ac:dyDescent="0.25">
      <c r="X107" s="1"/>
    </row>
    <row r="108" spans="24:24" x14ac:dyDescent="0.25">
      <c r="X108" s="1"/>
    </row>
    <row r="109" spans="24:24" x14ac:dyDescent="0.25">
      <c r="X109" s="1"/>
    </row>
    <row r="110" spans="24:24" x14ac:dyDescent="0.25">
      <c r="X110" s="1"/>
    </row>
    <row r="111" spans="24:24" x14ac:dyDescent="0.25">
      <c r="X111" s="1"/>
    </row>
    <row r="112" spans="24:24" x14ac:dyDescent="0.25">
      <c r="X112" s="1"/>
    </row>
    <row r="113" spans="24:24" x14ac:dyDescent="0.25">
      <c r="X113" s="1"/>
    </row>
    <row r="114" spans="24:24" x14ac:dyDescent="0.25">
      <c r="X114" s="1"/>
    </row>
    <row r="115" spans="24:24" x14ac:dyDescent="0.25">
      <c r="X115" s="1"/>
    </row>
    <row r="116" spans="24:24" x14ac:dyDescent="0.25">
      <c r="X116" s="1"/>
    </row>
    <row r="117" spans="24:24" x14ac:dyDescent="0.25">
      <c r="X117" s="1"/>
    </row>
    <row r="118" spans="24:24" x14ac:dyDescent="0.25">
      <c r="X118" s="1"/>
    </row>
    <row r="119" spans="24:24" x14ac:dyDescent="0.25">
      <c r="X119" s="1"/>
    </row>
    <row r="120" spans="24:24" x14ac:dyDescent="0.25">
      <c r="X120" s="1"/>
    </row>
    <row r="121" spans="24:24" x14ac:dyDescent="0.25">
      <c r="X121" s="1"/>
    </row>
    <row r="122" spans="24:24" x14ac:dyDescent="0.25">
      <c r="X122" s="1"/>
    </row>
    <row r="123" spans="24:24" x14ac:dyDescent="0.25">
      <c r="X123" s="1"/>
    </row>
    <row r="124" spans="24:24" x14ac:dyDescent="0.25">
      <c r="X124" s="1"/>
    </row>
    <row r="125" spans="24:24" x14ac:dyDescent="0.25">
      <c r="X125" s="1"/>
    </row>
    <row r="126" spans="24:24" x14ac:dyDescent="0.25">
      <c r="X126" s="1"/>
    </row>
    <row r="127" spans="24:24" x14ac:dyDescent="0.25">
      <c r="X127" s="1"/>
    </row>
    <row r="128" spans="24:24" x14ac:dyDescent="0.25">
      <c r="X128" s="1"/>
    </row>
    <row r="129" spans="24:24" x14ac:dyDescent="0.25">
      <c r="X129" s="1"/>
    </row>
    <row r="130" spans="24:24" x14ac:dyDescent="0.25">
      <c r="X130" s="1"/>
    </row>
    <row r="131" spans="24:24" x14ac:dyDescent="0.25">
      <c r="X131" s="1"/>
    </row>
    <row r="132" spans="24:24" x14ac:dyDescent="0.25">
      <c r="X132" s="1"/>
    </row>
    <row r="133" spans="24:24" x14ac:dyDescent="0.25">
      <c r="X133" s="1"/>
    </row>
    <row r="134" spans="24:24" x14ac:dyDescent="0.25">
      <c r="X134" s="1"/>
    </row>
    <row r="135" spans="24:24" x14ac:dyDescent="0.25">
      <c r="X135" s="1"/>
    </row>
    <row r="136" spans="24:24" x14ac:dyDescent="0.25">
      <c r="X136" s="1"/>
    </row>
    <row r="137" spans="24:24" x14ac:dyDescent="0.25">
      <c r="X137" s="1"/>
    </row>
    <row r="138" spans="24:24" x14ac:dyDescent="0.25">
      <c r="X138" s="1"/>
    </row>
    <row r="139" spans="24:24" x14ac:dyDescent="0.25">
      <c r="X139" s="1"/>
    </row>
    <row r="140" spans="24:24" x14ac:dyDescent="0.25">
      <c r="X140" s="1"/>
    </row>
    <row r="141" spans="24:24" x14ac:dyDescent="0.25">
      <c r="X141" s="1"/>
    </row>
    <row r="142" spans="24:24" x14ac:dyDescent="0.25">
      <c r="X142" s="1"/>
    </row>
    <row r="143" spans="24:24" x14ac:dyDescent="0.25">
      <c r="X143" s="1"/>
    </row>
    <row r="144" spans="24:24" x14ac:dyDescent="0.25">
      <c r="X144" s="1"/>
    </row>
    <row r="145" spans="24:24" x14ac:dyDescent="0.25">
      <c r="X145" s="1"/>
    </row>
    <row r="146" spans="24:24" x14ac:dyDescent="0.25">
      <c r="X146" s="1"/>
    </row>
    <row r="147" spans="24:24" x14ac:dyDescent="0.25">
      <c r="X147" s="1"/>
    </row>
    <row r="148" spans="24:24" x14ac:dyDescent="0.25">
      <c r="X148" s="1"/>
    </row>
    <row r="149" spans="24:24" x14ac:dyDescent="0.25">
      <c r="X149" s="1"/>
    </row>
    <row r="150" spans="24:24" x14ac:dyDescent="0.25">
      <c r="X150" s="1"/>
    </row>
    <row r="151" spans="24:24" x14ac:dyDescent="0.25">
      <c r="X151" s="1"/>
    </row>
    <row r="152" spans="24:24" x14ac:dyDescent="0.25">
      <c r="X152" s="1"/>
    </row>
    <row r="153" spans="24:24" x14ac:dyDescent="0.25">
      <c r="X153" s="1"/>
    </row>
  </sheetData>
  <mergeCells count="17">
    <mergeCell ref="C18:F18"/>
    <mergeCell ref="H18:K18"/>
    <mergeCell ref="R2:W2"/>
    <mergeCell ref="C10:F10"/>
    <mergeCell ref="H10:K10"/>
    <mergeCell ref="D11:F11"/>
    <mergeCell ref="I11:K11"/>
    <mergeCell ref="C34:F34"/>
    <mergeCell ref="H34:K34"/>
    <mergeCell ref="D35:F35"/>
    <mergeCell ref="I35:K35"/>
    <mergeCell ref="D19:F19"/>
    <mergeCell ref="I19:K19"/>
    <mergeCell ref="C26:F26"/>
    <mergeCell ref="H26:K26"/>
    <mergeCell ref="D27:F27"/>
    <mergeCell ref="I27:K2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CD0BF-031C-43DA-A778-64E20ADD4BD1}">
  <sheetPr codeName="Sheet3">
    <tabColor theme="5"/>
  </sheetPr>
  <dimension ref="B2:AB75"/>
  <sheetViews>
    <sheetView zoomScale="55" zoomScaleNormal="55" workbookViewId="0">
      <selection activeCell="C2" sqref="C2"/>
    </sheetView>
  </sheetViews>
  <sheetFormatPr defaultColWidth="9.140625" defaultRowHeight="15" x14ac:dyDescent="0.25"/>
  <cols>
    <col min="1" max="1" width="9.140625" style="1"/>
    <col min="2" max="2" width="19" style="1" customWidth="1"/>
    <col min="3" max="3" width="20.7109375" style="1" customWidth="1"/>
    <col min="4" max="16384" width="9.140625" style="1"/>
  </cols>
  <sheetData>
    <row r="2" spans="2:25" ht="26.25" x14ac:dyDescent="0.4">
      <c r="B2" s="52" t="s">
        <v>13</v>
      </c>
      <c r="C2" s="498" t="str">
        <f>'Summary Dashboard'!C3</f>
        <v>Base</v>
      </c>
    </row>
    <row r="3" spans="2:25" ht="23.25" x14ac:dyDescent="0.35">
      <c r="B3" s="53" t="s">
        <v>15</v>
      </c>
    </row>
    <row r="9" spans="2:25" x14ac:dyDescent="0.25">
      <c r="U9" s="54" t="s">
        <v>16</v>
      </c>
      <c r="V9" s="54"/>
      <c r="W9" s="54"/>
      <c r="X9" s="54"/>
      <c r="Y9" s="54"/>
    </row>
    <row r="10" spans="2:25" x14ac:dyDescent="0.25">
      <c r="U10" s="54" t="s">
        <v>17</v>
      </c>
      <c r="V10" s="54"/>
      <c r="W10" s="54"/>
      <c r="X10" s="54"/>
      <c r="Y10" s="54"/>
    </row>
    <row r="11" spans="2:25" x14ac:dyDescent="0.25">
      <c r="U11" s="54"/>
      <c r="V11" s="54"/>
      <c r="W11" s="54"/>
      <c r="X11" s="54"/>
      <c r="Y11" s="54"/>
    </row>
    <row r="12" spans="2:25" x14ac:dyDescent="0.25">
      <c r="U12" s="54" t="s">
        <v>18</v>
      </c>
      <c r="V12" s="54"/>
      <c r="W12" s="54"/>
      <c r="X12" s="54"/>
      <c r="Y12" s="54"/>
    </row>
    <row r="13" spans="2:25" x14ac:dyDescent="0.25">
      <c r="U13" s="54"/>
      <c r="V13" s="54" t="s">
        <v>19</v>
      </c>
      <c r="W13" s="54"/>
      <c r="X13" s="54"/>
      <c r="Y13" s="54"/>
    </row>
    <row r="31" spans="2:28" x14ac:dyDescent="0.25">
      <c r="S31" s="1" t="s">
        <v>20</v>
      </c>
      <c r="AB31" s="1" t="s">
        <v>0</v>
      </c>
    </row>
    <row r="32" spans="2:28" x14ac:dyDescent="0.25">
      <c r="B32" s="11" t="s">
        <v>21</v>
      </c>
    </row>
    <row r="35" spans="2:2" x14ac:dyDescent="0.25">
      <c r="B35" s="11" t="s">
        <v>22</v>
      </c>
    </row>
    <row r="53" spans="2:2" x14ac:dyDescent="0.25">
      <c r="B53" s="11" t="s">
        <v>23</v>
      </c>
    </row>
    <row r="75" spans="2:2" x14ac:dyDescent="0.25">
      <c r="B75" s="1" t="s">
        <v>24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69E7C-F269-4ACF-B320-E53F603A643C}">
  <sheetPr codeName="Sheet30"/>
  <dimension ref="C1:S33"/>
  <sheetViews>
    <sheetView topLeftCell="A4" workbookViewId="0">
      <selection activeCell="I23" sqref="I23"/>
    </sheetView>
  </sheetViews>
  <sheetFormatPr defaultColWidth="9.140625" defaultRowHeight="16.5" x14ac:dyDescent="0.3"/>
  <cols>
    <col min="1" max="2" width="9.140625" style="292"/>
    <col min="3" max="3" width="29" style="292" customWidth="1"/>
    <col min="4" max="5" width="9.140625" style="292"/>
    <col min="6" max="6" width="17.7109375" style="292" customWidth="1"/>
    <col min="7" max="7" width="12.85546875" style="292" customWidth="1"/>
    <col min="8" max="8" width="10" style="293" customWidth="1"/>
    <col min="9" max="9" width="18.7109375" style="292" customWidth="1"/>
    <col min="10" max="10" width="9.140625" style="292"/>
    <col min="11" max="11" width="31.85546875" style="292" customWidth="1"/>
    <col min="12" max="12" width="11.28515625" style="292" customWidth="1"/>
    <col min="13" max="13" width="10.5703125" style="292" customWidth="1"/>
    <col min="14" max="14" width="10.28515625" style="292" customWidth="1"/>
    <col min="15" max="15" width="10.42578125" style="292" customWidth="1"/>
    <col min="16" max="17" width="9.140625" style="292"/>
    <col min="18" max="18" width="11.85546875" style="292" customWidth="1"/>
    <col min="19" max="19" width="9.85546875" style="292" customWidth="1"/>
    <col min="20" max="20" width="9.140625" style="292"/>
    <col min="21" max="21" width="10.7109375" style="292" customWidth="1"/>
    <col min="22" max="22" width="11.42578125" style="292" customWidth="1"/>
    <col min="23" max="16384" width="9.140625" style="292"/>
  </cols>
  <sheetData>
    <row r="1" spans="3:18" x14ac:dyDescent="0.3">
      <c r="K1" s="292" t="s">
        <v>513</v>
      </c>
    </row>
    <row r="2" spans="3:18" x14ac:dyDescent="0.3">
      <c r="F2" s="294"/>
      <c r="G2" s="295"/>
      <c r="K2" s="296" t="s">
        <v>514</v>
      </c>
    </row>
    <row r="4" spans="3:18" x14ac:dyDescent="0.3">
      <c r="C4" s="297" t="s">
        <v>515</v>
      </c>
      <c r="F4" s="297" t="s">
        <v>516</v>
      </c>
      <c r="K4" s="297" t="s">
        <v>517</v>
      </c>
      <c r="R4" s="297"/>
    </row>
    <row r="5" spans="3:18" x14ac:dyDescent="0.3">
      <c r="C5" s="292" t="s">
        <v>518</v>
      </c>
      <c r="D5" s="298">
        <v>643861.91303071158</v>
      </c>
      <c r="E5" s="292" t="s">
        <v>519</v>
      </c>
      <c r="F5" s="299" t="s">
        <v>520</v>
      </c>
      <c r="G5" s="300" t="s">
        <v>521</v>
      </c>
      <c r="H5" s="300" t="s">
        <v>522</v>
      </c>
      <c r="I5" s="301" t="s">
        <v>523</v>
      </c>
      <c r="K5" s="576" t="s">
        <v>524</v>
      </c>
      <c r="L5" s="568" t="s">
        <v>525</v>
      </c>
      <c r="M5" s="578" t="s">
        <v>526</v>
      </c>
      <c r="N5" s="568" t="s">
        <v>527</v>
      </c>
      <c r="O5" s="568" t="s">
        <v>528</v>
      </c>
      <c r="P5" s="570" t="s">
        <v>529</v>
      </c>
    </row>
    <row r="6" spans="3:18" x14ac:dyDescent="0.3">
      <c r="C6" s="292" t="s">
        <v>530</v>
      </c>
      <c r="D6" s="302">
        <v>0.7</v>
      </c>
      <c r="F6" s="303"/>
      <c r="G6" s="304" t="s">
        <v>531</v>
      </c>
      <c r="H6" s="304" t="s">
        <v>531</v>
      </c>
      <c r="I6" s="305" t="s">
        <v>531</v>
      </c>
      <c r="K6" s="577"/>
      <c r="L6" s="569"/>
      <c r="M6" s="579"/>
      <c r="N6" s="569"/>
      <c r="O6" s="569"/>
      <c r="P6" s="571"/>
    </row>
    <row r="7" spans="3:18" x14ac:dyDescent="0.3">
      <c r="F7" s="306">
        <v>2019</v>
      </c>
      <c r="G7" s="307">
        <f>L21</f>
        <v>139.30000000000001</v>
      </c>
      <c r="H7" s="307">
        <f>L22</f>
        <v>129.36348396501461</v>
      </c>
      <c r="I7" s="308">
        <f t="shared" ref="I7:I13" si="0">$L$20*H7+G7*$L$19</f>
        <v>133.87008968884649</v>
      </c>
      <c r="K7" s="309" t="s">
        <v>532</v>
      </c>
      <c r="L7" s="310">
        <v>30</v>
      </c>
      <c r="M7" s="310" t="s">
        <v>521</v>
      </c>
      <c r="N7" s="310" t="s">
        <v>533</v>
      </c>
      <c r="O7" s="311">
        <v>0.21440000000000001</v>
      </c>
      <c r="P7" s="312">
        <f t="shared" ref="P7:P16" si="1">O7*1000</f>
        <v>214.4</v>
      </c>
    </row>
    <row r="8" spans="3:18" x14ac:dyDescent="0.3">
      <c r="C8" s="292" t="s">
        <v>97</v>
      </c>
      <c r="D8" s="313">
        <v>0.4</v>
      </c>
      <c r="F8" s="314">
        <v>2025</v>
      </c>
      <c r="G8" s="315">
        <f t="shared" ref="G8:G13" si="2">$L$21*(1+HLOOKUP(F8,$N$31:$S$33,3,FALSE))</f>
        <v>116.10655000000001</v>
      </c>
      <c r="H8" s="315">
        <f t="shared" ref="H8:H13" si="3">$L$22*(1+HLOOKUP(F8,$N$31:$S$33,2,FALSE))</f>
        <v>79.170452186588946</v>
      </c>
      <c r="I8" s="316">
        <f t="shared" si="0"/>
        <v>95.922443451520962</v>
      </c>
      <c r="K8" s="317" t="s">
        <v>534</v>
      </c>
      <c r="L8" s="293">
        <v>69</v>
      </c>
      <c r="M8" s="293" t="s">
        <v>535</v>
      </c>
      <c r="N8" s="293" t="s">
        <v>533</v>
      </c>
      <c r="O8" s="318">
        <v>0.22919999999999999</v>
      </c>
      <c r="P8" s="319">
        <f t="shared" si="1"/>
        <v>229.2</v>
      </c>
    </row>
    <row r="9" spans="3:18" x14ac:dyDescent="0.3">
      <c r="C9" s="292" t="s">
        <v>515</v>
      </c>
      <c r="D9" s="313">
        <f>D5/(365*24*D8)</f>
        <v>183.75054595625332</v>
      </c>
      <c r="F9" s="314">
        <v>2030</v>
      </c>
      <c r="G9" s="315">
        <f t="shared" si="2"/>
        <v>108.58435</v>
      </c>
      <c r="H9" s="315">
        <f t="shared" si="3"/>
        <v>66.428149016034993</v>
      </c>
      <c r="I9" s="316">
        <f t="shared" si="0"/>
        <v>85.547664949027975</v>
      </c>
      <c r="K9" s="317" t="s">
        <v>536</v>
      </c>
      <c r="L9" s="293">
        <v>5</v>
      </c>
      <c r="M9" s="293" t="s">
        <v>522</v>
      </c>
      <c r="N9" s="293" t="s">
        <v>533</v>
      </c>
      <c r="O9" s="318">
        <v>0.216</v>
      </c>
      <c r="P9" s="319">
        <f t="shared" si="1"/>
        <v>216</v>
      </c>
    </row>
    <row r="10" spans="3:18" x14ac:dyDescent="0.3">
      <c r="D10" s="298"/>
      <c r="F10" s="314">
        <v>2035</v>
      </c>
      <c r="G10" s="315">
        <f t="shared" si="2"/>
        <v>100.08704999999999</v>
      </c>
      <c r="H10" s="315">
        <f t="shared" si="3"/>
        <v>62.741289723032082</v>
      </c>
      <c r="I10" s="316">
        <f t="shared" si="0"/>
        <v>79.679079229179038</v>
      </c>
      <c r="K10" s="317" t="s">
        <v>537</v>
      </c>
      <c r="L10" s="293">
        <v>5</v>
      </c>
      <c r="M10" s="293" t="s">
        <v>522</v>
      </c>
      <c r="N10" s="293" t="s">
        <v>533</v>
      </c>
      <c r="O10" s="318">
        <v>0.23849999999999999</v>
      </c>
      <c r="P10" s="319">
        <f t="shared" si="1"/>
        <v>238.5</v>
      </c>
    </row>
    <row r="11" spans="3:18" x14ac:dyDescent="0.3">
      <c r="F11" s="314">
        <v>2040</v>
      </c>
      <c r="G11" s="315">
        <f t="shared" si="2"/>
        <v>97.718950000000007</v>
      </c>
      <c r="H11" s="315">
        <f t="shared" si="3"/>
        <v>61.059564431486891</v>
      </c>
      <c r="I11" s="316">
        <f t="shared" si="0"/>
        <v>77.686055673843498</v>
      </c>
      <c r="K11" s="317" t="s">
        <v>538</v>
      </c>
      <c r="L11" s="293">
        <v>1</v>
      </c>
      <c r="M11" s="293" t="s">
        <v>522</v>
      </c>
      <c r="N11" s="293" t="s">
        <v>533</v>
      </c>
      <c r="O11" s="318">
        <v>0.23599999999999999</v>
      </c>
      <c r="P11" s="319">
        <f t="shared" si="1"/>
        <v>236</v>
      </c>
    </row>
    <row r="12" spans="3:18" x14ac:dyDescent="0.3">
      <c r="F12" s="314">
        <v>2045</v>
      </c>
      <c r="G12" s="315">
        <f t="shared" si="2"/>
        <v>97.51</v>
      </c>
      <c r="H12" s="315">
        <f t="shared" si="3"/>
        <v>56.919932944606423</v>
      </c>
      <c r="I12" s="316">
        <f t="shared" si="0"/>
        <v>75.329144772826965</v>
      </c>
      <c r="K12" s="317" t="s">
        <v>539</v>
      </c>
      <c r="L12" s="293">
        <v>27.6</v>
      </c>
      <c r="M12" s="293" t="s">
        <v>522</v>
      </c>
      <c r="N12" s="293">
        <v>2017</v>
      </c>
      <c r="O12" s="318">
        <v>0.14499999999999999</v>
      </c>
      <c r="P12" s="319">
        <f t="shared" si="1"/>
        <v>145</v>
      </c>
    </row>
    <row r="13" spans="3:18" x14ac:dyDescent="0.3">
      <c r="F13" s="303">
        <v>2050</v>
      </c>
      <c r="G13" s="320">
        <f t="shared" si="2"/>
        <v>99.947750000000013</v>
      </c>
      <c r="H13" s="320">
        <f t="shared" si="3"/>
        <v>53.750527587463566</v>
      </c>
      <c r="I13" s="321">
        <f t="shared" si="0"/>
        <v>74.702807663945805</v>
      </c>
      <c r="K13" s="317" t="s">
        <v>540</v>
      </c>
      <c r="L13" s="293">
        <v>49</v>
      </c>
      <c r="M13" s="293" t="s">
        <v>522</v>
      </c>
      <c r="N13" s="293">
        <v>2019</v>
      </c>
      <c r="O13" s="318">
        <v>0.1273</v>
      </c>
      <c r="P13" s="319">
        <f t="shared" si="1"/>
        <v>127.3</v>
      </c>
    </row>
    <row r="14" spans="3:18" x14ac:dyDescent="0.3">
      <c r="H14" s="292"/>
      <c r="K14" s="317" t="s">
        <v>541</v>
      </c>
      <c r="L14" s="293">
        <v>14.7</v>
      </c>
      <c r="M14" s="293" t="s">
        <v>522</v>
      </c>
      <c r="N14" s="293">
        <v>2019</v>
      </c>
      <c r="O14" s="318">
        <v>0.1305</v>
      </c>
      <c r="P14" s="319">
        <f t="shared" si="1"/>
        <v>130.5</v>
      </c>
    </row>
    <row r="15" spans="3:18" x14ac:dyDescent="0.3">
      <c r="H15" s="292"/>
      <c r="K15" s="317" t="s">
        <v>542</v>
      </c>
      <c r="L15" s="293">
        <v>45.9</v>
      </c>
      <c r="M15" s="293" t="s">
        <v>522</v>
      </c>
      <c r="N15" s="293">
        <v>2019</v>
      </c>
      <c r="O15" s="318">
        <v>0.12180000000000001</v>
      </c>
      <c r="P15" s="319">
        <f t="shared" si="1"/>
        <v>121.80000000000001</v>
      </c>
    </row>
    <row r="16" spans="3:18" x14ac:dyDescent="0.3">
      <c r="H16" s="292"/>
      <c r="K16" s="322" t="s">
        <v>543</v>
      </c>
      <c r="L16" s="323">
        <v>24</v>
      </c>
      <c r="M16" s="323" t="s">
        <v>521</v>
      </c>
      <c r="N16" s="323">
        <v>2020</v>
      </c>
      <c r="O16" s="324">
        <v>0.13930000000000001</v>
      </c>
      <c r="P16" s="325">
        <f t="shared" si="1"/>
        <v>139.30000000000001</v>
      </c>
    </row>
    <row r="17" spans="11:19" x14ac:dyDescent="0.3">
      <c r="K17" s="326" t="s">
        <v>544</v>
      </c>
      <c r="L17" s="327"/>
      <c r="M17" s="327"/>
      <c r="N17" s="327"/>
      <c r="O17" s="328">
        <f>SUMPRODUCT($L$12:$L$16,$O$12:$O$16)/SUM(L12:L16)</f>
        <v>0.13084286600496278</v>
      </c>
      <c r="P17" s="329">
        <f>AVERAGE(P12:P16)</f>
        <v>132.78000000000003</v>
      </c>
    </row>
    <row r="19" spans="11:19" x14ac:dyDescent="0.3">
      <c r="K19" s="294" t="s">
        <v>545</v>
      </c>
      <c r="L19" s="330">
        <f>SUMIF($M$7:$M$16,M7,$L$7:$L$16)/SUM(L7:L16)</f>
        <v>0.4535398230088496</v>
      </c>
      <c r="M19" s="293" t="s">
        <v>546</v>
      </c>
    </row>
    <row r="20" spans="11:19" x14ac:dyDescent="0.3">
      <c r="K20" s="294" t="s">
        <v>547</v>
      </c>
      <c r="L20" s="330">
        <f>SUMIF($M$7:$M$16,M9,$L$7:$L$16)/SUM(L7:L16)</f>
        <v>0.54646017699115046</v>
      </c>
      <c r="M20" s="293" t="s">
        <v>546</v>
      </c>
    </row>
    <row r="21" spans="11:19" x14ac:dyDescent="0.3">
      <c r="K21" s="294" t="s">
        <v>548</v>
      </c>
      <c r="L21" s="298">
        <f>P16</f>
        <v>139.30000000000001</v>
      </c>
      <c r="M21" s="293" t="s">
        <v>549</v>
      </c>
    </row>
    <row r="22" spans="11:19" x14ac:dyDescent="0.3">
      <c r="K22" s="294" t="s">
        <v>550</v>
      </c>
      <c r="L22" s="298">
        <f>SUMPRODUCT(P12:P15,L12:L15)/SUM(L12:L15)</f>
        <v>129.36348396501461</v>
      </c>
      <c r="M22" s="293" t="s">
        <v>549</v>
      </c>
    </row>
    <row r="24" spans="11:19" x14ac:dyDescent="0.3">
      <c r="K24" s="296" t="s">
        <v>551</v>
      </c>
    </row>
    <row r="25" spans="11:19" x14ac:dyDescent="0.3">
      <c r="K25" s="297" t="s">
        <v>552</v>
      </c>
    </row>
    <row r="26" spans="11:19" x14ac:dyDescent="0.3">
      <c r="K26" s="572" t="s">
        <v>553</v>
      </c>
      <c r="L26" s="573"/>
      <c r="M26" s="331">
        <v>2019</v>
      </c>
      <c r="N26" s="332">
        <v>2025</v>
      </c>
      <c r="O26" s="331">
        <v>2030</v>
      </c>
      <c r="P26" s="331">
        <v>2035</v>
      </c>
      <c r="Q26" s="331">
        <v>2040</v>
      </c>
      <c r="R26" s="331">
        <v>2045</v>
      </c>
      <c r="S26" s="333">
        <v>2050</v>
      </c>
    </row>
    <row r="27" spans="11:19" x14ac:dyDescent="0.3">
      <c r="K27" s="574" t="s">
        <v>522</v>
      </c>
      <c r="L27" s="334" t="s">
        <v>554</v>
      </c>
      <c r="M27" s="335">
        <v>0</v>
      </c>
      <c r="N27" s="336">
        <v>-0.42100000000000004</v>
      </c>
      <c r="O27" s="336">
        <v>-0.54400000000000004</v>
      </c>
      <c r="P27" s="336">
        <v>-0.63500000000000001</v>
      </c>
      <c r="Q27" s="336">
        <v>-0.69299999999999995</v>
      </c>
      <c r="R27" s="336">
        <v>-0.72799999999999998</v>
      </c>
      <c r="S27" s="335">
        <v>-0.754</v>
      </c>
    </row>
    <row r="28" spans="11:19" x14ac:dyDescent="0.3">
      <c r="K28" s="575"/>
      <c r="L28" s="337" t="s">
        <v>555</v>
      </c>
      <c r="M28" s="338">
        <v>0</v>
      </c>
      <c r="N28" s="339">
        <v>-0.35499999999999998</v>
      </c>
      <c r="O28" s="339">
        <v>-0.42899999999999999</v>
      </c>
      <c r="P28" s="339">
        <v>-0.39500000000000002</v>
      </c>
      <c r="Q28" s="339">
        <v>-0.36299999999999999</v>
      </c>
      <c r="R28" s="339">
        <v>-0.39200000000000002</v>
      </c>
      <c r="S28" s="338">
        <v>-0.41499999999999998</v>
      </c>
    </row>
    <row r="29" spans="11:19" x14ac:dyDescent="0.3">
      <c r="K29" s="574" t="s">
        <v>521</v>
      </c>
      <c r="L29" s="334" t="s">
        <v>554</v>
      </c>
      <c r="M29" s="335">
        <v>0</v>
      </c>
      <c r="N29" s="336">
        <v>-0.192</v>
      </c>
      <c r="O29" s="336">
        <v>-0.25800000000000001</v>
      </c>
      <c r="P29" s="336">
        <v>-0.317</v>
      </c>
      <c r="Q29" s="336">
        <v>-0.32500000000000001</v>
      </c>
      <c r="R29" s="336">
        <v>-0.31900000000000001</v>
      </c>
      <c r="S29" s="335">
        <v>-0.30399999999999999</v>
      </c>
    </row>
    <row r="30" spans="11:19" x14ac:dyDescent="0.3">
      <c r="K30" s="575"/>
      <c r="L30" s="337" t="s">
        <v>555</v>
      </c>
      <c r="M30" s="338">
        <v>0</v>
      </c>
      <c r="N30" s="339">
        <v>-0.14099999999999999</v>
      </c>
      <c r="O30" s="339">
        <v>-0.183</v>
      </c>
      <c r="P30" s="339">
        <v>-0.24600000000000002</v>
      </c>
      <c r="Q30" s="339">
        <v>-0.27200000000000002</v>
      </c>
      <c r="R30" s="339">
        <v>-0.28100000000000003</v>
      </c>
      <c r="S30" s="338">
        <v>-0.26100000000000001</v>
      </c>
    </row>
    <row r="31" spans="11:19" x14ac:dyDescent="0.3">
      <c r="N31" s="332">
        <f t="shared" ref="N31:S31" si="4">N26</f>
        <v>2025</v>
      </c>
      <c r="O31" s="331">
        <f t="shared" si="4"/>
        <v>2030</v>
      </c>
      <c r="P31" s="331">
        <f t="shared" si="4"/>
        <v>2035</v>
      </c>
      <c r="Q31" s="331">
        <f t="shared" si="4"/>
        <v>2040</v>
      </c>
      <c r="R31" s="331">
        <f t="shared" si="4"/>
        <v>2045</v>
      </c>
      <c r="S31" s="333">
        <f t="shared" si="4"/>
        <v>2050</v>
      </c>
    </row>
    <row r="32" spans="11:19" x14ac:dyDescent="0.3">
      <c r="K32" s="340" t="s">
        <v>556</v>
      </c>
      <c r="L32" s="341"/>
      <c r="M32" s="341"/>
      <c r="N32" s="342">
        <f t="shared" ref="N32:S32" si="5">AVERAGE(N27:N28)</f>
        <v>-0.38800000000000001</v>
      </c>
      <c r="O32" s="342">
        <f t="shared" si="5"/>
        <v>-0.48650000000000004</v>
      </c>
      <c r="P32" s="342">
        <f t="shared" si="5"/>
        <v>-0.51500000000000001</v>
      </c>
      <c r="Q32" s="342">
        <f t="shared" si="5"/>
        <v>-0.52800000000000002</v>
      </c>
      <c r="R32" s="342">
        <f t="shared" si="5"/>
        <v>-0.56000000000000005</v>
      </c>
      <c r="S32" s="343">
        <f t="shared" si="5"/>
        <v>-0.58450000000000002</v>
      </c>
    </row>
    <row r="33" spans="11:19" x14ac:dyDescent="0.3">
      <c r="K33" s="344" t="s">
        <v>557</v>
      </c>
      <c r="L33" s="345"/>
      <c r="M33" s="345"/>
      <c r="N33" s="346">
        <f t="shared" ref="N33:S33" si="6">AVERAGE(N29:N30)</f>
        <v>-0.16649999999999998</v>
      </c>
      <c r="O33" s="346">
        <f t="shared" si="6"/>
        <v>-0.2205</v>
      </c>
      <c r="P33" s="346">
        <f t="shared" si="6"/>
        <v>-0.28150000000000003</v>
      </c>
      <c r="Q33" s="346">
        <f t="shared" si="6"/>
        <v>-0.29849999999999999</v>
      </c>
      <c r="R33" s="346">
        <f t="shared" si="6"/>
        <v>-0.30000000000000004</v>
      </c>
      <c r="S33" s="347">
        <f t="shared" si="6"/>
        <v>-0.28249999999999997</v>
      </c>
    </row>
  </sheetData>
  <mergeCells count="9">
    <mergeCell ref="O5:O6"/>
    <mergeCell ref="P5:P6"/>
    <mergeCell ref="K26:L26"/>
    <mergeCell ref="K27:K28"/>
    <mergeCell ref="K29:K30"/>
    <mergeCell ref="K5:K6"/>
    <mergeCell ref="L5:L6"/>
    <mergeCell ref="M5:M6"/>
    <mergeCell ref="N5:N6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A1B83-FEF4-40E5-B011-99F894B51C47}">
  <sheetPr codeName="Sheet31"/>
  <dimension ref="B1:X50"/>
  <sheetViews>
    <sheetView zoomScale="85" zoomScaleNormal="85" workbookViewId="0">
      <selection activeCell="F12" sqref="F12"/>
    </sheetView>
  </sheetViews>
  <sheetFormatPr defaultColWidth="9.140625" defaultRowHeight="15" x14ac:dyDescent="0.25"/>
  <cols>
    <col min="1" max="1" width="9.140625" style="1"/>
    <col min="2" max="2" width="13.5703125" style="1" customWidth="1"/>
    <col min="3" max="3" width="22.7109375" style="1" customWidth="1"/>
    <col min="4" max="4" width="15.85546875" style="1" customWidth="1"/>
    <col min="5" max="5" width="15.7109375" style="1" customWidth="1"/>
    <col min="6" max="6" width="28.85546875" style="1" customWidth="1"/>
    <col min="7" max="7" width="23.28515625" style="1" customWidth="1"/>
    <col min="8" max="8" width="22.5703125" style="1" customWidth="1"/>
    <col min="9" max="9" width="7" style="1" customWidth="1"/>
    <col min="10" max="10" width="15" style="1" customWidth="1"/>
    <col min="11" max="11" width="19.7109375" style="1" customWidth="1"/>
    <col min="12" max="12" width="13.5703125" style="1" customWidth="1"/>
    <col min="13" max="13" width="13.7109375" style="1" bestFit="1" customWidth="1"/>
    <col min="14" max="14" width="14.140625" style="1" customWidth="1"/>
    <col min="15" max="15" width="8.28515625" style="1" customWidth="1"/>
    <col min="16" max="16" width="21.85546875" style="1" customWidth="1"/>
    <col min="17" max="17" width="16" style="1" customWidth="1"/>
    <col min="18" max="18" width="17.140625" style="1" customWidth="1"/>
    <col min="19" max="19" width="14.85546875" style="1" customWidth="1"/>
    <col min="20" max="20" width="16.140625" style="1" customWidth="1"/>
    <col min="21" max="21" width="14.42578125" style="1" customWidth="1"/>
    <col min="22" max="22" width="12.85546875" style="1" customWidth="1"/>
    <col min="23" max="23" width="14.28515625" style="1" bestFit="1" customWidth="1"/>
    <col min="24" max="16384" width="9.140625" style="1"/>
  </cols>
  <sheetData>
    <row r="1" spans="2:24" x14ac:dyDescent="0.25">
      <c r="F1" s="1" t="s">
        <v>558</v>
      </c>
      <c r="G1" s="1" t="s">
        <v>330</v>
      </c>
      <c r="K1" s="172" t="s">
        <v>559</v>
      </c>
      <c r="M1" s="11" t="s">
        <v>763</v>
      </c>
      <c r="Q1" s="275">
        <v>0.06</v>
      </c>
      <c r="T1" s="11" t="s">
        <v>327</v>
      </c>
    </row>
    <row r="2" spans="2:24" x14ac:dyDescent="0.25">
      <c r="C2" s="114" t="s">
        <v>560</v>
      </c>
      <c r="F2" s="348">
        <v>0.8</v>
      </c>
      <c r="G2" s="349">
        <f t="shared" ref="G2:G7" si="0">F2*1000000/365</f>
        <v>2191.7808219178082</v>
      </c>
      <c r="K2" s="51" t="s">
        <v>561</v>
      </c>
      <c r="Q2" s="275">
        <v>0.5</v>
      </c>
    </row>
    <row r="3" spans="2:24" x14ac:dyDescent="0.25">
      <c r="C3" s="114" t="s">
        <v>562</v>
      </c>
      <c r="D3" s="8" t="s">
        <v>563</v>
      </c>
      <c r="E3" s="114"/>
      <c r="F3" s="350">
        <f>1.8-F2</f>
        <v>1</v>
      </c>
      <c r="G3" s="349">
        <f t="shared" si="0"/>
        <v>2739.7260273972602</v>
      </c>
      <c r="K3" s="1" t="s">
        <v>564</v>
      </c>
      <c r="M3" s="51" t="s">
        <v>305</v>
      </c>
      <c r="N3" s="51" t="s">
        <v>565</v>
      </c>
      <c r="O3" s="51" t="s">
        <v>566</v>
      </c>
      <c r="P3" s="1" t="s">
        <v>567</v>
      </c>
      <c r="R3" s="51" t="s">
        <v>568</v>
      </c>
      <c r="T3" s="51" t="s">
        <v>305</v>
      </c>
      <c r="U3" s="51" t="s">
        <v>565</v>
      </c>
      <c r="V3" s="51" t="s">
        <v>566</v>
      </c>
      <c r="W3" s="1" t="s">
        <v>567</v>
      </c>
      <c r="X3" s="51" t="s">
        <v>568</v>
      </c>
    </row>
    <row r="4" spans="2:24" x14ac:dyDescent="0.25">
      <c r="C4" s="114" t="s">
        <v>569</v>
      </c>
      <c r="D4" s="8" t="s">
        <v>570</v>
      </c>
      <c r="E4" s="114"/>
      <c r="F4" s="348">
        <f>0.61</f>
        <v>0.61</v>
      </c>
      <c r="G4" s="349">
        <f t="shared" si="0"/>
        <v>1671.2328767123288</v>
      </c>
      <c r="K4" s="51" t="s">
        <v>571</v>
      </c>
      <c r="M4" s="51" t="s">
        <v>546</v>
      </c>
      <c r="N4" s="51" t="s">
        <v>388</v>
      </c>
      <c r="O4" s="51" t="s">
        <v>388</v>
      </c>
      <c r="P4" s="51" t="s">
        <v>388</v>
      </c>
      <c r="Q4" s="51" t="s">
        <v>388</v>
      </c>
      <c r="R4" s="51" t="s">
        <v>388</v>
      </c>
      <c r="T4" s="51" t="s">
        <v>546</v>
      </c>
      <c r="U4" s="51" t="s">
        <v>388</v>
      </c>
      <c r="V4" s="51" t="s">
        <v>388</v>
      </c>
      <c r="W4" s="51" t="s">
        <v>388</v>
      </c>
      <c r="X4" s="51" t="s">
        <v>388</v>
      </c>
    </row>
    <row r="5" spans="2:24" x14ac:dyDescent="0.25">
      <c r="C5" s="114" t="s">
        <v>569</v>
      </c>
      <c r="D5" s="8" t="s">
        <v>572</v>
      </c>
      <c r="E5" s="114"/>
      <c r="F5" s="348">
        <f>1.77</f>
        <v>1.77</v>
      </c>
      <c r="G5" s="349">
        <f t="shared" si="0"/>
        <v>4849.3150684931506</v>
      </c>
      <c r="J5" s="1">
        <v>2015</v>
      </c>
      <c r="K5" s="51">
        <v>208.4</v>
      </c>
      <c r="M5" s="351">
        <f>'8b. RNG S.C.'!P6</f>
        <v>0.2</v>
      </c>
      <c r="N5" s="352">
        <f>VLOOKUP(M5,'8b. RNG S.C.'!$P$6:$R$10,3)/10</f>
        <v>2.3090994019293958</v>
      </c>
      <c r="O5" s="352">
        <v>0.3</v>
      </c>
      <c r="P5" s="352">
        <v>0</v>
      </c>
      <c r="Q5" s="352">
        <f>-(N5+O5+P5)*($Q$1*$Q$2)</f>
        <v>-7.8272982057881871E-2</v>
      </c>
      <c r="R5" s="128">
        <f>N5+O5+P5+Q5</f>
        <v>2.5308264198715138</v>
      </c>
      <c r="T5" s="351">
        <f>'8b. RNG S.C.'!AA6</f>
        <v>0.2</v>
      </c>
      <c r="U5" s="352">
        <f>VLOOKUP(T5,'8b. RNG S.C.'!$AA$6:$AC$10,3)/10</f>
        <v>3.2232490479396985</v>
      </c>
      <c r="V5" s="352">
        <v>0.3</v>
      </c>
      <c r="W5" s="352">
        <v>0</v>
      </c>
      <c r="X5" s="128">
        <f>U5+V5+P5</f>
        <v>3.5232490479396983</v>
      </c>
    </row>
    <row r="6" spans="2:24" x14ac:dyDescent="0.25">
      <c r="C6" s="114" t="s">
        <v>327</v>
      </c>
      <c r="D6" s="8" t="s">
        <v>573</v>
      </c>
      <c r="E6" s="114"/>
      <c r="F6" s="348">
        <v>28.5</v>
      </c>
      <c r="G6" s="349">
        <f t="shared" si="0"/>
        <v>78082.191780821915</v>
      </c>
      <c r="J6" s="1">
        <v>2016</v>
      </c>
      <c r="K6" s="51">
        <v>181.5</v>
      </c>
      <c r="M6" s="351">
        <f>'8b. RNG S.C.'!P7</f>
        <v>0.4</v>
      </c>
      <c r="N6" s="352">
        <f>VLOOKUP(M6,'8b. RNG S.C.'!$P$6:$R$10,3)/10</f>
        <v>2.7418993415691113</v>
      </c>
      <c r="O6" s="352">
        <v>0.3</v>
      </c>
      <c r="P6" s="352">
        <v>0</v>
      </c>
      <c r="Q6" s="352">
        <f>-(N6+O6+P6)*($Q$1*$Q$2)</f>
        <v>-9.1256980247073335E-2</v>
      </c>
      <c r="R6" s="128">
        <f>N6+O6+P6+Q6</f>
        <v>2.9506423613220378</v>
      </c>
      <c r="T6" s="351">
        <f>'8b. RNG S.C.'!AA7</f>
        <v>0.4</v>
      </c>
      <c r="U6" s="352">
        <f>VLOOKUP(T6,'8b. RNG S.C.'!$AA$6:$AC$10,3)/10</f>
        <v>4.4762172472110553</v>
      </c>
      <c r="V6" s="352">
        <v>0.3</v>
      </c>
      <c r="W6" s="352">
        <v>0</v>
      </c>
      <c r="X6" s="128">
        <f>U6+V6+P6</f>
        <v>4.7762172472110551</v>
      </c>
    </row>
    <row r="7" spans="2:24" x14ac:dyDescent="0.25">
      <c r="C7" s="114" t="s">
        <v>764</v>
      </c>
      <c r="D7" s="8" t="s">
        <v>767</v>
      </c>
      <c r="F7" s="348">
        <v>1</v>
      </c>
      <c r="G7" s="349">
        <f t="shared" si="0"/>
        <v>2739.7260273972602</v>
      </c>
      <c r="J7" s="1">
        <v>2017</v>
      </c>
      <c r="K7" s="51">
        <v>191.9</v>
      </c>
      <c r="M7" s="351">
        <f>'8b. RNG S.C.'!P8</f>
        <v>1</v>
      </c>
      <c r="N7" s="352">
        <f>VLOOKUP(M7,'8b. RNG S.C.'!$P$6:$R$10,3)/10</f>
        <v>3.3506390421256924</v>
      </c>
      <c r="O7" s="352">
        <v>0.3</v>
      </c>
      <c r="P7" s="352">
        <v>0</v>
      </c>
      <c r="Q7" s="352">
        <f>-(N7+O7+P7)*($Q$1*$Q$2)</f>
        <v>-0.10951917126377077</v>
      </c>
      <c r="R7" s="128">
        <f>N7+O7+P7+Q7</f>
        <v>3.5411198708619214</v>
      </c>
      <c r="T7" s="351">
        <f>'8b. RNG S.C.'!AA8</f>
        <v>0.6</v>
      </c>
      <c r="U7" s="352">
        <f>VLOOKUP(T7,'8b. RNG S.C.'!$AA$6:$AC$10,3)/10</f>
        <v>5.7291854464824121</v>
      </c>
      <c r="V7" s="352">
        <v>0.3</v>
      </c>
      <c r="W7" s="352">
        <v>0</v>
      </c>
      <c r="X7" s="128">
        <f>U7+V7+P7</f>
        <v>6.0291854464824119</v>
      </c>
    </row>
    <row r="8" spans="2:24" x14ac:dyDescent="0.25">
      <c r="C8" s="171" t="s">
        <v>574</v>
      </c>
      <c r="J8" s="1">
        <v>2018</v>
      </c>
      <c r="K8" s="51">
        <v>176.8</v>
      </c>
      <c r="M8" s="275"/>
      <c r="N8" s="118"/>
      <c r="O8" s="118"/>
      <c r="P8" s="118"/>
      <c r="Q8" s="118"/>
      <c r="R8" s="118"/>
      <c r="T8" s="351">
        <f>'8b. RNG S.C.'!AA9</f>
        <v>0.8</v>
      </c>
      <c r="U8" s="352">
        <f>VLOOKUP(T8,'8b. RNG S.C.'!$AA$6:$AC$10,3)/10</f>
        <v>6.982153645753769</v>
      </c>
      <c r="V8" s="352">
        <v>0.3</v>
      </c>
      <c r="W8" s="352">
        <v>0</v>
      </c>
      <c r="X8" s="128">
        <f>U8+V8+P8</f>
        <v>7.2821536457537688</v>
      </c>
    </row>
    <row r="9" spans="2:24" x14ac:dyDescent="0.25">
      <c r="D9" s="114"/>
      <c r="E9" s="114"/>
      <c r="F9" s="4" t="s">
        <v>575</v>
      </c>
      <c r="G9" s="4"/>
      <c r="H9" s="4"/>
      <c r="J9" s="172" t="s">
        <v>576</v>
      </c>
      <c r="K9" s="353">
        <f>((K8/K5)^(1/4))-1</f>
        <v>-4.0276483760866344E-2</v>
      </c>
      <c r="T9" s="351">
        <f>'8b. RNG S.C.'!AA10</f>
        <v>1</v>
      </c>
      <c r="U9" s="352">
        <f>VLOOKUP(T9,'8b. RNG S.C.'!$AA$6:$AC$10,3)/10</f>
        <v>8.2351218450251231</v>
      </c>
      <c r="V9" s="352">
        <v>0.3</v>
      </c>
      <c r="W9" s="352">
        <v>0</v>
      </c>
      <c r="X9" s="128">
        <f>U9+V9+P9</f>
        <v>8.5351218450251238</v>
      </c>
    </row>
    <row r="11" spans="2:24" x14ac:dyDescent="0.25">
      <c r="F11" s="354" t="s">
        <v>762</v>
      </c>
      <c r="P11" s="355" t="s">
        <v>577</v>
      </c>
    </row>
    <row r="12" spans="2:24" x14ac:dyDescent="0.25">
      <c r="C12" s="580" t="s">
        <v>765</v>
      </c>
      <c r="E12" s="356" t="s">
        <v>351</v>
      </c>
      <c r="F12" s="357" t="s">
        <v>766</v>
      </c>
      <c r="G12" s="357" t="s">
        <v>768</v>
      </c>
      <c r="H12" s="357" t="s">
        <v>769</v>
      </c>
      <c r="I12" s="355"/>
      <c r="K12" s="51"/>
      <c r="M12" s="580" t="s">
        <v>578</v>
      </c>
      <c r="P12" s="358" t="s">
        <v>374</v>
      </c>
      <c r="Q12" s="359" t="s">
        <v>375</v>
      </c>
      <c r="R12" s="359" t="s">
        <v>376</v>
      </c>
      <c r="S12" s="359" t="s">
        <v>377</v>
      </c>
      <c r="T12" s="360" t="s">
        <v>378</v>
      </c>
      <c r="V12" s="51"/>
    </row>
    <row r="13" spans="2:24" x14ac:dyDescent="0.25">
      <c r="C13" s="580"/>
      <c r="D13" s="168" t="s">
        <v>579</v>
      </c>
      <c r="E13" s="168"/>
      <c r="F13" s="361">
        <f t="array" ref="F13:H13">TRANSPOSE(M5:M7)</f>
        <v>0.2</v>
      </c>
      <c r="G13" s="361">
        <v>0.4</v>
      </c>
      <c r="H13" s="361">
        <v>1</v>
      </c>
      <c r="I13" s="362"/>
      <c r="J13" s="172"/>
      <c r="K13" s="363"/>
      <c r="M13" s="580"/>
      <c r="O13" s="168" t="s">
        <v>579</v>
      </c>
      <c r="P13" s="361">
        <f t="array" ref="P13:T13">TRANSPOSE(T5:T9)</f>
        <v>0.2</v>
      </c>
      <c r="Q13" s="361">
        <v>0.4</v>
      </c>
      <c r="R13" s="361">
        <v>0.6</v>
      </c>
      <c r="S13" s="361">
        <v>0.8</v>
      </c>
      <c r="T13" s="361">
        <v>1</v>
      </c>
      <c r="U13" s="172"/>
      <c r="V13" s="363"/>
    </row>
    <row r="14" spans="2:24" x14ac:dyDescent="0.25">
      <c r="C14" s="51"/>
      <c r="D14" s="168" t="s">
        <v>580</v>
      </c>
      <c r="E14" s="364">
        <f>F14</f>
        <v>2.5308264198715138</v>
      </c>
      <c r="F14" s="364">
        <f t="array" ref="F14:H14">TRANSPOSE(R5:R7)</f>
        <v>2.5308264198715138</v>
      </c>
      <c r="G14" s="364">
        <v>2.9506423613220378</v>
      </c>
      <c r="H14" s="364">
        <v>3.5411198708619214</v>
      </c>
      <c r="I14" s="365"/>
      <c r="J14" s="110"/>
      <c r="M14" s="51"/>
      <c r="O14" s="168" t="s">
        <v>580</v>
      </c>
      <c r="P14" s="364">
        <f>VLOOKUP(P13,$T$5:$X$9,5,FALSE)</f>
        <v>3.5232490479396983</v>
      </c>
      <c r="Q14" s="364">
        <f>VLOOKUP(Q13,$T$5:$X$9,5,FALSE)</f>
        <v>4.7762172472110551</v>
      </c>
      <c r="R14" s="364">
        <f>VLOOKUP(R13,$T$5:$X$9,5,FALSE)</f>
        <v>6.0291854464824119</v>
      </c>
      <c r="S14" s="364">
        <f>VLOOKUP(S13,$T$5:$X$9,5,FALSE)</f>
        <v>7.2821536457537688</v>
      </c>
      <c r="T14" s="364">
        <f>VLOOKUP(T13,$T$5:$X$9,5,FALSE)</f>
        <v>8.5351218450251238</v>
      </c>
      <c r="U14" s="110"/>
    </row>
    <row r="15" spans="2:24" x14ac:dyDescent="0.25">
      <c r="C15" s="180" t="s">
        <v>455</v>
      </c>
      <c r="I15" s="51"/>
      <c r="K15" s="284" t="s">
        <v>581</v>
      </c>
      <c r="M15" s="180" t="s">
        <v>455</v>
      </c>
      <c r="P15" s="10"/>
      <c r="Q15" s="10"/>
      <c r="R15" s="10"/>
      <c r="S15" s="10"/>
      <c r="T15" s="10"/>
      <c r="V15" s="284" t="s">
        <v>305</v>
      </c>
    </row>
    <row r="16" spans="2:24" x14ac:dyDescent="0.25">
      <c r="B16" s="182">
        <f>D16</f>
        <v>2022</v>
      </c>
      <c r="C16" s="168">
        <f>$G$5*(1+$K$9)^(D16-$J$8)+$G$4+$G$3+$G$7</f>
        <v>11264.691189230405</v>
      </c>
      <c r="D16" s="366">
        <f>'10. Indices-Forecast'!B5</f>
        <v>2022</v>
      </c>
      <c r="E16" s="367">
        <f>$F$2*1000000/365</f>
        <v>2191.7808219178082</v>
      </c>
      <c r="F16" s="168">
        <f>IF('Supply Porfolio (Live)'!$K$25=$B$45,0,IF(D16='Supply Porfolio (Live)'!$K$25,$F$13*C16,IF(F15&gt;0,F15,0)))</f>
        <v>0</v>
      </c>
      <c r="G16" s="168">
        <f>IF('Supply Porfolio (Live)'!$K$26=$B$45,0,IF(D16='Supply Porfolio (Live)'!$K$26,$G$13*(C16-$F$13*C16),IF(G15&gt;0,G15,0)))</f>
        <v>0</v>
      </c>
      <c r="H16" s="168">
        <f>IF('Supply Porfolio (Live)'!$K$27=$B$45,0,IF(D16&gt;='Supply Porfolio (Live)'!$K$27,C16*$H$13-SUM(F16:G16),0))</f>
        <v>0</v>
      </c>
      <c r="I16" s="168"/>
      <c r="J16" s="366">
        <f t="shared" ref="J16:J44" si="1">D16</f>
        <v>2022</v>
      </c>
      <c r="K16" s="205">
        <f>SUM(E16:H16)</f>
        <v>2191.7808219178082</v>
      </c>
      <c r="M16" s="168">
        <f t="shared" ref="M16:M44" si="2">$G$6</f>
        <v>78082.191780821915</v>
      </c>
      <c r="O16" s="366">
        <f t="shared" ref="O16:O44" si="3">D16</f>
        <v>2022</v>
      </c>
      <c r="P16" s="168">
        <f>IF('Supply Porfolio (Live)'!$N$25=$O$45,0,IF($O16='Supply Porfolio (Live)'!$N$25,$P$13*$M16,IF(P15&gt;0,P15,0)))</f>
        <v>0</v>
      </c>
      <c r="Q16" s="168">
        <f>IF('Supply Porfolio (Live)'!$N$26=$O$45,0,IF($O16='Supply Porfolio (Live)'!$N$26,$P$13*$M16,IF(Q15&gt;0,Q15,0)))</f>
        <v>0</v>
      </c>
      <c r="R16" s="168">
        <f>IF('Supply Porfolio (Live)'!$N$27=$O$45,0,IF($O16='Supply Porfolio (Live)'!$N$27,$P$13*$M16,IF(R15&gt;0,R15,0)))</f>
        <v>0</v>
      </c>
      <c r="S16" s="168">
        <f>IF('Supply Porfolio (Live)'!$N$28=$O$45,0,IF($O16='Supply Porfolio (Live)'!$N$28,$P$13*$M16,IF(S15&gt;0,S15,0)))</f>
        <v>0</v>
      </c>
      <c r="T16" s="168">
        <f>IF('Supply Porfolio (Live)'!$N$29=$O$45,0,IF($O16='Supply Porfolio (Live)'!$N$29,$P$13*$M16,IF(T15&gt;0,T15,0)))</f>
        <v>0</v>
      </c>
      <c r="U16" s="366">
        <f>O16</f>
        <v>2022</v>
      </c>
      <c r="V16" s="205">
        <f>SUM(P16:T16)</f>
        <v>0</v>
      </c>
    </row>
    <row r="17" spans="2:22" x14ac:dyDescent="0.25">
      <c r="B17" s="182">
        <f t="shared" ref="B17:B44" si="4">D17</f>
        <v>2023</v>
      </c>
      <c r="C17" s="168">
        <f t="shared" ref="C17:C44" si="5">$G$5*(1+$K$9)^(D17-$J$8)+$G$4+$G$3+$G$7</f>
        <v>11098.9934829991</v>
      </c>
      <c r="D17" s="366">
        <f>'10. Indices-Forecast'!B6</f>
        <v>2023</v>
      </c>
      <c r="E17" s="367">
        <f t="shared" ref="E17:E44" si="6">$F$2*1000000/365</f>
        <v>2191.7808219178082</v>
      </c>
      <c r="F17" s="168">
        <f>IF('Supply Porfolio (Live)'!$K$25=$B$45,0,IF(D17='Supply Porfolio (Live)'!$K$25,$F$13*C17,IF(F16&gt;0,F16,0)))</f>
        <v>0</v>
      </c>
      <c r="G17" s="168">
        <f>IF('Supply Porfolio (Live)'!$K$26=$B$45,0,IF(D17='Supply Porfolio (Live)'!$K$26,$G$13*(C17-$F$13*C17),IF(G16&gt;0,G16,0)))</f>
        <v>0</v>
      </c>
      <c r="H17" s="168">
        <f>IF('Supply Porfolio (Live)'!$K$27=$B$45,0,IF(D17&gt;='Supply Porfolio (Live)'!$K$27,C17*$H$13-SUM(F17:G17),0))</f>
        <v>0</v>
      </c>
      <c r="I17" s="168"/>
      <c r="J17" s="366">
        <f t="shared" si="1"/>
        <v>2023</v>
      </c>
      <c r="K17" s="205">
        <f t="shared" ref="K17:K44" si="7">SUM(E17:H17)</f>
        <v>2191.7808219178082</v>
      </c>
      <c r="M17" s="168">
        <f t="shared" si="2"/>
        <v>78082.191780821915</v>
      </c>
      <c r="O17" s="366">
        <f t="shared" si="3"/>
        <v>2023</v>
      </c>
      <c r="P17" s="168">
        <f>IF('Supply Porfolio (Live)'!$N$25=$O$45,0,IF($O17='Supply Porfolio (Live)'!$N$25,$P$13*$M17,IF(P16&gt;0,P16,0)))</f>
        <v>0</v>
      </c>
      <c r="Q17" s="168">
        <f>IF('Supply Porfolio (Live)'!$N$26=$O$45,0,IF($O17='Supply Porfolio (Live)'!$N$26,$P$13*$M17,IF(Q16&gt;0,Q16,0)))</f>
        <v>0</v>
      </c>
      <c r="R17" s="168">
        <f>IF('Supply Porfolio (Live)'!$N$27=$O$45,0,IF($O17='Supply Porfolio (Live)'!$N$27,$P$13*$M17,IF(R16&gt;0,R16,0)))</f>
        <v>0</v>
      </c>
      <c r="S17" s="168">
        <f>IF('Supply Porfolio (Live)'!$N$28=$O$45,0,IF($O17='Supply Porfolio (Live)'!$N$28,$P$13*$M17,IF(S16&gt;0,S16,0)))</f>
        <v>0</v>
      </c>
      <c r="T17" s="168">
        <f>IF('Supply Porfolio (Live)'!$N$29=$O$45,0,IF($O17='Supply Porfolio (Live)'!$N$29,$P$13*$M17,IF(T16&gt;0,T16,0)))</f>
        <v>0</v>
      </c>
      <c r="U17" s="366">
        <f t="shared" ref="U17:U44" si="8">O17</f>
        <v>2023</v>
      </c>
      <c r="V17" s="205">
        <f t="shared" ref="V17:V44" si="9">SUM(P17:T17)</f>
        <v>0</v>
      </c>
    </row>
    <row r="18" spans="2:22" x14ac:dyDescent="0.25">
      <c r="B18" s="182">
        <f t="shared" si="4"/>
        <v>2024</v>
      </c>
      <c r="C18" s="168">
        <f t="shared" si="5"/>
        <v>10939.969497742033</v>
      </c>
      <c r="D18" s="366">
        <f>'10. Indices-Forecast'!B7</f>
        <v>2024</v>
      </c>
      <c r="E18" s="367">
        <f t="shared" si="6"/>
        <v>2191.7808219178082</v>
      </c>
      <c r="F18" s="168">
        <f>IF('Supply Porfolio (Live)'!$K$25=$B$45,0,IF(D18='Supply Porfolio (Live)'!$K$25,$F$13*C18,IF(F17&gt;0,F17,0)))</f>
        <v>0</v>
      </c>
      <c r="G18" s="168">
        <f>IF('Supply Porfolio (Live)'!$K$26=$B$45,0,IF(D18='Supply Porfolio (Live)'!$K$26,$G$13*(C18-$F$13*C18),IF(G17&gt;0,G17,0)))</f>
        <v>0</v>
      </c>
      <c r="H18" s="168">
        <f>IF('Supply Porfolio (Live)'!$K$27=$B$45,0,IF(D18&gt;='Supply Porfolio (Live)'!$K$27,C18*$H$13-SUM(F18:G18),0))</f>
        <v>0</v>
      </c>
      <c r="I18" s="168"/>
      <c r="J18" s="366">
        <f t="shared" si="1"/>
        <v>2024</v>
      </c>
      <c r="K18" s="205">
        <f t="shared" si="7"/>
        <v>2191.7808219178082</v>
      </c>
      <c r="M18" s="168">
        <f t="shared" si="2"/>
        <v>78082.191780821915</v>
      </c>
      <c r="O18" s="366">
        <f t="shared" si="3"/>
        <v>2024</v>
      </c>
      <c r="P18" s="168">
        <f>IF('Supply Porfolio (Live)'!$N$25=$O$45,0,IF($O18='Supply Porfolio (Live)'!$N$25,$P$13*$M18,IF(P17&gt;0,P17,0)))</f>
        <v>0</v>
      </c>
      <c r="Q18" s="168">
        <f>IF('Supply Porfolio (Live)'!$N$26=$O$45,0,IF($O18='Supply Porfolio (Live)'!$N$26,$P$13*$M18,IF(Q17&gt;0,Q17,0)))</f>
        <v>0</v>
      </c>
      <c r="R18" s="168">
        <f>IF('Supply Porfolio (Live)'!$N$27=$O$45,0,IF($O18='Supply Porfolio (Live)'!$N$27,$P$13*$M18,IF(R17&gt;0,R17,0)))</f>
        <v>0</v>
      </c>
      <c r="S18" s="168">
        <f>IF('Supply Porfolio (Live)'!$N$28=$O$45,0,IF($O18='Supply Porfolio (Live)'!$N$28,$P$13*$M18,IF(S17&gt;0,S17,0)))</f>
        <v>0</v>
      </c>
      <c r="T18" s="168">
        <f>IF('Supply Porfolio (Live)'!$N$29=$O$45,0,IF($O18='Supply Porfolio (Live)'!$N$29,$P$13*$M18,IF(T17&gt;0,T17,0)))</f>
        <v>0</v>
      </c>
      <c r="U18" s="366">
        <f t="shared" si="8"/>
        <v>2024</v>
      </c>
      <c r="V18" s="205">
        <f t="shared" si="9"/>
        <v>0</v>
      </c>
    </row>
    <row r="19" spans="2:22" x14ac:dyDescent="0.25">
      <c r="B19" s="182">
        <f t="shared" si="4"/>
        <v>2025</v>
      </c>
      <c r="C19" s="168">
        <f t="shared" si="5"/>
        <v>10787.350439444759</v>
      </c>
      <c r="D19" s="366">
        <f>'10. Indices-Forecast'!B8</f>
        <v>2025</v>
      </c>
      <c r="E19" s="367">
        <f t="shared" si="6"/>
        <v>2191.7808219178082</v>
      </c>
      <c r="F19" s="168">
        <f>IF('Supply Porfolio (Live)'!$K$25=$B$45,0,IF(D19='Supply Porfolio (Live)'!$K$25,$F$13*C19,IF(F18&gt;0,F18,0)))</f>
        <v>2157.4700878889521</v>
      </c>
      <c r="G19" s="168">
        <f>IF('Supply Porfolio (Live)'!$K$26=$B$45,0,IF(D19='Supply Porfolio (Live)'!$K$26,$G$13*(C19-$F$13*C19),IF(G18&gt;0,G18,0)))</f>
        <v>0</v>
      </c>
      <c r="H19" s="168">
        <f>IF('Supply Porfolio (Live)'!$K$27=$B$45,0,IF(D19&gt;='Supply Porfolio (Live)'!$K$27,C19*$H$13-SUM(F19:G19),0))</f>
        <v>0</v>
      </c>
      <c r="I19" s="168"/>
      <c r="J19" s="366">
        <f t="shared" si="1"/>
        <v>2025</v>
      </c>
      <c r="K19" s="205">
        <f t="shared" si="7"/>
        <v>4349.2509098067603</v>
      </c>
      <c r="M19" s="168">
        <f t="shared" si="2"/>
        <v>78082.191780821915</v>
      </c>
      <c r="O19" s="366">
        <f t="shared" si="3"/>
        <v>2025</v>
      </c>
      <c r="P19" s="168">
        <f>IF('Supply Porfolio (Live)'!$N$25=$O$45,0,IF($O19='Supply Porfolio (Live)'!$N$25,$P$13*$M19,IF(P18&gt;0,P18,0)))</f>
        <v>0</v>
      </c>
      <c r="Q19" s="168">
        <f>IF('Supply Porfolio (Live)'!$N$26=$O$45,0,IF($O19='Supply Porfolio (Live)'!$N$26,$P$13*$M19,IF(Q18&gt;0,Q18,0)))</f>
        <v>0</v>
      </c>
      <c r="R19" s="168">
        <f>IF('Supply Porfolio (Live)'!$N$27=$O$45,0,IF($O19='Supply Porfolio (Live)'!$N$27,$P$13*$M19,IF(R18&gt;0,R18,0)))</f>
        <v>0</v>
      </c>
      <c r="S19" s="168">
        <f>IF('Supply Porfolio (Live)'!$N$28=$O$45,0,IF($O19='Supply Porfolio (Live)'!$N$28,$P$13*$M19,IF(S18&gt;0,S18,0)))</f>
        <v>0</v>
      </c>
      <c r="T19" s="168">
        <f>IF('Supply Porfolio (Live)'!$N$29=$O$45,0,IF($O19='Supply Porfolio (Live)'!$N$29,$P$13*$M19,IF(T18&gt;0,T18,0)))</f>
        <v>0</v>
      </c>
      <c r="U19" s="366">
        <f t="shared" si="8"/>
        <v>2025</v>
      </c>
      <c r="V19" s="205">
        <f t="shared" si="9"/>
        <v>0</v>
      </c>
    </row>
    <row r="20" spans="2:22" x14ac:dyDescent="0.25">
      <c r="B20" s="182">
        <f t="shared" si="4"/>
        <v>2026</v>
      </c>
      <c r="C20" s="168">
        <f t="shared" si="5"/>
        <v>10640.878340170595</v>
      </c>
      <c r="D20" s="366">
        <f>'10. Indices-Forecast'!B9</f>
        <v>2026</v>
      </c>
      <c r="E20" s="367">
        <f t="shared" si="6"/>
        <v>2191.7808219178082</v>
      </c>
      <c r="F20" s="168">
        <f>IF('Supply Porfolio (Live)'!$K$25=$B$45,0,IF(D20='Supply Porfolio (Live)'!$K$25,$F$13*C20,IF(F19&gt;0,F19,0)))</f>
        <v>2157.4700878889521</v>
      </c>
      <c r="G20" s="168">
        <f>IF('Supply Porfolio (Live)'!$K$26=$B$45,0,IF(D20='Supply Porfolio (Live)'!$K$26,$G$13*(C20-$F$13*C20),IF(G19&gt;0,G19,0)))</f>
        <v>0</v>
      </c>
      <c r="H20" s="168">
        <f>IF('Supply Porfolio (Live)'!$K$27=$B$45,0,IF(D20&gt;='Supply Porfolio (Live)'!$K$27,C20*$H$13-SUM(F20:G20),0))</f>
        <v>0</v>
      </c>
      <c r="I20" s="168"/>
      <c r="J20" s="366">
        <f t="shared" si="1"/>
        <v>2026</v>
      </c>
      <c r="K20" s="205">
        <f t="shared" si="7"/>
        <v>4349.2509098067603</v>
      </c>
      <c r="M20" s="168">
        <f t="shared" si="2"/>
        <v>78082.191780821915</v>
      </c>
      <c r="O20" s="366">
        <f t="shared" si="3"/>
        <v>2026</v>
      </c>
      <c r="P20" s="168">
        <f>IF('Supply Porfolio (Live)'!$N$25=$O$45,0,IF($O20='Supply Porfolio (Live)'!$N$25,$P$13*$M20,IF(P19&gt;0,P19,0)))</f>
        <v>0</v>
      </c>
      <c r="Q20" s="168">
        <f>IF('Supply Porfolio (Live)'!$N$26=$O$45,0,IF($O20='Supply Porfolio (Live)'!$N$26,$P$13*$M20,IF(Q19&gt;0,Q19,0)))</f>
        <v>0</v>
      </c>
      <c r="R20" s="168">
        <f>IF('Supply Porfolio (Live)'!$N$27=$O$45,0,IF($O20='Supply Porfolio (Live)'!$N$27,$P$13*$M20,IF(R19&gt;0,R19,0)))</f>
        <v>0</v>
      </c>
      <c r="S20" s="168">
        <f>IF('Supply Porfolio (Live)'!$N$28=$O$45,0,IF($O20='Supply Porfolio (Live)'!$N$28,$P$13*$M20,IF(S19&gt;0,S19,0)))</f>
        <v>0</v>
      </c>
      <c r="T20" s="168">
        <f>IF('Supply Porfolio (Live)'!$N$29=$O$45,0,IF($O20='Supply Porfolio (Live)'!$N$29,$P$13*$M20,IF(T19&gt;0,T19,0)))</f>
        <v>0</v>
      </c>
      <c r="U20" s="366">
        <f t="shared" si="8"/>
        <v>2026</v>
      </c>
      <c r="V20" s="205">
        <f t="shared" si="9"/>
        <v>0</v>
      </c>
    </row>
    <row r="21" spans="2:22" x14ac:dyDescent="0.25">
      <c r="B21" s="182">
        <f t="shared" si="4"/>
        <v>2027</v>
      </c>
      <c r="C21" s="168">
        <f t="shared" si="5"/>
        <v>10500.305622024267</v>
      </c>
      <c r="D21" s="366">
        <f>'10. Indices-Forecast'!B10</f>
        <v>2027</v>
      </c>
      <c r="E21" s="367">
        <f t="shared" si="6"/>
        <v>2191.7808219178082</v>
      </c>
      <c r="F21" s="168">
        <f>IF('Supply Porfolio (Live)'!$K$25=$B$45,0,IF(D21='Supply Porfolio (Live)'!$K$25,$F$13*C21,IF(F20&gt;0,F20,0)))</f>
        <v>2157.4700878889521</v>
      </c>
      <c r="G21" s="168">
        <f>IF('Supply Porfolio (Live)'!$K$26=$B$45,0,IF(D21='Supply Porfolio (Live)'!$K$26,$G$13*(C21-$F$13*C21),IF(G20&gt;0,G20,0)))</f>
        <v>0</v>
      </c>
      <c r="H21" s="168">
        <f>IF('Supply Porfolio (Live)'!$K$27=$B$45,0,IF(D21&gt;='Supply Porfolio (Live)'!$K$27,C21*$H$13-SUM(F21:G21),0))</f>
        <v>0</v>
      </c>
      <c r="I21" s="168"/>
      <c r="J21" s="366">
        <f t="shared" si="1"/>
        <v>2027</v>
      </c>
      <c r="K21" s="205">
        <f t="shared" si="7"/>
        <v>4349.2509098067603</v>
      </c>
      <c r="M21" s="168">
        <f t="shared" si="2"/>
        <v>78082.191780821915</v>
      </c>
      <c r="O21" s="366">
        <f t="shared" si="3"/>
        <v>2027</v>
      </c>
      <c r="P21" s="168">
        <f>IF('Supply Porfolio (Live)'!$N$25=$O$45,0,IF($O21='Supply Porfolio (Live)'!$N$25,$P$13*$M21,IF(P20&gt;0,P20,0)))</f>
        <v>0</v>
      </c>
      <c r="Q21" s="168">
        <f>IF('Supply Porfolio (Live)'!$N$26=$O$45,0,IF($O21='Supply Porfolio (Live)'!$N$26,$P$13*$M21,IF(Q20&gt;0,Q20,0)))</f>
        <v>0</v>
      </c>
      <c r="R21" s="168">
        <f>IF('Supply Porfolio (Live)'!$N$27=$O$45,0,IF($O21='Supply Porfolio (Live)'!$N$27,$P$13*$M21,IF(R20&gt;0,R20,0)))</f>
        <v>0</v>
      </c>
      <c r="S21" s="168">
        <f>IF('Supply Porfolio (Live)'!$N$28=$O$45,0,IF($O21='Supply Porfolio (Live)'!$N$28,$P$13*$M21,IF(S20&gt;0,S20,0)))</f>
        <v>0</v>
      </c>
      <c r="T21" s="168">
        <f>IF('Supply Porfolio (Live)'!$N$29=$O$45,0,IF($O21='Supply Porfolio (Live)'!$N$29,$P$13*$M21,IF(T20&gt;0,T20,0)))</f>
        <v>0</v>
      </c>
      <c r="U21" s="366">
        <f t="shared" si="8"/>
        <v>2027</v>
      </c>
      <c r="V21" s="205">
        <f t="shared" si="9"/>
        <v>0</v>
      </c>
    </row>
    <row r="22" spans="2:22" x14ac:dyDescent="0.25">
      <c r="B22" s="182">
        <f t="shared" si="4"/>
        <v>2028</v>
      </c>
      <c r="C22" s="168">
        <f t="shared" si="5"/>
        <v>10365.394678677581</v>
      </c>
      <c r="D22" s="366">
        <f>'10. Indices-Forecast'!B11</f>
        <v>2028</v>
      </c>
      <c r="E22" s="367">
        <f t="shared" si="6"/>
        <v>2191.7808219178082</v>
      </c>
      <c r="F22" s="168">
        <f>IF('Supply Porfolio (Live)'!$K$25=$B$45,0,IF(D22='Supply Porfolio (Live)'!$K$25,$F$13*C22,IF(F21&gt;0,F21,0)))</f>
        <v>2157.4700878889521</v>
      </c>
      <c r="G22" s="168">
        <f>IF('Supply Porfolio (Live)'!$K$26=$B$45,0,IF(D22='Supply Porfolio (Live)'!$K$26,$G$13*(C22-$F$13*C22),IF(G21&gt;0,G21,0)))</f>
        <v>0</v>
      </c>
      <c r="H22" s="168">
        <f>IF('Supply Porfolio (Live)'!$K$27=$B$45,0,IF(D22&gt;='Supply Porfolio (Live)'!$K$27,C22*$H$13-SUM(F22:G22),0))</f>
        <v>0</v>
      </c>
      <c r="I22" s="168"/>
      <c r="J22" s="366">
        <f t="shared" si="1"/>
        <v>2028</v>
      </c>
      <c r="K22" s="205">
        <f t="shared" si="7"/>
        <v>4349.2509098067603</v>
      </c>
      <c r="M22" s="168">
        <f t="shared" si="2"/>
        <v>78082.191780821915</v>
      </c>
      <c r="O22" s="366">
        <f t="shared" si="3"/>
        <v>2028</v>
      </c>
      <c r="P22" s="168">
        <f>IF('Supply Porfolio (Live)'!$N$25=$O$45,0,IF($O22='Supply Porfolio (Live)'!$N$25,$P$13*$M22,IF(P21&gt;0,P21,0)))</f>
        <v>0</v>
      </c>
      <c r="Q22" s="168">
        <f>IF('Supply Porfolio (Live)'!$N$26=$O$45,0,IF($O22='Supply Porfolio (Live)'!$N$26,$P$13*$M22,IF(Q21&gt;0,Q21,0)))</f>
        <v>0</v>
      </c>
      <c r="R22" s="168">
        <f>IF('Supply Porfolio (Live)'!$N$27=$O$45,0,IF($O22='Supply Porfolio (Live)'!$N$27,$P$13*$M22,IF(R21&gt;0,R21,0)))</f>
        <v>0</v>
      </c>
      <c r="S22" s="168">
        <f>IF('Supply Porfolio (Live)'!$N$28=$O$45,0,IF($O22='Supply Porfolio (Live)'!$N$28,$P$13*$M22,IF(S21&gt;0,S21,0)))</f>
        <v>0</v>
      </c>
      <c r="T22" s="168">
        <f>IF('Supply Porfolio (Live)'!$N$29=$O$45,0,IF($O22='Supply Porfolio (Live)'!$N$29,$P$13*$M22,IF(T21&gt;0,T21,0)))</f>
        <v>0</v>
      </c>
      <c r="U22" s="366">
        <f t="shared" si="8"/>
        <v>2028</v>
      </c>
      <c r="V22" s="205">
        <f t="shared" si="9"/>
        <v>0</v>
      </c>
    </row>
    <row r="23" spans="2:22" x14ac:dyDescent="0.25">
      <c r="B23" s="182">
        <f t="shared" si="4"/>
        <v>2029</v>
      </c>
      <c r="C23" s="168">
        <f t="shared" si="5"/>
        <v>10235.91747374976</v>
      </c>
      <c r="D23" s="366">
        <f>'10. Indices-Forecast'!B12</f>
        <v>2029</v>
      </c>
      <c r="E23" s="367">
        <f t="shared" si="6"/>
        <v>2191.7808219178082</v>
      </c>
      <c r="F23" s="168">
        <f>IF('Supply Porfolio (Live)'!$K$25=$B$45,0,IF(D23='Supply Porfolio (Live)'!$K$25,$F$13*C23,IF(F22&gt;0,F22,0)))</f>
        <v>2157.4700878889521</v>
      </c>
      <c r="G23" s="168">
        <f>IF('Supply Porfolio (Live)'!$K$26=$B$45,0,IF(D23='Supply Porfolio (Live)'!$K$26,$G$13*(C23-$F$13*C23),IF(G22&gt;0,G22,0)))</f>
        <v>0</v>
      </c>
      <c r="H23" s="168">
        <f>IF('Supply Porfolio (Live)'!$K$27=$B$45,0,IF(D23&gt;='Supply Porfolio (Live)'!$K$27,C23*$H$13-SUM(F23:G23),0))</f>
        <v>0</v>
      </c>
      <c r="I23" s="168"/>
      <c r="J23" s="366">
        <f t="shared" si="1"/>
        <v>2029</v>
      </c>
      <c r="K23" s="205">
        <f t="shared" si="7"/>
        <v>4349.2509098067603</v>
      </c>
      <c r="M23" s="168">
        <f t="shared" si="2"/>
        <v>78082.191780821915</v>
      </c>
      <c r="O23" s="366">
        <f t="shared" si="3"/>
        <v>2029</v>
      </c>
      <c r="P23" s="168">
        <f>IF('Supply Porfolio (Live)'!$N$25=$O$45,0,IF($O23='Supply Porfolio (Live)'!$N$25,$P$13*$M23,IF(P22&gt;0,P22,0)))</f>
        <v>0</v>
      </c>
      <c r="Q23" s="168">
        <f>IF('Supply Porfolio (Live)'!$N$26=$O$45,0,IF($O23='Supply Porfolio (Live)'!$N$26,$P$13*$M23,IF(Q22&gt;0,Q22,0)))</f>
        <v>0</v>
      </c>
      <c r="R23" s="168">
        <f>IF('Supply Porfolio (Live)'!$N$27=$O$45,0,IF($O23='Supply Porfolio (Live)'!$N$27,$P$13*$M23,IF(R22&gt;0,R22,0)))</f>
        <v>0</v>
      </c>
      <c r="S23" s="168">
        <f>IF('Supply Porfolio (Live)'!$N$28=$O$45,0,IF($O23='Supply Porfolio (Live)'!$N$28,$P$13*$M23,IF(S22&gt;0,S22,0)))</f>
        <v>0</v>
      </c>
      <c r="T23" s="168">
        <f>IF('Supply Porfolio (Live)'!$N$29=$O$45,0,IF($O23='Supply Porfolio (Live)'!$N$29,$P$13*$M23,IF(T22&gt;0,T22,0)))</f>
        <v>0</v>
      </c>
      <c r="U23" s="366">
        <f t="shared" si="8"/>
        <v>2029</v>
      </c>
      <c r="V23" s="205">
        <f t="shared" si="9"/>
        <v>0</v>
      </c>
    </row>
    <row r="24" spans="2:22" x14ac:dyDescent="0.25">
      <c r="B24" s="182">
        <f t="shared" si="4"/>
        <v>2030</v>
      </c>
      <c r="C24" s="168">
        <f t="shared" si="5"/>
        <v>10111.655155363616</v>
      </c>
      <c r="D24" s="366">
        <f>'10. Indices-Forecast'!B13</f>
        <v>2030</v>
      </c>
      <c r="E24" s="367">
        <f t="shared" si="6"/>
        <v>2191.7808219178082</v>
      </c>
      <c r="F24" s="168">
        <f>IF('Supply Porfolio (Live)'!$K$25=$B$45,0,IF(D24='Supply Porfolio (Live)'!$K$25,$F$13*C24,IF(F23&gt;0,F23,0)))</f>
        <v>2157.4700878889521</v>
      </c>
      <c r="G24" s="168">
        <f>IF('Supply Porfolio (Live)'!$K$26=$B$45,0,IF(D24='Supply Porfolio (Live)'!$K$26,$G$13*(C24-$F$13*C24),IF(G23&gt;0,G23,0)))</f>
        <v>3235.7296497163575</v>
      </c>
      <c r="H24" s="168">
        <f>IF('Supply Porfolio (Live)'!$K$27=$B$45,0,IF(D24&gt;='Supply Porfolio (Live)'!$K$27,C24*$H$13-SUM(F24:G24),0))</f>
        <v>0</v>
      </c>
      <c r="I24" s="168"/>
      <c r="J24" s="366">
        <f t="shared" si="1"/>
        <v>2030</v>
      </c>
      <c r="K24" s="205">
        <f t="shared" si="7"/>
        <v>7584.9805595231173</v>
      </c>
      <c r="M24" s="168">
        <f t="shared" si="2"/>
        <v>78082.191780821915</v>
      </c>
      <c r="O24" s="366">
        <f t="shared" si="3"/>
        <v>2030</v>
      </c>
      <c r="P24" s="168">
        <f>IF('Supply Porfolio (Live)'!$N$25=$O$45,0,IF($O24='Supply Porfolio (Live)'!$N$25,$P$13*$M24,IF(P23&gt;0,P23,0)))</f>
        <v>0</v>
      </c>
      <c r="Q24" s="168">
        <f>IF('Supply Porfolio (Live)'!$N$26=$O$45,0,IF($O24='Supply Porfolio (Live)'!$N$26,$P$13*$M24,IF(Q23&gt;0,Q23,0)))</f>
        <v>0</v>
      </c>
      <c r="R24" s="168">
        <f>IF('Supply Porfolio (Live)'!$N$27=$O$45,0,IF($O24='Supply Porfolio (Live)'!$N$27,$P$13*$M24,IF(R23&gt;0,R23,0)))</f>
        <v>0</v>
      </c>
      <c r="S24" s="168">
        <f>IF('Supply Porfolio (Live)'!$N$28=$O$45,0,IF($O24='Supply Porfolio (Live)'!$N$28,$P$13*$M24,IF(S23&gt;0,S23,0)))</f>
        <v>0</v>
      </c>
      <c r="T24" s="168">
        <f>IF('Supply Porfolio (Live)'!$N$29=$O$45,0,IF($O24='Supply Porfolio (Live)'!$N$29,$P$13*$M24,IF(T23&gt;0,T23,0)))</f>
        <v>0</v>
      </c>
      <c r="U24" s="366">
        <f t="shared" si="8"/>
        <v>2030</v>
      </c>
      <c r="V24" s="205">
        <f t="shared" si="9"/>
        <v>0</v>
      </c>
    </row>
    <row r="25" spans="2:22" x14ac:dyDescent="0.25">
      <c r="B25" s="182">
        <f t="shared" si="4"/>
        <v>2031</v>
      </c>
      <c r="C25" s="168">
        <f t="shared" si="5"/>
        <v>9992.3976862260406</v>
      </c>
      <c r="D25" s="366">
        <f>'10. Indices-Forecast'!B14</f>
        <v>2031</v>
      </c>
      <c r="E25" s="367">
        <f t="shared" si="6"/>
        <v>2191.7808219178082</v>
      </c>
      <c r="F25" s="168">
        <f>IF('Supply Porfolio (Live)'!$K$25=$B$45,0,IF(D25='Supply Porfolio (Live)'!$K$25,$F$13*C25,IF(F24&gt;0,F24,0)))</f>
        <v>2157.4700878889521</v>
      </c>
      <c r="G25" s="168">
        <f>IF('Supply Porfolio (Live)'!$K$26=$B$45,0,IF(D25='Supply Porfolio (Live)'!$K$26,$G$13*(C25-$F$13*C25),IF(G24&gt;0,G24,0)))</f>
        <v>3235.7296497163575</v>
      </c>
      <c r="H25" s="168">
        <f>IF('Supply Porfolio (Live)'!$K$27=$B$45,0,IF(D25&gt;='Supply Porfolio (Live)'!$K$27,C25*$H$13-SUM(F25:G25),0))</f>
        <v>0</v>
      </c>
      <c r="I25" s="168"/>
      <c r="J25" s="366">
        <f t="shared" si="1"/>
        <v>2031</v>
      </c>
      <c r="K25" s="205">
        <f t="shared" si="7"/>
        <v>7584.9805595231173</v>
      </c>
      <c r="M25" s="168">
        <f t="shared" si="2"/>
        <v>78082.191780821915</v>
      </c>
      <c r="O25" s="366">
        <f t="shared" si="3"/>
        <v>2031</v>
      </c>
      <c r="P25" s="168">
        <f>IF('Supply Porfolio (Live)'!$N$25=$O$45,0,IF($O25='Supply Porfolio (Live)'!$N$25,$P$13*$M25,IF(P24&gt;0,P24,0)))</f>
        <v>0</v>
      </c>
      <c r="Q25" s="168">
        <f>IF('Supply Porfolio (Live)'!$N$26=$O$45,0,IF($O25='Supply Porfolio (Live)'!$N$26,$P$13*$M25,IF(Q24&gt;0,Q24,0)))</f>
        <v>0</v>
      </c>
      <c r="R25" s="168">
        <f>IF('Supply Porfolio (Live)'!$N$27=$O$45,0,IF($O25='Supply Porfolio (Live)'!$N$27,$P$13*$M25,IF(R24&gt;0,R24,0)))</f>
        <v>0</v>
      </c>
      <c r="S25" s="168">
        <f>IF('Supply Porfolio (Live)'!$N$28=$O$45,0,IF($O25='Supply Porfolio (Live)'!$N$28,$P$13*$M25,IF(S24&gt;0,S24,0)))</f>
        <v>0</v>
      </c>
      <c r="T25" s="168">
        <f>IF('Supply Porfolio (Live)'!$N$29=$O$45,0,IF($O25='Supply Porfolio (Live)'!$N$29,$P$13*$M25,IF(T24&gt;0,T24,0)))</f>
        <v>0</v>
      </c>
      <c r="U25" s="366">
        <f t="shared" si="8"/>
        <v>2031</v>
      </c>
      <c r="V25" s="205">
        <f t="shared" si="9"/>
        <v>0</v>
      </c>
    </row>
    <row r="26" spans="2:22" x14ac:dyDescent="0.25">
      <c r="B26" s="182">
        <f t="shared" si="4"/>
        <v>2032</v>
      </c>
      <c r="C26" s="168">
        <f t="shared" si="5"/>
        <v>9877.9434886075469</v>
      </c>
      <c r="D26" s="366">
        <f>'10. Indices-Forecast'!B15</f>
        <v>2032</v>
      </c>
      <c r="E26" s="367">
        <f t="shared" si="6"/>
        <v>2191.7808219178082</v>
      </c>
      <c r="F26" s="168">
        <f>IF('Supply Porfolio (Live)'!$K$25=$B$45,0,IF(D26='Supply Porfolio (Live)'!$K$25,$F$13*C26,IF(F25&gt;0,F25,0)))</f>
        <v>2157.4700878889521</v>
      </c>
      <c r="G26" s="168">
        <f>IF('Supply Porfolio (Live)'!$K$26=$B$45,0,IF(D26='Supply Porfolio (Live)'!$K$26,$G$13*(C26-$F$13*C26),IF(G25&gt;0,G25,0)))</f>
        <v>3235.7296497163575</v>
      </c>
      <c r="H26" s="168">
        <f>IF('Supply Porfolio (Live)'!$K$27=$B$45,0,IF(D26&gt;='Supply Porfolio (Live)'!$K$27,C26*$H$13-SUM(F26:G26),0))</f>
        <v>0</v>
      </c>
      <c r="I26" s="168"/>
      <c r="J26" s="366">
        <f t="shared" si="1"/>
        <v>2032</v>
      </c>
      <c r="K26" s="205">
        <f t="shared" si="7"/>
        <v>7584.9805595231173</v>
      </c>
      <c r="M26" s="168">
        <f t="shared" si="2"/>
        <v>78082.191780821915</v>
      </c>
      <c r="O26" s="366">
        <f t="shared" si="3"/>
        <v>2032</v>
      </c>
      <c r="P26" s="168">
        <f>IF('Supply Porfolio (Live)'!$N$25=$O$45,0,IF($O26='Supply Porfolio (Live)'!$N$25,$P$13*$M26,IF(P25&gt;0,P25,0)))</f>
        <v>0</v>
      </c>
      <c r="Q26" s="168">
        <f>IF('Supply Porfolio (Live)'!$N$26=$O$45,0,IF($O26='Supply Porfolio (Live)'!$N$26,$P$13*$M26,IF(Q25&gt;0,Q25,0)))</f>
        <v>0</v>
      </c>
      <c r="R26" s="168">
        <f>IF('Supply Porfolio (Live)'!$N$27=$O$45,0,IF($O26='Supply Porfolio (Live)'!$N$27,$P$13*$M26,IF(R25&gt;0,R25,0)))</f>
        <v>0</v>
      </c>
      <c r="S26" s="168">
        <f>IF('Supply Porfolio (Live)'!$N$28=$O$45,0,IF($O26='Supply Porfolio (Live)'!$N$28,$P$13*$M26,IF(S25&gt;0,S25,0)))</f>
        <v>0</v>
      </c>
      <c r="T26" s="168">
        <f>IF('Supply Porfolio (Live)'!$N$29=$O$45,0,IF($O26='Supply Porfolio (Live)'!$N$29,$P$13*$M26,IF(T25&gt;0,T25,0)))</f>
        <v>0</v>
      </c>
      <c r="U26" s="366">
        <f t="shared" si="8"/>
        <v>2032</v>
      </c>
      <c r="V26" s="205">
        <f t="shared" si="9"/>
        <v>0</v>
      </c>
    </row>
    <row r="27" spans="2:22" x14ac:dyDescent="0.25">
      <c r="B27" s="182">
        <f t="shared" si="4"/>
        <v>2033</v>
      </c>
      <c r="C27" s="168">
        <f t="shared" si="5"/>
        <v>9768.0991036207961</v>
      </c>
      <c r="D27" s="366">
        <f>'10. Indices-Forecast'!B16</f>
        <v>2033</v>
      </c>
      <c r="E27" s="367">
        <f t="shared" si="6"/>
        <v>2191.7808219178082</v>
      </c>
      <c r="F27" s="168">
        <f>IF('Supply Porfolio (Live)'!$K$25=$B$45,0,IF(D27='Supply Porfolio (Live)'!$K$25,$F$13*C27,IF(F26&gt;0,F26,0)))</f>
        <v>2157.4700878889521</v>
      </c>
      <c r="G27" s="168">
        <f>IF('Supply Porfolio (Live)'!$K$26=$B$45,0,IF(D27='Supply Porfolio (Live)'!$K$26,$G$13*(C27-$F$13*C27),IF(G26&gt;0,G26,0)))</f>
        <v>3235.7296497163575</v>
      </c>
      <c r="H27" s="168">
        <f>IF('Supply Porfolio (Live)'!$K$27=$B$45,0,IF(D27&gt;='Supply Porfolio (Live)'!$K$27,C27*$H$13-SUM(F27:G27),0))</f>
        <v>0</v>
      </c>
      <c r="I27" s="168"/>
      <c r="J27" s="366">
        <f t="shared" si="1"/>
        <v>2033</v>
      </c>
      <c r="K27" s="205">
        <f t="shared" si="7"/>
        <v>7584.9805595231173</v>
      </c>
      <c r="M27" s="168">
        <f t="shared" si="2"/>
        <v>78082.191780821915</v>
      </c>
      <c r="O27" s="366">
        <f t="shared" si="3"/>
        <v>2033</v>
      </c>
      <c r="P27" s="168">
        <f>IF('Supply Porfolio (Live)'!$N$25=$O$45,0,IF($O27='Supply Porfolio (Live)'!$N$25,$P$13*$M27,IF(P26&gt;0,P26,0)))</f>
        <v>0</v>
      </c>
      <c r="Q27" s="168">
        <f>IF('Supply Porfolio (Live)'!$N$26=$O$45,0,IF($O27='Supply Porfolio (Live)'!$N$26,$P$13*$M27,IF(Q26&gt;0,Q26,0)))</f>
        <v>0</v>
      </c>
      <c r="R27" s="168">
        <f>IF('Supply Porfolio (Live)'!$N$27=$O$45,0,IF($O27='Supply Porfolio (Live)'!$N$27,$P$13*$M27,IF(R26&gt;0,R26,0)))</f>
        <v>0</v>
      </c>
      <c r="S27" s="168">
        <f>IF('Supply Porfolio (Live)'!$N$28=$O$45,0,IF($O27='Supply Porfolio (Live)'!$N$28,$P$13*$M27,IF(S26&gt;0,S26,0)))</f>
        <v>0</v>
      </c>
      <c r="T27" s="168">
        <f>IF('Supply Porfolio (Live)'!$N$29=$O$45,0,IF($O27='Supply Porfolio (Live)'!$N$29,$P$13*$M27,IF(T26&gt;0,T26,0)))</f>
        <v>0</v>
      </c>
      <c r="U27" s="366">
        <f t="shared" si="8"/>
        <v>2033</v>
      </c>
      <c r="V27" s="205">
        <f t="shared" si="9"/>
        <v>0</v>
      </c>
    </row>
    <row r="28" spans="2:22" x14ac:dyDescent="0.25">
      <c r="B28" s="182">
        <f t="shared" si="4"/>
        <v>2034</v>
      </c>
      <c r="C28" s="168">
        <f t="shared" si="5"/>
        <v>9662.6788642221873</v>
      </c>
      <c r="D28" s="366">
        <f>'10. Indices-Forecast'!B17</f>
        <v>2034</v>
      </c>
      <c r="E28" s="367">
        <f t="shared" si="6"/>
        <v>2191.7808219178082</v>
      </c>
      <c r="F28" s="168">
        <f>IF('Supply Porfolio (Live)'!$K$25=$B$45,0,IF(D28='Supply Porfolio (Live)'!$K$25,$F$13*C28,IF(F27&gt;0,F27,0)))</f>
        <v>2157.4700878889521</v>
      </c>
      <c r="G28" s="168">
        <f>IF('Supply Porfolio (Live)'!$K$26=$B$45,0,IF(D28='Supply Porfolio (Live)'!$K$26,$G$13*(C28-$F$13*C28),IF(G27&gt;0,G27,0)))</f>
        <v>3235.7296497163575</v>
      </c>
      <c r="H28" s="168">
        <f>IF('Supply Porfolio (Live)'!$K$27=$B$45,0,IF(D28&gt;='Supply Porfolio (Live)'!$K$27,C28*$H$13-SUM(F28:G28),0))</f>
        <v>0</v>
      </c>
      <c r="I28" s="168"/>
      <c r="J28" s="366">
        <f t="shared" si="1"/>
        <v>2034</v>
      </c>
      <c r="K28" s="205">
        <f t="shared" si="7"/>
        <v>7584.9805595231173</v>
      </c>
      <c r="M28" s="168">
        <f t="shared" si="2"/>
        <v>78082.191780821915</v>
      </c>
      <c r="O28" s="366">
        <f t="shared" si="3"/>
        <v>2034</v>
      </c>
      <c r="P28" s="168">
        <f>IF('Supply Porfolio (Live)'!$N$25=$O$45,0,IF($O28='Supply Porfolio (Live)'!$N$25,$P$13*$M28,IF(P27&gt;0,P27,0)))</f>
        <v>0</v>
      </c>
      <c r="Q28" s="168">
        <f>IF('Supply Porfolio (Live)'!$N$26=$O$45,0,IF($O28='Supply Porfolio (Live)'!$N$26,$P$13*$M28,IF(Q27&gt;0,Q27,0)))</f>
        <v>0</v>
      </c>
      <c r="R28" s="168">
        <f>IF('Supply Porfolio (Live)'!$N$27=$O$45,0,IF($O28='Supply Porfolio (Live)'!$N$27,$P$13*$M28,IF(R27&gt;0,R27,0)))</f>
        <v>0</v>
      </c>
      <c r="S28" s="168">
        <f>IF('Supply Porfolio (Live)'!$N$28=$O$45,0,IF($O28='Supply Porfolio (Live)'!$N$28,$P$13*$M28,IF(S27&gt;0,S27,0)))</f>
        <v>0</v>
      </c>
      <c r="T28" s="168">
        <f>IF('Supply Porfolio (Live)'!$N$29=$O$45,0,IF($O28='Supply Porfolio (Live)'!$N$29,$P$13*$M28,IF(T27&gt;0,T27,0)))</f>
        <v>0</v>
      </c>
      <c r="U28" s="366">
        <f t="shared" si="8"/>
        <v>2034</v>
      </c>
      <c r="V28" s="205">
        <f t="shared" si="9"/>
        <v>0</v>
      </c>
    </row>
    <row r="29" spans="2:22" x14ac:dyDescent="0.25">
      <c r="B29" s="182">
        <f t="shared" si="4"/>
        <v>2035</v>
      </c>
      <c r="C29" s="168">
        <f t="shared" si="5"/>
        <v>9561.5045813837842</v>
      </c>
      <c r="D29" s="366">
        <f>'10. Indices-Forecast'!B18</f>
        <v>2035</v>
      </c>
      <c r="E29" s="367">
        <f t="shared" si="6"/>
        <v>2191.7808219178082</v>
      </c>
      <c r="F29" s="168">
        <f>IF('Supply Porfolio (Live)'!$K$25=$B$45,0,IF(D29='Supply Porfolio (Live)'!$K$25,$F$13*C29,IF(F28&gt;0,F28,0)))</f>
        <v>2157.4700878889521</v>
      </c>
      <c r="G29" s="168">
        <f>IF('Supply Porfolio (Live)'!$K$26=$B$45,0,IF(D29='Supply Porfolio (Live)'!$K$26,$G$13*(C29-$F$13*C29),IF(G28&gt;0,G28,0)))</f>
        <v>3235.7296497163575</v>
      </c>
      <c r="H29" s="168">
        <f>IF('Supply Porfolio (Live)'!$K$27=$B$45,0,IF(D29&gt;='Supply Porfolio (Live)'!$K$27,C29*$H$13-SUM(F29:G29),0))</f>
        <v>4168.3048437784746</v>
      </c>
      <c r="I29" s="168"/>
      <c r="J29" s="366">
        <f t="shared" si="1"/>
        <v>2035</v>
      </c>
      <c r="K29" s="205">
        <f t="shared" si="7"/>
        <v>11753.285403301592</v>
      </c>
      <c r="M29" s="168">
        <f t="shared" si="2"/>
        <v>78082.191780821915</v>
      </c>
      <c r="O29" s="366">
        <f t="shared" si="3"/>
        <v>2035</v>
      </c>
      <c r="P29" s="168">
        <f>IF('Supply Porfolio (Live)'!$N$25=$O$45,0,IF($O29='Supply Porfolio (Live)'!$N$25,$P$13*$M29,IF(P28&gt;0,P28,0)))</f>
        <v>0</v>
      </c>
      <c r="Q29" s="168">
        <f>IF('Supply Porfolio (Live)'!$N$26=$O$45,0,IF($O29='Supply Porfolio (Live)'!$N$26,$P$13*$M29,IF(Q28&gt;0,Q28,0)))</f>
        <v>0</v>
      </c>
      <c r="R29" s="168">
        <f>IF('Supply Porfolio (Live)'!$N$27=$O$45,0,IF($O29='Supply Porfolio (Live)'!$N$27,$P$13*$M29,IF(R28&gt;0,R28,0)))</f>
        <v>0</v>
      </c>
      <c r="S29" s="168">
        <f>IF('Supply Porfolio (Live)'!$N$28=$O$45,0,IF($O29='Supply Porfolio (Live)'!$N$28,$P$13*$M29,IF(S28&gt;0,S28,0)))</f>
        <v>0</v>
      </c>
      <c r="T29" s="168">
        <f>IF('Supply Porfolio (Live)'!$N$29=$O$45,0,IF($O29='Supply Porfolio (Live)'!$N$29,$P$13*$M29,IF(T28&gt;0,T28,0)))</f>
        <v>0</v>
      </c>
      <c r="U29" s="366">
        <f t="shared" si="8"/>
        <v>2035</v>
      </c>
      <c r="V29" s="205">
        <f t="shared" si="9"/>
        <v>0</v>
      </c>
    </row>
    <row r="30" spans="2:22" x14ac:dyDescent="0.25">
      <c r="B30" s="182">
        <f t="shared" si="4"/>
        <v>2036</v>
      </c>
      <c r="C30" s="168">
        <f t="shared" si="5"/>
        <v>9464.4052429051371</v>
      </c>
      <c r="D30" s="366">
        <f>'10. Indices-Forecast'!B19</f>
        <v>2036</v>
      </c>
      <c r="E30" s="367">
        <f t="shared" si="6"/>
        <v>2191.7808219178082</v>
      </c>
      <c r="F30" s="168">
        <f>IF('Supply Porfolio (Live)'!$K$25=$B$45,0,IF(D30='Supply Porfolio (Live)'!$K$25,$F$13*C30,IF(F29&gt;0,F29,0)))</f>
        <v>2157.4700878889521</v>
      </c>
      <c r="G30" s="168">
        <f>IF('Supply Porfolio (Live)'!$K$26=$B$45,0,IF(D30='Supply Porfolio (Live)'!$K$26,$G$13*(C30-$F$13*C30),IF(G29&gt;0,G29,0)))</f>
        <v>3235.7296497163575</v>
      </c>
      <c r="H30" s="168">
        <f>IF('Supply Porfolio (Live)'!$K$27=$B$45,0,IF(D30&gt;='Supply Porfolio (Live)'!$K$27,C30*$H$13-SUM(F30:G30),0))</f>
        <v>4071.2055052998276</v>
      </c>
      <c r="I30" s="168"/>
      <c r="J30" s="366">
        <f t="shared" si="1"/>
        <v>2036</v>
      </c>
      <c r="K30" s="205">
        <f t="shared" si="7"/>
        <v>11656.186064822945</v>
      </c>
      <c r="M30" s="168">
        <f t="shared" si="2"/>
        <v>78082.191780821915</v>
      </c>
      <c r="O30" s="366">
        <f t="shared" si="3"/>
        <v>2036</v>
      </c>
      <c r="P30" s="168">
        <f>IF('Supply Porfolio (Live)'!$N$25=$O$45,0,IF($O30='Supply Porfolio (Live)'!$N$25,$P$13*$M30,IF(P29&gt;0,P29,0)))</f>
        <v>0</v>
      </c>
      <c r="Q30" s="168">
        <f>IF('Supply Porfolio (Live)'!$N$26=$O$45,0,IF($O30='Supply Porfolio (Live)'!$N$26,$P$13*$M30,IF(Q29&gt;0,Q29,0)))</f>
        <v>0</v>
      </c>
      <c r="R30" s="168">
        <f>IF('Supply Porfolio (Live)'!$N$27=$O$45,0,IF($O30='Supply Porfolio (Live)'!$N$27,$P$13*$M30,IF(R29&gt;0,R29,0)))</f>
        <v>0</v>
      </c>
      <c r="S30" s="168">
        <f>IF('Supply Porfolio (Live)'!$N$28=$O$45,0,IF($O30='Supply Porfolio (Live)'!$N$28,$P$13*$M30,IF(S29&gt;0,S29,0)))</f>
        <v>0</v>
      </c>
      <c r="T30" s="168">
        <f>IF('Supply Porfolio (Live)'!$N$29=$O$45,0,IF($O30='Supply Porfolio (Live)'!$N$29,$P$13*$M30,IF(T29&gt;0,T29,0)))</f>
        <v>0</v>
      </c>
      <c r="U30" s="366">
        <f t="shared" si="8"/>
        <v>2036</v>
      </c>
      <c r="V30" s="205">
        <f t="shared" si="9"/>
        <v>0</v>
      </c>
    </row>
    <row r="31" spans="2:22" x14ac:dyDescent="0.25">
      <c r="B31" s="182">
        <f t="shared" si="4"/>
        <v>2037</v>
      </c>
      <c r="C31" s="168">
        <f t="shared" si="5"/>
        <v>9371.2167243559179</v>
      </c>
      <c r="D31" s="366">
        <f>'10. Indices-Forecast'!B20</f>
        <v>2037</v>
      </c>
      <c r="E31" s="367">
        <f t="shared" si="6"/>
        <v>2191.7808219178082</v>
      </c>
      <c r="F31" s="168">
        <f>IF('Supply Porfolio (Live)'!$K$25=$B$45,0,IF(D31='Supply Porfolio (Live)'!$K$25,$F$13*C31,IF(F30&gt;0,F30,0)))</f>
        <v>2157.4700878889521</v>
      </c>
      <c r="G31" s="168">
        <f>IF('Supply Porfolio (Live)'!$K$26=$B$45,0,IF(D31='Supply Porfolio (Live)'!$K$26,$G$13*(C31-$F$13*C31),IF(G30&gt;0,G30,0)))</f>
        <v>3235.7296497163575</v>
      </c>
      <c r="H31" s="168">
        <f>IF('Supply Porfolio (Live)'!$K$27=$B$45,0,IF(D31&gt;='Supply Porfolio (Live)'!$K$27,C31*$H$13-SUM(F31:G31),0))</f>
        <v>3978.0169867506083</v>
      </c>
      <c r="I31" s="168"/>
      <c r="J31" s="366">
        <f t="shared" si="1"/>
        <v>2037</v>
      </c>
      <c r="K31" s="205">
        <f t="shared" si="7"/>
        <v>11562.997546273726</v>
      </c>
      <c r="M31" s="168">
        <f t="shared" si="2"/>
        <v>78082.191780821915</v>
      </c>
      <c r="O31" s="366">
        <f t="shared" si="3"/>
        <v>2037</v>
      </c>
      <c r="P31" s="168">
        <f>IF('Supply Porfolio (Live)'!$N$25=$O$45,0,IF($O31='Supply Porfolio (Live)'!$N$25,$P$13*$M31,IF(P30&gt;0,P30,0)))</f>
        <v>0</v>
      </c>
      <c r="Q31" s="168">
        <f>IF('Supply Porfolio (Live)'!$N$26=$O$45,0,IF($O31='Supply Porfolio (Live)'!$N$26,$P$13*$M31,IF(Q30&gt;0,Q30,0)))</f>
        <v>0</v>
      </c>
      <c r="R31" s="168">
        <f>IF('Supply Porfolio (Live)'!$N$27=$O$45,0,IF($O31='Supply Porfolio (Live)'!$N$27,$P$13*$M31,IF(R30&gt;0,R30,0)))</f>
        <v>0</v>
      </c>
      <c r="S31" s="168">
        <f>IF('Supply Porfolio (Live)'!$N$28=$O$45,0,IF($O31='Supply Porfolio (Live)'!$N$28,$P$13*$M31,IF(S30&gt;0,S30,0)))</f>
        <v>0</v>
      </c>
      <c r="T31" s="168">
        <f>IF('Supply Porfolio (Live)'!$N$29=$O$45,0,IF($O31='Supply Porfolio (Live)'!$N$29,$P$13*$M31,IF(T30&gt;0,T30,0)))</f>
        <v>0</v>
      </c>
      <c r="U31" s="366">
        <f t="shared" si="8"/>
        <v>2037</v>
      </c>
      <c r="V31" s="205">
        <f t="shared" si="9"/>
        <v>0</v>
      </c>
    </row>
    <row r="32" spans="2:22" x14ac:dyDescent="0.25">
      <c r="B32" s="182">
        <f t="shared" si="4"/>
        <v>2038</v>
      </c>
      <c r="C32" s="168">
        <f t="shared" si="5"/>
        <v>9281.7815116607453</v>
      </c>
      <c r="D32" s="366">
        <f>'10. Indices-Forecast'!B21</f>
        <v>2038</v>
      </c>
      <c r="E32" s="367">
        <f t="shared" si="6"/>
        <v>2191.7808219178082</v>
      </c>
      <c r="F32" s="168">
        <f>IF('Supply Porfolio (Live)'!$K$25=$B$45,0,IF(D32='Supply Porfolio (Live)'!$K$25,$F$13*C32,IF(F31&gt;0,F31,0)))</f>
        <v>2157.4700878889521</v>
      </c>
      <c r="G32" s="168">
        <f>IF('Supply Porfolio (Live)'!$K$26=$B$45,0,IF(D32='Supply Porfolio (Live)'!$K$26,$G$13*(C32-$F$13*C32),IF(G31&gt;0,G31,0)))</f>
        <v>3235.7296497163575</v>
      </c>
      <c r="H32" s="168">
        <f>IF('Supply Porfolio (Live)'!$K$27=$B$45,0,IF(D32&gt;='Supply Porfolio (Live)'!$K$27,C32*$H$13-SUM(F32:G32),0))</f>
        <v>3888.5817740554357</v>
      </c>
      <c r="I32" s="168"/>
      <c r="J32" s="366">
        <f t="shared" si="1"/>
        <v>2038</v>
      </c>
      <c r="K32" s="205">
        <f t="shared" si="7"/>
        <v>11473.562333578553</v>
      </c>
      <c r="M32" s="168">
        <f t="shared" si="2"/>
        <v>78082.191780821915</v>
      </c>
      <c r="O32" s="366">
        <f t="shared" si="3"/>
        <v>2038</v>
      </c>
      <c r="P32" s="168">
        <f>IF('Supply Porfolio (Live)'!$N$25=$O$45,0,IF($O32='Supply Porfolio (Live)'!$N$25,$P$13*$M32,IF(P31&gt;0,P31,0)))</f>
        <v>0</v>
      </c>
      <c r="Q32" s="168">
        <f>IF('Supply Porfolio (Live)'!$N$26=$O$45,0,IF($O32='Supply Porfolio (Live)'!$N$26,$P$13*$M32,IF(Q31&gt;0,Q31,0)))</f>
        <v>0</v>
      </c>
      <c r="R32" s="168">
        <f>IF('Supply Porfolio (Live)'!$N$27=$O$45,0,IF($O32='Supply Porfolio (Live)'!$N$27,$P$13*$M32,IF(R31&gt;0,R31,0)))</f>
        <v>0</v>
      </c>
      <c r="S32" s="168">
        <f>IF('Supply Porfolio (Live)'!$N$28=$O$45,0,IF($O32='Supply Porfolio (Live)'!$N$28,$P$13*$M32,IF(S31&gt;0,S31,0)))</f>
        <v>0</v>
      </c>
      <c r="T32" s="168">
        <f>IF('Supply Porfolio (Live)'!$N$29=$O$45,0,IF($O32='Supply Porfolio (Live)'!$N$29,$P$13*$M32,IF(T31&gt;0,T31,0)))</f>
        <v>0</v>
      </c>
      <c r="U32" s="366">
        <f t="shared" si="8"/>
        <v>2038</v>
      </c>
      <c r="V32" s="205">
        <f t="shared" si="9"/>
        <v>0</v>
      </c>
    </row>
    <row r="33" spans="2:22" x14ac:dyDescent="0.25">
      <c r="B33" s="182">
        <f t="shared" si="4"/>
        <v>2039</v>
      </c>
      <c r="C33" s="168">
        <f t="shared" si="5"/>
        <v>9195.9484348573387</v>
      </c>
      <c r="D33" s="366">
        <f>'10. Indices-Forecast'!B22</f>
        <v>2039</v>
      </c>
      <c r="E33" s="367">
        <f t="shared" si="6"/>
        <v>2191.7808219178082</v>
      </c>
      <c r="F33" s="168">
        <f>IF('Supply Porfolio (Live)'!$K$25=$B$45,0,IF(D33='Supply Porfolio (Live)'!$K$25,$F$13*C33,IF(F32&gt;0,F32,0)))</f>
        <v>2157.4700878889521</v>
      </c>
      <c r="G33" s="168">
        <f>IF('Supply Porfolio (Live)'!$K$26=$B$45,0,IF(D33='Supply Porfolio (Live)'!$K$26,$G$13*(C33-$F$13*C33),IF(G32&gt;0,G32,0)))</f>
        <v>3235.7296497163575</v>
      </c>
      <c r="H33" s="168">
        <f>IF('Supply Porfolio (Live)'!$K$27=$B$45,0,IF(D33&gt;='Supply Porfolio (Live)'!$K$27,C33*$H$13-SUM(F33:G33),0))</f>
        <v>3802.7486972520292</v>
      </c>
      <c r="I33" s="168"/>
      <c r="J33" s="366">
        <f t="shared" si="1"/>
        <v>2039</v>
      </c>
      <c r="K33" s="205">
        <f t="shared" si="7"/>
        <v>11387.729256775146</v>
      </c>
      <c r="M33" s="168">
        <f t="shared" si="2"/>
        <v>78082.191780821915</v>
      </c>
      <c r="O33" s="366">
        <f t="shared" si="3"/>
        <v>2039</v>
      </c>
      <c r="P33" s="168">
        <f>IF('Supply Porfolio (Live)'!$N$25=$O$45,0,IF($O33='Supply Porfolio (Live)'!$N$25,$P$13*$M33,IF(P32&gt;0,P32,0)))</f>
        <v>0</v>
      </c>
      <c r="Q33" s="168">
        <f>IF('Supply Porfolio (Live)'!$N$26=$O$45,0,IF($O33='Supply Porfolio (Live)'!$N$26,$P$13*$M33,IF(Q32&gt;0,Q32,0)))</f>
        <v>0</v>
      </c>
      <c r="R33" s="168">
        <f>IF('Supply Porfolio (Live)'!$N$27=$O$45,0,IF($O33='Supply Porfolio (Live)'!$N$27,$P$13*$M33,IF(R32&gt;0,R32,0)))</f>
        <v>0</v>
      </c>
      <c r="S33" s="168">
        <f>IF('Supply Porfolio (Live)'!$N$28=$O$45,0,IF($O33='Supply Porfolio (Live)'!$N$28,$P$13*$M33,IF(S32&gt;0,S32,0)))</f>
        <v>0</v>
      </c>
      <c r="T33" s="168">
        <f>IF('Supply Porfolio (Live)'!$N$29=$O$45,0,IF($O33='Supply Porfolio (Live)'!$N$29,$P$13*$M33,IF(T32&gt;0,T32,0)))</f>
        <v>0</v>
      </c>
      <c r="U33" s="366">
        <f t="shared" si="8"/>
        <v>2039</v>
      </c>
      <c r="V33" s="205">
        <f t="shared" si="9"/>
        <v>0</v>
      </c>
    </row>
    <row r="34" spans="2:22" x14ac:dyDescent="0.25">
      <c r="B34" s="182">
        <f t="shared" si="4"/>
        <v>2040</v>
      </c>
      <c r="C34" s="168">
        <f t="shared" si="5"/>
        <v>9113.5724125779489</v>
      </c>
      <c r="D34" s="366">
        <f>'10. Indices-Forecast'!B23</f>
        <v>2040</v>
      </c>
      <c r="E34" s="367">
        <f t="shared" si="6"/>
        <v>2191.7808219178082</v>
      </c>
      <c r="F34" s="168">
        <f>IF('Supply Porfolio (Live)'!$K$25=$B$45,0,IF(D34='Supply Porfolio (Live)'!$K$25,$F$13*C34,IF(F33&gt;0,F33,0)))</f>
        <v>2157.4700878889521</v>
      </c>
      <c r="G34" s="168">
        <f>IF('Supply Porfolio (Live)'!$K$26=$B$45,0,IF(D34='Supply Porfolio (Live)'!$K$26,$G$13*(C34-$F$13*C34),IF(G33&gt;0,G33,0)))</f>
        <v>3235.7296497163575</v>
      </c>
      <c r="H34" s="168">
        <f>IF('Supply Porfolio (Live)'!$K$27=$B$45,0,IF(D34&gt;='Supply Porfolio (Live)'!$K$27,C34*$H$13-SUM(F34:G34),0))</f>
        <v>3720.3726749726393</v>
      </c>
      <c r="I34" s="168"/>
      <c r="J34" s="366">
        <f t="shared" si="1"/>
        <v>2040</v>
      </c>
      <c r="K34" s="205">
        <f t="shared" si="7"/>
        <v>11305.353234495757</v>
      </c>
      <c r="M34" s="168">
        <f t="shared" si="2"/>
        <v>78082.191780821915</v>
      </c>
      <c r="O34" s="366">
        <f t="shared" si="3"/>
        <v>2040</v>
      </c>
      <c r="P34" s="168">
        <f>IF('Supply Porfolio (Live)'!$N$25=$O$45,0,IF($O34='Supply Porfolio (Live)'!$N$25,$P$13*$M34,IF(P33&gt;0,P33,0)))</f>
        <v>15616.438356164384</v>
      </c>
      <c r="Q34" s="168">
        <f>IF('Supply Porfolio (Live)'!$N$26=$O$45,0,IF($O34='Supply Porfolio (Live)'!$N$26,$P$13*$M34,IF(Q33&gt;0,Q33,0)))</f>
        <v>0</v>
      </c>
      <c r="R34" s="168">
        <f>IF('Supply Porfolio (Live)'!$N$27=$O$45,0,IF($O34='Supply Porfolio (Live)'!$N$27,$P$13*$M34,IF(R33&gt;0,R33,0)))</f>
        <v>0</v>
      </c>
      <c r="S34" s="168">
        <f>IF('Supply Porfolio (Live)'!$N$28=$O$45,0,IF($O34='Supply Porfolio (Live)'!$N$28,$P$13*$M34,IF(S33&gt;0,S33,0)))</f>
        <v>0</v>
      </c>
      <c r="T34" s="168">
        <f>IF('Supply Porfolio (Live)'!$N$29=$O$45,0,IF($O34='Supply Porfolio (Live)'!$N$29,$P$13*$M34,IF(T33&gt;0,T33,0)))</f>
        <v>0</v>
      </c>
      <c r="U34" s="366">
        <f t="shared" si="8"/>
        <v>2040</v>
      </c>
      <c r="V34" s="205">
        <f t="shared" si="9"/>
        <v>15616.438356164384</v>
      </c>
    </row>
    <row r="35" spans="2:22" x14ac:dyDescent="0.25">
      <c r="B35" s="182">
        <f t="shared" si="4"/>
        <v>2041</v>
      </c>
      <c r="C35" s="168">
        <f t="shared" si="5"/>
        <v>9034.5142068221812</v>
      </c>
      <c r="D35" s="366">
        <f>'10. Indices-Forecast'!B24</f>
        <v>2041</v>
      </c>
      <c r="E35" s="367">
        <f t="shared" si="6"/>
        <v>2191.7808219178082</v>
      </c>
      <c r="F35" s="168">
        <f>IF('Supply Porfolio (Live)'!$K$25=$B$45,0,IF(D35='Supply Porfolio (Live)'!$K$25,$F$13*C35,IF(F34&gt;0,F34,0)))</f>
        <v>2157.4700878889521</v>
      </c>
      <c r="G35" s="168">
        <f>IF('Supply Porfolio (Live)'!$K$26=$B$45,0,IF(D35='Supply Porfolio (Live)'!$K$26,$G$13*(C35-$F$13*C35),IF(G34&gt;0,G34,0)))</f>
        <v>3235.7296497163575</v>
      </c>
      <c r="H35" s="168">
        <f>IF('Supply Porfolio (Live)'!$K$27=$B$45,0,IF(D35&gt;='Supply Porfolio (Live)'!$K$27,C35*$H$13-SUM(F35:G35),0))</f>
        <v>3641.3144692168717</v>
      </c>
      <c r="I35" s="168"/>
      <c r="J35" s="366">
        <f t="shared" si="1"/>
        <v>2041</v>
      </c>
      <c r="K35" s="205">
        <f t="shared" si="7"/>
        <v>11226.295028739989</v>
      </c>
      <c r="M35" s="168">
        <f t="shared" si="2"/>
        <v>78082.191780821915</v>
      </c>
      <c r="O35" s="366">
        <f t="shared" si="3"/>
        <v>2041</v>
      </c>
      <c r="P35" s="168">
        <f>IF('Supply Porfolio (Live)'!$N$25=$O$45,0,IF($O35='Supply Porfolio (Live)'!$N$25,$P$13*$M35,IF(P34&gt;0,P34,0)))</f>
        <v>15616.438356164384</v>
      </c>
      <c r="Q35" s="168">
        <f>IF('Supply Porfolio (Live)'!$N$26=$O$45,0,IF($O35='Supply Porfolio (Live)'!$N$26,$P$13*$M35,IF(Q34&gt;0,Q34,0)))</f>
        <v>0</v>
      </c>
      <c r="R35" s="168">
        <f>IF('Supply Porfolio (Live)'!$N$27=$O$45,0,IF($O35='Supply Porfolio (Live)'!$N$27,$P$13*$M35,IF(R34&gt;0,R34,0)))</f>
        <v>0</v>
      </c>
      <c r="S35" s="168">
        <f>IF('Supply Porfolio (Live)'!$N$28=$O$45,0,IF($O35='Supply Porfolio (Live)'!$N$28,$P$13*$M35,IF(S34&gt;0,S34,0)))</f>
        <v>0</v>
      </c>
      <c r="T35" s="168">
        <f>IF('Supply Porfolio (Live)'!$N$29=$O$45,0,IF($O35='Supply Porfolio (Live)'!$N$29,$P$13*$M35,IF(T34&gt;0,T34,0)))</f>
        <v>0</v>
      </c>
      <c r="U35" s="366">
        <f t="shared" si="8"/>
        <v>2041</v>
      </c>
      <c r="V35" s="205">
        <f t="shared" si="9"/>
        <v>15616.438356164384</v>
      </c>
    </row>
    <row r="36" spans="2:22" x14ac:dyDescent="0.25">
      <c r="B36" s="182">
        <f t="shared" si="4"/>
        <v>2042</v>
      </c>
      <c r="C36" s="168">
        <f t="shared" si="5"/>
        <v>8958.6401876066993</v>
      </c>
      <c r="D36" s="366">
        <f>'10. Indices-Forecast'!B25</f>
        <v>2042</v>
      </c>
      <c r="E36" s="367">
        <f t="shared" si="6"/>
        <v>2191.7808219178082</v>
      </c>
      <c r="F36" s="168">
        <f>IF('Supply Porfolio (Live)'!$K$25=$B$45,0,IF(D36='Supply Porfolio (Live)'!$K$25,$F$13*C36,IF(F35&gt;0,F35,0)))</f>
        <v>2157.4700878889521</v>
      </c>
      <c r="G36" s="168">
        <f>IF('Supply Porfolio (Live)'!$K$26=$B$45,0,IF(D36='Supply Porfolio (Live)'!$K$26,$G$13*(C36-$F$13*C36),IF(G35&gt;0,G35,0)))</f>
        <v>3235.7296497163575</v>
      </c>
      <c r="H36" s="168">
        <f>IF('Supply Porfolio (Live)'!$K$27=$B$45,0,IF(D36&gt;='Supply Porfolio (Live)'!$K$27,C36*$H$13-SUM(F36:G36),0))</f>
        <v>3565.4404500013898</v>
      </c>
      <c r="I36" s="168"/>
      <c r="J36" s="366">
        <f t="shared" si="1"/>
        <v>2042</v>
      </c>
      <c r="K36" s="205">
        <f t="shared" si="7"/>
        <v>11150.421009524507</v>
      </c>
      <c r="M36" s="168">
        <f t="shared" si="2"/>
        <v>78082.191780821915</v>
      </c>
      <c r="O36" s="366">
        <f t="shared" si="3"/>
        <v>2042</v>
      </c>
      <c r="P36" s="168">
        <f>IF('Supply Porfolio (Live)'!$N$25=$O$45,0,IF($O36='Supply Porfolio (Live)'!$N$25,$P$13*$M36,IF(P35&gt;0,P35,0)))</f>
        <v>15616.438356164384</v>
      </c>
      <c r="Q36" s="168">
        <f>IF('Supply Porfolio (Live)'!$N$26=$O$45,0,IF($O36='Supply Porfolio (Live)'!$N$26,$P$13*$M36,IF(Q35&gt;0,Q35,0)))</f>
        <v>0</v>
      </c>
      <c r="R36" s="168">
        <f>IF('Supply Porfolio (Live)'!$N$27=$O$45,0,IF($O36='Supply Porfolio (Live)'!$N$27,$P$13*$M36,IF(R35&gt;0,R35,0)))</f>
        <v>0</v>
      </c>
      <c r="S36" s="168">
        <f>IF('Supply Porfolio (Live)'!$N$28=$O$45,0,IF($O36='Supply Porfolio (Live)'!$N$28,$P$13*$M36,IF(S35&gt;0,S35,0)))</f>
        <v>0</v>
      </c>
      <c r="T36" s="168">
        <f>IF('Supply Porfolio (Live)'!$N$29=$O$45,0,IF($O36='Supply Porfolio (Live)'!$N$29,$P$13*$M36,IF(T35&gt;0,T35,0)))</f>
        <v>0</v>
      </c>
      <c r="U36" s="366">
        <f t="shared" si="8"/>
        <v>2042</v>
      </c>
      <c r="V36" s="205">
        <f t="shared" si="9"/>
        <v>15616.438356164384</v>
      </c>
    </row>
    <row r="37" spans="2:22" x14ac:dyDescent="0.25">
      <c r="B37" s="182">
        <f t="shared" si="4"/>
        <v>2043</v>
      </c>
      <c r="C37" s="168">
        <f t="shared" si="5"/>
        <v>8885.8221070940199</v>
      </c>
      <c r="D37" s="366">
        <f>'10. Indices-Forecast'!B26</f>
        <v>2043</v>
      </c>
      <c r="E37" s="367">
        <f t="shared" si="6"/>
        <v>2191.7808219178082</v>
      </c>
      <c r="F37" s="168">
        <f>IF('Supply Porfolio (Live)'!$K$25=$B$45,0,IF(D37='Supply Porfolio (Live)'!$K$25,$F$13*C37,IF(F36&gt;0,F36,0)))</f>
        <v>2157.4700878889521</v>
      </c>
      <c r="G37" s="168">
        <f>IF('Supply Porfolio (Live)'!$K$26=$B$45,0,IF(D37='Supply Porfolio (Live)'!$K$26,$G$13*(C37-$F$13*C37),IF(G36&gt;0,G36,0)))</f>
        <v>3235.7296497163575</v>
      </c>
      <c r="H37" s="168">
        <f>IF('Supply Porfolio (Live)'!$K$27=$B$45,0,IF(D37&gt;='Supply Porfolio (Live)'!$K$27,C37*$H$13-SUM(F37:G37),0))</f>
        <v>3492.6223694887103</v>
      </c>
      <c r="I37" s="168"/>
      <c r="J37" s="366">
        <f t="shared" si="1"/>
        <v>2043</v>
      </c>
      <c r="K37" s="205">
        <f t="shared" si="7"/>
        <v>11077.602929011828</v>
      </c>
      <c r="M37" s="168">
        <f t="shared" si="2"/>
        <v>78082.191780821915</v>
      </c>
      <c r="O37" s="366">
        <f t="shared" si="3"/>
        <v>2043</v>
      </c>
      <c r="P37" s="168">
        <f>IF('Supply Porfolio (Live)'!$N$25=$O$45,0,IF($O37='Supply Porfolio (Live)'!$N$25,$P$13*$M37,IF(P36&gt;0,P36,0)))</f>
        <v>15616.438356164384</v>
      </c>
      <c r="Q37" s="168">
        <f>IF('Supply Porfolio (Live)'!$N$26=$O$45,0,IF($O37='Supply Porfolio (Live)'!$N$26,$P$13*$M37,IF(Q36&gt;0,Q36,0)))</f>
        <v>0</v>
      </c>
      <c r="R37" s="168">
        <f>IF('Supply Porfolio (Live)'!$N$27=$O$45,0,IF($O37='Supply Porfolio (Live)'!$N$27,$P$13*$M37,IF(R36&gt;0,R36,0)))</f>
        <v>0</v>
      </c>
      <c r="S37" s="168">
        <f>IF('Supply Porfolio (Live)'!$N$28=$O$45,0,IF($O37='Supply Porfolio (Live)'!$N$28,$P$13*$M37,IF(S36&gt;0,S36,0)))</f>
        <v>0</v>
      </c>
      <c r="T37" s="168">
        <f>IF('Supply Porfolio (Live)'!$N$29=$O$45,0,IF($O37='Supply Porfolio (Live)'!$N$29,$P$13*$M37,IF(T36&gt;0,T36,0)))</f>
        <v>0</v>
      </c>
      <c r="U37" s="366">
        <f t="shared" si="8"/>
        <v>2043</v>
      </c>
      <c r="V37" s="205">
        <f t="shared" si="9"/>
        <v>15616.438356164384</v>
      </c>
    </row>
    <row r="38" spans="2:22" x14ac:dyDescent="0.25">
      <c r="B38" s="182">
        <f t="shared" si="4"/>
        <v>2044</v>
      </c>
      <c r="C38" s="168">
        <f t="shared" si="5"/>
        <v>8815.9368828186089</v>
      </c>
      <c r="D38" s="366">
        <f>'10. Indices-Forecast'!B27</f>
        <v>2044</v>
      </c>
      <c r="E38" s="367">
        <f t="shared" si="6"/>
        <v>2191.7808219178082</v>
      </c>
      <c r="F38" s="168">
        <f>IF('Supply Porfolio (Live)'!$K$25=$B$45,0,IF(D38='Supply Porfolio (Live)'!$K$25,$F$13*C38,IF(F37&gt;0,F37,0)))</f>
        <v>2157.4700878889521</v>
      </c>
      <c r="G38" s="168">
        <f>IF('Supply Porfolio (Live)'!$K$26=$B$45,0,IF(D38='Supply Porfolio (Live)'!$K$26,$G$13*(C38-$F$13*C38),IF(G37&gt;0,G37,0)))</f>
        <v>3235.7296497163575</v>
      </c>
      <c r="H38" s="168">
        <f>IF('Supply Porfolio (Live)'!$K$27=$B$45,0,IF(D38&gt;='Supply Porfolio (Live)'!$K$27,C38*$H$13-SUM(F38:G38),0))</f>
        <v>3422.7371452132993</v>
      </c>
      <c r="I38" s="168"/>
      <c r="J38" s="366">
        <f t="shared" si="1"/>
        <v>2044</v>
      </c>
      <c r="K38" s="205">
        <f t="shared" si="7"/>
        <v>11007.717704736417</v>
      </c>
      <c r="M38" s="168">
        <f t="shared" si="2"/>
        <v>78082.191780821915</v>
      </c>
      <c r="O38" s="366">
        <f t="shared" si="3"/>
        <v>2044</v>
      </c>
      <c r="P38" s="168">
        <f>IF('Supply Porfolio (Live)'!$N$25=$O$45,0,IF($O38='Supply Porfolio (Live)'!$N$25,$P$13*$M38,IF(P37&gt;0,P37,0)))</f>
        <v>15616.438356164384</v>
      </c>
      <c r="Q38" s="168">
        <f>IF('Supply Porfolio (Live)'!$N$26=$O$45,0,IF($O38='Supply Porfolio (Live)'!$N$26,$P$13*$M38,IF(Q37&gt;0,Q37,0)))</f>
        <v>0</v>
      </c>
      <c r="R38" s="168">
        <f>IF('Supply Porfolio (Live)'!$N$27=$O$45,0,IF($O38='Supply Porfolio (Live)'!$N$27,$P$13*$M38,IF(R37&gt;0,R37,0)))</f>
        <v>0</v>
      </c>
      <c r="S38" s="168">
        <f>IF('Supply Porfolio (Live)'!$N$28=$O$45,0,IF($O38='Supply Porfolio (Live)'!$N$28,$P$13*$M38,IF(S37&gt;0,S37,0)))</f>
        <v>0</v>
      </c>
      <c r="T38" s="168">
        <f>IF('Supply Porfolio (Live)'!$N$29=$O$45,0,IF($O38='Supply Porfolio (Live)'!$N$29,$P$13*$M38,IF(T37&gt;0,T37,0)))</f>
        <v>0</v>
      </c>
      <c r="U38" s="366">
        <f t="shared" si="8"/>
        <v>2044</v>
      </c>
      <c r="V38" s="205">
        <f t="shared" si="9"/>
        <v>15616.438356164384</v>
      </c>
    </row>
    <row r="39" spans="2:22" x14ac:dyDescent="0.25">
      <c r="B39" s="182">
        <f t="shared" si="4"/>
        <v>2045</v>
      </c>
      <c r="C39" s="168">
        <f t="shared" si="5"/>
        <v>8748.8663896438502</v>
      </c>
      <c r="D39" s="366">
        <f>'10. Indices-Forecast'!B28</f>
        <v>2045</v>
      </c>
      <c r="E39" s="367">
        <f t="shared" si="6"/>
        <v>2191.7808219178082</v>
      </c>
      <c r="F39" s="168">
        <f>IF('Supply Porfolio (Live)'!$K$25=$B$45,0,IF(D39='Supply Porfolio (Live)'!$K$25,$F$13*C39,IF(F38&gt;0,F38,0)))</f>
        <v>2157.4700878889521</v>
      </c>
      <c r="G39" s="168">
        <f>IF('Supply Porfolio (Live)'!$K$26=$B$45,0,IF(D39='Supply Porfolio (Live)'!$K$26,$G$13*(C39-$F$13*C39),IF(G38&gt;0,G38,0)))</f>
        <v>3235.7296497163575</v>
      </c>
      <c r="H39" s="168">
        <f>IF('Supply Porfolio (Live)'!$K$27=$B$45,0,IF(D39&gt;='Supply Porfolio (Live)'!$K$27,C39*$H$13-SUM(F39:G39),0))</f>
        <v>3355.6666520385406</v>
      </c>
      <c r="I39" s="168"/>
      <c r="J39" s="366">
        <f t="shared" si="1"/>
        <v>2045</v>
      </c>
      <c r="K39" s="205">
        <f t="shared" si="7"/>
        <v>10940.647211561658</v>
      </c>
      <c r="M39" s="168">
        <f t="shared" si="2"/>
        <v>78082.191780821915</v>
      </c>
      <c r="O39" s="366">
        <f t="shared" si="3"/>
        <v>2045</v>
      </c>
      <c r="P39" s="168">
        <f>IF('Supply Porfolio (Live)'!$N$25=$O$45,0,IF($O39='Supply Porfolio (Live)'!$N$25,$P$13*$M39,IF(P38&gt;0,P38,0)))</f>
        <v>15616.438356164384</v>
      </c>
      <c r="Q39" s="168">
        <f>IF('Supply Porfolio (Live)'!$N$26=$O$45,0,IF($O39='Supply Porfolio (Live)'!$N$26,$P$13*$M39,IF(Q38&gt;0,Q38,0)))</f>
        <v>0</v>
      </c>
      <c r="R39" s="168">
        <f>IF('Supply Porfolio (Live)'!$N$27=$O$45,0,IF($O39='Supply Porfolio (Live)'!$N$27,$P$13*$M39,IF(R38&gt;0,R38,0)))</f>
        <v>0</v>
      </c>
      <c r="S39" s="168">
        <f>IF('Supply Porfolio (Live)'!$N$28=$O$45,0,IF($O39='Supply Porfolio (Live)'!$N$28,$P$13*$M39,IF(S38&gt;0,S38,0)))</f>
        <v>0</v>
      </c>
      <c r="T39" s="168">
        <f>IF('Supply Porfolio (Live)'!$N$29=$O$45,0,IF($O39='Supply Porfolio (Live)'!$N$29,$P$13*$M39,IF(T38&gt;0,T38,0)))</f>
        <v>0</v>
      </c>
      <c r="U39" s="366">
        <f t="shared" si="8"/>
        <v>2045</v>
      </c>
      <c r="V39" s="205">
        <f t="shared" si="9"/>
        <v>15616.438356164384</v>
      </c>
    </row>
    <row r="40" spans="2:22" x14ac:dyDescent="0.25">
      <c r="B40" s="182">
        <f t="shared" si="4"/>
        <v>2046</v>
      </c>
      <c r="C40" s="168">
        <f t="shared" si="5"/>
        <v>8684.4972600982765</v>
      </c>
      <c r="D40" s="366">
        <f>'10. Indices-Forecast'!B29</f>
        <v>2046</v>
      </c>
      <c r="E40" s="367">
        <f t="shared" si="6"/>
        <v>2191.7808219178082</v>
      </c>
      <c r="F40" s="168">
        <f>IF('Supply Porfolio (Live)'!$K$25=$B$45,0,IF(D40='Supply Porfolio (Live)'!$K$25,$F$13*C40,IF(F39&gt;0,F39,0)))</f>
        <v>2157.4700878889521</v>
      </c>
      <c r="G40" s="168">
        <f>IF('Supply Porfolio (Live)'!$K$26=$B$45,0,IF(D40='Supply Porfolio (Live)'!$K$26,$G$13*(C40-$F$13*C40),IF(G39&gt;0,G39,0)))</f>
        <v>3235.7296497163575</v>
      </c>
      <c r="H40" s="168">
        <f>IF('Supply Porfolio (Live)'!$K$27=$B$45,0,IF(D40&gt;='Supply Porfolio (Live)'!$K$27,C40*$H$13-SUM(F40:G40),0))</f>
        <v>3291.2975224929669</v>
      </c>
      <c r="I40" s="168"/>
      <c r="J40" s="366">
        <f t="shared" si="1"/>
        <v>2046</v>
      </c>
      <c r="K40" s="205">
        <f t="shared" si="7"/>
        <v>10876.278082016084</v>
      </c>
      <c r="M40" s="168">
        <f t="shared" si="2"/>
        <v>78082.191780821915</v>
      </c>
      <c r="O40" s="366">
        <f t="shared" si="3"/>
        <v>2046</v>
      </c>
      <c r="P40" s="168">
        <f>IF('Supply Porfolio (Live)'!$N$25=$O$45,0,IF($O40='Supply Porfolio (Live)'!$N$25,$P$13*$M40,IF(P39&gt;0,P39,0)))</f>
        <v>15616.438356164384</v>
      </c>
      <c r="Q40" s="168">
        <f>IF('Supply Porfolio (Live)'!$N$26=$O$45,0,IF($O40='Supply Porfolio (Live)'!$N$26,$P$13*$M40,IF(Q39&gt;0,Q39,0)))</f>
        <v>0</v>
      </c>
      <c r="R40" s="168">
        <f>IF('Supply Porfolio (Live)'!$N$27=$O$45,0,IF($O40='Supply Porfolio (Live)'!$N$27,$P$13*$M40,IF(R39&gt;0,R39,0)))</f>
        <v>0</v>
      </c>
      <c r="S40" s="168">
        <f>IF('Supply Porfolio (Live)'!$N$28=$O$45,0,IF($O40='Supply Porfolio (Live)'!$N$28,$P$13*$M40,IF(S39&gt;0,S39,0)))</f>
        <v>0</v>
      </c>
      <c r="T40" s="168">
        <f>IF('Supply Porfolio (Live)'!$N$29=$O$45,0,IF($O40='Supply Porfolio (Live)'!$N$29,$P$13*$M40,IF(T39&gt;0,T39,0)))</f>
        <v>0</v>
      </c>
      <c r="U40" s="366">
        <f t="shared" si="8"/>
        <v>2046</v>
      </c>
      <c r="V40" s="205">
        <f t="shared" si="9"/>
        <v>15616.438356164384</v>
      </c>
    </row>
    <row r="41" spans="2:22" x14ac:dyDescent="0.25">
      <c r="B41" s="182">
        <f t="shared" si="4"/>
        <v>2047</v>
      </c>
      <c r="C41" s="168">
        <f t="shared" si="5"/>
        <v>8622.7206927535481</v>
      </c>
      <c r="D41" s="366">
        <f>'10. Indices-Forecast'!B30</f>
        <v>2047</v>
      </c>
      <c r="E41" s="367">
        <f t="shared" si="6"/>
        <v>2191.7808219178082</v>
      </c>
      <c r="F41" s="168">
        <f>IF('Supply Porfolio (Live)'!$K$25=$B$45,0,IF(D41='Supply Porfolio (Live)'!$K$25,$F$13*C41,IF(F40&gt;0,F40,0)))</f>
        <v>2157.4700878889521</v>
      </c>
      <c r="G41" s="168">
        <f>IF('Supply Porfolio (Live)'!$K$26=$B$45,0,IF(D41='Supply Porfolio (Live)'!$K$26,$G$13*(C41-$F$13*C41),IF(G40&gt;0,G40,0)))</f>
        <v>3235.7296497163575</v>
      </c>
      <c r="H41" s="168">
        <f>IF('Supply Porfolio (Live)'!$K$27=$B$45,0,IF(D41&gt;='Supply Porfolio (Live)'!$K$27,C41*$H$13-SUM(F41:G41),0))</f>
        <v>3229.5209551482385</v>
      </c>
      <c r="I41" s="168"/>
      <c r="J41" s="366">
        <f t="shared" si="1"/>
        <v>2047</v>
      </c>
      <c r="K41" s="205">
        <f t="shared" si="7"/>
        <v>10814.501514671356</v>
      </c>
      <c r="M41" s="168">
        <f t="shared" si="2"/>
        <v>78082.191780821915</v>
      </c>
      <c r="O41" s="366">
        <f t="shared" si="3"/>
        <v>2047</v>
      </c>
      <c r="P41" s="168">
        <f>IF('Supply Porfolio (Live)'!$N$25=$O$45,0,IF($O41='Supply Porfolio (Live)'!$N$25,$P$13*$M41,IF(P40&gt;0,P40,0)))</f>
        <v>15616.438356164384</v>
      </c>
      <c r="Q41" s="168">
        <f>IF('Supply Porfolio (Live)'!$N$26=$O$45,0,IF($O41='Supply Porfolio (Live)'!$N$26,$P$13*$M41,IF(Q40&gt;0,Q40,0)))</f>
        <v>0</v>
      </c>
      <c r="R41" s="168">
        <f>IF('Supply Porfolio (Live)'!$N$27=$O$45,0,IF($O41='Supply Porfolio (Live)'!$N$27,$P$13*$M41,IF(R40&gt;0,R40,0)))</f>
        <v>0</v>
      </c>
      <c r="S41" s="168">
        <f>IF('Supply Porfolio (Live)'!$N$28=$O$45,0,IF($O41='Supply Porfolio (Live)'!$N$28,$P$13*$M41,IF(S40&gt;0,S40,0)))</f>
        <v>0</v>
      </c>
      <c r="T41" s="168">
        <f>IF('Supply Porfolio (Live)'!$N$29=$O$45,0,IF($O41='Supply Porfolio (Live)'!$N$29,$P$13*$M41,IF(T40&gt;0,T40,0)))</f>
        <v>0</v>
      </c>
      <c r="U41" s="366">
        <f t="shared" si="8"/>
        <v>2047</v>
      </c>
      <c r="V41" s="205">
        <f t="shared" si="9"/>
        <v>15616.438356164384</v>
      </c>
    </row>
    <row r="42" spans="2:22" x14ac:dyDescent="0.25">
      <c r="B42" s="182">
        <f t="shared" si="4"/>
        <v>2048</v>
      </c>
      <c r="C42" s="168">
        <f t="shared" si="5"/>
        <v>8563.4322683202809</v>
      </c>
      <c r="D42" s="366">
        <f>'10. Indices-Forecast'!B31</f>
        <v>2048</v>
      </c>
      <c r="E42" s="367">
        <f t="shared" si="6"/>
        <v>2191.7808219178082</v>
      </c>
      <c r="F42" s="168">
        <f>IF('Supply Porfolio (Live)'!$K$25=$B$45,0,IF(D42='Supply Porfolio (Live)'!$K$25,$F$13*C42,IF(F41&gt;0,F41,0)))</f>
        <v>2157.4700878889521</v>
      </c>
      <c r="G42" s="168">
        <f>IF('Supply Porfolio (Live)'!$K$26=$B$45,0,IF(D42='Supply Porfolio (Live)'!$K$26,$G$13*(C42-$F$13*C42),IF(G41&gt;0,G41,0)))</f>
        <v>3235.7296497163575</v>
      </c>
      <c r="H42" s="168">
        <f>IF('Supply Porfolio (Live)'!$K$27=$B$45,0,IF(D42&gt;='Supply Porfolio (Live)'!$K$27,C42*$H$13-SUM(F42:G42),0))</f>
        <v>3170.2325307149713</v>
      </c>
      <c r="I42" s="168"/>
      <c r="J42" s="366">
        <f t="shared" si="1"/>
        <v>2048</v>
      </c>
      <c r="K42" s="205">
        <f t="shared" si="7"/>
        <v>10755.213090238089</v>
      </c>
      <c r="M42" s="168">
        <f t="shared" si="2"/>
        <v>78082.191780821915</v>
      </c>
      <c r="O42" s="366">
        <f t="shared" si="3"/>
        <v>2048</v>
      </c>
      <c r="P42" s="168">
        <f>IF('Supply Porfolio (Live)'!$N$25=$O$45,0,IF($O42='Supply Porfolio (Live)'!$N$25,$P$13*$M42,IF(P41&gt;0,P41,0)))</f>
        <v>15616.438356164384</v>
      </c>
      <c r="Q42" s="168">
        <f>IF('Supply Porfolio (Live)'!$N$26=$O$45,0,IF($O42='Supply Porfolio (Live)'!$N$26,$P$13*$M42,IF(Q41&gt;0,Q41,0)))</f>
        <v>0</v>
      </c>
      <c r="R42" s="168">
        <f>IF('Supply Porfolio (Live)'!$N$27=$O$45,0,IF($O42='Supply Porfolio (Live)'!$N$27,$P$13*$M42,IF(R41&gt;0,R41,0)))</f>
        <v>0</v>
      </c>
      <c r="S42" s="168">
        <f>IF('Supply Porfolio (Live)'!$N$28=$O$45,0,IF($O42='Supply Porfolio (Live)'!$N$28,$P$13*$M42,IF(S41&gt;0,S41,0)))</f>
        <v>0</v>
      </c>
      <c r="T42" s="168">
        <f>IF('Supply Porfolio (Live)'!$N$29=$O$45,0,IF($O42='Supply Porfolio (Live)'!$N$29,$P$13*$M42,IF(T41&gt;0,T41,0)))</f>
        <v>0</v>
      </c>
      <c r="U42" s="366">
        <f t="shared" si="8"/>
        <v>2048</v>
      </c>
      <c r="V42" s="205">
        <f t="shared" si="9"/>
        <v>15616.438356164384</v>
      </c>
    </row>
    <row r="43" spans="2:22" x14ac:dyDescent="0.25">
      <c r="B43" s="182">
        <f t="shared" si="4"/>
        <v>2049</v>
      </c>
      <c r="C43" s="168">
        <f t="shared" si="5"/>
        <v>8506.5317731509076</v>
      </c>
      <c r="D43" s="366">
        <f>'10. Indices-Forecast'!B32</f>
        <v>2049</v>
      </c>
      <c r="E43" s="367">
        <f t="shared" si="6"/>
        <v>2191.7808219178082</v>
      </c>
      <c r="F43" s="168">
        <f>IF('Supply Porfolio (Live)'!$K$25=$B$45,0,IF(D43='Supply Porfolio (Live)'!$K$25,$F$13*C43,IF(F42&gt;0,F42,0)))</f>
        <v>2157.4700878889521</v>
      </c>
      <c r="G43" s="168">
        <f>IF('Supply Porfolio (Live)'!$K$26=$B$45,0,IF(D43='Supply Porfolio (Live)'!$K$26,$G$13*(C43-$F$13*C43),IF(G42&gt;0,G42,0)))</f>
        <v>3235.7296497163575</v>
      </c>
      <c r="H43" s="168">
        <f>IF('Supply Porfolio (Live)'!$K$27=$B$45,0,IF(D43&gt;='Supply Porfolio (Live)'!$K$27,C43*$H$13-SUM(F43:G43),0))</f>
        <v>3113.332035545598</v>
      </c>
      <c r="I43" s="168"/>
      <c r="J43" s="366">
        <f t="shared" si="1"/>
        <v>2049</v>
      </c>
      <c r="K43" s="205">
        <f t="shared" si="7"/>
        <v>10698.312595068715</v>
      </c>
      <c r="M43" s="168">
        <f t="shared" si="2"/>
        <v>78082.191780821915</v>
      </c>
      <c r="O43" s="366">
        <f t="shared" si="3"/>
        <v>2049</v>
      </c>
      <c r="P43" s="168">
        <f>IF('Supply Porfolio (Live)'!$N$25=$O$45,0,IF($O43='Supply Porfolio (Live)'!$N$25,$P$13*$M43,IF(P42&gt;0,P42,0)))</f>
        <v>15616.438356164384</v>
      </c>
      <c r="Q43" s="168">
        <f>IF('Supply Porfolio (Live)'!$N$26=$O$45,0,IF($O43='Supply Porfolio (Live)'!$N$26,$P$13*$M43,IF(Q42&gt;0,Q42,0)))</f>
        <v>0</v>
      </c>
      <c r="R43" s="168">
        <f>IF('Supply Porfolio (Live)'!$N$27=$O$45,0,IF($O43='Supply Porfolio (Live)'!$N$27,$P$13*$M43,IF(R42&gt;0,R42,0)))</f>
        <v>0</v>
      </c>
      <c r="S43" s="168">
        <f>IF('Supply Porfolio (Live)'!$N$28=$O$45,0,IF($O43='Supply Porfolio (Live)'!$N$28,$P$13*$M43,IF(S42&gt;0,S42,0)))</f>
        <v>0</v>
      </c>
      <c r="T43" s="168">
        <f>IF('Supply Porfolio (Live)'!$N$29=$O$45,0,IF($O43='Supply Porfolio (Live)'!$N$29,$P$13*$M43,IF(T42&gt;0,T42,0)))</f>
        <v>0</v>
      </c>
      <c r="U43" s="366">
        <f t="shared" si="8"/>
        <v>2049</v>
      </c>
      <c r="V43" s="205">
        <f t="shared" si="9"/>
        <v>15616.438356164384</v>
      </c>
    </row>
    <row r="44" spans="2:22" x14ac:dyDescent="0.25">
      <c r="B44" s="182">
        <f t="shared" si="4"/>
        <v>2050</v>
      </c>
      <c r="C44" s="168">
        <f t="shared" si="5"/>
        <v>8451.9230298512084</v>
      </c>
      <c r="D44" s="366">
        <f>'10. Indices-Forecast'!B33</f>
        <v>2050</v>
      </c>
      <c r="E44" s="367">
        <f t="shared" si="6"/>
        <v>2191.7808219178082</v>
      </c>
      <c r="F44" s="168">
        <f>IF('Supply Porfolio (Live)'!$K$25=$B$45,0,IF(D44='Supply Porfolio (Live)'!$K$25,$F$13*C44,IF(F43&gt;0,F43,0)))</f>
        <v>2157.4700878889521</v>
      </c>
      <c r="G44" s="168">
        <f>IF('Supply Porfolio (Live)'!$K$26=$B$45,0,IF(D44='Supply Porfolio (Live)'!$K$26,$G$13*(C44-$F$13*C44),IF(G43&gt;0,G43,0)))</f>
        <v>3235.7296497163575</v>
      </c>
      <c r="H44" s="168">
        <f>IF('Supply Porfolio (Live)'!$K$27=$B$45,0,IF(D44&gt;='Supply Porfolio (Live)'!$K$27,C44*$H$13-SUM(F44:G44),0))</f>
        <v>3058.7232922458988</v>
      </c>
      <c r="I44" s="168"/>
      <c r="J44" s="366">
        <f t="shared" si="1"/>
        <v>2050</v>
      </c>
      <c r="K44" s="205">
        <f t="shared" si="7"/>
        <v>10643.703851769016</v>
      </c>
      <c r="M44" s="168">
        <f t="shared" si="2"/>
        <v>78082.191780821915</v>
      </c>
      <c r="O44" s="366">
        <f t="shared" si="3"/>
        <v>2050</v>
      </c>
      <c r="P44" s="168">
        <f>IF('Supply Porfolio (Live)'!$N$25=$O$45,0,IF($O44='Supply Porfolio (Live)'!$N$25,$P$13*$M44,IF(P43&gt;0,P43,0)))</f>
        <v>15616.438356164384</v>
      </c>
      <c r="Q44" s="168">
        <f>IF('Supply Porfolio (Live)'!$N$26=$O$45,0,IF($O44='Supply Porfolio (Live)'!$N$26,$P$13*$M44,IF(Q43&gt;0,Q43,0)))</f>
        <v>0</v>
      </c>
      <c r="R44" s="168">
        <f>IF('Supply Porfolio (Live)'!$N$27=$O$45,0,IF($O44='Supply Porfolio (Live)'!$N$27,$P$13*$M44,IF(R43&gt;0,R43,0)))</f>
        <v>0</v>
      </c>
      <c r="S44" s="168">
        <f>IF('Supply Porfolio (Live)'!$N$28=$O$45,0,IF($O44='Supply Porfolio (Live)'!$N$28,$P$13*$M44,IF(S43&gt;0,S43,0)))</f>
        <v>0</v>
      </c>
      <c r="T44" s="168">
        <f>IF('Supply Porfolio (Live)'!$N$29=$O$45,0,IF($O44='Supply Porfolio (Live)'!$N$29,$P$13*$M44,IF(T43&gt;0,T43,0)))</f>
        <v>0</v>
      </c>
      <c r="U44" s="366">
        <f t="shared" si="8"/>
        <v>2050</v>
      </c>
      <c r="V44" s="205">
        <f t="shared" si="9"/>
        <v>15616.438356164384</v>
      </c>
    </row>
    <row r="45" spans="2:22" x14ac:dyDescent="0.25">
      <c r="B45" s="114" t="s">
        <v>366</v>
      </c>
      <c r="C45" s="51"/>
      <c r="D45" s="51" t="str">
        <f>B45</f>
        <v>n/a</v>
      </c>
      <c r="F45" s="51">
        <v>0</v>
      </c>
      <c r="G45" s="51">
        <v>0</v>
      </c>
      <c r="H45" s="51">
        <v>0</v>
      </c>
      <c r="O45" s="51" t="s">
        <v>366</v>
      </c>
    </row>
    <row r="48" spans="2:22" x14ac:dyDescent="0.25">
      <c r="E48" s="182">
        <v>2191.7808219178082</v>
      </c>
      <c r="F48" s="182">
        <v>2011.9061030118746</v>
      </c>
      <c r="G48" s="182">
        <v>2045.7103330106636</v>
      </c>
    </row>
    <row r="50" spans="6:7" x14ac:dyDescent="0.25">
      <c r="F50" s="1">
        <f>F48/C19</f>
        <v>0.186506048385634</v>
      </c>
      <c r="G50" s="1">
        <f>G48/C24</f>
        <v>0.20231211424625561</v>
      </c>
    </row>
  </sheetData>
  <mergeCells count="2">
    <mergeCell ref="C12:C13"/>
    <mergeCell ref="M12:M13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986F9-1583-4180-AA9B-593E0076FEC7}">
  <sheetPr codeName="Sheet32"/>
  <dimension ref="E1:AC62"/>
  <sheetViews>
    <sheetView topLeftCell="B1" workbookViewId="0">
      <selection activeCell="I8" sqref="I8"/>
    </sheetView>
  </sheetViews>
  <sheetFormatPr defaultColWidth="9.140625" defaultRowHeight="15" x14ac:dyDescent="0.25"/>
  <cols>
    <col min="1" max="4" width="9.140625" style="1"/>
    <col min="5" max="5" width="17.42578125" style="51" customWidth="1"/>
    <col min="6" max="6" width="13.5703125" style="51" customWidth="1"/>
    <col min="7" max="7" width="13.140625" style="141" customWidth="1"/>
    <col min="8" max="8" width="13.140625" style="1" customWidth="1"/>
    <col min="9" max="9" width="10.140625" style="51" bestFit="1" customWidth="1"/>
    <col min="10" max="10" width="19.85546875" style="51" customWidth="1"/>
    <col min="11" max="11" width="9.140625" style="1"/>
    <col min="12" max="12" width="9.7109375" style="1" customWidth="1"/>
    <col min="13" max="13" width="9.140625" style="1"/>
    <col min="14" max="14" width="11.42578125" style="1" bestFit="1" customWidth="1"/>
    <col min="15" max="20" width="9.140625" style="1"/>
    <col min="21" max="21" width="10.7109375" style="1" customWidth="1"/>
    <col min="22" max="22" width="22" style="1" customWidth="1"/>
    <col min="23" max="25" width="13.140625" style="1" customWidth="1"/>
    <col min="26" max="26" width="6.85546875" style="1" customWidth="1"/>
    <col min="27" max="27" width="10.140625" style="1" customWidth="1"/>
    <col min="28" max="28" width="9" style="1" customWidth="1"/>
    <col min="29" max="16384" width="9.140625" style="1"/>
  </cols>
  <sheetData>
    <row r="1" spans="5:29" x14ac:dyDescent="0.25">
      <c r="E1" s="547" t="s">
        <v>582</v>
      </c>
      <c r="F1" s="547"/>
      <c r="G1" s="368"/>
      <c r="H1" s="552" t="s">
        <v>583</v>
      </c>
      <c r="I1" s="552"/>
      <c r="J1" s="552"/>
      <c r="K1" s="552"/>
      <c r="L1" s="552"/>
      <c r="M1" s="552"/>
      <c r="N1" s="552"/>
      <c r="O1" s="169"/>
      <c r="P1" s="552" t="s">
        <v>584</v>
      </c>
      <c r="Q1" s="552"/>
      <c r="R1" s="552"/>
      <c r="U1" s="132" t="s">
        <v>585</v>
      </c>
      <c r="V1" s="132"/>
      <c r="W1" s="552"/>
      <c r="X1" s="552"/>
      <c r="Y1" s="153"/>
      <c r="Z1" s="369"/>
      <c r="AA1" s="552" t="s">
        <v>586</v>
      </c>
      <c r="AB1" s="552"/>
      <c r="AC1" s="552"/>
    </row>
    <row r="2" spans="5:29" x14ac:dyDescent="0.25">
      <c r="E2" s="51" t="s">
        <v>587</v>
      </c>
      <c r="F2" s="51" t="s">
        <v>28</v>
      </c>
      <c r="G2" s="168"/>
      <c r="H2" s="51" t="s">
        <v>587</v>
      </c>
      <c r="I2" s="51" t="s">
        <v>588</v>
      </c>
      <c r="J2" s="51" t="s">
        <v>589</v>
      </c>
      <c r="K2" s="51" t="s">
        <v>254</v>
      </c>
      <c r="L2" s="51" t="s">
        <v>590</v>
      </c>
      <c r="M2" s="51" t="s">
        <v>591</v>
      </c>
      <c r="N2" s="51" t="s">
        <v>592</v>
      </c>
      <c r="P2" s="51" t="s">
        <v>305</v>
      </c>
      <c r="Q2" s="51" t="s">
        <v>593</v>
      </c>
      <c r="R2" s="1" t="s">
        <v>594</v>
      </c>
      <c r="U2" s="51" t="s">
        <v>587</v>
      </c>
      <c r="V2" s="51" t="s">
        <v>28</v>
      </c>
      <c r="W2" s="51" t="s">
        <v>588</v>
      </c>
      <c r="X2" s="51" t="s">
        <v>591</v>
      </c>
      <c r="Y2" s="51" t="s">
        <v>592</v>
      </c>
      <c r="Z2" s="51"/>
      <c r="AA2" s="51" t="s">
        <v>305</v>
      </c>
      <c r="AB2" s="51" t="s">
        <v>593</v>
      </c>
      <c r="AC2" s="1" t="s">
        <v>594</v>
      </c>
    </row>
    <row r="3" spans="5:29" x14ac:dyDescent="0.25">
      <c r="E3" s="51" t="s">
        <v>595</v>
      </c>
      <c r="F3" s="51" t="s">
        <v>596</v>
      </c>
      <c r="G3" s="168"/>
      <c r="H3" s="51" t="s">
        <v>595</v>
      </c>
      <c r="J3" s="51" t="s">
        <v>597</v>
      </c>
      <c r="K3" s="51">
        <v>-7.4292999999999996</v>
      </c>
      <c r="L3" s="51">
        <v>3.7663000000000002</v>
      </c>
      <c r="M3" s="51" t="s">
        <v>596</v>
      </c>
      <c r="N3" s="51" t="s">
        <v>596</v>
      </c>
      <c r="R3" s="1" t="s">
        <v>598</v>
      </c>
      <c r="U3" s="51" t="s">
        <v>595</v>
      </c>
      <c r="V3" s="51" t="s">
        <v>596</v>
      </c>
      <c r="W3" s="51"/>
      <c r="X3" s="51" t="s">
        <v>596</v>
      </c>
      <c r="Y3" s="51" t="s">
        <v>596</v>
      </c>
      <c r="Z3" s="51"/>
      <c r="AC3" s="1" t="s">
        <v>598</v>
      </c>
    </row>
    <row r="4" spans="5:29" x14ac:dyDescent="0.25">
      <c r="E4" s="277">
        <v>29.007633587786199</v>
      </c>
      <c r="F4" s="277">
        <v>7.0699000463919699</v>
      </c>
      <c r="G4" s="168"/>
      <c r="H4" s="178">
        <v>1E-3</v>
      </c>
      <c r="J4" s="51" t="s">
        <v>595</v>
      </c>
      <c r="M4" s="370">
        <v>43800</v>
      </c>
      <c r="N4" s="370">
        <v>44713</v>
      </c>
      <c r="U4" s="173">
        <v>25.532270533419702</v>
      </c>
      <c r="V4" s="173">
        <v>6.7030567685589499</v>
      </c>
      <c r="X4" s="370">
        <v>43800</v>
      </c>
      <c r="Y4" s="370">
        <v>44713</v>
      </c>
      <c r="Z4" s="173"/>
    </row>
    <row r="5" spans="5:29" x14ac:dyDescent="0.25">
      <c r="E5" s="277">
        <v>74.045801526717497</v>
      </c>
      <c r="F5" s="277">
        <v>9.2216102231032</v>
      </c>
      <c r="G5" s="168">
        <v>1</v>
      </c>
      <c r="H5" s="168">
        <f>H4+(MAX($E$4:$E$41)-0)/30</f>
        <v>28.397946564885501</v>
      </c>
      <c r="I5" s="371">
        <v>0</v>
      </c>
      <c r="J5" s="168">
        <f>PERCENTILE($H$5:$H$34,I5)</f>
        <v>28.397946564885501</v>
      </c>
      <c r="M5" s="173">
        <f>$K$3+$L$3*LN(J5)</f>
        <v>5.1739331088416805</v>
      </c>
      <c r="N5" s="173">
        <f>M5*VLOOKUP($N$4,'9. Indices-Hist'!$B$5:$C$64,2)/VLOOKUP($M$4,'9. Indices-Hist'!$B$5:$C$64,2)</f>
        <v>7.2918397275006477</v>
      </c>
      <c r="P5" s="275">
        <v>0</v>
      </c>
      <c r="Q5" s="372">
        <f>N5</f>
        <v>7.2918397275006477</v>
      </c>
      <c r="U5" s="173">
        <v>49.507950105513999</v>
      </c>
      <c r="V5" s="173">
        <v>6.9213973799126602</v>
      </c>
      <c r="W5" s="173"/>
      <c r="X5" s="173"/>
      <c r="Y5" s="173"/>
      <c r="Z5" s="173"/>
      <c r="AA5" s="275"/>
      <c r="AB5" s="372"/>
    </row>
    <row r="6" spans="5:29" x14ac:dyDescent="0.25">
      <c r="E6" s="277">
        <v>87.786259541984705</v>
      </c>
      <c r="F6" s="277">
        <v>9.4195942811353301</v>
      </c>
      <c r="G6" s="168">
        <f t="shared" ref="G6:G34" si="0">G5+1</f>
        <v>2</v>
      </c>
      <c r="H6" s="168">
        <f>H5+(MAX($E$4:$E$62)-0)/30</f>
        <v>56.794893129770998</v>
      </c>
      <c r="I6" s="371">
        <v>0.2</v>
      </c>
      <c r="J6" s="168">
        <f>PERCENTILE($H$5:$H$34,I6)</f>
        <v>193.10023664122139</v>
      </c>
      <c r="M6" s="173">
        <f>$K$3+$L$3*LN(J6)</f>
        <v>12.393525619409692</v>
      </c>
      <c r="N6" s="173">
        <f>M6*VLOOKUP($N$4,'9. Indices-Hist'!$B$5:$C$64,2)/VLOOKUP($M$4,'9. Indices-Hist'!$B$5:$C$64,2)</f>
        <v>17.466712571326749</v>
      </c>
      <c r="P6" s="374">
        <f>I6</f>
        <v>0.2</v>
      </c>
      <c r="Q6" s="372">
        <f>N6</f>
        <v>17.466712571326749</v>
      </c>
      <c r="R6" s="375">
        <f>Q6*(1+'5. LNG- ISO_Expansion'!$K$6)</f>
        <v>23.090994019293959</v>
      </c>
      <c r="U6" s="173">
        <v>63.9873801216022</v>
      </c>
      <c r="V6" s="173">
        <v>7.4454148471615698</v>
      </c>
      <c r="W6" s="373">
        <v>0.2</v>
      </c>
      <c r="X6" s="173">
        <v>17.3</v>
      </c>
      <c r="Y6" s="173">
        <f>X6*VLOOKUP($Y$4,'9. Indices-Hist'!$B$5:$C$64,2)/VLOOKUP($X$4,'9. Indices-Hist'!$B$5:$C$64,2)</f>
        <v>24.381611557788947</v>
      </c>
      <c r="Z6" s="173"/>
      <c r="AA6" s="376">
        <v>0.2</v>
      </c>
      <c r="AB6" s="372">
        <f>Y6</f>
        <v>24.381611557788947</v>
      </c>
      <c r="AC6" s="377">
        <f>AB6*(1+'5. LNG- ISO_Expansion'!$K$6)</f>
        <v>32.232490479396986</v>
      </c>
    </row>
    <row r="7" spans="5:29" x14ac:dyDescent="0.25">
      <c r="E7" s="277">
        <v>168.702290076335</v>
      </c>
      <c r="F7" s="277">
        <v>11.3037324448568</v>
      </c>
      <c r="G7" s="168">
        <f t="shared" si="0"/>
        <v>3</v>
      </c>
      <c r="H7" s="168">
        <f>H6+(MAX($E$4:$E$62)-0)/30</f>
        <v>85.191839694656494</v>
      </c>
      <c r="I7" s="371">
        <v>0.4</v>
      </c>
      <c r="J7" s="168">
        <f>PERCENTILE($H$5:$H$34,I7)</f>
        <v>357.80252671755738</v>
      </c>
      <c r="M7" s="173">
        <f>$K$3+$L$3*LN(J7)</f>
        <v>14.716473317339846</v>
      </c>
      <c r="N7" s="173">
        <f>M7*VLOOKUP($N$4,'9. Indices-Hist'!$B$5:$C$64,2)/VLOOKUP($M$4,'9. Indices-Hist'!$B$5:$C$64,2)</f>
        <v>20.740539648782992</v>
      </c>
      <c r="P7" s="378">
        <f>I7</f>
        <v>0.4</v>
      </c>
      <c r="Q7" s="372">
        <f>N7</f>
        <v>20.740539648782992</v>
      </c>
      <c r="R7" s="379">
        <f>Q7*(1+'5. LNG- ISO_Expansion'!$K$6)</f>
        <v>27.418993415691112</v>
      </c>
      <c r="U7" s="173">
        <v>80.9322830697228</v>
      </c>
      <c r="V7" s="173">
        <v>8.2751091703056794</v>
      </c>
      <c r="W7" s="373">
        <v>0.4</v>
      </c>
      <c r="X7" s="173">
        <f>X6+($X$10-$X$6)/(COUNT($W$6:$W$10)-1)</f>
        <v>24.025000000000002</v>
      </c>
      <c r="Y7" s="173">
        <f>X7*VLOOKUP($Y$4,'9. Indices-Hist'!$B$5:$C$64,2)/VLOOKUP($X$4,'9. Indices-Hist'!$B$5:$C$64,2)</f>
        <v>33.859434547738701</v>
      </c>
      <c r="Z7" s="173"/>
      <c r="AA7" s="380">
        <v>0.4</v>
      </c>
      <c r="AB7" s="372">
        <f>Y7</f>
        <v>33.859434547738701</v>
      </c>
      <c r="AC7" s="381">
        <f>AB7*(1+'5. LNG- ISO_Expansion'!$K$6)</f>
        <v>44.762172472110556</v>
      </c>
    </row>
    <row r="8" spans="5:29" x14ac:dyDescent="0.25">
      <c r="E8" s="277">
        <v>176.335877862595</v>
      </c>
      <c r="F8" s="277">
        <v>11.701016405887501</v>
      </c>
      <c r="G8" s="168">
        <f t="shared" si="0"/>
        <v>4</v>
      </c>
      <c r="H8" s="168">
        <f>H7+(MAX($E$4:$E$62)-0)/30</f>
        <v>113.58878625954199</v>
      </c>
      <c r="I8" s="371">
        <v>1</v>
      </c>
      <c r="J8" s="168">
        <f>PERCENTILE($H$5:$H$34,I8)</f>
        <v>851.90939694656549</v>
      </c>
      <c r="M8" s="173">
        <f>$K$3+$L$3*LN(J8)</f>
        <v>17.983734600286752</v>
      </c>
      <c r="N8" s="173">
        <f>M8*VLOOKUP($N$4,'9. Indices-Hist'!$B$5:$C$64,2)/VLOOKUP($M$4,'9. Indices-Hist'!$B$5:$C$64,2)</f>
        <v>25.345227247546845</v>
      </c>
      <c r="P8" s="382">
        <f>I8</f>
        <v>1</v>
      </c>
      <c r="Q8" s="372">
        <f>N8</f>
        <v>25.345227247546845</v>
      </c>
      <c r="R8" s="383">
        <f>Q8*(1+'5. LNG- ISO_Expansion'!$K$6)</f>
        <v>33.506390421256924</v>
      </c>
      <c r="U8" s="173">
        <v>100.279977434654</v>
      </c>
      <c r="V8" s="173">
        <v>9.1484716157205206</v>
      </c>
      <c r="W8" s="373">
        <v>0.6</v>
      </c>
      <c r="X8" s="173">
        <f>X7+($X$10-$X$6)/(COUNT($W$6:$W$10)-1)</f>
        <v>30.750000000000004</v>
      </c>
      <c r="Y8" s="173">
        <f>X8*VLOOKUP($Y$4,'9. Indices-Hist'!$B$5:$C$64,2)/VLOOKUP($X$4,'9. Indices-Hist'!$B$5:$C$64,2)</f>
        <v>43.337257537688444</v>
      </c>
      <c r="Z8" s="173"/>
      <c r="AA8" s="380">
        <v>0.6</v>
      </c>
      <c r="AB8" s="372">
        <f>Y8</f>
        <v>43.337257537688444</v>
      </c>
      <c r="AC8" s="381">
        <f>AB8*(1+'5. LNG- ISO_Expansion'!$K$6)</f>
        <v>57.291854464824119</v>
      </c>
    </row>
    <row r="9" spans="5:29" x14ac:dyDescent="0.25">
      <c r="E9" s="277">
        <v>182.44274809160299</v>
      </c>
      <c r="F9" s="277">
        <v>12.363594955927599</v>
      </c>
      <c r="G9" s="168">
        <f t="shared" si="0"/>
        <v>5</v>
      </c>
      <c r="H9" s="168">
        <f>H8+(MAX($E$4:$E$62)-0)/30</f>
        <v>141.98573282442749</v>
      </c>
      <c r="I9" s="373">
        <v>1</v>
      </c>
      <c r="J9" s="168">
        <f>PERCENTILE($H$5:$H$34,I9)</f>
        <v>851.90939694656549</v>
      </c>
      <c r="M9" s="173">
        <f>$K$3+$L$3*LN(J9)</f>
        <v>17.983734600286752</v>
      </c>
      <c r="N9" s="173">
        <f>M9*VLOOKUP($N$4,'9. Indices-Hist'!$B$5:$C$64,2)/VLOOKUP($M$4,'9. Indices-Hist'!$B$5:$C$64,2)</f>
        <v>25.345227247546845</v>
      </c>
      <c r="U9" s="173">
        <v>114.71761977392801</v>
      </c>
      <c r="V9" s="173">
        <v>9.4978165938864603</v>
      </c>
      <c r="W9" s="373">
        <v>0.8</v>
      </c>
      <c r="X9" s="173">
        <f>X8+($X$10-$X$6)/(COUNT($W$6:$W$10)-1)</f>
        <v>37.475000000000001</v>
      </c>
      <c r="Y9" s="173">
        <f>X9*VLOOKUP($Y$4,'9. Indices-Hist'!$B$5:$C$64,2)/VLOOKUP($X$4,'9. Indices-Hist'!$B$5:$C$64,2)</f>
        <v>52.815080527638194</v>
      </c>
      <c r="Z9" s="173"/>
      <c r="AA9" s="380">
        <v>0.8</v>
      </c>
      <c r="AB9" s="372">
        <f>Y9</f>
        <v>52.815080527638194</v>
      </c>
      <c r="AC9" s="381">
        <f>AB9*(1+'5. LNG- ISO_Expansion'!$K$6)</f>
        <v>69.82153645753769</v>
      </c>
    </row>
    <row r="10" spans="5:29" x14ac:dyDescent="0.25">
      <c r="E10" s="277">
        <v>193.12977099236599</v>
      </c>
      <c r="F10" s="277">
        <v>12.760676479271201</v>
      </c>
      <c r="G10" s="168">
        <f t="shared" si="0"/>
        <v>6</v>
      </c>
      <c r="H10" s="168">
        <f t="shared" ref="H10:H34" si="1">H9+(MAX($E$4:$E$62)-0)/30</f>
        <v>170.38267938931298</v>
      </c>
      <c r="I10" s="373"/>
      <c r="J10" s="372"/>
      <c r="M10" s="173"/>
      <c r="N10" s="173"/>
      <c r="U10" s="173">
        <v>148.398487286099</v>
      </c>
      <c r="V10" s="173">
        <v>10.283842794759799</v>
      </c>
      <c r="W10" s="373">
        <v>1</v>
      </c>
      <c r="X10" s="173">
        <v>44.2</v>
      </c>
      <c r="Y10" s="173">
        <f>X10*VLOOKUP($Y$4,'9. Indices-Hist'!$B$5:$C$64,2)/VLOOKUP($X$4,'9. Indices-Hist'!$B$5:$C$64,2)</f>
        <v>62.292903517587938</v>
      </c>
      <c r="Z10" s="173"/>
      <c r="AA10" s="384">
        <v>1</v>
      </c>
      <c r="AB10" s="372">
        <f>Y10</f>
        <v>62.292903517587938</v>
      </c>
      <c r="AC10" s="385">
        <f>AB10*(1+'5. LNG- ISO_Expansion'!$K$6)</f>
        <v>82.351218450251238</v>
      </c>
    </row>
    <row r="11" spans="5:29" x14ac:dyDescent="0.25">
      <c r="E11" s="277">
        <v>209.92366412213701</v>
      </c>
      <c r="F11" s="277">
        <v>12.8258614145333</v>
      </c>
      <c r="G11" s="168">
        <f t="shared" si="0"/>
        <v>7</v>
      </c>
      <c r="H11" s="168">
        <f t="shared" si="1"/>
        <v>198.77962595419848</v>
      </c>
      <c r="U11" s="173">
        <v>174.87098054783601</v>
      </c>
      <c r="V11" s="173">
        <v>10.9388646288209</v>
      </c>
      <c r="W11" s="173"/>
      <c r="X11" s="173"/>
      <c r="Y11" s="173"/>
      <c r="Z11" s="173"/>
    </row>
    <row r="12" spans="5:29" x14ac:dyDescent="0.25">
      <c r="E12" s="277">
        <v>253.43511450381601</v>
      </c>
      <c r="F12" s="277">
        <v>12.8892750200328</v>
      </c>
      <c r="G12" s="168">
        <f t="shared" si="0"/>
        <v>8</v>
      </c>
      <c r="H12" s="168">
        <f t="shared" si="1"/>
        <v>227.17657251908398</v>
      </c>
      <c r="I12" s="277"/>
      <c r="J12" s="277"/>
      <c r="U12" s="173">
        <v>201.33302689037001</v>
      </c>
      <c r="V12" s="173">
        <v>11.5502183406113</v>
      </c>
      <c r="W12" s="173"/>
      <c r="X12" s="173"/>
      <c r="Y12" s="173"/>
      <c r="Z12" s="173"/>
    </row>
    <row r="13" spans="5:29" x14ac:dyDescent="0.25">
      <c r="E13" s="277">
        <v>290.07633587786199</v>
      </c>
      <c r="F13" s="277">
        <v>12.9531441103285</v>
      </c>
      <c r="G13" s="168">
        <f t="shared" si="0"/>
        <v>9</v>
      </c>
      <c r="H13" s="168">
        <f t="shared" si="1"/>
        <v>255.57351908396947</v>
      </c>
      <c r="I13" s="277"/>
      <c r="J13" s="277"/>
      <c r="U13" s="173">
        <v>211.04866174964999</v>
      </c>
      <c r="V13" s="173">
        <v>12.1615720524017</v>
      </c>
      <c r="W13" s="173"/>
      <c r="X13" s="173"/>
      <c r="Y13" s="173"/>
      <c r="Z13" s="173"/>
    </row>
    <row r="14" spans="5:29" x14ac:dyDescent="0.25">
      <c r="E14" s="277">
        <v>291.60305343511402</v>
      </c>
      <c r="F14" s="277">
        <v>13.0856395765678</v>
      </c>
      <c r="G14" s="168">
        <f t="shared" si="0"/>
        <v>10</v>
      </c>
      <c r="H14" s="168">
        <f t="shared" si="1"/>
        <v>283.970465648855</v>
      </c>
      <c r="I14" s="277"/>
      <c r="J14" s="277"/>
      <c r="U14" s="173">
        <v>223.15664110653699</v>
      </c>
      <c r="V14" s="173">
        <v>12.772925764192101</v>
      </c>
      <c r="W14" s="173"/>
      <c r="X14" s="173"/>
      <c r="Y14" s="173"/>
      <c r="Z14" s="173"/>
    </row>
    <row r="15" spans="5:29" x14ac:dyDescent="0.25">
      <c r="E15" s="277">
        <v>319.84732824427402</v>
      </c>
      <c r="F15" s="277">
        <v>13.547855425751701</v>
      </c>
      <c r="G15" s="168">
        <f t="shared" si="0"/>
        <v>11</v>
      </c>
      <c r="H15" s="168">
        <f t="shared" si="1"/>
        <v>312.36741221374052</v>
      </c>
      <c r="I15" s="277"/>
      <c r="J15" s="277"/>
      <c r="U15" s="173">
        <v>249.49332441862899</v>
      </c>
      <c r="V15" s="173">
        <v>12.860262008733599</v>
      </c>
      <c r="W15" s="173"/>
      <c r="X15" s="173"/>
      <c r="Y15" s="173"/>
      <c r="Z15" s="173"/>
    </row>
    <row r="16" spans="5:29" x14ac:dyDescent="0.25">
      <c r="E16" s="277">
        <v>320.61068702289998</v>
      </c>
      <c r="F16" s="277">
        <v>13.779849015224899</v>
      </c>
      <c r="G16" s="168">
        <f t="shared" si="0"/>
        <v>12</v>
      </c>
      <c r="H16" s="168">
        <f t="shared" si="1"/>
        <v>340.76435877862605</v>
      </c>
      <c r="I16" s="277"/>
      <c r="J16" s="277"/>
      <c r="U16" s="173">
        <v>280.60424980673201</v>
      </c>
      <c r="V16" s="173">
        <v>12.9039301310043</v>
      </c>
      <c r="W16" s="173"/>
      <c r="X16" s="173"/>
      <c r="Y16" s="173"/>
      <c r="Z16" s="173"/>
    </row>
    <row r="17" spans="5:26" x14ac:dyDescent="0.25">
      <c r="E17" s="277">
        <v>364.88549618320599</v>
      </c>
      <c r="F17" s="277">
        <v>13.975808696385601</v>
      </c>
      <c r="G17" s="168">
        <f t="shared" si="0"/>
        <v>13</v>
      </c>
      <c r="H17" s="168">
        <f t="shared" si="1"/>
        <v>369.16130534351157</v>
      </c>
      <c r="I17" s="277"/>
      <c r="J17" s="277"/>
      <c r="U17" s="173">
        <v>326.079689099684</v>
      </c>
      <c r="V17" s="173">
        <v>12.9912663755458</v>
      </c>
      <c r="W17" s="173"/>
      <c r="X17" s="173"/>
      <c r="Y17" s="173"/>
      <c r="Z17" s="173"/>
    </row>
    <row r="18" spans="5:26" x14ac:dyDescent="0.25">
      <c r="E18" s="277">
        <v>369.46564885496099</v>
      </c>
      <c r="F18" s="277">
        <v>14.141250896208501</v>
      </c>
      <c r="G18" s="168">
        <f t="shared" si="0"/>
        <v>14</v>
      </c>
      <c r="H18" s="168">
        <f t="shared" si="1"/>
        <v>397.5582519083971</v>
      </c>
      <c r="I18" s="277"/>
      <c r="J18" s="277"/>
      <c r="U18" s="173">
        <v>345.28112659576698</v>
      </c>
      <c r="V18" s="173">
        <v>13.2532751091703</v>
      </c>
      <c r="W18" s="173"/>
      <c r="X18" s="173"/>
      <c r="Y18" s="173"/>
      <c r="Z18" s="173"/>
    </row>
    <row r="19" spans="5:26" x14ac:dyDescent="0.25">
      <c r="E19" s="277">
        <v>393.893129770992</v>
      </c>
      <c r="F19" s="277">
        <v>14.437973936147699</v>
      </c>
      <c r="G19" s="168">
        <f t="shared" si="0"/>
        <v>15</v>
      </c>
      <c r="H19" s="168">
        <f t="shared" si="1"/>
        <v>425.95519847328262</v>
      </c>
      <c r="I19" s="277"/>
      <c r="J19" s="277"/>
      <c r="U19" s="173">
        <v>364.50345793025599</v>
      </c>
      <c r="V19" s="173">
        <v>13.6026200873362</v>
      </c>
      <c r="W19" s="173"/>
      <c r="X19" s="173"/>
      <c r="Y19" s="173"/>
      <c r="Z19" s="173"/>
    </row>
    <row r="20" spans="5:26" x14ac:dyDescent="0.25">
      <c r="E20" s="277">
        <v>396.18320610686999</v>
      </c>
      <c r="F20" s="277">
        <v>14.6367171355067</v>
      </c>
      <c r="G20" s="168">
        <f t="shared" si="0"/>
        <v>16</v>
      </c>
      <c r="H20" s="168">
        <f t="shared" si="1"/>
        <v>454.35214503816815</v>
      </c>
      <c r="I20" s="277"/>
      <c r="J20" s="277"/>
      <c r="U20" s="173">
        <v>374.145964355111</v>
      </c>
      <c r="V20" s="173">
        <v>13.908296943231401</v>
      </c>
      <c r="W20" s="173"/>
      <c r="X20" s="173"/>
      <c r="Y20" s="173"/>
      <c r="Z20" s="173"/>
    </row>
    <row r="21" spans="5:26" x14ac:dyDescent="0.25">
      <c r="E21" s="277">
        <v>440.45801526717503</v>
      </c>
      <c r="F21" s="277">
        <v>14.865825987938001</v>
      </c>
      <c r="G21" s="168">
        <f t="shared" si="0"/>
        <v>17</v>
      </c>
      <c r="H21" s="168">
        <f t="shared" si="1"/>
        <v>482.74909160305367</v>
      </c>
      <c r="I21" s="277"/>
      <c r="J21" s="277"/>
      <c r="U21" s="173">
        <v>410.06247257683702</v>
      </c>
      <c r="V21" s="173">
        <v>14.0393013100436</v>
      </c>
      <c r="W21" s="173"/>
      <c r="X21" s="173"/>
      <c r="Y21" s="173"/>
      <c r="Z21" s="173"/>
    </row>
    <row r="22" spans="5:26" x14ac:dyDescent="0.25">
      <c r="E22" s="277">
        <v>449.61832061068702</v>
      </c>
      <c r="F22" s="277">
        <v>15.0972628737716</v>
      </c>
      <c r="G22" s="168">
        <f t="shared" si="0"/>
        <v>18</v>
      </c>
      <c r="H22" s="168">
        <f t="shared" si="1"/>
        <v>511.1460381679392</v>
      </c>
      <c r="I22" s="277"/>
      <c r="J22" s="277"/>
      <c r="U22" s="173">
        <v>441.27786715697499</v>
      </c>
      <c r="V22" s="173">
        <v>14.519650655021801</v>
      </c>
      <c r="W22" s="173"/>
      <c r="X22" s="173"/>
      <c r="Y22" s="173"/>
      <c r="Z22" s="173"/>
    </row>
    <row r="23" spans="5:26" x14ac:dyDescent="0.25">
      <c r="E23" s="277">
        <v>461.06870229007598</v>
      </c>
      <c r="F23" s="277">
        <v>15.2953987600691</v>
      </c>
      <c r="G23" s="168">
        <f t="shared" si="0"/>
        <v>19</v>
      </c>
      <c r="H23" s="168">
        <f t="shared" si="1"/>
        <v>539.54298473282472</v>
      </c>
      <c r="I23" s="277"/>
      <c r="J23" s="277"/>
      <c r="U23" s="173">
        <v>453.33361191784502</v>
      </c>
      <c r="V23" s="173">
        <v>14.9126637554585</v>
      </c>
      <c r="W23" s="173"/>
      <c r="X23" s="173"/>
      <c r="Y23" s="173"/>
      <c r="Z23" s="173"/>
    </row>
    <row r="24" spans="5:26" x14ac:dyDescent="0.25">
      <c r="E24" s="277">
        <v>474.80916030534303</v>
      </c>
      <c r="F24" s="277">
        <v>15.3939353042891</v>
      </c>
      <c r="G24" s="168">
        <f t="shared" si="0"/>
        <v>20</v>
      </c>
      <c r="H24" s="168">
        <f t="shared" si="1"/>
        <v>567.93993129771025</v>
      </c>
      <c r="I24" s="277"/>
      <c r="J24" s="277"/>
      <c r="U24" s="173">
        <v>498.79860429159402</v>
      </c>
      <c r="V24" s="173">
        <v>14.9563318777292</v>
      </c>
      <c r="W24" s="173"/>
      <c r="X24" s="173"/>
      <c r="Y24" s="173"/>
      <c r="Z24" s="173"/>
    </row>
    <row r="25" spans="5:26" x14ac:dyDescent="0.25">
      <c r="E25" s="277">
        <v>480.91603053435102</v>
      </c>
      <c r="F25" s="277">
        <v>15.758171312892699</v>
      </c>
      <c r="G25" s="168">
        <f t="shared" si="0"/>
        <v>21</v>
      </c>
      <c r="H25" s="168">
        <f t="shared" si="1"/>
        <v>596.33687786259577</v>
      </c>
      <c r="I25" s="277"/>
      <c r="J25" s="277"/>
      <c r="U25" s="173">
        <v>510.85434905246399</v>
      </c>
      <c r="V25" s="173">
        <v>15.349344978165901</v>
      </c>
      <c r="W25" s="173"/>
      <c r="X25" s="173"/>
      <c r="Y25" s="173"/>
      <c r="Z25" s="173"/>
    </row>
    <row r="26" spans="5:26" x14ac:dyDescent="0.25">
      <c r="E26" s="277">
        <v>489.31297709923598</v>
      </c>
      <c r="F26" s="277">
        <v>15.757614609253</v>
      </c>
      <c r="G26" s="168">
        <f t="shared" si="0"/>
        <v>22</v>
      </c>
      <c r="H26" s="168">
        <f t="shared" si="1"/>
        <v>624.7338244274813</v>
      </c>
      <c r="I26" s="277"/>
      <c r="J26" s="277"/>
      <c r="U26" s="173">
        <v>530.09757422536097</v>
      </c>
      <c r="V26" s="173">
        <v>15.7860262008733</v>
      </c>
      <c r="W26" s="173"/>
      <c r="X26" s="173"/>
      <c r="Y26" s="173"/>
      <c r="Z26" s="173"/>
    </row>
    <row r="27" spans="5:26" x14ac:dyDescent="0.25">
      <c r="E27" s="277">
        <v>513.740458015267</v>
      </c>
      <c r="F27" s="277">
        <v>16.220083505545901</v>
      </c>
      <c r="G27" s="168">
        <f t="shared" si="0"/>
        <v>23</v>
      </c>
      <c r="H27" s="168">
        <f t="shared" si="1"/>
        <v>653.13077099236682</v>
      </c>
      <c r="I27" s="277"/>
      <c r="J27" s="277"/>
      <c r="U27" s="173">
        <v>563.71576022231</v>
      </c>
      <c r="V27" s="173">
        <v>16.310043668122201</v>
      </c>
      <c r="W27" s="173"/>
      <c r="X27" s="173"/>
      <c r="Y27" s="173"/>
      <c r="Z27" s="173"/>
    </row>
    <row r="28" spans="5:26" x14ac:dyDescent="0.25">
      <c r="E28" s="277">
        <v>525.95419847328196</v>
      </c>
      <c r="F28" s="277">
        <v>16.418168782421599</v>
      </c>
      <c r="G28" s="168">
        <f t="shared" si="0"/>
        <v>24</v>
      </c>
      <c r="H28" s="168">
        <f t="shared" si="1"/>
        <v>681.52771755725234</v>
      </c>
      <c r="I28" s="277"/>
      <c r="J28" s="277"/>
      <c r="U28" s="173">
        <v>599.65316228244296</v>
      </c>
      <c r="V28" s="173">
        <v>16.528384279475901</v>
      </c>
      <c r="W28" s="173"/>
      <c r="X28" s="173"/>
      <c r="Y28" s="173"/>
      <c r="Z28" s="173"/>
    </row>
    <row r="29" spans="5:26" x14ac:dyDescent="0.25">
      <c r="E29" s="277">
        <v>665.64885496183194</v>
      </c>
      <c r="F29" s="277">
        <v>16.740398970941701</v>
      </c>
      <c r="G29" s="168">
        <f t="shared" si="0"/>
        <v>25</v>
      </c>
      <c r="H29" s="168">
        <f t="shared" si="1"/>
        <v>709.92466412213787</v>
      </c>
      <c r="I29" s="277"/>
      <c r="J29" s="277"/>
      <c r="U29" s="173">
        <v>649.91329057061</v>
      </c>
      <c r="V29" s="173">
        <v>16.615720524017402</v>
      </c>
      <c r="W29" s="173"/>
      <c r="X29" s="173"/>
      <c r="Y29" s="173"/>
      <c r="Z29" s="173"/>
    </row>
    <row r="30" spans="5:26" x14ac:dyDescent="0.25">
      <c r="E30" s="277">
        <v>668.70229007633498</v>
      </c>
      <c r="F30" s="277">
        <v>17.038539074690998</v>
      </c>
      <c r="G30" s="168">
        <f t="shared" si="0"/>
        <v>26</v>
      </c>
      <c r="H30" s="168">
        <f t="shared" si="1"/>
        <v>738.32161068702339</v>
      </c>
      <c r="I30" s="277"/>
      <c r="J30" s="277"/>
      <c r="U30" s="173">
        <v>707.36089927080502</v>
      </c>
      <c r="V30" s="173">
        <v>16.746724890829601</v>
      </c>
      <c r="W30" s="173"/>
      <c r="X30" s="173"/>
      <c r="Y30" s="173"/>
      <c r="Z30" s="173"/>
    </row>
    <row r="31" spans="5:26" x14ac:dyDescent="0.25">
      <c r="E31" s="277">
        <v>674.80916030534297</v>
      </c>
      <c r="F31" s="277">
        <v>17.4027750832946</v>
      </c>
      <c r="G31" s="168">
        <f t="shared" si="0"/>
        <v>27</v>
      </c>
      <c r="H31" s="168">
        <f t="shared" si="1"/>
        <v>766.71855725190892</v>
      </c>
      <c r="I31" s="277"/>
      <c r="J31" s="277"/>
      <c r="U31" s="173">
        <v>719.37485635485996</v>
      </c>
      <c r="V31" s="173">
        <v>16.9650655021834</v>
      </c>
      <c r="W31" s="173"/>
      <c r="X31" s="173"/>
      <c r="Y31" s="173"/>
      <c r="Z31" s="173"/>
    </row>
    <row r="32" spans="5:26" x14ac:dyDescent="0.25">
      <c r="E32" s="277">
        <v>700</v>
      </c>
      <c r="F32" s="277">
        <v>17.434254143646399</v>
      </c>
      <c r="G32" s="168">
        <f t="shared" si="0"/>
        <v>28</v>
      </c>
      <c r="H32" s="168">
        <f t="shared" si="1"/>
        <v>795.11550381679444</v>
      </c>
      <c r="I32" s="277"/>
      <c r="J32" s="277"/>
      <c r="U32" s="173">
        <v>726.67725287812596</v>
      </c>
      <c r="V32" s="173">
        <v>17.4890829694323</v>
      </c>
      <c r="W32" s="173"/>
      <c r="X32" s="173"/>
      <c r="Y32" s="173"/>
      <c r="Z32" s="173"/>
    </row>
    <row r="33" spans="5:26" x14ac:dyDescent="0.25">
      <c r="E33" s="277">
        <v>729.77099236641197</v>
      </c>
      <c r="F33" s="277">
        <v>17.5648770612795</v>
      </c>
      <c r="G33" s="168">
        <f t="shared" si="0"/>
        <v>29</v>
      </c>
      <c r="H33" s="168">
        <f t="shared" si="1"/>
        <v>823.51245038167997</v>
      </c>
      <c r="I33" s="277"/>
      <c r="J33" s="277"/>
      <c r="U33" s="173">
        <v>757.78817826622901</v>
      </c>
      <c r="V33" s="173">
        <v>17.532751091702998</v>
      </c>
      <c r="W33" s="173"/>
      <c r="X33" s="173"/>
      <c r="Y33" s="173"/>
      <c r="Z33" s="173"/>
    </row>
    <row r="34" spans="5:26" x14ac:dyDescent="0.25">
      <c r="E34" s="277">
        <v>742.74809160305301</v>
      </c>
      <c r="F34" s="277">
        <v>17.5971658723799</v>
      </c>
      <c r="G34" s="168">
        <f t="shared" si="0"/>
        <v>30</v>
      </c>
      <c r="H34" s="168">
        <f t="shared" si="1"/>
        <v>851.90939694656549</v>
      </c>
      <c r="I34" s="277"/>
      <c r="J34" s="277"/>
      <c r="U34" s="173">
        <v>798.49982240237296</v>
      </c>
      <c r="V34" s="173">
        <v>17.707423580785999</v>
      </c>
      <c r="W34" s="173"/>
      <c r="X34" s="173"/>
      <c r="Y34" s="173"/>
      <c r="Z34" s="173"/>
    </row>
    <row r="35" spans="5:26" x14ac:dyDescent="0.25">
      <c r="E35" s="277">
        <v>758.77862595419799</v>
      </c>
      <c r="F35" s="277">
        <v>17.596103074522301</v>
      </c>
      <c r="G35" s="168"/>
      <c r="H35" s="168"/>
      <c r="I35" s="277"/>
      <c r="J35" s="277"/>
      <c r="U35" s="173">
        <v>860.79480161300398</v>
      </c>
      <c r="V35" s="173">
        <v>18.1004366812227</v>
      </c>
      <c r="W35" s="173"/>
      <c r="X35" s="173"/>
      <c r="Y35" s="173"/>
      <c r="Z35" s="173"/>
    </row>
    <row r="36" spans="5:26" x14ac:dyDescent="0.25">
      <c r="E36" s="277">
        <v>764.12213740458003</v>
      </c>
      <c r="F36" s="277">
        <v>18.026688035089101</v>
      </c>
      <c r="G36" s="168"/>
      <c r="H36" s="168"/>
      <c r="I36" s="277"/>
      <c r="J36" s="277"/>
      <c r="U36" s="173">
        <v>911.06537682037504</v>
      </c>
      <c r="V36" s="173">
        <v>18.231441048034899</v>
      </c>
      <c r="W36" s="173"/>
      <c r="X36" s="173"/>
      <c r="Y36" s="173"/>
      <c r="Z36" s="173"/>
    </row>
    <row r="37" spans="5:26" x14ac:dyDescent="0.25">
      <c r="E37" s="277">
        <v>766.41221374045801</v>
      </c>
      <c r="F37" s="277">
        <v>18.5569229471553</v>
      </c>
      <c r="G37" s="168"/>
      <c r="H37" s="168"/>
      <c r="I37" s="277"/>
      <c r="J37" s="277"/>
      <c r="U37" s="173">
        <v>951.74568019890899</v>
      </c>
      <c r="V37" s="173">
        <v>18.275109170305601</v>
      </c>
      <c r="W37" s="173"/>
      <c r="X37" s="173"/>
      <c r="Y37" s="173"/>
      <c r="Z37" s="173"/>
    </row>
    <row r="38" spans="5:26" x14ac:dyDescent="0.25">
      <c r="E38" s="277">
        <v>790.83969465648795</v>
      </c>
      <c r="F38" s="277">
        <v>18.621601788199499</v>
      </c>
      <c r="G38" s="168"/>
      <c r="H38" s="168"/>
      <c r="I38" s="277"/>
      <c r="J38" s="277"/>
      <c r="U38" s="173">
        <v>992.42598357744305</v>
      </c>
      <c r="V38" s="173">
        <v>18.318777292576399</v>
      </c>
      <c r="W38" s="173"/>
      <c r="X38" s="173"/>
      <c r="Y38" s="173"/>
      <c r="Z38" s="173"/>
    </row>
    <row r="39" spans="5:26" x14ac:dyDescent="0.25">
      <c r="E39" s="277">
        <v>801.526717557251</v>
      </c>
      <c r="F39" s="277">
        <v>18.852937455189501</v>
      </c>
      <c r="G39" s="168"/>
      <c r="H39" s="168"/>
      <c r="I39" s="277"/>
      <c r="J39" s="277"/>
      <c r="U39" s="173">
        <v>1037.8909759511901</v>
      </c>
      <c r="V39" s="173">
        <v>18.362445414847102</v>
      </c>
      <c r="W39" s="173"/>
      <c r="X39" s="173"/>
      <c r="Y39" s="173"/>
      <c r="Z39" s="173"/>
    </row>
    <row r="40" spans="5:26" x14ac:dyDescent="0.25">
      <c r="E40" s="277">
        <v>829.77099236641197</v>
      </c>
      <c r="F40" s="277">
        <v>18.950512420395501</v>
      </c>
      <c r="G40" s="168"/>
      <c r="H40" s="168"/>
      <c r="I40" s="277"/>
      <c r="J40" s="277"/>
      <c r="U40" s="173">
        <v>1049.9153799544499</v>
      </c>
      <c r="V40" s="173">
        <v>18.6244541484716</v>
      </c>
      <c r="W40" s="173"/>
      <c r="X40" s="173"/>
      <c r="Y40" s="173"/>
      <c r="Z40" s="173"/>
    </row>
    <row r="41" spans="5:26" x14ac:dyDescent="0.25">
      <c r="E41" s="277">
        <v>851.90839694656495</v>
      </c>
      <c r="F41" s="277">
        <v>18.9490447471637</v>
      </c>
      <c r="G41" s="168"/>
      <c r="H41" s="168"/>
      <c r="I41" s="277"/>
      <c r="J41" s="277"/>
      <c r="U41" s="173">
        <v>1116.91147280666</v>
      </c>
      <c r="V41" s="173">
        <v>18.668122270742298</v>
      </c>
      <c r="W41" s="173"/>
      <c r="X41" s="173"/>
      <c r="Y41" s="173"/>
      <c r="Z41" s="173"/>
    </row>
    <row r="42" spans="5:26" x14ac:dyDescent="0.25">
      <c r="G42" s="168"/>
      <c r="H42" s="168"/>
      <c r="U42" s="173">
        <v>1176.72008524686</v>
      </c>
      <c r="V42" s="173">
        <v>18.668122270742298</v>
      </c>
      <c r="W42" s="173"/>
      <c r="X42" s="173"/>
      <c r="Y42" s="173"/>
      <c r="Z42" s="173"/>
    </row>
    <row r="43" spans="5:26" x14ac:dyDescent="0.25">
      <c r="G43" s="168"/>
      <c r="H43" s="168"/>
      <c r="U43" s="173">
        <v>1255.6779005871099</v>
      </c>
      <c r="V43" s="173">
        <v>18.7117903930131</v>
      </c>
      <c r="W43" s="173"/>
      <c r="X43" s="173"/>
      <c r="Y43" s="173"/>
      <c r="Z43" s="173"/>
    </row>
    <row r="44" spans="5:26" x14ac:dyDescent="0.25">
      <c r="G44" s="168"/>
      <c r="H44" s="168"/>
      <c r="U44" s="173">
        <v>1305.9171350368699</v>
      </c>
      <c r="V44" s="173">
        <v>18.7117903930131</v>
      </c>
      <c r="W44" s="173"/>
      <c r="X44" s="173"/>
      <c r="Y44" s="173"/>
      <c r="Z44" s="173"/>
    </row>
    <row r="45" spans="5:26" x14ac:dyDescent="0.25">
      <c r="G45" s="168"/>
      <c r="H45" s="168"/>
      <c r="U45" s="173">
        <v>1380.0798144627099</v>
      </c>
      <c r="V45" s="173">
        <v>18.7117903930131</v>
      </c>
      <c r="W45" s="173"/>
      <c r="X45" s="173"/>
      <c r="Y45" s="173"/>
      <c r="Z45" s="173"/>
    </row>
    <row r="46" spans="5:26" x14ac:dyDescent="0.25">
      <c r="G46" s="168"/>
      <c r="H46" s="168"/>
      <c r="U46" s="173">
        <v>1461.41952738137</v>
      </c>
      <c r="V46" s="173">
        <v>18.7117903930131</v>
      </c>
      <c r="W46" s="173"/>
      <c r="X46" s="173"/>
      <c r="Y46" s="173"/>
      <c r="Z46" s="173"/>
    </row>
    <row r="47" spans="5:26" x14ac:dyDescent="0.25">
      <c r="G47" s="168"/>
      <c r="H47" s="168"/>
      <c r="U47" s="173">
        <v>1504.4817283383099</v>
      </c>
      <c r="V47" s="173">
        <v>18.7117903930131</v>
      </c>
      <c r="W47" s="173"/>
      <c r="X47" s="173"/>
      <c r="Y47" s="173"/>
      <c r="Z47" s="173"/>
    </row>
    <row r="48" spans="5:26" x14ac:dyDescent="0.25">
      <c r="G48" s="168"/>
      <c r="H48" s="168"/>
      <c r="U48" s="173">
        <v>1542.76968721923</v>
      </c>
      <c r="V48" s="173">
        <v>18.755458515283799</v>
      </c>
      <c r="W48" s="173"/>
      <c r="X48" s="173"/>
      <c r="Y48" s="173"/>
      <c r="Z48" s="173"/>
    </row>
    <row r="49" spans="7:26" x14ac:dyDescent="0.25">
      <c r="G49" s="168"/>
      <c r="H49" s="168"/>
      <c r="U49" s="173">
        <v>1564.3634692129201</v>
      </c>
      <c r="V49" s="173">
        <v>19.017467248908201</v>
      </c>
      <c r="W49" s="173"/>
      <c r="X49" s="173"/>
      <c r="Y49" s="173"/>
      <c r="Z49" s="173"/>
    </row>
    <row r="50" spans="7:26" x14ac:dyDescent="0.25">
      <c r="G50" s="168"/>
      <c r="H50" s="168"/>
      <c r="U50" s="173">
        <v>1607.43611708907</v>
      </c>
      <c r="V50" s="173">
        <v>19.061135371178999</v>
      </c>
      <c r="W50" s="173"/>
      <c r="X50" s="173"/>
      <c r="Y50" s="173"/>
      <c r="Z50" s="173"/>
    </row>
    <row r="51" spans="7:26" x14ac:dyDescent="0.25">
      <c r="G51" s="168"/>
      <c r="H51" s="168"/>
      <c r="U51" s="173">
        <v>1645.79720440442</v>
      </c>
      <c r="V51" s="173">
        <v>19.410480349344901</v>
      </c>
      <c r="W51" s="173"/>
      <c r="X51" s="173"/>
      <c r="Y51" s="173"/>
      <c r="Z51" s="173"/>
    </row>
    <row r="52" spans="7:26" x14ac:dyDescent="0.25">
      <c r="G52" s="168"/>
      <c r="H52" s="168"/>
      <c r="U52" s="173">
        <v>1717.5884331710499</v>
      </c>
      <c r="V52" s="173">
        <v>19.497816593886402</v>
      </c>
      <c r="W52" s="173"/>
      <c r="X52" s="173"/>
      <c r="Y52" s="173"/>
      <c r="Z52" s="173"/>
    </row>
    <row r="53" spans="7:26" x14ac:dyDescent="0.25">
      <c r="G53" s="168"/>
      <c r="H53" s="168"/>
      <c r="U53" s="173">
        <v>1808.5184179185501</v>
      </c>
      <c r="V53" s="173">
        <v>19.585152838427899</v>
      </c>
      <c r="W53" s="173"/>
      <c r="X53" s="173"/>
      <c r="Y53" s="173"/>
      <c r="Z53" s="173"/>
    </row>
    <row r="54" spans="7:26" x14ac:dyDescent="0.25">
      <c r="G54" s="168"/>
      <c r="H54" s="168"/>
      <c r="U54" s="173">
        <v>1861.1708907043301</v>
      </c>
      <c r="V54" s="173">
        <v>19.672489082969399</v>
      </c>
      <c r="W54" s="173"/>
      <c r="X54" s="173"/>
      <c r="Y54" s="173"/>
      <c r="Z54" s="173"/>
    </row>
    <row r="55" spans="7:26" x14ac:dyDescent="0.25">
      <c r="G55" s="168"/>
      <c r="H55" s="168"/>
      <c r="U55" s="173">
        <v>1925.7955328973401</v>
      </c>
      <c r="V55" s="173">
        <v>19.803493449781602</v>
      </c>
      <c r="W55" s="173"/>
      <c r="X55" s="173"/>
      <c r="Y55" s="173"/>
      <c r="Z55" s="173"/>
    </row>
    <row r="56" spans="7:26" x14ac:dyDescent="0.25">
      <c r="G56" s="168"/>
      <c r="H56" s="168"/>
      <c r="U56" s="173">
        <v>1990.4097281711599</v>
      </c>
      <c r="V56" s="173">
        <v>19.890829694323099</v>
      </c>
      <c r="W56" s="173"/>
      <c r="X56" s="173"/>
      <c r="Y56" s="173"/>
      <c r="Z56" s="173"/>
    </row>
    <row r="57" spans="7:26" x14ac:dyDescent="0.25">
      <c r="G57" s="168"/>
      <c r="H57" s="168"/>
      <c r="U57" s="173">
        <v>2064.5933014354</v>
      </c>
      <c r="V57" s="173">
        <v>19.978165938864599</v>
      </c>
      <c r="W57" s="173"/>
      <c r="X57" s="173"/>
      <c r="Y57" s="173"/>
      <c r="Z57" s="173"/>
    </row>
    <row r="58" spans="7:26" x14ac:dyDescent="0.25">
      <c r="G58" s="168"/>
      <c r="H58" s="168"/>
      <c r="U58" s="173">
        <v>2105.2840517331401</v>
      </c>
      <c r="V58" s="173">
        <v>20.0655021834061</v>
      </c>
      <c r="W58" s="173"/>
      <c r="X58" s="173"/>
      <c r="Y58" s="173"/>
      <c r="Z58" s="173"/>
    </row>
    <row r="59" spans="7:26" x14ac:dyDescent="0.25">
      <c r="G59" s="168"/>
      <c r="H59" s="168"/>
      <c r="U59" s="173">
        <v>2150.7803848644999</v>
      </c>
      <c r="V59" s="173">
        <v>20.240174672489001</v>
      </c>
      <c r="W59" s="173"/>
      <c r="X59" s="173"/>
      <c r="Y59" s="173"/>
      <c r="Z59" s="173"/>
    </row>
    <row r="60" spans="7:26" x14ac:dyDescent="0.25">
      <c r="G60" s="168"/>
      <c r="H60" s="168"/>
      <c r="U60" s="173">
        <v>2189.1205783414398</v>
      </c>
      <c r="V60" s="173">
        <v>20.502183406113499</v>
      </c>
      <c r="W60" s="173"/>
      <c r="X60" s="173"/>
      <c r="Y60" s="173"/>
      <c r="Z60" s="173"/>
    </row>
    <row r="61" spans="7:26" x14ac:dyDescent="0.25">
      <c r="G61" s="168"/>
      <c r="H61" s="173"/>
      <c r="U61" s="173">
        <v>2225.07887423998</v>
      </c>
      <c r="V61" s="173">
        <v>20.807860262008699</v>
      </c>
      <c r="W61" s="173"/>
      <c r="X61" s="173"/>
      <c r="Y61" s="173"/>
      <c r="Z61" s="173"/>
    </row>
    <row r="62" spans="7:26" x14ac:dyDescent="0.25">
      <c r="G62" s="168"/>
      <c r="H62" s="173"/>
      <c r="U62" s="173">
        <v>2249.0650007312802</v>
      </c>
      <c r="V62" s="173">
        <v>21.069868995633101</v>
      </c>
      <c r="W62" s="173"/>
      <c r="X62" s="173"/>
      <c r="Y62" s="173"/>
      <c r="Z62" s="173"/>
    </row>
  </sheetData>
  <mergeCells count="5">
    <mergeCell ref="E1:F1"/>
    <mergeCell ref="H1:N1"/>
    <mergeCell ref="P1:R1"/>
    <mergeCell ref="W1:X1"/>
    <mergeCell ref="AA1:AC1"/>
  </mergeCell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600FC-57CB-40DA-B0E0-9FACBC690083}">
  <sheetPr codeName="Sheet33"/>
  <dimension ref="A1:Q65"/>
  <sheetViews>
    <sheetView workbookViewId="0">
      <selection activeCell="Q5" sqref="Q5"/>
    </sheetView>
  </sheetViews>
  <sheetFormatPr defaultColWidth="8.85546875" defaultRowHeight="15" x14ac:dyDescent="0.25"/>
  <cols>
    <col min="1" max="1" width="8.85546875" style="1"/>
    <col min="2" max="2" width="9.140625" style="1" bestFit="1" customWidth="1"/>
    <col min="3" max="3" width="14" style="1" customWidth="1"/>
    <col min="4" max="4" width="16" style="1" customWidth="1"/>
    <col min="5" max="5" width="14.42578125" style="1" customWidth="1"/>
    <col min="6" max="10" width="13.42578125" style="1" customWidth="1"/>
    <col min="11" max="11" width="9.28515625" style="1" bestFit="1" customWidth="1"/>
    <col min="12" max="14" width="12.7109375" style="1" customWidth="1"/>
    <col min="15" max="15" width="12.42578125" style="1" customWidth="1"/>
    <col min="16" max="16" width="14" style="1" customWidth="1"/>
    <col min="17" max="17" width="11.42578125" style="1" customWidth="1"/>
    <col min="18" max="16384" width="8.85546875" style="1"/>
  </cols>
  <sheetData>
    <row r="1" spans="2:17" x14ac:dyDescent="0.25">
      <c r="B1" s="14"/>
      <c r="C1" s="14"/>
      <c r="L1" s="386" t="s">
        <v>599</v>
      </c>
      <c r="M1" s="17"/>
      <c r="O1" s="1" t="s">
        <v>600</v>
      </c>
      <c r="Q1"/>
    </row>
    <row r="2" spans="2:17" x14ac:dyDescent="0.25">
      <c r="L2" s="386"/>
    </row>
    <row r="3" spans="2:17" ht="63.75" x14ac:dyDescent="0.25">
      <c r="C3" s="387" t="s">
        <v>601</v>
      </c>
      <c r="D3" s="387" t="s">
        <v>602</v>
      </c>
      <c r="E3" s="387" t="s">
        <v>603</v>
      </c>
      <c r="F3" s="387" t="s">
        <v>604</v>
      </c>
      <c r="G3" s="387" t="s">
        <v>605</v>
      </c>
      <c r="H3" s="387" t="s">
        <v>606</v>
      </c>
      <c r="I3" s="387" t="s">
        <v>607</v>
      </c>
      <c r="J3" s="387"/>
      <c r="L3" s="387" t="s">
        <v>602</v>
      </c>
      <c r="M3" s="387" t="s">
        <v>603</v>
      </c>
      <c r="N3" s="387" t="s">
        <v>604</v>
      </c>
      <c r="O3" s="387" t="s">
        <v>605</v>
      </c>
      <c r="P3" s="387" t="s">
        <v>606</v>
      </c>
      <c r="Q3" s="387" t="s">
        <v>607</v>
      </c>
    </row>
    <row r="4" spans="2:17" ht="26.25" x14ac:dyDescent="0.25">
      <c r="C4" s="1" t="s">
        <v>608</v>
      </c>
      <c r="D4" s="180" t="s">
        <v>609</v>
      </c>
      <c r="E4" s="180" t="s">
        <v>610</v>
      </c>
      <c r="F4" s="180" t="s">
        <v>611</v>
      </c>
      <c r="G4" s="180" t="s">
        <v>612</v>
      </c>
      <c r="H4" s="180" t="s">
        <v>609</v>
      </c>
      <c r="I4" s="180" t="s">
        <v>611</v>
      </c>
      <c r="J4" s="180"/>
      <c r="L4" s="180" t="s">
        <v>613</v>
      </c>
      <c r="M4" s="180" t="s">
        <v>614</v>
      </c>
      <c r="N4" s="180" t="s">
        <v>615</v>
      </c>
      <c r="O4" s="180" t="s">
        <v>614</v>
      </c>
      <c r="P4" s="180" t="s">
        <v>614</v>
      </c>
      <c r="Q4" s="180" t="s">
        <v>615</v>
      </c>
    </row>
    <row r="5" spans="2:17" x14ac:dyDescent="0.25">
      <c r="B5" s="191">
        <v>42917</v>
      </c>
      <c r="C5" s="388">
        <v>193.5</v>
      </c>
      <c r="D5" s="388">
        <v>46.63</v>
      </c>
      <c r="E5" s="388">
        <v>2.98</v>
      </c>
      <c r="F5" s="186">
        <v>1.57</v>
      </c>
      <c r="G5" s="186">
        <v>4.26</v>
      </c>
      <c r="H5" s="388"/>
      <c r="I5" s="186">
        <v>0.64700000000000002</v>
      </c>
      <c r="K5" s="389">
        <f t="shared" ref="K5:K65" si="0">B5</f>
        <v>42917</v>
      </c>
      <c r="L5" s="390">
        <f t="shared" ref="L5:N36" si="1">($C$64/$C5)*D5</f>
        <v>67.585546098191216</v>
      </c>
      <c r="M5" s="390">
        <f t="shared" si="1"/>
        <v>4.3192135400516793</v>
      </c>
      <c r="N5" s="390">
        <f t="shared" si="1"/>
        <v>2.2755588113695091</v>
      </c>
      <c r="O5" s="390">
        <f>IF(G5="","",($C$64/$C5)*G5)</f>
        <v>6.1744462015503876</v>
      </c>
      <c r="P5" s="390" t="str">
        <f>IF(H5="","",($C$64/$C5)*H5)</f>
        <v/>
      </c>
      <c r="Q5" s="478">
        <f>IF(I5="","",($C$64/$C5)*I5)</f>
        <v>0.93776213436692513</v>
      </c>
    </row>
    <row r="6" spans="2:17" x14ac:dyDescent="0.25">
      <c r="B6" s="191">
        <v>42948</v>
      </c>
      <c r="C6" s="388">
        <v>193.8</v>
      </c>
      <c r="D6" s="388">
        <v>48.04</v>
      </c>
      <c r="E6" s="388">
        <v>2.9</v>
      </c>
      <c r="F6" s="186">
        <v>1.6970000000000001</v>
      </c>
      <c r="G6" s="186">
        <v>3.88</v>
      </c>
      <c r="H6" s="388"/>
      <c r="I6" s="186">
        <v>0.75800000000000001</v>
      </c>
      <c r="K6" s="389">
        <f t="shared" si="0"/>
        <v>42948</v>
      </c>
      <c r="L6" s="390">
        <f t="shared" si="1"/>
        <v>69.521415686274509</v>
      </c>
      <c r="M6" s="390">
        <f t="shared" si="1"/>
        <v>4.1967549019607837</v>
      </c>
      <c r="N6" s="390">
        <f t="shared" si="1"/>
        <v>2.4558251960784312</v>
      </c>
      <c r="O6" s="390">
        <f t="shared" ref="O6:P65" si="2">IF(G6="","",($C$64/$C6)*G6)</f>
        <v>5.6149686274509794</v>
      </c>
      <c r="P6" s="390" t="str">
        <f t="shared" si="2"/>
        <v/>
      </c>
      <c r="Q6" s="478">
        <f t="shared" ref="Q6:Q65" si="3">IF(I6="","",($C$64/$C6)*I6)</f>
        <v>1.0969449019607842</v>
      </c>
    </row>
    <row r="7" spans="2:17" x14ac:dyDescent="0.25">
      <c r="B7" s="191">
        <v>42979</v>
      </c>
      <c r="C7" s="388">
        <v>194.8</v>
      </c>
      <c r="D7" s="388">
        <v>49.82</v>
      </c>
      <c r="E7" s="388">
        <v>2.98</v>
      </c>
      <c r="F7" s="186">
        <v>1.915</v>
      </c>
      <c r="G7" s="186">
        <v>3.88</v>
      </c>
      <c r="H7" s="388"/>
      <c r="I7" s="186">
        <v>0.88300000000000001</v>
      </c>
      <c r="K7" s="389">
        <f t="shared" si="0"/>
        <v>42979</v>
      </c>
      <c r="L7" s="390">
        <f t="shared" si="1"/>
        <v>71.727245277207388</v>
      </c>
      <c r="M7" s="390">
        <f t="shared" si="1"/>
        <v>4.2903892197125257</v>
      </c>
      <c r="N7" s="390">
        <f t="shared" si="1"/>
        <v>2.757078978439425</v>
      </c>
      <c r="O7" s="390">
        <f t="shared" si="2"/>
        <v>5.5861443531827515</v>
      </c>
      <c r="P7" s="390" t="str">
        <f t="shared" si="2"/>
        <v/>
      </c>
      <c r="Q7" s="478">
        <f t="shared" si="3"/>
        <v>1.2712797587268994</v>
      </c>
    </row>
    <row r="8" spans="2:17" x14ac:dyDescent="0.25">
      <c r="B8" s="191">
        <v>43009</v>
      </c>
      <c r="C8" s="388">
        <v>194.9</v>
      </c>
      <c r="D8" s="388">
        <v>51.58</v>
      </c>
      <c r="E8" s="388">
        <v>2.88</v>
      </c>
      <c r="F8" s="186">
        <v>1.863</v>
      </c>
      <c r="G8" s="186">
        <v>4.0199999999999996</v>
      </c>
      <c r="H8" s="388"/>
      <c r="I8" s="186">
        <v>0.93400000000000005</v>
      </c>
      <c r="K8" s="389">
        <f t="shared" si="0"/>
        <v>43009</v>
      </c>
      <c r="L8" s="390">
        <f t="shared" si="1"/>
        <v>74.223064238070805</v>
      </c>
      <c r="M8" s="390">
        <f t="shared" si="1"/>
        <v>4.1442889687018978</v>
      </c>
      <c r="N8" s="390">
        <f t="shared" si="1"/>
        <v>2.6808369266290404</v>
      </c>
      <c r="O8" s="390">
        <f t="shared" si="2"/>
        <v>5.7847366854797322</v>
      </c>
      <c r="P8" s="390" t="str">
        <f t="shared" si="2"/>
        <v/>
      </c>
      <c r="Q8" s="478">
        <f t="shared" si="3"/>
        <v>1.3440159363776296</v>
      </c>
    </row>
    <row r="9" spans="2:17" x14ac:dyDescent="0.25">
      <c r="B9" s="191">
        <v>43040</v>
      </c>
      <c r="C9" s="388">
        <v>195.9</v>
      </c>
      <c r="D9" s="388">
        <v>56.64</v>
      </c>
      <c r="E9" s="388">
        <v>3.01</v>
      </c>
      <c r="F9" s="186">
        <v>1.9750000000000001</v>
      </c>
      <c r="G9" s="186">
        <v>4.47</v>
      </c>
      <c r="H9" s="388"/>
      <c r="I9" s="186">
        <v>0.98</v>
      </c>
      <c r="K9" s="389">
        <f t="shared" si="0"/>
        <v>43040</v>
      </c>
      <c r="L9" s="390">
        <f t="shared" si="1"/>
        <v>81.0882989280245</v>
      </c>
      <c r="M9" s="390">
        <f t="shared" si="1"/>
        <v>4.3092475242470645</v>
      </c>
      <c r="N9" s="390">
        <f t="shared" si="1"/>
        <v>2.8274962991322106</v>
      </c>
      <c r="O9" s="390">
        <f t="shared" si="2"/>
        <v>6.3994473200612552</v>
      </c>
      <c r="P9" s="390" t="str">
        <f t="shared" si="2"/>
        <v/>
      </c>
      <c r="Q9" s="478">
        <f t="shared" si="3"/>
        <v>1.4030108218478816</v>
      </c>
    </row>
    <row r="10" spans="2:17" x14ac:dyDescent="0.25">
      <c r="B10" s="191">
        <v>43070</v>
      </c>
      <c r="C10" s="388">
        <v>196.3</v>
      </c>
      <c r="D10" s="388">
        <v>57.88</v>
      </c>
      <c r="E10" s="388">
        <v>2.82</v>
      </c>
      <c r="F10" s="186">
        <v>1.907</v>
      </c>
      <c r="G10" s="186">
        <v>4.74</v>
      </c>
      <c r="H10" s="388"/>
      <c r="I10" s="186">
        <v>0.95699999999999996</v>
      </c>
      <c r="K10" s="389">
        <f t="shared" si="0"/>
        <v>43070</v>
      </c>
      <c r="L10" s="390">
        <f t="shared" si="1"/>
        <v>82.694686296484974</v>
      </c>
      <c r="M10" s="390">
        <f t="shared" si="1"/>
        <v>4.029008558329088</v>
      </c>
      <c r="N10" s="390">
        <f t="shared" si="1"/>
        <v>2.7245813194090678</v>
      </c>
      <c r="O10" s="390">
        <f t="shared" si="2"/>
        <v>6.772163321446766</v>
      </c>
      <c r="P10" s="390" t="str">
        <f t="shared" si="2"/>
        <v/>
      </c>
      <c r="Q10" s="478">
        <f t="shared" si="3"/>
        <v>1.3672912022414672</v>
      </c>
    </row>
    <row r="11" spans="2:17" x14ac:dyDescent="0.25">
      <c r="B11" s="191">
        <v>43101</v>
      </c>
      <c r="C11" s="388">
        <v>197.9</v>
      </c>
      <c r="D11" s="388">
        <v>63.7</v>
      </c>
      <c r="E11" s="388">
        <v>3.87</v>
      </c>
      <c r="F11" s="186">
        <v>2.056</v>
      </c>
      <c r="G11" s="186">
        <v>4.34</v>
      </c>
      <c r="H11" s="388">
        <v>69.08</v>
      </c>
      <c r="I11" s="186">
        <v>0.90400000000000003</v>
      </c>
      <c r="K11" s="389">
        <f t="shared" si="0"/>
        <v>43101</v>
      </c>
      <c r="L11" s="390">
        <f t="shared" si="1"/>
        <v>90.274069226882261</v>
      </c>
      <c r="M11" s="390">
        <f t="shared" si="1"/>
        <v>5.4844685699848403</v>
      </c>
      <c r="N11" s="390">
        <f t="shared" si="1"/>
        <v>2.9137125012632641</v>
      </c>
      <c r="O11" s="390">
        <f t="shared" si="2"/>
        <v>6.1505409802930764</v>
      </c>
      <c r="P11" s="390">
        <f t="shared" si="2"/>
        <v>97.898472561899936</v>
      </c>
      <c r="Q11" s="478">
        <f t="shared" si="3"/>
        <v>1.2811265083375443</v>
      </c>
    </row>
    <row r="12" spans="2:17" x14ac:dyDescent="0.25">
      <c r="B12" s="191">
        <v>43132</v>
      </c>
      <c r="C12" s="388">
        <v>199.3</v>
      </c>
      <c r="D12" s="388">
        <v>62.23</v>
      </c>
      <c r="E12" s="388">
        <v>2.67</v>
      </c>
      <c r="F12" s="186">
        <v>1.9630000000000001</v>
      </c>
      <c r="G12" s="186">
        <v>5.62</v>
      </c>
      <c r="H12" s="388">
        <v>65.319999999999993</v>
      </c>
      <c r="I12" s="186">
        <v>0.82699999999999996</v>
      </c>
      <c r="K12" s="389">
        <f t="shared" si="0"/>
        <v>43132</v>
      </c>
      <c r="L12" s="390">
        <f t="shared" si="1"/>
        <v>87.571317461113892</v>
      </c>
      <c r="M12" s="390">
        <f t="shared" si="1"/>
        <v>3.7572781234320116</v>
      </c>
      <c r="N12" s="390">
        <f t="shared" si="1"/>
        <v>2.7623733918715505</v>
      </c>
      <c r="O12" s="390">
        <f t="shared" si="2"/>
        <v>7.9085779227295534</v>
      </c>
      <c r="P12" s="390">
        <f t="shared" si="2"/>
        <v>91.919628098344191</v>
      </c>
      <c r="Q12" s="478">
        <f t="shared" si="3"/>
        <v>1.1637711640742598</v>
      </c>
    </row>
    <row r="13" spans="2:17" x14ac:dyDescent="0.25">
      <c r="B13" s="191">
        <v>43160</v>
      </c>
      <c r="C13" s="388">
        <v>199.3</v>
      </c>
      <c r="D13" s="388">
        <v>62.73</v>
      </c>
      <c r="E13" s="388">
        <v>2.69</v>
      </c>
      <c r="F13" s="186">
        <v>1.996</v>
      </c>
      <c r="G13" s="186">
        <v>4.45</v>
      </c>
      <c r="H13" s="388">
        <v>66.02</v>
      </c>
      <c r="I13" s="186">
        <v>0.78800000000000003</v>
      </c>
      <c r="K13" s="389">
        <f t="shared" si="0"/>
        <v>43160</v>
      </c>
      <c r="L13" s="390">
        <f t="shared" si="1"/>
        <v>88.274927596588043</v>
      </c>
      <c r="M13" s="390">
        <f t="shared" si="1"/>
        <v>3.7854225288509782</v>
      </c>
      <c r="N13" s="390">
        <f t="shared" si="1"/>
        <v>2.8088116608128448</v>
      </c>
      <c r="O13" s="390">
        <f t="shared" si="2"/>
        <v>6.2621302057200197</v>
      </c>
      <c r="P13" s="390">
        <f t="shared" si="2"/>
        <v>92.904682288008019</v>
      </c>
      <c r="Q13" s="478">
        <f t="shared" si="3"/>
        <v>1.1088895735072755</v>
      </c>
    </row>
    <row r="14" spans="2:17" x14ac:dyDescent="0.25">
      <c r="B14" s="191">
        <v>43191</v>
      </c>
      <c r="C14" s="388">
        <v>200.3</v>
      </c>
      <c r="D14" s="388">
        <v>66.25</v>
      </c>
      <c r="E14" s="388">
        <v>2.8</v>
      </c>
      <c r="F14" s="186">
        <v>2.1539999999999999</v>
      </c>
      <c r="G14" s="186">
        <v>4.5599999999999996</v>
      </c>
      <c r="H14" s="388">
        <v>72.11</v>
      </c>
      <c r="I14" s="186">
        <v>0.82099999999999995</v>
      </c>
      <c r="K14" s="389">
        <f t="shared" si="0"/>
        <v>43191</v>
      </c>
      <c r="L14" s="390">
        <f t="shared" si="1"/>
        <v>92.762899400898647</v>
      </c>
      <c r="M14" s="390">
        <f t="shared" si="1"/>
        <v>3.9205451822266593</v>
      </c>
      <c r="N14" s="390">
        <f t="shared" si="1"/>
        <v>3.0160194008986516</v>
      </c>
      <c r="O14" s="390">
        <f t="shared" si="2"/>
        <v>6.3848878681977022</v>
      </c>
      <c r="P14" s="390">
        <f t="shared" si="2"/>
        <v>100.96804038941586</v>
      </c>
      <c r="Q14" s="478">
        <f t="shared" si="3"/>
        <v>1.1495598552171742</v>
      </c>
    </row>
    <row r="15" spans="2:17" x14ac:dyDescent="0.25">
      <c r="B15" s="191">
        <v>43221</v>
      </c>
      <c r="C15" s="388">
        <v>203.2</v>
      </c>
      <c r="D15" s="388">
        <v>69.98</v>
      </c>
      <c r="E15" s="388">
        <v>2.8</v>
      </c>
      <c r="F15" s="186">
        <v>2.2879999999999998</v>
      </c>
      <c r="G15" s="186">
        <v>5.03</v>
      </c>
      <c r="H15" s="388">
        <v>76.98</v>
      </c>
      <c r="I15" s="186">
        <v>0.91700000000000004</v>
      </c>
      <c r="K15" s="389">
        <f t="shared" si="0"/>
        <v>43221</v>
      </c>
      <c r="L15" s="390">
        <f t="shared" si="1"/>
        <v>96.587208759842525</v>
      </c>
      <c r="M15" s="390">
        <f t="shared" si="1"/>
        <v>3.864592519685039</v>
      </c>
      <c r="N15" s="390">
        <f t="shared" si="1"/>
        <v>3.1579241732283463</v>
      </c>
      <c r="O15" s="390">
        <f t="shared" si="2"/>
        <v>6.9424644192913387</v>
      </c>
      <c r="P15" s="390">
        <f t="shared" si="2"/>
        <v>106.24869005905512</v>
      </c>
      <c r="Q15" s="478">
        <f t="shared" si="3"/>
        <v>1.2656540501968505</v>
      </c>
    </row>
    <row r="16" spans="2:17" x14ac:dyDescent="0.25">
      <c r="B16" s="191">
        <v>43252</v>
      </c>
      <c r="C16" s="388">
        <v>204.2</v>
      </c>
      <c r="D16" s="388">
        <v>67.87</v>
      </c>
      <c r="E16" s="388">
        <v>2.97</v>
      </c>
      <c r="F16" s="186">
        <v>2.1850000000000001</v>
      </c>
      <c r="G16" s="186">
        <v>4.6500000000000004</v>
      </c>
      <c r="H16" s="388">
        <v>74.41</v>
      </c>
      <c r="I16" s="186">
        <v>0.88</v>
      </c>
      <c r="K16" s="389">
        <f t="shared" si="0"/>
        <v>43252</v>
      </c>
      <c r="L16" s="390">
        <f t="shared" si="1"/>
        <v>93.216221008814898</v>
      </c>
      <c r="M16" s="390">
        <f t="shared" si="1"/>
        <v>4.0791539177277185</v>
      </c>
      <c r="N16" s="390">
        <f t="shared" si="1"/>
        <v>3.0009937071498531</v>
      </c>
      <c r="O16" s="390">
        <f t="shared" si="2"/>
        <v>6.3865541136141042</v>
      </c>
      <c r="P16" s="390">
        <f t="shared" si="2"/>
        <v>102.19860034280117</v>
      </c>
      <c r="Q16" s="478">
        <f t="shared" si="3"/>
        <v>1.2086381978452498</v>
      </c>
    </row>
    <row r="17" spans="2:17" x14ac:dyDescent="0.25">
      <c r="B17" s="191">
        <v>43282</v>
      </c>
      <c r="C17" s="388">
        <v>204.3</v>
      </c>
      <c r="D17" s="388">
        <v>70.98</v>
      </c>
      <c r="E17" s="388">
        <v>2.83</v>
      </c>
      <c r="F17" s="186">
        <v>2.177</v>
      </c>
      <c r="G17" s="186">
        <v>5.28</v>
      </c>
      <c r="H17" s="388">
        <v>74.25</v>
      </c>
      <c r="I17" s="186">
        <v>0.93799999999999994</v>
      </c>
      <c r="K17" s="389">
        <f t="shared" si="0"/>
        <v>43282</v>
      </c>
      <c r="L17" s="390">
        <f t="shared" si="1"/>
        <v>97.439940381791487</v>
      </c>
      <c r="M17" s="390">
        <f t="shared" si="1"/>
        <v>3.8849680372001956</v>
      </c>
      <c r="N17" s="390">
        <f t="shared" si="1"/>
        <v>2.9885425501713168</v>
      </c>
      <c r="O17" s="390">
        <f t="shared" si="2"/>
        <v>7.2482795888399414</v>
      </c>
      <c r="P17" s="390">
        <f t="shared" si="2"/>
        <v>101.92893171806166</v>
      </c>
      <c r="Q17" s="478">
        <f t="shared" si="3"/>
        <v>1.2876678511992168</v>
      </c>
    </row>
    <row r="18" spans="2:17" x14ac:dyDescent="0.25">
      <c r="B18" s="191">
        <v>43313</v>
      </c>
      <c r="C18" s="388">
        <v>203.4</v>
      </c>
      <c r="D18" s="388">
        <v>68.06</v>
      </c>
      <c r="E18" s="388">
        <v>2.96</v>
      </c>
      <c r="F18" s="186">
        <v>2.2050000000000001</v>
      </c>
      <c r="G18" s="186">
        <v>5.33</v>
      </c>
      <c r="H18" s="388">
        <v>72.53</v>
      </c>
      <c r="I18" s="186">
        <v>0.97399999999999998</v>
      </c>
      <c r="K18" s="389">
        <f t="shared" si="0"/>
        <v>43313</v>
      </c>
      <c r="L18" s="390">
        <f t="shared" si="1"/>
        <v>93.844835496558517</v>
      </c>
      <c r="M18" s="390">
        <f t="shared" si="1"/>
        <v>4.0814092428711897</v>
      </c>
      <c r="N18" s="390">
        <f t="shared" si="1"/>
        <v>3.0403741150442478</v>
      </c>
      <c r="O18" s="390">
        <f t="shared" si="2"/>
        <v>7.3492943461160278</v>
      </c>
      <c r="P18" s="390">
        <f t="shared" si="2"/>
        <v>100.00831499508358</v>
      </c>
      <c r="Q18" s="478">
        <f t="shared" si="3"/>
        <v>1.3430042576204524</v>
      </c>
    </row>
    <row r="19" spans="2:17" x14ac:dyDescent="0.25">
      <c r="B19" s="191">
        <v>43344</v>
      </c>
      <c r="C19" s="388">
        <v>203.6</v>
      </c>
      <c r="D19" s="388">
        <v>70.23</v>
      </c>
      <c r="E19" s="388">
        <v>3</v>
      </c>
      <c r="F19" s="186">
        <v>2.2930000000000001</v>
      </c>
      <c r="G19" s="186">
        <v>4.78</v>
      </c>
      <c r="H19" s="388">
        <v>78.89</v>
      </c>
      <c r="I19" s="186">
        <v>1.0569999999999999</v>
      </c>
      <c r="K19" s="389">
        <f t="shared" si="0"/>
        <v>43344</v>
      </c>
      <c r="L19" s="390">
        <f t="shared" si="1"/>
        <v>96.741825000000006</v>
      </c>
      <c r="M19" s="390">
        <f t="shared" si="1"/>
        <v>4.1325000000000003</v>
      </c>
      <c r="N19" s="390">
        <f t="shared" si="1"/>
        <v>3.1586075</v>
      </c>
      <c r="O19" s="390">
        <f t="shared" si="2"/>
        <v>6.5844500000000004</v>
      </c>
      <c r="P19" s="390">
        <f t="shared" si="2"/>
        <v>108.670975</v>
      </c>
      <c r="Q19" s="478">
        <f t="shared" si="3"/>
        <v>1.4560175</v>
      </c>
    </row>
    <row r="20" spans="2:17" x14ac:dyDescent="0.25">
      <c r="B20" s="191">
        <v>43374</v>
      </c>
      <c r="C20" s="388">
        <v>204.6</v>
      </c>
      <c r="D20" s="388">
        <v>70.75</v>
      </c>
      <c r="E20" s="388">
        <v>3.28</v>
      </c>
      <c r="F20" s="186">
        <v>2.3690000000000002</v>
      </c>
      <c r="G20" s="186">
        <v>4.92</v>
      </c>
      <c r="H20" s="388">
        <v>81.03</v>
      </c>
      <c r="I20" s="186">
        <v>0.95899999999999996</v>
      </c>
      <c r="K20" s="389">
        <f t="shared" si="0"/>
        <v>43374</v>
      </c>
      <c r="L20" s="390">
        <f t="shared" si="1"/>
        <v>96.981790078201371</v>
      </c>
      <c r="M20" s="390">
        <f t="shared" si="1"/>
        <v>4.4961169110459434</v>
      </c>
      <c r="N20" s="390">
        <f t="shared" si="1"/>
        <v>3.2473478543499517</v>
      </c>
      <c r="O20" s="390">
        <f t="shared" si="2"/>
        <v>6.744175366568915</v>
      </c>
      <c r="P20" s="390">
        <f t="shared" si="2"/>
        <v>111.0732784457478</v>
      </c>
      <c r="Q20" s="478">
        <f t="shared" si="3"/>
        <v>1.314565889540567</v>
      </c>
    </row>
    <row r="21" spans="2:17" x14ac:dyDescent="0.25">
      <c r="B21" s="191">
        <v>43405</v>
      </c>
      <c r="C21" s="388">
        <v>202.3</v>
      </c>
      <c r="D21" s="388">
        <v>56.96</v>
      </c>
      <c r="E21" s="388">
        <v>4.09</v>
      </c>
      <c r="F21" s="186">
        <v>2.0550000000000002</v>
      </c>
      <c r="G21" s="186">
        <v>5.62</v>
      </c>
      <c r="H21" s="388">
        <v>64.75</v>
      </c>
      <c r="I21" s="186">
        <v>0.745</v>
      </c>
      <c r="K21" s="389">
        <f t="shared" si="0"/>
        <v>43405</v>
      </c>
      <c r="L21" s="390">
        <f t="shared" si="1"/>
        <v>78.966607217004452</v>
      </c>
      <c r="M21" s="390">
        <f t="shared" si="1"/>
        <v>5.670179485912012</v>
      </c>
      <c r="N21" s="390">
        <f t="shared" si="1"/>
        <v>2.8489532624814635</v>
      </c>
      <c r="O21" s="390">
        <f t="shared" si="2"/>
        <v>7.7912979733069703</v>
      </c>
      <c r="P21" s="390">
        <f t="shared" si="2"/>
        <v>89.766288927335637</v>
      </c>
      <c r="Q21" s="478">
        <f t="shared" si="3"/>
        <v>1.0328322046465646</v>
      </c>
    </row>
    <row r="22" spans="2:17" x14ac:dyDescent="0.25">
      <c r="B22" s="191">
        <v>43435</v>
      </c>
      <c r="C22" s="388">
        <v>201</v>
      </c>
      <c r="D22" s="388">
        <v>49.52</v>
      </c>
      <c r="E22" s="388">
        <v>4.04</v>
      </c>
      <c r="F22" s="186">
        <v>1.7929999999999999</v>
      </c>
      <c r="G22" s="186">
        <v>6.84</v>
      </c>
      <c r="H22" s="388">
        <v>57.36</v>
      </c>
      <c r="I22" s="186">
        <v>0.67700000000000005</v>
      </c>
      <c r="K22" s="389">
        <f t="shared" si="0"/>
        <v>43435</v>
      </c>
      <c r="L22" s="390">
        <f t="shared" si="1"/>
        <v>69.096167562189066</v>
      </c>
      <c r="M22" s="390">
        <f t="shared" si="1"/>
        <v>5.6370863681592045</v>
      </c>
      <c r="N22" s="390">
        <f t="shared" si="1"/>
        <v>2.5018059054726369</v>
      </c>
      <c r="O22" s="390">
        <f t="shared" si="2"/>
        <v>9.5439779104477616</v>
      </c>
      <c r="P22" s="390">
        <f t="shared" si="2"/>
        <v>80.035463880597021</v>
      </c>
      <c r="Q22" s="478">
        <f t="shared" si="3"/>
        <v>0.94463056218905483</v>
      </c>
    </row>
    <row r="23" spans="2:17" x14ac:dyDescent="0.25">
      <c r="B23" s="191">
        <v>43466</v>
      </c>
      <c r="C23" s="388">
        <v>199.1</v>
      </c>
      <c r="D23" s="388">
        <v>51.38</v>
      </c>
      <c r="E23" s="388">
        <v>3.11</v>
      </c>
      <c r="F23" s="186">
        <v>1.8120000000000001</v>
      </c>
      <c r="G23" s="186">
        <v>5.89</v>
      </c>
      <c r="H23" s="388">
        <v>59.41</v>
      </c>
      <c r="I23" s="186">
        <v>0.66500000000000004</v>
      </c>
      <c r="K23" s="389">
        <f t="shared" si="0"/>
        <v>43466</v>
      </c>
      <c r="L23" s="390">
        <f t="shared" si="1"/>
        <v>72.375607332998499</v>
      </c>
      <c r="M23" s="390">
        <f t="shared" si="1"/>
        <v>4.3808512807634354</v>
      </c>
      <c r="N23" s="390">
        <f t="shared" si="1"/>
        <v>2.5524445404319436</v>
      </c>
      <c r="O23" s="390">
        <f t="shared" si="2"/>
        <v>8.2968533902561514</v>
      </c>
      <c r="P23" s="390">
        <f t="shared" si="2"/>
        <v>83.686937167252623</v>
      </c>
      <c r="Q23" s="478">
        <f t="shared" si="3"/>
        <v>0.93674151180311405</v>
      </c>
    </row>
    <row r="24" spans="2:17" x14ac:dyDescent="0.25">
      <c r="B24" s="191">
        <v>43497</v>
      </c>
      <c r="C24" s="388">
        <v>199.2</v>
      </c>
      <c r="D24" s="388">
        <v>54.95</v>
      </c>
      <c r="E24" s="388">
        <v>2.69</v>
      </c>
      <c r="F24" s="186">
        <v>1.9350000000000001</v>
      </c>
      <c r="G24" s="186">
        <v>5.0599999999999996</v>
      </c>
      <c r="H24" s="388">
        <v>63.96</v>
      </c>
      <c r="I24" s="186">
        <v>0.67300000000000004</v>
      </c>
      <c r="K24" s="389">
        <f t="shared" si="0"/>
        <v>43497</v>
      </c>
      <c r="L24" s="390">
        <f t="shared" si="1"/>
        <v>77.365572540160656</v>
      </c>
      <c r="M24" s="390">
        <f t="shared" si="1"/>
        <v>3.7873228413654623</v>
      </c>
      <c r="N24" s="390">
        <f t="shared" si="1"/>
        <v>2.7243381777108437</v>
      </c>
      <c r="O24" s="390">
        <f t="shared" si="2"/>
        <v>7.1241091365461848</v>
      </c>
      <c r="P24" s="390">
        <f t="shared" si="2"/>
        <v>90.050992168674711</v>
      </c>
      <c r="Q24" s="478">
        <f t="shared" si="3"/>
        <v>0.94753467369477928</v>
      </c>
    </row>
    <row r="25" spans="2:17" x14ac:dyDescent="0.25">
      <c r="B25" s="191">
        <v>43525</v>
      </c>
      <c r="C25" s="388">
        <v>200.8</v>
      </c>
      <c r="D25" s="388">
        <v>58.15</v>
      </c>
      <c r="E25" s="388">
        <v>2.95</v>
      </c>
      <c r="F25" s="186">
        <v>2.0169999999999999</v>
      </c>
      <c r="G25" s="186">
        <v>4.84</v>
      </c>
      <c r="H25" s="388">
        <v>66.14</v>
      </c>
      <c r="I25" s="186">
        <v>0.67</v>
      </c>
      <c r="K25" s="389">
        <f t="shared" si="0"/>
        <v>43525</v>
      </c>
      <c r="L25" s="390">
        <f t="shared" si="1"/>
        <v>81.218579930278878</v>
      </c>
      <c r="M25" s="390">
        <f t="shared" si="1"/>
        <v>4.1202890936254981</v>
      </c>
      <c r="N25" s="390">
        <f t="shared" si="1"/>
        <v>2.8171603735059758</v>
      </c>
      <c r="O25" s="390">
        <f t="shared" si="2"/>
        <v>6.7600675298804775</v>
      </c>
      <c r="P25" s="390">
        <f t="shared" si="2"/>
        <v>92.378278187250984</v>
      </c>
      <c r="Q25" s="478">
        <f t="shared" si="3"/>
        <v>0.93579447211155375</v>
      </c>
    </row>
    <row r="26" spans="2:17" x14ac:dyDescent="0.25">
      <c r="B26" s="191">
        <v>43556</v>
      </c>
      <c r="C26" s="388">
        <v>202.1</v>
      </c>
      <c r="D26" s="388">
        <v>63.86</v>
      </c>
      <c r="E26" s="388">
        <v>2.65</v>
      </c>
      <c r="F26" s="186">
        <v>2.2010000000000001</v>
      </c>
      <c r="G26" s="186">
        <v>4.7</v>
      </c>
      <c r="H26" s="388">
        <v>71.23</v>
      </c>
      <c r="I26" s="186">
        <v>0.64200000000000002</v>
      </c>
      <c r="K26" s="389">
        <f t="shared" si="0"/>
        <v>43556</v>
      </c>
      <c r="L26" s="390">
        <f t="shared" si="1"/>
        <v>88.620048193963399</v>
      </c>
      <c r="M26" s="390">
        <f t="shared" si="1"/>
        <v>3.6774683325086595</v>
      </c>
      <c r="N26" s="390">
        <f t="shared" si="1"/>
        <v>3.0543803018307774</v>
      </c>
      <c r="O26" s="390">
        <f t="shared" si="2"/>
        <v>6.5223023255813963</v>
      </c>
      <c r="P26" s="390">
        <f t="shared" si="2"/>
        <v>98.847573330034649</v>
      </c>
      <c r="Q26" s="478">
        <f t="shared" si="3"/>
        <v>0.89091874319643749</v>
      </c>
    </row>
    <row r="27" spans="2:17" x14ac:dyDescent="0.25">
      <c r="B27" s="191">
        <v>43586</v>
      </c>
      <c r="C27" s="388">
        <v>201.7</v>
      </c>
      <c r="D27" s="388">
        <v>60.83</v>
      </c>
      <c r="E27" s="388">
        <v>2.64</v>
      </c>
      <c r="F27" s="186">
        <v>2.286</v>
      </c>
      <c r="G27" s="186">
        <v>4.3899999999999997</v>
      </c>
      <c r="H27" s="388">
        <v>71.319999999999993</v>
      </c>
      <c r="I27" s="186">
        <v>0.57699999999999996</v>
      </c>
      <c r="K27" s="389">
        <f t="shared" si="0"/>
        <v>43586</v>
      </c>
      <c r="L27" s="390">
        <f t="shared" si="1"/>
        <v>84.582652305404068</v>
      </c>
      <c r="M27" s="390">
        <f t="shared" si="1"/>
        <v>3.6708565195835403</v>
      </c>
      <c r="N27" s="390">
        <f t="shared" si="1"/>
        <v>3.1786280317302928</v>
      </c>
      <c r="O27" s="390">
        <f t="shared" si="2"/>
        <v>6.1041894397620222</v>
      </c>
      <c r="P27" s="390">
        <f t="shared" si="2"/>
        <v>99.168745066931081</v>
      </c>
      <c r="Q27" s="478">
        <f t="shared" si="3"/>
        <v>0.80230462568170546</v>
      </c>
    </row>
    <row r="28" spans="2:17" x14ac:dyDescent="0.25">
      <c r="B28" s="191">
        <v>43617</v>
      </c>
      <c r="C28" s="388">
        <v>200.3</v>
      </c>
      <c r="D28" s="388">
        <v>54.66</v>
      </c>
      <c r="E28" s="388">
        <v>2.4</v>
      </c>
      <c r="F28" s="186">
        <v>1.895</v>
      </c>
      <c r="G28" s="186">
        <v>4.57</v>
      </c>
      <c r="H28" s="388">
        <v>64.22</v>
      </c>
      <c r="I28" s="186">
        <v>0.44900000000000001</v>
      </c>
      <c r="K28" s="389">
        <f t="shared" si="0"/>
        <v>43617</v>
      </c>
      <c r="L28" s="390">
        <f t="shared" si="1"/>
        <v>76.534642735896142</v>
      </c>
      <c r="M28" s="390">
        <f t="shared" si="1"/>
        <v>3.3604672990514226</v>
      </c>
      <c r="N28" s="390">
        <f t="shared" si="1"/>
        <v>2.6533689715426858</v>
      </c>
      <c r="O28" s="390">
        <f t="shared" si="2"/>
        <v>6.3988898152770846</v>
      </c>
      <c r="P28" s="390">
        <f t="shared" si="2"/>
        <v>89.920504143784314</v>
      </c>
      <c r="Q28" s="478">
        <f t="shared" si="3"/>
        <v>0.62868742386420362</v>
      </c>
    </row>
    <row r="29" spans="2:17" x14ac:dyDescent="0.25">
      <c r="B29" s="191">
        <v>43647</v>
      </c>
      <c r="C29" s="388">
        <v>200.7</v>
      </c>
      <c r="D29" s="388">
        <v>57.35</v>
      </c>
      <c r="E29" s="388">
        <v>2.37</v>
      </c>
      <c r="F29" s="186">
        <v>1.952</v>
      </c>
      <c r="G29" s="186">
        <v>5.29</v>
      </c>
      <c r="H29" s="388">
        <v>63.92</v>
      </c>
      <c r="I29" s="186">
        <v>0.48699999999999999</v>
      </c>
      <c r="K29" s="389">
        <f t="shared" si="0"/>
        <v>43647</v>
      </c>
      <c r="L29" s="390">
        <f t="shared" si="1"/>
        <v>80.141124314897866</v>
      </c>
      <c r="M29" s="390">
        <f t="shared" si="1"/>
        <v>3.3118476831091184</v>
      </c>
      <c r="N29" s="390">
        <f t="shared" si="1"/>
        <v>2.7277327752864973</v>
      </c>
      <c r="O29" s="390">
        <f t="shared" si="2"/>
        <v>7.3922676133532637</v>
      </c>
      <c r="P29" s="390">
        <f t="shared" si="2"/>
        <v>89.322069157947183</v>
      </c>
      <c r="Q29" s="478">
        <f t="shared" si="3"/>
        <v>0.68053578973592421</v>
      </c>
    </row>
    <row r="30" spans="2:17" x14ac:dyDescent="0.25">
      <c r="B30" s="191">
        <v>43678</v>
      </c>
      <c r="C30" s="388">
        <v>199.2</v>
      </c>
      <c r="D30" s="388">
        <v>54.81</v>
      </c>
      <c r="E30" s="388">
        <v>2.2200000000000002</v>
      </c>
      <c r="F30" s="186">
        <v>1.869</v>
      </c>
      <c r="G30" s="186">
        <v>5.13</v>
      </c>
      <c r="H30" s="388">
        <v>59.04</v>
      </c>
      <c r="I30" s="186">
        <v>0.40500000000000003</v>
      </c>
      <c r="K30" s="389">
        <f t="shared" si="0"/>
        <v>43678</v>
      </c>
      <c r="L30" s="390">
        <f t="shared" si="1"/>
        <v>77.168462801204825</v>
      </c>
      <c r="M30" s="390">
        <f t="shared" si="1"/>
        <v>3.125597289156627</v>
      </c>
      <c r="N30" s="390">
        <f t="shared" si="1"/>
        <v>2.6314150150602411</v>
      </c>
      <c r="O30" s="390">
        <f t="shared" si="2"/>
        <v>7.2226640060240968</v>
      </c>
      <c r="P30" s="390">
        <f t="shared" si="2"/>
        <v>83.123992771084346</v>
      </c>
      <c r="Q30" s="478">
        <f t="shared" si="3"/>
        <v>0.57021031626506036</v>
      </c>
    </row>
    <row r="31" spans="2:17" x14ac:dyDescent="0.25">
      <c r="B31" s="191">
        <v>43709</v>
      </c>
      <c r="C31" s="388">
        <v>198.4</v>
      </c>
      <c r="D31" s="388">
        <v>56.95</v>
      </c>
      <c r="E31" s="388">
        <v>2.56</v>
      </c>
      <c r="F31" s="186">
        <v>1.9970000000000001</v>
      </c>
      <c r="G31" s="186">
        <v>5.28</v>
      </c>
      <c r="H31" s="388">
        <v>62.83</v>
      </c>
      <c r="I31" s="186">
        <v>0.44800000000000001</v>
      </c>
      <c r="K31" s="389">
        <f t="shared" si="0"/>
        <v>43709</v>
      </c>
      <c r="L31" s="390">
        <f t="shared" si="1"/>
        <v>80.504738155241938</v>
      </c>
      <c r="M31" s="390">
        <f t="shared" si="1"/>
        <v>3.6188258064516128</v>
      </c>
      <c r="N31" s="390">
        <f t="shared" si="1"/>
        <v>2.8229668497983873</v>
      </c>
      <c r="O31" s="390">
        <f t="shared" si="2"/>
        <v>7.4638282258064521</v>
      </c>
      <c r="P31" s="390">
        <f t="shared" si="2"/>
        <v>88.816728679435485</v>
      </c>
      <c r="Q31" s="478">
        <f t="shared" si="3"/>
        <v>0.63329451612903231</v>
      </c>
    </row>
    <row r="32" spans="2:17" x14ac:dyDescent="0.25">
      <c r="B32" s="191">
        <v>43739</v>
      </c>
      <c r="C32" s="388">
        <v>198.6</v>
      </c>
      <c r="D32" s="388">
        <v>53.96</v>
      </c>
      <c r="E32" s="388">
        <v>2.33</v>
      </c>
      <c r="F32" s="186">
        <v>2.0649999999999999</v>
      </c>
      <c r="G32" s="186">
        <v>5.31</v>
      </c>
      <c r="H32" s="388">
        <v>59.71</v>
      </c>
      <c r="I32" s="186">
        <v>0.46600000000000003</v>
      </c>
      <c r="K32" s="389">
        <f t="shared" si="0"/>
        <v>43739</v>
      </c>
      <c r="L32" s="390">
        <f t="shared" si="1"/>
        <v>76.201246928499501</v>
      </c>
      <c r="M32" s="390">
        <f t="shared" si="1"/>
        <v>3.2903800100704936</v>
      </c>
      <c r="N32" s="390">
        <f t="shared" si="1"/>
        <v>2.9161522406847937</v>
      </c>
      <c r="O32" s="390">
        <f t="shared" si="2"/>
        <v>7.4986771903323257</v>
      </c>
      <c r="P32" s="390">
        <f t="shared" si="2"/>
        <v>84.321283434038278</v>
      </c>
      <c r="Q32" s="478">
        <f t="shared" si="3"/>
        <v>0.65807600201409877</v>
      </c>
    </row>
    <row r="33" spans="2:17" x14ac:dyDescent="0.25">
      <c r="B33" s="191">
        <v>43770</v>
      </c>
      <c r="C33" s="388">
        <v>199</v>
      </c>
      <c r="D33" s="388">
        <v>57.03</v>
      </c>
      <c r="E33" s="388">
        <v>2.65</v>
      </c>
      <c r="F33" s="186">
        <v>2.109</v>
      </c>
      <c r="G33" s="186">
        <v>5.84</v>
      </c>
      <c r="H33" s="388">
        <v>63.21</v>
      </c>
      <c r="I33" s="186">
        <v>0.53300000000000003</v>
      </c>
      <c r="K33" s="389">
        <f t="shared" si="0"/>
        <v>43770</v>
      </c>
      <c r="L33" s="390">
        <f t="shared" si="1"/>
        <v>80.374757638190957</v>
      </c>
      <c r="M33" s="390">
        <f t="shared" si="1"/>
        <v>3.7347555276381907</v>
      </c>
      <c r="N33" s="390">
        <f t="shared" si="1"/>
        <v>2.9723016633165829</v>
      </c>
      <c r="O33" s="390">
        <f t="shared" si="2"/>
        <v>8.2305555778894472</v>
      </c>
      <c r="P33" s="390">
        <f t="shared" si="2"/>
        <v>89.084489396984921</v>
      </c>
      <c r="Q33" s="478">
        <f t="shared" si="3"/>
        <v>0.75117913065326636</v>
      </c>
    </row>
    <row r="34" spans="2:17" x14ac:dyDescent="0.25">
      <c r="B34" s="191">
        <v>43800</v>
      </c>
      <c r="C34" s="388">
        <v>199</v>
      </c>
      <c r="D34" s="388">
        <v>59.88</v>
      </c>
      <c r="E34" s="388">
        <v>2.2200000000000002</v>
      </c>
      <c r="F34" s="186">
        <v>1.9630000000000001</v>
      </c>
      <c r="G34" s="186">
        <v>5.55</v>
      </c>
      <c r="H34" s="388">
        <v>67.31</v>
      </c>
      <c r="I34" s="186">
        <v>0.496</v>
      </c>
      <c r="K34" s="389">
        <f t="shared" si="0"/>
        <v>43800</v>
      </c>
      <c r="L34" s="390">
        <f t="shared" si="1"/>
        <v>84.391381507537687</v>
      </c>
      <c r="M34" s="390">
        <f t="shared" si="1"/>
        <v>3.1287385929648246</v>
      </c>
      <c r="N34" s="390">
        <f t="shared" si="1"/>
        <v>2.7665377738693469</v>
      </c>
      <c r="O34" s="390">
        <f t="shared" si="2"/>
        <v>7.8218464824120604</v>
      </c>
      <c r="P34" s="390">
        <f t="shared" si="2"/>
        <v>94.862790402010049</v>
      </c>
      <c r="Q34" s="478">
        <f t="shared" si="3"/>
        <v>0.69903348743718596</v>
      </c>
    </row>
    <row r="35" spans="2:17" x14ac:dyDescent="0.25">
      <c r="B35" s="191">
        <v>43831</v>
      </c>
      <c r="C35" s="388">
        <v>199.3</v>
      </c>
      <c r="D35" s="388">
        <v>57.52</v>
      </c>
      <c r="E35" s="388">
        <v>2.02</v>
      </c>
      <c r="F35" s="186">
        <v>1.9059999999999999</v>
      </c>
      <c r="G35" s="186">
        <v>5.42</v>
      </c>
      <c r="H35" s="388">
        <v>63.65</v>
      </c>
      <c r="I35" s="186">
        <v>0.43</v>
      </c>
      <c r="K35" s="389">
        <f t="shared" si="0"/>
        <v>43831</v>
      </c>
      <c r="L35" s="390">
        <f t="shared" si="1"/>
        <v>80.943309984947319</v>
      </c>
      <c r="M35" s="390">
        <f t="shared" si="1"/>
        <v>2.8425849473156046</v>
      </c>
      <c r="N35" s="390">
        <f t="shared" si="1"/>
        <v>2.6821618364274959</v>
      </c>
      <c r="O35" s="390">
        <f t="shared" si="2"/>
        <v>7.6271338685398886</v>
      </c>
      <c r="P35" s="390">
        <f t="shared" si="2"/>
        <v>89.569570245860504</v>
      </c>
      <c r="Q35" s="478">
        <f t="shared" si="3"/>
        <v>0.6051047165077772</v>
      </c>
    </row>
    <row r="36" spans="2:17" x14ac:dyDescent="0.25">
      <c r="B36" s="191">
        <v>43862</v>
      </c>
      <c r="C36" s="388">
        <v>196.7</v>
      </c>
      <c r="D36" s="388">
        <v>50.54</v>
      </c>
      <c r="E36" s="388">
        <v>1.91</v>
      </c>
      <c r="F36" s="186">
        <v>1.7509999999999999</v>
      </c>
      <c r="G36" s="186">
        <v>5.12</v>
      </c>
      <c r="H36" s="388">
        <v>55.66</v>
      </c>
      <c r="I36" s="186">
        <v>0.39700000000000002</v>
      </c>
      <c r="K36" s="389">
        <f t="shared" si="0"/>
        <v>43862</v>
      </c>
      <c r="L36" s="390">
        <f t="shared" si="1"/>
        <v>72.060995729537368</v>
      </c>
      <c r="M36" s="390">
        <f t="shared" si="1"/>
        <v>2.7233182003050329</v>
      </c>
      <c r="N36" s="390">
        <f t="shared" si="1"/>
        <v>2.4966126537874938</v>
      </c>
      <c r="O36" s="390">
        <f t="shared" si="2"/>
        <v>7.3002037620742248</v>
      </c>
      <c r="P36" s="390">
        <f t="shared" si="2"/>
        <v>79.361199491611586</v>
      </c>
      <c r="Q36" s="478">
        <f t="shared" si="3"/>
        <v>0.56605095577020847</v>
      </c>
    </row>
    <row r="37" spans="2:17" x14ac:dyDescent="0.25">
      <c r="B37" s="191">
        <v>43891</v>
      </c>
      <c r="C37" s="388">
        <v>193.1</v>
      </c>
      <c r="D37" s="388">
        <v>29.21</v>
      </c>
      <c r="E37" s="388">
        <v>1.79</v>
      </c>
      <c r="F37" s="186">
        <v>1.2709999999999999</v>
      </c>
      <c r="G37" s="186">
        <v>4.91</v>
      </c>
      <c r="H37" s="388">
        <v>32.01</v>
      </c>
      <c r="I37" s="186">
        <v>0.29199999999999998</v>
      </c>
      <c r="K37" s="389">
        <f t="shared" si="0"/>
        <v>43891</v>
      </c>
      <c r="L37" s="390">
        <f t="shared" ref="L37:N64" si="4">($C$64/$C37)*D37</f>
        <v>42.42468871051269</v>
      </c>
      <c r="M37" s="390">
        <f t="shared" si="4"/>
        <v>2.5998011910926979</v>
      </c>
      <c r="N37" s="390">
        <f t="shared" si="4"/>
        <v>1.8460040859658207</v>
      </c>
      <c r="O37" s="390">
        <f t="shared" si="2"/>
        <v>7.1312982392542725</v>
      </c>
      <c r="P37" s="390">
        <f t="shared" si="2"/>
        <v>46.491416830657684</v>
      </c>
      <c r="Q37" s="478">
        <f t="shared" si="3"/>
        <v>0.42410164681512169</v>
      </c>
    </row>
    <row r="38" spans="2:17" x14ac:dyDescent="0.25">
      <c r="B38" s="191">
        <v>43922</v>
      </c>
      <c r="C38" s="388">
        <v>185.5</v>
      </c>
      <c r="D38" s="388">
        <v>16.55</v>
      </c>
      <c r="E38" s="388">
        <v>1.74</v>
      </c>
      <c r="F38" s="186">
        <v>0.82299999999999995</v>
      </c>
      <c r="G38" s="186">
        <v>4.74</v>
      </c>
      <c r="H38" s="388">
        <v>18.38</v>
      </c>
      <c r="I38" s="186">
        <v>0.32700000000000001</v>
      </c>
      <c r="K38" s="389">
        <f t="shared" si="0"/>
        <v>43922</v>
      </c>
      <c r="L38" s="390">
        <f t="shared" si="4"/>
        <v>25.022083288409704</v>
      </c>
      <c r="M38" s="390">
        <f t="shared" si="4"/>
        <v>2.630720539083558</v>
      </c>
      <c r="N38" s="390">
        <f t="shared" si="4"/>
        <v>1.2443005768194069</v>
      </c>
      <c r="O38" s="390">
        <f t="shared" si="2"/>
        <v>7.1664456064690034</v>
      </c>
      <c r="P38" s="390">
        <f t="shared" si="2"/>
        <v>27.788875579514823</v>
      </c>
      <c r="Q38" s="478">
        <f t="shared" si="3"/>
        <v>0.4943940323450135</v>
      </c>
    </row>
    <row r="39" spans="2:17" x14ac:dyDescent="0.25">
      <c r="B39" s="191">
        <v>43952</v>
      </c>
      <c r="C39" s="388">
        <v>188.6</v>
      </c>
      <c r="D39" s="388">
        <v>28.56</v>
      </c>
      <c r="E39" s="388">
        <v>1.75</v>
      </c>
      <c r="F39" s="186">
        <v>0.91100000000000003</v>
      </c>
      <c r="G39" s="186">
        <v>5.53</v>
      </c>
      <c r="H39" s="388">
        <v>29.38</v>
      </c>
      <c r="I39" s="186">
        <v>0.41699999999999998</v>
      </c>
      <c r="K39" s="389">
        <f t="shared" si="0"/>
        <v>43952</v>
      </c>
      <c r="L39" s="390">
        <f t="shared" si="4"/>
        <v>42.470355461293742</v>
      </c>
      <c r="M39" s="390">
        <f t="shared" si="4"/>
        <v>2.6023502120890774</v>
      </c>
      <c r="N39" s="390">
        <f t="shared" si="4"/>
        <v>1.3547091675503713</v>
      </c>
      <c r="O39" s="390">
        <f t="shared" si="2"/>
        <v>8.2234266702014853</v>
      </c>
      <c r="P39" s="390">
        <f t="shared" si="2"/>
        <v>43.689742417815481</v>
      </c>
      <c r="Q39" s="478">
        <f t="shared" si="3"/>
        <v>0.6201028791092259</v>
      </c>
    </row>
    <row r="40" spans="2:17" x14ac:dyDescent="0.25">
      <c r="B40" s="191">
        <v>43983</v>
      </c>
      <c r="C40" s="388">
        <v>191.2</v>
      </c>
      <c r="D40" s="388">
        <v>38.31</v>
      </c>
      <c r="E40" s="388">
        <v>1.63</v>
      </c>
      <c r="F40" s="186">
        <v>1.1819999999999999</v>
      </c>
      <c r="G40" s="186">
        <v>5.55</v>
      </c>
      <c r="H40" s="388">
        <v>40.270000000000003</v>
      </c>
      <c r="I40" s="186">
        <v>0.496</v>
      </c>
      <c r="K40" s="389">
        <f t="shared" si="0"/>
        <v>43983</v>
      </c>
      <c r="L40" s="390">
        <f t="shared" si="4"/>
        <v>56.194478504184112</v>
      </c>
      <c r="M40" s="390">
        <f t="shared" si="4"/>
        <v>2.3909423117154813</v>
      </c>
      <c r="N40" s="390">
        <f t="shared" si="4"/>
        <v>1.7337998849372387</v>
      </c>
      <c r="O40" s="390">
        <f t="shared" si="2"/>
        <v>8.1409385460251045</v>
      </c>
      <c r="P40" s="390">
        <f t="shared" si="2"/>
        <v>59.069476621338922</v>
      </c>
      <c r="Q40" s="478">
        <f t="shared" si="3"/>
        <v>0.72755054393305452</v>
      </c>
    </row>
    <row r="41" spans="2:17" x14ac:dyDescent="0.25">
      <c r="B41" s="191">
        <v>44013</v>
      </c>
      <c r="C41" s="388">
        <v>193</v>
      </c>
      <c r="D41" s="388">
        <v>40.71</v>
      </c>
      <c r="E41" s="388">
        <v>1.77</v>
      </c>
      <c r="F41" s="186">
        <v>1.262</v>
      </c>
      <c r="G41" s="186">
        <v>5.73</v>
      </c>
      <c r="H41" s="388">
        <v>43.24</v>
      </c>
      <c r="I41" s="186">
        <v>0.49099999999999999</v>
      </c>
      <c r="K41" s="389">
        <f t="shared" si="0"/>
        <v>44013</v>
      </c>
      <c r="L41" s="390">
        <f t="shared" si="4"/>
        <v>59.157957979274613</v>
      </c>
      <c r="M41" s="390">
        <f t="shared" si="4"/>
        <v>2.5720851295336788</v>
      </c>
      <c r="N41" s="390">
        <f t="shared" si="4"/>
        <v>1.8338821658031088</v>
      </c>
      <c r="O41" s="390">
        <f t="shared" si="2"/>
        <v>8.3265806735751298</v>
      </c>
      <c r="P41" s="390">
        <f t="shared" si="2"/>
        <v>62.834441243523315</v>
      </c>
      <c r="Q41" s="478">
        <f t="shared" si="3"/>
        <v>0.71349932124352333</v>
      </c>
    </row>
    <row r="42" spans="2:17" x14ac:dyDescent="0.25">
      <c r="B42" s="191">
        <v>44044</v>
      </c>
      <c r="C42" s="388">
        <v>194.3</v>
      </c>
      <c r="D42" s="388">
        <v>42.34</v>
      </c>
      <c r="E42" s="388">
        <v>2.2999999999999998</v>
      </c>
      <c r="F42" s="186">
        <v>1.292</v>
      </c>
      <c r="G42" s="186">
        <v>5.85</v>
      </c>
      <c r="H42" s="388">
        <v>44.74</v>
      </c>
      <c r="I42" s="186">
        <v>0.50600000000000001</v>
      </c>
      <c r="K42" s="389">
        <f t="shared" si="0"/>
        <v>44044</v>
      </c>
      <c r="L42" s="390">
        <f t="shared" si="4"/>
        <v>61.114946268656716</v>
      </c>
      <c r="M42" s="390">
        <f t="shared" si="4"/>
        <v>3.3198955223880593</v>
      </c>
      <c r="N42" s="390">
        <f t="shared" si="4"/>
        <v>1.8649152238805971</v>
      </c>
      <c r="O42" s="390">
        <f t="shared" si="2"/>
        <v>8.4440820895522375</v>
      </c>
      <c r="P42" s="390">
        <f t="shared" si="2"/>
        <v>64.579185074626864</v>
      </c>
      <c r="Q42" s="478">
        <f t="shared" si="3"/>
        <v>0.7303770149253731</v>
      </c>
    </row>
    <row r="43" spans="2:17" x14ac:dyDescent="0.25">
      <c r="B43" s="191">
        <v>44075</v>
      </c>
      <c r="C43" s="388">
        <v>195.5</v>
      </c>
      <c r="D43" s="388">
        <v>39.630000000000003</v>
      </c>
      <c r="E43" s="388">
        <v>1.92</v>
      </c>
      <c r="F43" s="186">
        <v>1.1639999999999999</v>
      </c>
      <c r="G43" s="186">
        <v>5.53</v>
      </c>
      <c r="H43" s="388">
        <v>40.909999999999997</v>
      </c>
      <c r="I43" s="186">
        <v>0.495</v>
      </c>
      <c r="K43" s="389">
        <f t="shared" si="0"/>
        <v>44075</v>
      </c>
      <c r="L43" s="390">
        <f t="shared" si="4"/>
        <v>56.85212363171356</v>
      </c>
      <c r="M43" s="390">
        <f t="shared" si="4"/>
        <v>2.7543799488491048</v>
      </c>
      <c r="N43" s="390">
        <f t="shared" si="4"/>
        <v>1.6698428439897697</v>
      </c>
      <c r="O43" s="390">
        <f t="shared" si="2"/>
        <v>7.9331880818414326</v>
      </c>
      <c r="P43" s="390">
        <f t="shared" si="2"/>
        <v>58.688376930946283</v>
      </c>
      <c r="Q43" s="478">
        <f t="shared" si="3"/>
        <v>0.71011358056265983</v>
      </c>
    </row>
    <row r="44" spans="2:17" x14ac:dyDescent="0.25">
      <c r="B44" s="191">
        <v>44105</v>
      </c>
      <c r="C44" s="388">
        <v>196.5</v>
      </c>
      <c r="D44" s="388">
        <v>39.4</v>
      </c>
      <c r="E44" s="388">
        <v>2.39</v>
      </c>
      <c r="F44" s="186">
        <v>1.2110000000000001</v>
      </c>
      <c r="G44" s="186">
        <v>5.8</v>
      </c>
      <c r="H44" s="388">
        <v>40.19</v>
      </c>
      <c r="I44" s="186">
        <v>0.52600000000000002</v>
      </c>
      <c r="K44" s="389">
        <f t="shared" si="0"/>
        <v>44105</v>
      </c>
      <c r="L44" s="390">
        <f t="shared" si="4"/>
        <v>56.234527226463101</v>
      </c>
      <c r="M44" s="390">
        <f t="shared" si="4"/>
        <v>3.4111807124681932</v>
      </c>
      <c r="N44" s="390">
        <f t="shared" si="4"/>
        <v>1.7284267124681933</v>
      </c>
      <c r="O44" s="390">
        <f t="shared" si="2"/>
        <v>8.27817913486005</v>
      </c>
      <c r="P44" s="390">
        <f t="shared" si="2"/>
        <v>57.362072315521623</v>
      </c>
      <c r="Q44" s="478">
        <f t="shared" si="3"/>
        <v>0.75074521119592874</v>
      </c>
    </row>
    <row r="45" spans="2:17" x14ac:dyDescent="0.25">
      <c r="B45" s="191">
        <v>44136</v>
      </c>
      <c r="C45" s="388">
        <v>198.3</v>
      </c>
      <c r="D45" s="388">
        <v>40.94</v>
      </c>
      <c r="E45" s="388">
        <v>2.61</v>
      </c>
      <c r="F45" s="186">
        <v>1.3680000000000001</v>
      </c>
      <c r="G45" s="186">
        <v>6.58</v>
      </c>
      <c r="H45" s="388">
        <v>42.69</v>
      </c>
      <c r="I45" s="186">
        <v>0.54500000000000004</v>
      </c>
      <c r="K45" s="389">
        <f t="shared" si="0"/>
        <v>44136</v>
      </c>
      <c r="L45" s="390">
        <f t="shared" si="4"/>
        <v>57.90212536560766</v>
      </c>
      <c r="M45" s="390">
        <f t="shared" si="4"/>
        <v>3.6913665658093797</v>
      </c>
      <c r="N45" s="390">
        <f t="shared" si="4"/>
        <v>1.9347852344931924</v>
      </c>
      <c r="O45" s="390">
        <f t="shared" si="2"/>
        <v>9.3062038325769034</v>
      </c>
      <c r="P45" s="390">
        <f t="shared" si="2"/>
        <v>60.377179576399392</v>
      </c>
      <c r="Q45" s="478">
        <f t="shared" si="3"/>
        <v>0.77080259707513876</v>
      </c>
    </row>
    <row r="46" spans="2:17" x14ac:dyDescent="0.25">
      <c r="B46" s="191">
        <v>44166</v>
      </c>
      <c r="C46" s="388">
        <v>200.5</v>
      </c>
      <c r="D46" s="388">
        <v>47.02</v>
      </c>
      <c r="E46" s="388">
        <v>2.59</v>
      </c>
      <c r="F46" s="186">
        <v>1.542</v>
      </c>
      <c r="G46" s="186">
        <v>6.48</v>
      </c>
      <c r="H46" s="388">
        <v>49.99</v>
      </c>
      <c r="I46" s="186">
        <v>0.64400000000000002</v>
      </c>
      <c r="K46" s="389">
        <f t="shared" si="0"/>
        <v>44166</v>
      </c>
      <c r="L46" s="390">
        <f t="shared" si="4"/>
        <v>65.771482194513723</v>
      </c>
      <c r="M46" s="390">
        <f t="shared" si="4"/>
        <v>3.6228868329177057</v>
      </c>
      <c r="N46" s="390">
        <f t="shared" si="4"/>
        <v>2.1569465236907734</v>
      </c>
      <c r="O46" s="390">
        <f t="shared" si="2"/>
        <v>9.0642110723192033</v>
      </c>
      <c r="P46" s="390">
        <f t="shared" si="2"/>
        <v>69.925912269326687</v>
      </c>
      <c r="Q46" s="478">
        <f t="shared" si="3"/>
        <v>0.9008259152119702</v>
      </c>
    </row>
    <row r="47" spans="2:17" x14ac:dyDescent="0.25">
      <c r="B47" s="191">
        <v>44197</v>
      </c>
      <c r="C47" s="388">
        <v>204.8</v>
      </c>
      <c r="D47" s="388">
        <v>52</v>
      </c>
      <c r="E47" s="388">
        <v>2.71</v>
      </c>
      <c r="F47" s="186">
        <v>1.5820000000000001</v>
      </c>
      <c r="G47" s="186">
        <v>6.08</v>
      </c>
      <c r="H47" s="388">
        <v>54.77</v>
      </c>
      <c r="I47" s="186">
        <v>0.86299999999999999</v>
      </c>
      <c r="K47" s="389">
        <f t="shared" si="0"/>
        <v>44197</v>
      </c>
      <c r="L47" s="390">
        <f t="shared" si="4"/>
        <v>71.210292968749997</v>
      </c>
      <c r="M47" s="390">
        <f t="shared" si="4"/>
        <v>3.7111518066406246</v>
      </c>
      <c r="N47" s="390">
        <f t="shared" si="4"/>
        <v>2.1664362207031247</v>
      </c>
      <c r="O47" s="390">
        <f t="shared" si="2"/>
        <v>8.3261265624999989</v>
      </c>
      <c r="P47" s="390">
        <f t="shared" si="2"/>
        <v>75.003610498046868</v>
      </c>
      <c r="Q47" s="478">
        <f t="shared" si="3"/>
        <v>1.1818169775390623</v>
      </c>
    </row>
    <row r="48" spans="2:17" x14ac:dyDescent="0.25">
      <c r="B48" s="191">
        <v>44228</v>
      </c>
      <c r="C48" s="388">
        <v>210.6</v>
      </c>
      <c r="D48" s="388">
        <v>59.04</v>
      </c>
      <c r="E48" s="388">
        <v>5.35</v>
      </c>
      <c r="F48" s="186">
        <v>1.835</v>
      </c>
      <c r="G48" s="186">
        <v>6.52</v>
      </c>
      <c r="H48" s="388">
        <v>62.28</v>
      </c>
      <c r="I48" s="186">
        <v>0.90500000000000003</v>
      </c>
      <c r="K48" s="389">
        <f t="shared" si="0"/>
        <v>44228</v>
      </c>
      <c r="L48" s="390">
        <f t="shared" si="4"/>
        <v>78.624403418803425</v>
      </c>
      <c r="M48" s="390">
        <f t="shared" si="4"/>
        <v>7.1246707027540355</v>
      </c>
      <c r="N48" s="390">
        <f t="shared" si="4"/>
        <v>2.4436954653371319</v>
      </c>
      <c r="O48" s="390">
        <f t="shared" si="2"/>
        <v>8.6827762583095911</v>
      </c>
      <c r="P48" s="390">
        <f t="shared" si="2"/>
        <v>82.939157264957274</v>
      </c>
      <c r="Q48" s="478">
        <f t="shared" si="3"/>
        <v>1.2052013057929725</v>
      </c>
    </row>
    <row r="49" spans="1:17" x14ac:dyDescent="0.25">
      <c r="B49" s="191">
        <v>44256</v>
      </c>
      <c r="C49" s="388">
        <v>215</v>
      </c>
      <c r="D49" s="388">
        <v>62.33</v>
      </c>
      <c r="E49" s="388">
        <v>2.62</v>
      </c>
      <c r="F49" s="186">
        <v>1.9359999999999999</v>
      </c>
      <c r="G49" s="186">
        <v>6.25</v>
      </c>
      <c r="H49" s="388">
        <v>65.41</v>
      </c>
      <c r="I49" s="186">
        <v>0.92200000000000004</v>
      </c>
      <c r="K49" s="389">
        <f t="shared" si="0"/>
        <v>44256</v>
      </c>
      <c r="L49" s="390">
        <f t="shared" si="4"/>
        <v>81.307020790697663</v>
      </c>
      <c r="M49" s="390">
        <f t="shared" si="4"/>
        <v>3.4176864186046512</v>
      </c>
      <c r="N49" s="390">
        <f t="shared" si="4"/>
        <v>2.5254354604651161</v>
      </c>
      <c r="O49" s="390">
        <f t="shared" si="2"/>
        <v>8.1528779069767445</v>
      </c>
      <c r="P49" s="390">
        <f t="shared" si="2"/>
        <v>85.324759023255808</v>
      </c>
      <c r="Q49" s="478">
        <f t="shared" si="3"/>
        <v>1.2027125488372092</v>
      </c>
    </row>
    <row r="50" spans="1:17" x14ac:dyDescent="0.25">
      <c r="B50" s="191">
        <v>44287</v>
      </c>
      <c r="C50" s="388">
        <v>217.9</v>
      </c>
      <c r="D50" s="388">
        <v>61.72</v>
      </c>
      <c r="E50" s="388">
        <v>2.66</v>
      </c>
      <c r="F50" s="186">
        <v>1.897</v>
      </c>
      <c r="G50" s="186">
        <v>5.92</v>
      </c>
      <c r="H50" s="388">
        <v>64.81</v>
      </c>
      <c r="I50" s="186">
        <v>0.82299999999999995</v>
      </c>
      <c r="K50" s="389">
        <f t="shared" si="0"/>
        <v>44287</v>
      </c>
      <c r="L50" s="390">
        <f t="shared" si="4"/>
        <v>79.439786507572279</v>
      </c>
      <c r="M50" s="390">
        <f t="shared" si="4"/>
        <v>3.4236849013308857</v>
      </c>
      <c r="N50" s="390">
        <f t="shared" si="4"/>
        <v>2.4416279164754471</v>
      </c>
      <c r="O50" s="390">
        <f t="shared" si="2"/>
        <v>7.6196295548416701</v>
      </c>
      <c r="P50" s="390">
        <f t="shared" si="2"/>
        <v>83.416924231298751</v>
      </c>
      <c r="Q50" s="478">
        <f t="shared" si="3"/>
        <v>1.0592829600734279</v>
      </c>
    </row>
    <row r="51" spans="1:17" x14ac:dyDescent="0.25">
      <c r="B51" s="191">
        <v>44317</v>
      </c>
      <c r="C51" s="388">
        <v>224.9</v>
      </c>
      <c r="D51" s="388">
        <v>65.17</v>
      </c>
      <c r="E51" s="388">
        <v>2.91</v>
      </c>
      <c r="F51" s="186">
        <v>2.02</v>
      </c>
      <c r="G51" s="186">
        <v>6.46</v>
      </c>
      <c r="H51" s="388">
        <v>68.53</v>
      </c>
      <c r="I51" s="186">
        <v>0.81599999999999995</v>
      </c>
      <c r="K51" s="389">
        <f t="shared" si="0"/>
        <v>44317</v>
      </c>
      <c r="L51" s="390">
        <f t="shared" si="4"/>
        <v>81.269511027123173</v>
      </c>
      <c r="M51" s="390">
        <f t="shared" si="4"/>
        <v>3.6288825700311254</v>
      </c>
      <c r="N51" s="390">
        <f t="shared" si="4"/>
        <v>2.5190181413961761</v>
      </c>
      <c r="O51" s="390">
        <f t="shared" si="2"/>
        <v>8.0558698977323253</v>
      </c>
      <c r="P51" s="390">
        <f t="shared" si="2"/>
        <v>85.459561004891071</v>
      </c>
      <c r="Q51" s="478">
        <f t="shared" si="3"/>
        <v>1.0175835660293464</v>
      </c>
    </row>
    <row r="52" spans="1:17" x14ac:dyDescent="0.25">
      <c r="B52" s="191">
        <v>44348</v>
      </c>
      <c r="C52" s="388">
        <v>228.9</v>
      </c>
      <c r="D52" s="388">
        <v>71.38</v>
      </c>
      <c r="E52" s="388">
        <v>3.26</v>
      </c>
      <c r="F52" s="186">
        <v>2.077</v>
      </c>
      <c r="G52" s="186">
        <v>6.57</v>
      </c>
      <c r="H52" s="388">
        <v>73.16</v>
      </c>
      <c r="I52" s="186">
        <v>0.96499999999999997</v>
      </c>
      <c r="K52" s="389">
        <f t="shared" si="0"/>
        <v>44348</v>
      </c>
      <c r="L52" s="390">
        <f t="shared" si="4"/>
        <v>87.458118916557439</v>
      </c>
      <c r="M52" s="390">
        <f t="shared" si="4"/>
        <v>3.9943046745303619</v>
      </c>
      <c r="N52" s="390">
        <f t="shared" si="4"/>
        <v>2.5448376714722585</v>
      </c>
      <c r="O52" s="390">
        <f t="shared" si="2"/>
        <v>8.0498716906946264</v>
      </c>
      <c r="P52" s="390">
        <f t="shared" si="2"/>
        <v>89.63905827872432</v>
      </c>
      <c r="Q52" s="478">
        <f t="shared" si="3"/>
        <v>1.1823631935342944</v>
      </c>
    </row>
    <row r="53" spans="1:17" x14ac:dyDescent="0.25">
      <c r="B53" s="191">
        <v>44378</v>
      </c>
      <c r="C53" s="388">
        <v>231.85</v>
      </c>
      <c r="D53" s="388">
        <v>72.489999999999995</v>
      </c>
      <c r="E53" s="388">
        <v>3.84</v>
      </c>
      <c r="F53" s="186">
        <v>2.1240000000000001</v>
      </c>
      <c r="G53" s="186">
        <v>7.23</v>
      </c>
      <c r="H53" s="388">
        <v>75.17</v>
      </c>
      <c r="I53" s="186">
        <v>1.0900000000000001</v>
      </c>
      <c r="K53" s="389">
        <f t="shared" si="0"/>
        <v>44378</v>
      </c>
      <c r="L53" s="390">
        <f t="shared" si="4"/>
        <v>87.688043605779598</v>
      </c>
      <c r="M53" s="390">
        <f t="shared" si="4"/>
        <v>4.6450832866077203</v>
      </c>
      <c r="N53" s="390">
        <f t="shared" si="4"/>
        <v>2.5693116929048956</v>
      </c>
      <c r="O53" s="390">
        <f t="shared" si="2"/>
        <v>8.7458208755660998</v>
      </c>
      <c r="P53" s="390">
        <f t="shared" si="2"/>
        <v>90.929924649557904</v>
      </c>
      <c r="Q53" s="478">
        <f t="shared" si="3"/>
        <v>1.3185262454172959</v>
      </c>
    </row>
    <row r="54" spans="1:17" x14ac:dyDescent="0.25">
      <c r="B54" s="191">
        <v>44409</v>
      </c>
      <c r="C54" s="388">
        <v>233.41499999999999</v>
      </c>
      <c r="D54" s="388">
        <v>67.73</v>
      </c>
      <c r="E54" s="388">
        <v>4.07</v>
      </c>
      <c r="F54" s="186">
        <v>2.1549999999999998</v>
      </c>
      <c r="G54" s="186">
        <v>7.75</v>
      </c>
      <c r="H54" s="388">
        <v>70.75</v>
      </c>
      <c r="I54" s="186">
        <v>1.115</v>
      </c>
      <c r="K54" s="389">
        <f t="shared" si="0"/>
        <v>44409</v>
      </c>
      <c r="L54" s="390">
        <f t="shared" si="4"/>
        <v>81.380751322751337</v>
      </c>
      <c r="M54" s="390">
        <f t="shared" si="4"/>
        <v>4.8902946682946693</v>
      </c>
      <c r="N54" s="390">
        <f t="shared" si="4"/>
        <v>2.5893329263329261</v>
      </c>
      <c r="O54" s="390">
        <f t="shared" si="2"/>
        <v>9.3119861619861624</v>
      </c>
      <c r="P54" s="390">
        <f t="shared" si="2"/>
        <v>85.009422059422064</v>
      </c>
      <c r="Q54" s="478">
        <f t="shared" si="3"/>
        <v>1.3397244607244607</v>
      </c>
    </row>
    <row r="55" spans="1:17" x14ac:dyDescent="0.25">
      <c r="B55" s="191">
        <v>44440</v>
      </c>
      <c r="C55" s="388">
        <v>235.678</v>
      </c>
      <c r="D55" s="388">
        <v>71.650000000000006</v>
      </c>
      <c r="E55" s="388">
        <v>5.16</v>
      </c>
      <c r="F55" s="186">
        <v>2.2509999999999999</v>
      </c>
      <c r="G55" s="186">
        <v>8.34</v>
      </c>
      <c r="H55" s="388">
        <v>74.489999999999995</v>
      </c>
      <c r="I55" s="186">
        <v>1.2909999999999999</v>
      </c>
      <c r="K55" s="389">
        <f t="shared" si="0"/>
        <v>44440</v>
      </c>
      <c r="L55" s="390">
        <f t="shared" si="4"/>
        <v>85.264162755963653</v>
      </c>
      <c r="M55" s="390">
        <f t="shared" si="4"/>
        <v>6.1404477295292725</v>
      </c>
      <c r="N55" s="390">
        <f t="shared" si="4"/>
        <v>2.6787108215446498</v>
      </c>
      <c r="O55" s="390">
        <f t="shared" si="2"/>
        <v>9.9246771442391726</v>
      </c>
      <c r="P55" s="390">
        <f t="shared" si="2"/>
        <v>88.64378902570455</v>
      </c>
      <c r="Q55" s="478">
        <f t="shared" si="3"/>
        <v>1.5363019416322268</v>
      </c>
    </row>
    <row r="56" spans="1:17" x14ac:dyDescent="0.25">
      <c r="B56" s="191">
        <v>44470</v>
      </c>
      <c r="C56" s="388">
        <v>240.465</v>
      </c>
      <c r="D56" s="388">
        <v>81.48</v>
      </c>
      <c r="E56" s="388">
        <v>5.51</v>
      </c>
      <c r="F56" s="186">
        <v>2.512</v>
      </c>
      <c r="G56" s="186">
        <v>9.98</v>
      </c>
      <c r="H56" s="388">
        <v>83.54</v>
      </c>
      <c r="I56" s="186">
        <v>1.454</v>
      </c>
      <c r="K56" s="389">
        <f t="shared" si="0"/>
        <v>44470</v>
      </c>
      <c r="L56" s="390">
        <f t="shared" si="4"/>
        <v>95.031706568523489</v>
      </c>
      <c r="M56" s="390">
        <f t="shared" si="4"/>
        <v>6.4264200195454633</v>
      </c>
      <c r="N56" s="390">
        <f t="shared" si="4"/>
        <v>2.9297943900359718</v>
      </c>
      <c r="O56" s="390">
        <f t="shared" si="2"/>
        <v>11.639867839394507</v>
      </c>
      <c r="P56" s="390">
        <f t="shared" si="2"/>
        <v>97.434324579460636</v>
      </c>
      <c r="Q56" s="478">
        <f t="shared" si="3"/>
        <v>1.69582844072942</v>
      </c>
    </row>
    <row r="57" spans="1:17" x14ac:dyDescent="0.25">
      <c r="B57" s="191">
        <v>44501</v>
      </c>
      <c r="C57" s="388">
        <v>243.28700000000001</v>
      </c>
      <c r="D57" s="388">
        <v>79.150000000000006</v>
      </c>
      <c r="E57" s="388">
        <v>5.05</v>
      </c>
      <c r="F57" s="186">
        <v>2.5089999999999999</v>
      </c>
      <c r="G57" s="186">
        <v>10.24</v>
      </c>
      <c r="H57" s="388">
        <v>81.05</v>
      </c>
      <c r="I57" s="186">
        <v>1.252</v>
      </c>
      <c r="K57" s="389">
        <f t="shared" si="0"/>
        <v>44501</v>
      </c>
      <c r="L57" s="390">
        <f t="shared" si="4"/>
        <v>91.243386822970407</v>
      </c>
      <c r="M57" s="390">
        <f t="shared" si="4"/>
        <v>5.8215932211749903</v>
      </c>
      <c r="N57" s="390">
        <f t="shared" si="4"/>
        <v>2.8923519587976338</v>
      </c>
      <c r="O57" s="390">
        <f t="shared" si="2"/>
        <v>11.804577145511269</v>
      </c>
      <c r="P57" s="390">
        <f t="shared" si="2"/>
        <v>93.43368922301643</v>
      </c>
      <c r="Q57" s="478">
        <f t="shared" si="3"/>
        <v>1.4432940025566512</v>
      </c>
    </row>
    <row r="58" spans="1:17" x14ac:dyDescent="0.25">
      <c r="B58" s="191">
        <v>44531</v>
      </c>
      <c r="C58" s="388">
        <v>241.33799999999999</v>
      </c>
      <c r="D58" s="388">
        <v>71.709999999999994</v>
      </c>
      <c r="E58" s="388">
        <v>3.76</v>
      </c>
      <c r="F58" s="186">
        <v>2.2909999999999999</v>
      </c>
      <c r="G58" s="186">
        <v>9.6199999999999992</v>
      </c>
      <c r="H58" s="388">
        <v>74.17</v>
      </c>
      <c r="I58" s="186">
        <v>1.0329999999999999</v>
      </c>
      <c r="K58" s="389">
        <f t="shared" si="0"/>
        <v>44531</v>
      </c>
      <c r="L58" s="390">
        <f t="shared" si="4"/>
        <v>83.334223744292245</v>
      </c>
      <c r="M58" s="390">
        <f t="shared" si="4"/>
        <v>4.3694977168949771</v>
      </c>
      <c r="N58" s="390">
        <f t="shared" si="4"/>
        <v>2.6623721461187215</v>
      </c>
      <c r="O58" s="390">
        <f t="shared" si="2"/>
        <v>11.179406392694064</v>
      </c>
      <c r="P58" s="390">
        <f t="shared" si="2"/>
        <v>86.192990867579923</v>
      </c>
      <c r="Q58" s="478">
        <f t="shared" si="3"/>
        <v>1.2004497716894977</v>
      </c>
    </row>
    <row r="59" spans="1:17" x14ac:dyDescent="0.25">
      <c r="B59" s="191">
        <v>44562</v>
      </c>
      <c r="C59" s="388">
        <v>248.35300000000001</v>
      </c>
      <c r="D59" s="388">
        <v>83.22</v>
      </c>
      <c r="E59" s="388">
        <v>4.38</v>
      </c>
      <c r="F59" s="186">
        <v>2.6739999999999999</v>
      </c>
      <c r="G59" s="186">
        <v>8.56</v>
      </c>
      <c r="H59" s="388">
        <v>86.51</v>
      </c>
      <c r="I59" s="186">
        <v>1.169</v>
      </c>
      <c r="K59" s="389">
        <f t="shared" si="0"/>
        <v>44562</v>
      </c>
      <c r="L59" s="390">
        <f t="shared" si="4"/>
        <v>93.978321099402862</v>
      </c>
      <c r="M59" s="390">
        <f t="shared" si="4"/>
        <v>4.9462274262843611</v>
      </c>
      <c r="N59" s="390">
        <f t="shared" si="4"/>
        <v>3.0196831365032835</v>
      </c>
      <c r="O59" s="390">
        <f t="shared" si="2"/>
        <v>9.666599718948433</v>
      </c>
      <c r="P59" s="390">
        <f t="shared" si="2"/>
        <v>97.693638047456659</v>
      </c>
      <c r="Q59" s="478">
        <f t="shared" si="3"/>
        <v>1.320123256010598</v>
      </c>
    </row>
    <row r="60" spans="1:17" x14ac:dyDescent="0.25">
      <c r="B60" s="191">
        <v>44593</v>
      </c>
      <c r="C60" s="388">
        <v>254.505</v>
      </c>
      <c r="D60" s="388">
        <v>91.64</v>
      </c>
      <c r="E60" s="388">
        <v>4.6900000000000004</v>
      </c>
      <c r="F60" s="186">
        <v>2.851</v>
      </c>
      <c r="G60" s="186">
        <v>10.17</v>
      </c>
      <c r="H60" s="388">
        <v>97.13</v>
      </c>
      <c r="I60" s="186">
        <v>1.2829999999999999</v>
      </c>
      <c r="J60" s="391"/>
      <c r="K60" s="389">
        <f t="shared" si="0"/>
        <v>44593</v>
      </c>
      <c r="L60" s="390">
        <f t="shared" si="4"/>
        <v>100.98529600597237</v>
      </c>
      <c r="M60" s="390">
        <f t="shared" si="4"/>
        <v>5.1682784621127285</v>
      </c>
      <c r="N60" s="390">
        <f t="shared" si="4"/>
        <v>3.1417402762224711</v>
      </c>
      <c r="O60" s="390">
        <f t="shared" si="2"/>
        <v>11.207119820828666</v>
      </c>
      <c r="P60" s="390">
        <f t="shared" si="2"/>
        <v>107.03515714818961</v>
      </c>
      <c r="Q60" s="478">
        <f t="shared" si="3"/>
        <v>1.4138382232176183</v>
      </c>
    </row>
    <row r="61" spans="1:17" x14ac:dyDescent="0.25">
      <c r="B61" s="191">
        <v>44621</v>
      </c>
      <c r="C61" s="388">
        <v>260.01400000000001</v>
      </c>
      <c r="D61" s="388">
        <v>108.5</v>
      </c>
      <c r="E61" s="388">
        <v>4.9000000000000004</v>
      </c>
      <c r="F61" s="186">
        <v>3.6309999999999998</v>
      </c>
      <c r="G61" s="186">
        <v>9.15</v>
      </c>
      <c r="H61" s="388">
        <v>117.25</v>
      </c>
      <c r="I61" s="186">
        <v>1.448</v>
      </c>
      <c r="J61" s="391"/>
      <c r="K61" s="389">
        <f t="shared" si="0"/>
        <v>44621</v>
      </c>
      <c r="L61" s="390">
        <f t="shared" si="4"/>
        <v>117.03139638634842</v>
      </c>
      <c r="M61" s="390">
        <f t="shared" si="4"/>
        <v>5.2852888690608966</v>
      </c>
      <c r="N61" s="390">
        <f t="shared" si="4"/>
        <v>3.9165069150122678</v>
      </c>
      <c r="O61" s="390">
        <f t="shared" si="2"/>
        <v>9.869467990185143</v>
      </c>
      <c r="P61" s="390">
        <f t="shared" si="2"/>
        <v>126.46941222395716</v>
      </c>
      <c r="Q61" s="478">
        <f t="shared" si="3"/>
        <v>1.5618567923265667</v>
      </c>
    </row>
    <row r="62" spans="1:17" x14ac:dyDescent="0.25">
      <c r="A62" s="392" t="s">
        <v>616</v>
      </c>
      <c r="B62" s="191">
        <v>44652</v>
      </c>
      <c r="C62" s="388">
        <v>265.41199999999998</v>
      </c>
      <c r="D62" s="388">
        <v>101.78</v>
      </c>
      <c r="E62" s="388">
        <v>6.6</v>
      </c>
      <c r="F62" s="186">
        <v>3.887</v>
      </c>
      <c r="G62" s="186">
        <v>10.33</v>
      </c>
      <c r="H62" s="388">
        <v>104.58</v>
      </c>
      <c r="I62" s="186">
        <v>1.302</v>
      </c>
      <c r="J62" s="391"/>
      <c r="K62" s="389">
        <f t="shared" si="0"/>
        <v>44652</v>
      </c>
      <c r="L62" s="390">
        <f t="shared" si="4"/>
        <v>107.55021257516617</v>
      </c>
      <c r="M62" s="390">
        <f t="shared" si="4"/>
        <v>6.9741737374346302</v>
      </c>
      <c r="N62" s="390">
        <f t="shared" si="4"/>
        <v>4.1073656541527894</v>
      </c>
      <c r="O62" s="390">
        <f t="shared" si="2"/>
        <v>10.915638592075718</v>
      </c>
      <c r="P62" s="390">
        <f t="shared" si="2"/>
        <v>110.50895294862327</v>
      </c>
      <c r="Q62" s="478">
        <f t="shared" si="3"/>
        <v>1.3758142736575589</v>
      </c>
    </row>
    <row r="63" spans="1:17" x14ac:dyDescent="0.25">
      <c r="A63" s="392" t="s">
        <v>616</v>
      </c>
      <c r="B63" s="191">
        <v>44682</v>
      </c>
      <c r="C63" s="388">
        <v>273.3</v>
      </c>
      <c r="D63" s="388">
        <v>109.55</v>
      </c>
      <c r="E63" s="388">
        <v>8.14</v>
      </c>
      <c r="F63" s="186">
        <v>4.05</v>
      </c>
      <c r="G63" s="186">
        <v>12.33</v>
      </c>
      <c r="H63" s="388">
        <v>113.34</v>
      </c>
      <c r="I63" s="186">
        <v>1.2230000000000001</v>
      </c>
      <c r="J63" s="391"/>
      <c r="K63" s="389">
        <f t="shared" si="0"/>
        <v>44682</v>
      </c>
      <c r="L63" s="390">
        <f t="shared" si="4"/>
        <v>112.41962477131358</v>
      </c>
      <c r="M63" s="390">
        <f t="shared" si="4"/>
        <v>8.3532245151847793</v>
      </c>
      <c r="N63" s="390">
        <f t="shared" si="4"/>
        <v>4.1560883644346873</v>
      </c>
      <c r="O63" s="390">
        <f t="shared" si="2"/>
        <v>12.652980131723382</v>
      </c>
      <c r="P63" s="390">
        <f t="shared" si="2"/>
        <v>116.30890252469814</v>
      </c>
      <c r="Q63" s="478">
        <f t="shared" si="3"/>
        <v>1.2550360665934872</v>
      </c>
    </row>
    <row r="64" spans="1:17" x14ac:dyDescent="0.25">
      <c r="A64" s="392" t="s">
        <v>616</v>
      </c>
      <c r="B64" s="191">
        <v>44713</v>
      </c>
      <c r="C64" s="388">
        <v>280.459</v>
      </c>
      <c r="D64" s="388">
        <v>114.84</v>
      </c>
      <c r="E64" s="388">
        <v>7.7</v>
      </c>
      <c r="F64" s="186">
        <v>4.3819999999999997</v>
      </c>
      <c r="G64" s="186">
        <v>14.37</v>
      </c>
      <c r="H64" s="388">
        <v>122.71</v>
      </c>
      <c r="I64" s="186">
        <v>1.2190000000000001</v>
      </c>
      <c r="J64" s="391"/>
      <c r="K64" s="389">
        <f t="shared" si="0"/>
        <v>44713</v>
      </c>
      <c r="L64" s="390">
        <f t="shared" si="4"/>
        <v>114.84</v>
      </c>
      <c r="M64" s="390">
        <f t="shared" si="4"/>
        <v>7.7</v>
      </c>
      <c r="N64" s="390">
        <f t="shared" si="4"/>
        <v>4.3819999999999997</v>
      </c>
      <c r="O64" s="390">
        <f t="shared" si="2"/>
        <v>14.37</v>
      </c>
      <c r="P64" s="390">
        <f t="shared" si="2"/>
        <v>122.71</v>
      </c>
      <c r="Q64" s="478">
        <f t="shared" si="3"/>
        <v>1.2190000000000001</v>
      </c>
    </row>
    <row r="65" spans="1:17" x14ac:dyDescent="0.25">
      <c r="A65" s="392"/>
      <c r="B65" s="191">
        <v>44743</v>
      </c>
      <c r="F65" s="186">
        <v>3.63</v>
      </c>
      <c r="I65" s="186">
        <v>1.1419999999999999</v>
      </c>
      <c r="K65" s="389">
        <f t="shared" si="0"/>
        <v>44743</v>
      </c>
      <c r="M65" s="1" t="s">
        <v>617</v>
      </c>
      <c r="N65" s="390">
        <f>($C$64/$C64)*F65</f>
        <v>3.63</v>
      </c>
      <c r="O65" s="390" t="str">
        <f t="shared" si="2"/>
        <v/>
      </c>
      <c r="P65" s="390" t="str">
        <f>IF(H65="","",($C$64/$C65)*H65)</f>
        <v/>
      </c>
      <c r="Q65" s="478" t="e">
        <f t="shared" si="3"/>
        <v>#DIV/0!</v>
      </c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E3CE7-441D-4A22-9B56-F5DD17E9687A}">
  <sheetPr codeName="Sheet34"/>
  <dimension ref="A1:R34"/>
  <sheetViews>
    <sheetView workbookViewId="0">
      <selection activeCell="R23" sqref="R23"/>
    </sheetView>
  </sheetViews>
  <sheetFormatPr defaultColWidth="8.85546875" defaultRowHeight="15" x14ac:dyDescent="0.25"/>
  <cols>
    <col min="1" max="1" width="21.5703125" style="1" customWidth="1"/>
    <col min="2" max="2" width="5" style="1" bestFit="1" customWidth="1"/>
    <col min="3" max="3" width="16" style="1" customWidth="1"/>
    <col min="4" max="4" width="13" style="1" customWidth="1"/>
    <col min="5" max="8" width="11.28515625" style="141" customWidth="1"/>
    <col min="9" max="9" width="13.42578125" style="1" bestFit="1" customWidth="1"/>
    <col min="10" max="13" width="14.140625" style="1" customWidth="1"/>
    <col min="14" max="14" width="8.85546875" style="1"/>
    <col min="15" max="15" width="9.85546875" style="1" customWidth="1"/>
    <col min="16" max="16" width="13.28515625" style="1" customWidth="1"/>
    <col min="17" max="17" width="11.28515625" style="51" customWidth="1"/>
    <col min="18" max="18" width="12.140625" style="1" customWidth="1"/>
    <col min="19" max="16384" width="8.85546875" style="1"/>
  </cols>
  <sheetData>
    <row r="1" spans="1:18" x14ac:dyDescent="0.25">
      <c r="E1" s="168" t="s">
        <v>340</v>
      </c>
      <c r="F1" s="168" t="s">
        <v>274</v>
      </c>
      <c r="G1" s="168" t="s">
        <v>276</v>
      </c>
      <c r="I1" s="168" t="s">
        <v>340</v>
      </c>
      <c r="J1" s="168" t="s">
        <v>274</v>
      </c>
      <c r="K1" s="168" t="s">
        <v>276</v>
      </c>
      <c r="N1" s="393" t="s">
        <v>618</v>
      </c>
      <c r="O1" s="394" t="str">
        <f>'Supply Porfolio (Live)'!E2</f>
        <v>Reference</v>
      </c>
      <c r="P1" s="1">
        <f>HLOOKUP(O1,E1:G2,2,FALSE)</f>
        <v>1</v>
      </c>
    </row>
    <row r="2" spans="1:18" x14ac:dyDescent="0.25">
      <c r="A2" s="395" t="s">
        <v>619</v>
      </c>
      <c r="C2" s="198">
        <v>0.5</v>
      </c>
      <c r="E2" s="168">
        <v>1</v>
      </c>
      <c r="F2" s="168">
        <v>2</v>
      </c>
      <c r="G2" s="168">
        <v>3</v>
      </c>
      <c r="I2" s="168">
        <v>1</v>
      </c>
      <c r="J2" s="168">
        <v>2</v>
      </c>
      <c r="K2" s="168">
        <v>3</v>
      </c>
    </row>
    <row r="3" spans="1:18" ht="51.75" x14ac:dyDescent="0.25">
      <c r="C3" s="387" t="s">
        <v>620</v>
      </c>
      <c r="D3" s="396" t="s">
        <v>621</v>
      </c>
      <c r="E3" s="396" t="s">
        <v>622</v>
      </c>
      <c r="F3" s="396" t="s">
        <v>623</v>
      </c>
      <c r="G3" s="396" t="s">
        <v>624</v>
      </c>
      <c r="H3" s="396" t="s">
        <v>625</v>
      </c>
      <c r="I3" s="396" t="s">
        <v>626</v>
      </c>
      <c r="J3" s="396" t="s">
        <v>627</v>
      </c>
      <c r="K3" s="396" t="s">
        <v>628</v>
      </c>
      <c r="L3" s="396"/>
      <c r="M3" s="396"/>
      <c r="O3" s="387" t="s">
        <v>629</v>
      </c>
      <c r="P3" s="387" t="s">
        <v>630</v>
      </c>
      <c r="Q3" s="387" t="s">
        <v>631</v>
      </c>
      <c r="R3" s="387" t="s">
        <v>632</v>
      </c>
    </row>
    <row r="4" spans="1:18" ht="27" thickBot="1" x14ac:dyDescent="0.3">
      <c r="C4" s="180" t="s">
        <v>633</v>
      </c>
      <c r="D4" s="180" t="s">
        <v>634</v>
      </c>
      <c r="E4" s="397" t="s">
        <v>635</v>
      </c>
      <c r="F4" s="397"/>
      <c r="G4" s="397"/>
      <c r="H4" s="180" t="s">
        <v>596</v>
      </c>
      <c r="I4" s="397" t="s">
        <v>636</v>
      </c>
      <c r="J4" s="397" t="s">
        <v>636</v>
      </c>
      <c r="K4" s="397" t="s">
        <v>636</v>
      </c>
      <c r="L4" s="397"/>
      <c r="M4" s="397"/>
      <c r="O4" s="51" t="s">
        <v>546</v>
      </c>
      <c r="P4" s="51" t="s">
        <v>546</v>
      </c>
      <c r="Q4" s="397" t="s">
        <v>635</v>
      </c>
      <c r="R4" s="397" t="s">
        <v>636</v>
      </c>
    </row>
    <row r="5" spans="1:18" x14ac:dyDescent="0.25">
      <c r="B5" s="398">
        <v>2022</v>
      </c>
      <c r="C5" s="399">
        <v>7.3999999999999996E-2</v>
      </c>
      <c r="D5" s="198">
        <v>98.79</v>
      </c>
      <c r="E5" s="198">
        <v>66.671440000000004</v>
      </c>
      <c r="F5" s="198">
        <v>66.689544999999995</v>
      </c>
      <c r="G5" s="198">
        <v>66.635399000000007</v>
      </c>
      <c r="H5" s="198">
        <v>6.25</v>
      </c>
      <c r="I5" s="198">
        <v>3.8431999999999999</v>
      </c>
      <c r="J5" s="198">
        <v>3.5549559999999998</v>
      </c>
      <c r="K5" s="198">
        <v>4.4739120000000003</v>
      </c>
      <c r="L5" s="396"/>
      <c r="M5" s="199"/>
      <c r="N5" s="182">
        <f t="shared" ref="N5:N33" si="0">B5</f>
        <v>2022</v>
      </c>
      <c r="O5" s="400">
        <f>(C5*C2+1)</f>
        <v>1.0369999999999999</v>
      </c>
      <c r="P5" s="401">
        <f>PRODUCT($O$5:O5)</f>
        <v>1.0369999999999999</v>
      </c>
      <c r="Q5" s="402">
        <f>D5/P5</f>
        <v>95.265188042430097</v>
      </c>
      <c r="R5" s="403">
        <f>H5/P5</f>
        <v>6.0270009643201545</v>
      </c>
    </row>
    <row r="6" spans="1:18" ht="15.75" thickBot="1" x14ac:dyDescent="0.3">
      <c r="B6" s="398">
        <v>2023</v>
      </c>
      <c r="C6" s="399">
        <v>2.8000000000000001E-2</v>
      </c>
      <c r="D6" s="198">
        <v>89.75</v>
      </c>
      <c r="E6" s="198">
        <v>58.789005000000003</v>
      </c>
      <c r="F6" s="198">
        <v>57.552672999999999</v>
      </c>
      <c r="G6" s="198">
        <v>60.117885999999999</v>
      </c>
      <c r="H6" s="198">
        <v>4.9400000000000004</v>
      </c>
      <c r="I6" s="198">
        <v>3.4932249999999998</v>
      </c>
      <c r="J6" s="198">
        <v>3.0637159999999999</v>
      </c>
      <c r="K6" s="198">
        <v>4.3642820000000002</v>
      </c>
      <c r="L6" s="396"/>
      <c r="M6" s="199"/>
      <c r="N6" s="182">
        <f t="shared" si="0"/>
        <v>2023</v>
      </c>
      <c r="O6" s="400">
        <f t="shared" ref="O6:O33" si="1">(C6+1)</f>
        <v>1.028</v>
      </c>
      <c r="P6" s="401">
        <f>PRODUCT($O$5:O6)</f>
        <v>1.066036</v>
      </c>
      <c r="Q6" s="404">
        <f>D6/P6</f>
        <v>84.190402575522782</v>
      </c>
      <c r="R6" s="405">
        <f>H6/P6</f>
        <v>4.6339898464967417</v>
      </c>
    </row>
    <row r="7" spans="1:18" x14ac:dyDescent="0.25">
      <c r="B7" s="398">
        <v>2024</v>
      </c>
      <c r="C7" s="399">
        <v>0.02</v>
      </c>
      <c r="E7" s="198">
        <v>63.971465999999999</v>
      </c>
      <c r="F7" s="198">
        <v>59.561942999999999</v>
      </c>
      <c r="G7" s="198">
        <v>68.382926999999995</v>
      </c>
      <c r="H7" s="199"/>
      <c r="I7" s="198">
        <v>3.1748050000000001</v>
      </c>
      <c r="J7" s="198">
        <v>2.6523279999999998</v>
      </c>
      <c r="K7" s="198">
        <v>4.2413470000000002</v>
      </c>
      <c r="L7" s="199"/>
      <c r="M7" s="199"/>
      <c r="N7" s="182">
        <f t="shared" si="0"/>
        <v>2024</v>
      </c>
      <c r="O7" s="400">
        <f t="shared" si="1"/>
        <v>1.02</v>
      </c>
      <c r="P7" s="400">
        <f>PRODUCT($O$5:O7)</f>
        <v>1.0873567200000001</v>
      </c>
      <c r="Q7" s="406">
        <f t="shared" ref="Q7:Q33" si="2">CHOOSE($P$1,E7,F7,G7)*$P$5</f>
        <v>66.338410241999995</v>
      </c>
      <c r="R7" s="406">
        <f t="shared" ref="R7:R33" si="3">CHOOSE($P$1,I7,J7,K7)*$P$5</f>
        <v>3.2922727849999998</v>
      </c>
    </row>
    <row r="8" spans="1:18" x14ac:dyDescent="0.25">
      <c r="B8" s="398">
        <v>2025</v>
      </c>
      <c r="C8" s="399">
        <v>0.02</v>
      </c>
      <c r="E8" s="198">
        <v>64.730819999999994</v>
      </c>
      <c r="F8" s="198">
        <v>59.526401999999997</v>
      </c>
      <c r="G8" s="198">
        <v>70.824798999999999</v>
      </c>
      <c r="H8" s="199"/>
      <c r="I8" s="198">
        <v>3.0008349999999999</v>
      </c>
      <c r="J8" s="198">
        <v>2.4580649999999999</v>
      </c>
      <c r="K8" s="198">
        <v>4.2276680000000004</v>
      </c>
      <c r="L8" s="199"/>
      <c r="M8" s="199"/>
      <c r="N8" s="182">
        <f t="shared" si="0"/>
        <v>2025</v>
      </c>
      <c r="O8" s="400">
        <f t="shared" si="1"/>
        <v>1.02</v>
      </c>
      <c r="P8" s="400">
        <f>PRODUCT($O$5:O8)</f>
        <v>1.1091038544</v>
      </c>
      <c r="Q8" s="406">
        <f t="shared" si="2"/>
        <v>67.125860339999988</v>
      </c>
      <c r="R8" s="406">
        <f t="shared" si="3"/>
        <v>3.1118658949999998</v>
      </c>
    </row>
    <row r="9" spans="1:18" x14ac:dyDescent="0.25">
      <c r="B9" s="398">
        <v>2026</v>
      </c>
      <c r="C9" s="399">
        <v>0.02</v>
      </c>
      <c r="E9" s="198">
        <v>65.986869999999996</v>
      </c>
      <c r="F9" s="198">
        <v>60.199680000000001</v>
      </c>
      <c r="G9" s="198">
        <v>72.818436000000005</v>
      </c>
      <c r="H9" s="199"/>
      <c r="I9" s="198">
        <v>2.9781339999999998</v>
      </c>
      <c r="J9" s="198">
        <v>2.3962669999999999</v>
      </c>
      <c r="K9" s="198">
        <v>4.3385759999999998</v>
      </c>
      <c r="L9" s="199"/>
      <c r="M9" s="199"/>
      <c r="N9" s="182">
        <f t="shared" si="0"/>
        <v>2026</v>
      </c>
      <c r="O9" s="400">
        <f t="shared" si="1"/>
        <v>1.02</v>
      </c>
      <c r="P9" s="400">
        <f>PRODUCT($O$5:O9)</f>
        <v>1.1312859314880002</v>
      </c>
      <c r="Q9" s="406">
        <f t="shared" si="2"/>
        <v>68.428384189999989</v>
      </c>
      <c r="R9" s="406">
        <f t="shared" si="3"/>
        <v>3.0883249579999994</v>
      </c>
    </row>
    <row r="10" spans="1:18" x14ac:dyDescent="0.25">
      <c r="B10" s="398">
        <v>2027</v>
      </c>
      <c r="C10" s="399">
        <v>0.02</v>
      </c>
      <c r="E10" s="198">
        <v>67.861976999999996</v>
      </c>
      <c r="F10" s="198">
        <v>60.553421</v>
      </c>
      <c r="G10" s="198">
        <v>75.269683999999998</v>
      </c>
      <c r="H10" s="199"/>
      <c r="I10" s="198">
        <v>3.075542</v>
      </c>
      <c r="J10" s="198">
        <v>2.4326089999999998</v>
      </c>
      <c r="K10" s="198">
        <v>4.4306330000000003</v>
      </c>
      <c r="L10" s="199"/>
      <c r="M10" s="199"/>
      <c r="N10" s="182">
        <f t="shared" si="0"/>
        <v>2027</v>
      </c>
      <c r="O10" s="400">
        <f t="shared" si="1"/>
        <v>1.02</v>
      </c>
      <c r="P10" s="400">
        <f>PRODUCT($O$5:O10)</f>
        <v>1.1539116501177602</v>
      </c>
      <c r="Q10" s="406">
        <f t="shared" si="2"/>
        <v>70.372870148999993</v>
      </c>
      <c r="R10" s="406">
        <f t="shared" si="3"/>
        <v>3.1893370539999997</v>
      </c>
    </row>
    <row r="11" spans="1:18" x14ac:dyDescent="0.25">
      <c r="B11" s="398">
        <v>2028</v>
      </c>
      <c r="C11" s="399">
        <v>0.02</v>
      </c>
      <c r="E11" s="198">
        <v>69.232902999999993</v>
      </c>
      <c r="F11" s="198">
        <v>60.047863</v>
      </c>
      <c r="G11" s="198">
        <v>77.212577999999993</v>
      </c>
      <c r="H11" s="199"/>
      <c r="I11" s="198">
        <v>3.2467950000000001</v>
      </c>
      <c r="J11" s="198">
        <v>2.5702020000000001</v>
      </c>
      <c r="K11" s="198">
        <v>4.7092549999999997</v>
      </c>
      <c r="L11" s="199"/>
      <c r="M11" s="199"/>
      <c r="N11" s="182">
        <f t="shared" si="0"/>
        <v>2028</v>
      </c>
      <c r="O11" s="400">
        <f t="shared" si="1"/>
        <v>1.02</v>
      </c>
      <c r="P11" s="400">
        <f>PRODUCT($O$5:O11)</f>
        <v>1.1769898831201153</v>
      </c>
      <c r="Q11" s="406">
        <f t="shared" si="2"/>
        <v>71.794520410999993</v>
      </c>
      <c r="R11" s="406">
        <f t="shared" si="3"/>
        <v>3.366926415</v>
      </c>
    </row>
    <row r="12" spans="1:18" x14ac:dyDescent="0.25">
      <c r="B12" s="398">
        <v>2029</v>
      </c>
      <c r="C12" s="399">
        <v>0.02</v>
      </c>
      <c r="E12" s="198">
        <v>70.250511000000003</v>
      </c>
      <c r="F12" s="198">
        <v>60.064095000000002</v>
      </c>
      <c r="G12" s="198">
        <v>83.031525000000002</v>
      </c>
      <c r="H12" s="199"/>
      <c r="I12" s="198">
        <v>3.3646910000000001</v>
      </c>
      <c r="J12" s="198">
        <v>2.6456840000000001</v>
      </c>
      <c r="K12" s="198">
        <v>4.981331</v>
      </c>
      <c r="L12" s="199"/>
      <c r="M12" s="199"/>
      <c r="N12" s="182">
        <f t="shared" si="0"/>
        <v>2029</v>
      </c>
      <c r="O12" s="400">
        <f t="shared" si="1"/>
        <v>1.02</v>
      </c>
      <c r="P12" s="400">
        <f>PRODUCT($O$5:O12)</f>
        <v>1.2005296807825176</v>
      </c>
      <c r="Q12" s="406">
        <f t="shared" si="2"/>
        <v>72.849779906999999</v>
      </c>
      <c r="R12" s="406">
        <f t="shared" si="3"/>
        <v>3.4891845669999997</v>
      </c>
    </row>
    <row r="13" spans="1:18" x14ac:dyDescent="0.25">
      <c r="B13" s="398">
        <v>2030</v>
      </c>
      <c r="C13" s="399">
        <v>0.02</v>
      </c>
      <c r="E13" s="198">
        <v>71.330612000000002</v>
      </c>
      <c r="F13" s="198">
        <v>59.400047000000001</v>
      </c>
      <c r="G13" s="198">
        <v>85.151527000000002</v>
      </c>
      <c r="H13" s="199"/>
      <c r="I13" s="198">
        <v>3.4596520000000002</v>
      </c>
      <c r="J13" s="198">
        <v>2.7203430000000002</v>
      </c>
      <c r="K13" s="198">
        <v>5.1550330000000004</v>
      </c>
      <c r="L13" s="199"/>
      <c r="M13" s="199"/>
      <c r="N13" s="182">
        <f t="shared" si="0"/>
        <v>2030</v>
      </c>
      <c r="O13" s="400">
        <f t="shared" si="1"/>
        <v>1.02</v>
      </c>
      <c r="P13" s="400">
        <f>PRODUCT($O$5:O13)</f>
        <v>1.2245402743981679</v>
      </c>
      <c r="Q13" s="406">
        <f t="shared" si="2"/>
        <v>73.969844643999991</v>
      </c>
      <c r="R13" s="406">
        <f t="shared" si="3"/>
        <v>3.587659124</v>
      </c>
    </row>
    <row r="14" spans="1:18" x14ac:dyDescent="0.25">
      <c r="B14" s="398">
        <v>2031</v>
      </c>
      <c r="C14" s="399">
        <v>0.02</v>
      </c>
      <c r="E14" s="198">
        <v>72.823188999999999</v>
      </c>
      <c r="F14" s="198">
        <v>60.132396999999997</v>
      </c>
      <c r="G14" s="198">
        <v>87.282111999999998</v>
      </c>
      <c r="H14" s="199"/>
      <c r="I14" s="198">
        <v>3.5438399999999999</v>
      </c>
      <c r="J14" s="198">
        <v>2.7483590000000002</v>
      </c>
      <c r="K14" s="198">
        <v>5.3550459999999998</v>
      </c>
      <c r="L14" s="199"/>
      <c r="M14" s="199"/>
      <c r="N14" s="182">
        <f t="shared" si="0"/>
        <v>2031</v>
      </c>
      <c r="O14" s="400">
        <f t="shared" si="1"/>
        <v>1.02</v>
      </c>
      <c r="P14" s="400">
        <f>PRODUCT($O$5:O14)</f>
        <v>1.2490310798861313</v>
      </c>
      <c r="Q14" s="406">
        <f t="shared" si="2"/>
        <v>75.517646993</v>
      </c>
      <c r="R14" s="406">
        <f t="shared" si="3"/>
        <v>3.6749620799999998</v>
      </c>
    </row>
    <row r="15" spans="1:18" x14ac:dyDescent="0.25">
      <c r="B15" s="398">
        <v>2032</v>
      </c>
      <c r="C15" s="399">
        <v>0.02</v>
      </c>
      <c r="E15" s="198">
        <v>73.993660000000006</v>
      </c>
      <c r="F15" s="198">
        <v>60.839176000000002</v>
      </c>
      <c r="G15" s="198">
        <v>89.376059999999995</v>
      </c>
      <c r="H15" s="199"/>
      <c r="I15" s="198">
        <v>3.5773830000000002</v>
      </c>
      <c r="J15" s="198">
        <v>2.7582390000000001</v>
      </c>
      <c r="K15" s="198">
        <v>5.53843</v>
      </c>
      <c r="L15" s="199"/>
      <c r="M15" s="199"/>
      <c r="N15" s="182">
        <f t="shared" si="0"/>
        <v>2032</v>
      </c>
      <c r="O15" s="400">
        <f t="shared" si="1"/>
        <v>1.02</v>
      </c>
      <c r="P15" s="400">
        <f>PRODUCT($O$5:O15)</f>
        <v>1.2740117014838539</v>
      </c>
      <c r="Q15" s="406">
        <f t="shared" si="2"/>
        <v>76.731425419999994</v>
      </c>
      <c r="R15" s="406">
        <f t="shared" si="3"/>
        <v>3.7097461709999999</v>
      </c>
    </row>
    <row r="16" spans="1:18" x14ac:dyDescent="0.25">
      <c r="B16" s="398">
        <v>2033</v>
      </c>
      <c r="C16" s="399">
        <v>0.02</v>
      </c>
      <c r="E16" s="198">
        <v>74.785088000000002</v>
      </c>
      <c r="F16" s="198">
        <v>61.164082000000001</v>
      </c>
      <c r="G16" s="198">
        <v>90.803084999999996</v>
      </c>
      <c r="H16" s="199"/>
      <c r="I16" s="198">
        <v>3.6457830000000002</v>
      </c>
      <c r="J16" s="198">
        <v>2.8354689999999998</v>
      </c>
      <c r="K16" s="198">
        <v>5.7004479999999997</v>
      </c>
      <c r="L16" s="199"/>
      <c r="M16" s="199"/>
      <c r="N16" s="182">
        <f t="shared" si="0"/>
        <v>2033</v>
      </c>
      <c r="O16" s="400">
        <f t="shared" si="1"/>
        <v>1.02</v>
      </c>
      <c r="P16" s="400">
        <f>PRODUCT($O$5:O16)</f>
        <v>1.299491935513531</v>
      </c>
      <c r="Q16" s="406">
        <f t="shared" si="2"/>
        <v>77.552136255999997</v>
      </c>
      <c r="R16" s="406">
        <f t="shared" si="3"/>
        <v>3.7806769710000001</v>
      </c>
    </row>
    <row r="17" spans="2:18" x14ac:dyDescent="0.25">
      <c r="B17" s="398">
        <v>2034</v>
      </c>
      <c r="C17" s="399">
        <v>0.02</v>
      </c>
      <c r="E17" s="198">
        <v>75.188484000000003</v>
      </c>
      <c r="F17" s="198">
        <v>61.559849</v>
      </c>
      <c r="G17" s="198">
        <v>91.996086000000005</v>
      </c>
      <c r="H17" s="199"/>
      <c r="I17" s="198">
        <v>3.640091</v>
      </c>
      <c r="J17" s="198">
        <v>2.8329490000000002</v>
      </c>
      <c r="K17" s="198">
        <v>5.8130559999999996</v>
      </c>
      <c r="L17" s="199"/>
      <c r="M17" s="199"/>
      <c r="N17" s="182">
        <f t="shared" si="0"/>
        <v>2034</v>
      </c>
      <c r="O17" s="400">
        <f t="shared" si="1"/>
        <v>1.02</v>
      </c>
      <c r="P17" s="400">
        <f>PRODUCT($O$5:O17)</f>
        <v>1.3254817742238016</v>
      </c>
      <c r="Q17" s="406">
        <f t="shared" si="2"/>
        <v>77.970457908</v>
      </c>
      <c r="R17" s="406">
        <f t="shared" si="3"/>
        <v>3.7747743669999996</v>
      </c>
    </row>
    <row r="18" spans="2:18" x14ac:dyDescent="0.25">
      <c r="B18" s="398">
        <v>2035</v>
      </c>
      <c r="C18" s="399">
        <v>0.02</v>
      </c>
      <c r="E18" s="198">
        <v>75.902907999999996</v>
      </c>
      <c r="F18" s="198">
        <v>61.951996000000001</v>
      </c>
      <c r="G18" s="198">
        <v>92.427161999999996</v>
      </c>
      <c r="H18" s="199"/>
      <c r="I18" s="198">
        <v>3.6379039999999998</v>
      </c>
      <c r="J18" s="198">
        <v>2.798241</v>
      </c>
      <c r="K18" s="198">
        <v>5.8766410000000002</v>
      </c>
      <c r="L18" s="199"/>
      <c r="M18" s="199"/>
      <c r="N18" s="182">
        <f t="shared" si="0"/>
        <v>2035</v>
      </c>
      <c r="O18" s="400">
        <f t="shared" si="1"/>
        <v>1.02</v>
      </c>
      <c r="P18" s="400">
        <f>PRODUCT($O$5:O18)</f>
        <v>1.3519914097082777</v>
      </c>
      <c r="Q18" s="406">
        <f t="shared" si="2"/>
        <v>78.711315595999992</v>
      </c>
      <c r="R18" s="406">
        <f t="shared" si="3"/>
        <v>3.7725064479999997</v>
      </c>
    </row>
    <row r="19" spans="2:18" x14ac:dyDescent="0.25">
      <c r="B19" s="398">
        <v>2036</v>
      </c>
      <c r="C19" s="399">
        <v>0.02</v>
      </c>
      <c r="E19" s="198">
        <v>77.117073000000005</v>
      </c>
      <c r="F19" s="198">
        <v>62.417544999999997</v>
      </c>
      <c r="G19" s="198">
        <v>93.925407000000007</v>
      </c>
      <c r="H19" s="199"/>
      <c r="I19" s="198">
        <v>3.6477919999999999</v>
      </c>
      <c r="J19" s="198">
        <v>2.7837960000000002</v>
      </c>
      <c r="K19" s="198">
        <v>6.0665750000000003</v>
      </c>
      <c r="L19" s="199"/>
      <c r="M19" s="199"/>
      <c r="N19" s="182">
        <f t="shared" si="0"/>
        <v>2036</v>
      </c>
      <c r="O19" s="400">
        <f t="shared" si="1"/>
        <v>1.02</v>
      </c>
      <c r="P19" s="400">
        <f>PRODUCT($O$5:O19)</f>
        <v>1.3790312379024432</v>
      </c>
      <c r="Q19" s="406">
        <f t="shared" si="2"/>
        <v>79.970404700999993</v>
      </c>
      <c r="R19" s="406">
        <f t="shared" si="3"/>
        <v>3.7827603039999995</v>
      </c>
    </row>
    <row r="20" spans="2:18" x14ac:dyDescent="0.25">
      <c r="B20" s="398">
        <v>2037</v>
      </c>
      <c r="C20" s="399">
        <v>0.02</v>
      </c>
      <c r="E20" s="198">
        <v>78.005936000000005</v>
      </c>
      <c r="F20" s="198">
        <v>63.396380999999998</v>
      </c>
      <c r="G20" s="198">
        <v>94.356460999999996</v>
      </c>
      <c r="H20" s="199"/>
      <c r="I20" s="198">
        <v>3.6650480000000001</v>
      </c>
      <c r="J20" s="198">
        <v>2.778708</v>
      </c>
      <c r="K20" s="198">
        <v>6.1214829999999996</v>
      </c>
      <c r="L20" s="199"/>
      <c r="M20" s="199"/>
      <c r="N20" s="182">
        <f t="shared" si="0"/>
        <v>2037</v>
      </c>
      <c r="O20" s="400">
        <f t="shared" si="1"/>
        <v>1.02</v>
      </c>
      <c r="P20" s="400">
        <f>PRODUCT($O$5:O20)</f>
        <v>1.406611862660492</v>
      </c>
      <c r="Q20" s="406">
        <f t="shared" si="2"/>
        <v>80.892155631999998</v>
      </c>
      <c r="R20" s="406">
        <f t="shared" si="3"/>
        <v>3.800654776</v>
      </c>
    </row>
    <row r="21" spans="2:18" x14ac:dyDescent="0.25">
      <c r="B21" s="398">
        <v>2038</v>
      </c>
      <c r="C21" s="399">
        <v>0.02</v>
      </c>
      <c r="E21" s="198">
        <v>79.037025</v>
      </c>
      <c r="F21" s="198">
        <v>64.240622999999999</v>
      </c>
      <c r="G21" s="198">
        <v>95.742264000000006</v>
      </c>
      <c r="H21" s="199"/>
      <c r="I21" s="198">
        <v>3.6839080000000002</v>
      </c>
      <c r="J21" s="198">
        <v>2.7552249999999998</v>
      </c>
      <c r="K21" s="198">
        <v>6.1914629999999997</v>
      </c>
      <c r="L21" s="199"/>
      <c r="M21" s="199"/>
      <c r="N21" s="182">
        <f t="shared" si="0"/>
        <v>2038</v>
      </c>
      <c r="O21" s="400">
        <f t="shared" si="1"/>
        <v>1.02</v>
      </c>
      <c r="P21" s="400">
        <f>PRODUCT($O$5:O21)</f>
        <v>1.4347440999137018</v>
      </c>
      <c r="Q21" s="406">
        <f t="shared" si="2"/>
        <v>81.961394924999993</v>
      </c>
      <c r="R21" s="406">
        <f t="shared" si="3"/>
        <v>3.8202125959999997</v>
      </c>
    </row>
    <row r="22" spans="2:18" x14ac:dyDescent="0.25">
      <c r="B22" s="398">
        <v>2039</v>
      </c>
      <c r="C22" s="399">
        <v>0.02</v>
      </c>
      <c r="E22" s="198">
        <v>79.295051999999998</v>
      </c>
      <c r="F22" s="198">
        <v>64.605270000000004</v>
      </c>
      <c r="G22" s="198">
        <v>96.481689000000003</v>
      </c>
      <c r="H22" s="199"/>
      <c r="I22" s="198">
        <v>3.685022</v>
      </c>
      <c r="J22" s="198">
        <v>2.7645490000000001</v>
      </c>
      <c r="K22" s="198">
        <v>6.3119009999999998</v>
      </c>
      <c r="L22" s="199"/>
      <c r="M22" s="199"/>
      <c r="N22" s="182">
        <f t="shared" si="0"/>
        <v>2039</v>
      </c>
      <c r="O22" s="400">
        <f t="shared" si="1"/>
        <v>1.02</v>
      </c>
      <c r="P22" s="400">
        <f>PRODUCT($O$5:O22)</f>
        <v>1.4634389819119757</v>
      </c>
      <c r="Q22" s="406">
        <f t="shared" si="2"/>
        <v>82.228968923999986</v>
      </c>
      <c r="R22" s="406">
        <f t="shared" si="3"/>
        <v>3.8213678139999998</v>
      </c>
    </row>
    <row r="23" spans="2:18" x14ac:dyDescent="0.25">
      <c r="B23" s="398">
        <v>2040</v>
      </c>
      <c r="C23" s="399">
        <v>0.02</v>
      </c>
      <c r="E23" s="198">
        <v>80.803855999999996</v>
      </c>
      <c r="F23" s="198">
        <v>66.493094999999997</v>
      </c>
      <c r="G23" s="198">
        <v>95.080489999999998</v>
      </c>
      <c r="H23" s="199"/>
      <c r="I23" s="198">
        <v>3.7205379999999999</v>
      </c>
      <c r="J23" s="198">
        <v>2.7400359999999999</v>
      </c>
      <c r="K23" s="198">
        <v>6.4379350000000004</v>
      </c>
      <c r="L23" s="199"/>
      <c r="M23" s="199"/>
      <c r="N23" s="182">
        <f t="shared" si="0"/>
        <v>2040</v>
      </c>
      <c r="O23" s="400">
        <f t="shared" si="1"/>
        <v>1.02</v>
      </c>
      <c r="P23" s="400">
        <f>PRODUCT($O$5:O23)</f>
        <v>1.4927077615502153</v>
      </c>
      <c r="Q23" s="406">
        <f t="shared" si="2"/>
        <v>83.793598671999987</v>
      </c>
      <c r="R23" s="406">
        <f t="shared" si="3"/>
        <v>3.8581979059999996</v>
      </c>
    </row>
    <row r="24" spans="2:18" x14ac:dyDescent="0.25">
      <c r="B24" s="398">
        <v>2041</v>
      </c>
      <c r="C24" s="399">
        <v>0.02</v>
      </c>
      <c r="E24" s="198">
        <v>81.726851999999994</v>
      </c>
      <c r="F24" s="198">
        <v>67.157021</v>
      </c>
      <c r="G24" s="198">
        <v>95.368172000000001</v>
      </c>
      <c r="H24" s="199"/>
      <c r="I24" s="198">
        <v>3.7265929999999998</v>
      </c>
      <c r="J24" s="198">
        <v>2.7011539999999998</v>
      </c>
      <c r="K24" s="198">
        <v>6.4017109999999997</v>
      </c>
      <c r="L24" s="199"/>
      <c r="M24" s="199"/>
      <c r="N24" s="182">
        <f t="shared" si="0"/>
        <v>2041</v>
      </c>
      <c r="O24" s="400">
        <f t="shared" si="1"/>
        <v>1.02</v>
      </c>
      <c r="P24" s="400">
        <f>PRODUCT($O$5:O24)</f>
        <v>1.5225619167812197</v>
      </c>
      <c r="Q24" s="406">
        <f t="shared" si="2"/>
        <v>84.750745523999981</v>
      </c>
      <c r="R24" s="406">
        <f t="shared" si="3"/>
        <v>3.8644769409999995</v>
      </c>
    </row>
    <row r="25" spans="2:18" x14ac:dyDescent="0.25">
      <c r="B25" s="398">
        <v>2042</v>
      </c>
      <c r="C25" s="399">
        <v>0.02</v>
      </c>
      <c r="E25" s="198">
        <v>82.116341000000006</v>
      </c>
      <c r="F25" s="198">
        <v>67.448775999999995</v>
      </c>
      <c r="G25" s="198">
        <v>96.100784000000004</v>
      </c>
      <c r="H25" s="199"/>
      <c r="I25" s="198">
        <v>3.70383</v>
      </c>
      <c r="J25" s="198">
        <v>2.6390829999999998</v>
      </c>
      <c r="K25" s="198">
        <v>6.3334609999999998</v>
      </c>
      <c r="L25" s="199"/>
      <c r="M25" s="199"/>
      <c r="N25" s="182">
        <f t="shared" si="0"/>
        <v>2042</v>
      </c>
      <c r="O25" s="400">
        <f t="shared" si="1"/>
        <v>1.02</v>
      </c>
      <c r="P25" s="400">
        <f>PRODUCT($O$5:O25)</f>
        <v>1.553013155116844</v>
      </c>
      <c r="Q25" s="406">
        <f t="shared" si="2"/>
        <v>85.154645617</v>
      </c>
      <c r="R25" s="406">
        <f t="shared" si="3"/>
        <v>3.8408717099999996</v>
      </c>
    </row>
    <row r="26" spans="2:18" x14ac:dyDescent="0.25">
      <c r="B26" s="398">
        <v>2043</v>
      </c>
      <c r="C26" s="399">
        <v>0.02</v>
      </c>
      <c r="E26" s="198">
        <v>83.541427999999996</v>
      </c>
      <c r="F26" s="198">
        <v>68.541397000000003</v>
      </c>
      <c r="G26" s="198">
        <v>97.648871999999997</v>
      </c>
      <c r="H26" s="199"/>
      <c r="I26" s="198">
        <v>3.7073689999999999</v>
      </c>
      <c r="J26" s="198">
        <v>2.6164209999999999</v>
      </c>
      <c r="K26" s="198">
        <v>6.2840480000000003</v>
      </c>
      <c r="L26" s="199"/>
      <c r="M26" s="199"/>
      <c r="N26" s="182">
        <f t="shared" si="0"/>
        <v>2043</v>
      </c>
      <c r="O26" s="400">
        <f t="shared" si="1"/>
        <v>1.02</v>
      </c>
      <c r="P26" s="400">
        <f>PRODUCT($O$5:O26)</f>
        <v>1.5840734182191809</v>
      </c>
      <c r="Q26" s="406">
        <f t="shared" si="2"/>
        <v>86.632460835999993</v>
      </c>
      <c r="R26" s="406">
        <f t="shared" si="3"/>
        <v>3.8445416529999998</v>
      </c>
    </row>
    <row r="27" spans="2:18" x14ac:dyDescent="0.25">
      <c r="B27" s="398">
        <v>2044</v>
      </c>
      <c r="C27" s="399">
        <v>0.02</v>
      </c>
      <c r="E27" s="198">
        <v>85.256896999999995</v>
      </c>
      <c r="F27" s="198">
        <v>69.546288000000004</v>
      </c>
      <c r="G27" s="198">
        <v>98.887191999999999</v>
      </c>
      <c r="H27" s="199"/>
      <c r="I27" s="198">
        <v>3.645143</v>
      </c>
      <c r="J27" s="198">
        <v>2.5964399999999999</v>
      </c>
      <c r="K27" s="198">
        <v>6.4222029999999997</v>
      </c>
      <c r="L27" s="199"/>
      <c r="M27" s="199"/>
      <c r="N27" s="182">
        <f t="shared" si="0"/>
        <v>2044</v>
      </c>
      <c r="O27" s="400">
        <f t="shared" si="1"/>
        <v>1.02</v>
      </c>
      <c r="P27" s="400">
        <f>PRODUCT($O$5:O27)</f>
        <v>1.6157548865835645</v>
      </c>
      <c r="Q27" s="406">
        <f t="shared" si="2"/>
        <v>88.411402188999986</v>
      </c>
      <c r="R27" s="406">
        <f t="shared" si="3"/>
        <v>3.7800132909999999</v>
      </c>
    </row>
    <row r="28" spans="2:18" x14ac:dyDescent="0.25">
      <c r="B28" s="398">
        <v>2045</v>
      </c>
      <c r="C28" s="399">
        <v>0.02</v>
      </c>
      <c r="E28" s="198">
        <v>85.725876</v>
      </c>
      <c r="F28" s="198">
        <v>70.293059999999997</v>
      </c>
      <c r="G28" s="198">
        <v>100.511528</v>
      </c>
      <c r="H28" s="199"/>
      <c r="I28" s="198">
        <v>3.6145320000000001</v>
      </c>
      <c r="J28" s="198">
        <v>2.5835979999999998</v>
      </c>
      <c r="K28" s="198">
        <v>6.4612999999999996</v>
      </c>
      <c r="L28" s="199"/>
      <c r="M28" s="199"/>
      <c r="N28" s="182">
        <f t="shared" si="0"/>
        <v>2045</v>
      </c>
      <c r="O28" s="400">
        <f t="shared" si="1"/>
        <v>1.02</v>
      </c>
      <c r="P28" s="400">
        <f>PRODUCT($O$5:O28)</f>
        <v>1.6480699843152358</v>
      </c>
      <c r="Q28" s="406">
        <f t="shared" si="2"/>
        <v>88.897733411999994</v>
      </c>
      <c r="R28" s="406">
        <f t="shared" si="3"/>
        <v>3.7482696839999998</v>
      </c>
    </row>
    <row r="29" spans="2:18" x14ac:dyDescent="0.25">
      <c r="B29" s="398">
        <v>2046</v>
      </c>
      <c r="C29" s="399">
        <v>0.02</v>
      </c>
      <c r="E29" s="198">
        <v>86.969375999999997</v>
      </c>
      <c r="F29" s="198">
        <v>71.177216000000001</v>
      </c>
      <c r="G29" s="198">
        <v>101.900749</v>
      </c>
      <c r="H29" s="199"/>
      <c r="I29" s="198">
        <v>3.6030579999999999</v>
      </c>
      <c r="J29" s="198">
        <v>2.5650080000000002</v>
      </c>
      <c r="K29" s="198">
        <v>6.5178539999999998</v>
      </c>
      <c r="L29" s="199"/>
      <c r="M29" s="199"/>
      <c r="N29" s="182">
        <f t="shared" si="0"/>
        <v>2046</v>
      </c>
      <c r="O29" s="400">
        <f t="shared" si="1"/>
        <v>1.02</v>
      </c>
      <c r="P29" s="400">
        <f>PRODUCT($O$5:O29)</f>
        <v>1.6810313840015405</v>
      </c>
      <c r="Q29" s="406">
        <f t="shared" si="2"/>
        <v>90.187242911999988</v>
      </c>
      <c r="R29" s="406">
        <f t="shared" si="3"/>
        <v>3.7363711459999998</v>
      </c>
    </row>
    <row r="30" spans="2:18" x14ac:dyDescent="0.25">
      <c r="B30" s="398">
        <v>2047</v>
      </c>
      <c r="C30" s="399">
        <v>0.02</v>
      </c>
      <c r="E30" s="198">
        <v>86.918678</v>
      </c>
      <c r="F30" s="198">
        <v>71.008369000000002</v>
      </c>
      <c r="G30" s="198">
        <v>102.921959</v>
      </c>
      <c r="H30" s="199"/>
      <c r="I30" s="198">
        <v>3.596854</v>
      </c>
      <c r="J30" s="198">
        <v>2.5245359999999999</v>
      </c>
      <c r="K30" s="198">
        <v>6.5576639999999999</v>
      </c>
      <c r="L30" s="199"/>
      <c r="M30" s="199"/>
      <c r="N30" s="182">
        <f t="shared" si="0"/>
        <v>2047</v>
      </c>
      <c r="O30" s="400">
        <f t="shared" si="1"/>
        <v>1.02</v>
      </c>
      <c r="P30" s="400">
        <f>PRODUCT($O$5:O30)</f>
        <v>1.7146520116815713</v>
      </c>
      <c r="Q30" s="406">
        <f t="shared" si="2"/>
        <v>90.134669085999988</v>
      </c>
      <c r="R30" s="406">
        <f t="shared" si="3"/>
        <v>3.7299375979999998</v>
      </c>
    </row>
    <row r="31" spans="2:18" x14ac:dyDescent="0.25">
      <c r="B31" s="398">
        <v>2048</v>
      </c>
      <c r="C31" s="399">
        <v>0.02</v>
      </c>
      <c r="E31" s="198">
        <v>87.038887000000003</v>
      </c>
      <c r="F31" s="198">
        <v>71.406684999999996</v>
      </c>
      <c r="G31" s="198">
        <v>104.741592</v>
      </c>
      <c r="H31" s="199"/>
      <c r="I31" s="198">
        <v>3.6211030000000002</v>
      </c>
      <c r="J31" s="198">
        <v>2.5296560000000001</v>
      </c>
      <c r="K31" s="198">
        <v>6.596838</v>
      </c>
      <c r="L31" s="199"/>
      <c r="M31" s="199"/>
      <c r="N31" s="182">
        <f t="shared" si="0"/>
        <v>2048</v>
      </c>
      <c r="O31" s="400">
        <f t="shared" si="1"/>
        <v>1.02</v>
      </c>
      <c r="P31" s="400">
        <f>PRODUCT($O$5:O31)</f>
        <v>1.7489450519152028</v>
      </c>
      <c r="Q31" s="406">
        <f t="shared" si="2"/>
        <v>90.259325818999997</v>
      </c>
      <c r="R31" s="406">
        <f t="shared" si="3"/>
        <v>3.755083811</v>
      </c>
    </row>
    <row r="32" spans="2:18" x14ac:dyDescent="0.25">
      <c r="B32" s="398">
        <v>2049</v>
      </c>
      <c r="C32" s="399">
        <v>0.02</v>
      </c>
      <c r="E32" s="198">
        <v>87.344871999999995</v>
      </c>
      <c r="F32" s="198">
        <v>72.441909999999993</v>
      </c>
      <c r="G32" s="198">
        <v>105.23165899999999</v>
      </c>
      <c r="H32" s="199"/>
      <c r="I32" s="198">
        <v>3.597585</v>
      </c>
      <c r="J32" s="198">
        <v>2.532159</v>
      </c>
      <c r="K32" s="198">
        <v>6.6743880000000004</v>
      </c>
      <c r="L32" s="199"/>
      <c r="M32" s="199"/>
      <c r="N32" s="182">
        <f t="shared" si="0"/>
        <v>2049</v>
      </c>
      <c r="O32" s="400">
        <f t="shared" si="1"/>
        <v>1.02</v>
      </c>
      <c r="P32" s="400">
        <f>PRODUCT($O$5:O32)</f>
        <v>1.7839239529535069</v>
      </c>
      <c r="Q32" s="406">
        <f t="shared" si="2"/>
        <v>90.576632263999983</v>
      </c>
      <c r="R32" s="406">
        <f t="shared" si="3"/>
        <v>3.7306956449999999</v>
      </c>
    </row>
    <row r="33" spans="2:18" x14ac:dyDescent="0.25">
      <c r="B33" s="398">
        <v>2050</v>
      </c>
      <c r="C33" s="399">
        <v>0.02</v>
      </c>
      <c r="E33" s="198">
        <v>87.069678999999994</v>
      </c>
      <c r="F33" s="198">
        <v>72.782593000000006</v>
      </c>
      <c r="G33" s="198">
        <v>106.063957</v>
      </c>
      <c r="H33" s="199"/>
      <c r="I33" s="198">
        <v>3.590354</v>
      </c>
      <c r="J33" s="198">
        <v>2.540432</v>
      </c>
      <c r="K33" s="198">
        <v>6.7400060000000002</v>
      </c>
      <c r="L33" s="199"/>
      <c r="M33" s="199"/>
      <c r="N33" s="182">
        <f t="shared" si="0"/>
        <v>2050</v>
      </c>
      <c r="O33" s="400">
        <f t="shared" si="1"/>
        <v>1.02</v>
      </c>
      <c r="P33" s="400">
        <f>PRODUCT($O$5:O33)</f>
        <v>1.819602432012577</v>
      </c>
      <c r="Q33" s="406">
        <f t="shared" si="2"/>
        <v>90.29125712299998</v>
      </c>
      <c r="R33" s="406">
        <f t="shared" si="3"/>
        <v>3.723197098</v>
      </c>
    </row>
    <row r="34" spans="2:18" x14ac:dyDescent="0.25">
      <c r="B34" s="398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24C65-AEDF-49A3-A147-254F22CCE985}">
  <sheetPr codeName="Sheet35"/>
  <dimension ref="B2:D25"/>
  <sheetViews>
    <sheetView workbookViewId="0">
      <selection activeCell="E28" sqref="E28"/>
    </sheetView>
  </sheetViews>
  <sheetFormatPr defaultColWidth="8.85546875" defaultRowHeight="15" x14ac:dyDescent="0.25"/>
  <cols>
    <col min="1" max="1" width="8.85546875" style="1"/>
    <col min="2" max="2" width="81.5703125" style="1" customWidth="1"/>
    <col min="3" max="3" width="26.7109375" style="1" bestFit="1" customWidth="1"/>
    <col min="4" max="16384" width="8.85546875" style="1"/>
  </cols>
  <sheetData>
    <row r="2" spans="2:4" x14ac:dyDescent="0.25">
      <c r="B2" s="11" t="s">
        <v>637</v>
      </c>
    </row>
    <row r="3" spans="2:4" x14ac:dyDescent="0.25">
      <c r="B3" s="1" t="s">
        <v>638</v>
      </c>
      <c r="C3" s="1" t="s">
        <v>639</v>
      </c>
      <c r="D3" s="407" t="s">
        <v>640</v>
      </c>
    </row>
    <row r="4" spans="2:4" x14ac:dyDescent="0.25">
      <c r="B4" s="1" t="s">
        <v>641</v>
      </c>
      <c r="C4" s="1" t="s">
        <v>642</v>
      </c>
      <c r="D4" s="407" t="s">
        <v>445</v>
      </c>
    </row>
    <row r="5" spans="2:4" x14ac:dyDescent="0.25">
      <c r="B5" s="1" t="s">
        <v>602</v>
      </c>
      <c r="C5" s="1" t="s">
        <v>643</v>
      </c>
      <c r="D5" t="s">
        <v>644</v>
      </c>
    </row>
    <row r="6" spans="2:4" x14ac:dyDescent="0.25">
      <c r="B6" s="1" t="s">
        <v>645</v>
      </c>
      <c r="C6" s="1" t="s">
        <v>643</v>
      </c>
      <c r="D6" s="1" t="s">
        <v>646</v>
      </c>
    </row>
    <row r="7" spans="2:4" x14ac:dyDescent="0.25">
      <c r="B7" s="1" t="s">
        <v>647</v>
      </c>
      <c r="C7" s="1" t="s">
        <v>643</v>
      </c>
      <c r="D7" s="407" t="s">
        <v>648</v>
      </c>
    </row>
    <row r="9" spans="2:4" x14ac:dyDescent="0.25">
      <c r="B9" s="11" t="s">
        <v>649</v>
      </c>
    </row>
    <row r="10" spans="2:4" x14ac:dyDescent="0.25">
      <c r="B10" s="1" t="s">
        <v>650</v>
      </c>
      <c r="C10" s="1" t="s">
        <v>643</v>
      </c>
      <c r="D10" s="407" t="s">
        <v>651</v>
      </c>
    </row>
    <row r="11" spans="2:4" x14ac:dyDescent="0.25">
      <c r="B11" s="1" t="s">
        <v>652</v>
      </c>
      <c r="C11" s="1" t="s">
        <v>643</v>
      </c>
      <c r="D11" s="407" t="s">
        <v>653</v>
      </c>
    </row>
    <row r="12" spans="2:4" x14ac:dyDescent="0.25">
      <c r="B12" s="1" t="s">
        <v>654</v>
      </c>
      <c r="C12" s="1" t="s">
        <v>643</v>
      </c>
      <c r="D12" s="408" t="s">
        <v>655</v>
      </c>
    </row>
    <row r="13" spans="2:4" x14ac:dyDescent="0.25">
      <c r="B13" s="1" t="s">
        <v>656</v>
      </c>
      <c r="C13" s="1" t="s">
        <v>643</v>
      </c>
      <c r="D13" s="408" t="s">
        <v>657</v>
      </c>
    </row>
    <row r="15" spans="2:4" x14ac:dyDescent="0.25">
      <c r="B15" s="11" t="s">
        <v>658</v>
      </c>
    </row>
    <row r="16" spans="2:4" x14ac:dyDescent="0.25">
      <c r="B16" s="1" t="s">
        <v>659</v>
      </c>
      <c r="C16" s="1" t="s">
        <v>660</v>
      </c>
      <c r="D16" s="407" t="s">
        <v>661</v>
      </c>
    </row>
    <row r="17" spans="2:4" x14ac:dyDescent="0.25">
      <c r="B17" s="1" t="s">
        <v>662</v>
      </c>
      <c r="C17" s="1" t="s">
        <v>663</v>
      </c>
      <c r="D17" s="407" t="s">
        <v>664</v>
      </c>
    </row>
    <row r="18" spans="2:4" x14ac:dyDescent="0.25">
      <c r="B18" s="1" t="s">
        <v>665</v>
      </c>
      <c r="C18" s="1" t="s">
        <v>666</v>
      </c>
      <c r="D18" s="407" t="s">
        <v>667</v>
      </c>
    </row>
    <row r="20" spans="2:4" x14ac:dyDescent="0.25">
      <c r="B20" s="11" t="s">
        <v>668</v>
      </c>
    </row>
    <row r="21" spans="2:4" x14ac:dyDescent="0.25">
      <c r="B21" s="1" t="s">
        <v>669</v>
      </c>
      <c r="D21" s="407"/>
    </row>
    <row r="22" spans="2:4" x14ac:dyDescent="0.25">
      <c r="D22" s="407"/>
    </row>
    <row r="23" spans="2:4" x14ac:dyDescent="0.25">
      <c r="B23" s="11" t="s">
        <v>135</v>
      </c>
    </row>
    <row r="24" spans="2:4" x14ac:dyDescent="0.25">
      <c r="B24" s="1" t="s">
        <v>670</v>
      </c>
      <c r="C24" s="1" t="s">
        <v>671</v>
      </c>
      <c r="D24" s="1" t="s">
        <v>672</v>
      </c>
    </row>
    <row r="25" spans="2:4" x14ac:dyDescent="0.25">
      <c r="B25" s="1" t="s">
        <v>673</v>
      </c>
      <c r="C25" s="8" t="s">
        <v>674</v>
      </c>
      <c r="D25" t="s">
        <v>675</v>
      </c>
    </row>
  </sheetData>
  <hyperlinks>
    <hyperlink ref="D3" r:id="rId1" xr:uid="{721C53D9-7267-4285-956D-310D3268D239}"/>
    <hyperlink ref="D11" r:id="rId2" xr:uid="{E3248840-BFFF-492C-93DF-7DEBC3760F0A}"/>
    <hyperlink ref="D10" r:id="rId3" xr:uid="{E7C94A72-92B8-47D1-AB77-DB0DA58EB6FF}"/>
    <hyperlink ref="D12" r:id="rId4" location="/?id=12-AEO2022&amp;cases=ref2022&amp;sourcekey=0" xr:uid="{41472495-0259-49A7-A472-34574303E2B6}"/>
    <hyperlink ref="D16" r:id="rId5" xr:uid="{DB948B0A-56D8-4464-83E6-560EE024058B}"/>
    <hyperlink ref="D17" r:id="rId6" xr:uid="{4046BD5D-F517-499C-BCD6-19D5A0D20739}"/>
    <hyperlink ref="D4" r:id="rId7" xr:uid="{B3FB8CAC-F1F8-4A18-9E98-DAA7AF608FFC}"/>
    <hyperlink ref="D18" r:id="rId8" xr:uid="{B481F02A-1220-4BD1-84D5-51EA294E90B3}"/>
  </hyperlinks>
  <pageMargins left="0.7" right="0.7" top="0.75" bottom="0.75" header="0.3" footer="0.3"/>
  <pageSetup orientation="portrait" r:id="rId9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A62B7-A38F-4D21-9B71-6B998590475B}">
  <sheetPr codeName="Sheet36"/>
  <dimension ref="A1:I18"/>
  <sheetViews>
    <sheetView workbookViewId="0">
      <selection activeCell="P28" sqref="P28"/>
    </sheetView>
  </sheetViews>
  <sheetFormatPr defaultRowHeight="15" x14ac:dyDescent="0.25"/>
  <cols>
    <col min="1" max="1" width="18" bestFit="1" customWidth="1"/>
    <col min="2" max="2" width="12" bestFit="1" customWidth="1"/>
  </cols>
  <sheetData>
    <row r="1" spans="1:9" x14ac:dyDescent="0.25">
      <c r="A1" t="s">
        <v>232</v>
      </c>
    </row>
    <row r="2" spans="1:9" ht="15.75" thickBot="1" x14ac:dyDescent="0.3"/>
    <row r="3" spans="1:9" x14ac:dyDescent="0.25">
      <c r="A3" s="73" t="s">
        <v>233</v>
      </c>
      <c r="B3" s="73"/>
    </row>
    <row r="4" spans="1:9" x14ac:dyDescent="0.25">
      <c r="A4" t="s">
        <v>234</v>
      </c>
      <c r="B4">
        <v>0.68576014355579684</v>
      </c>
    </row>
    <row r="5" spans="1:9" x14ac:dyDescent="0.25">
      <c r="A5" t="s">
        <v>235</v>
      </c>
      <c r="B5">
        <v>0.47026697448966714</v>
      </c>
    </row>
    <row r="6" spans="1:9" x14ac:dyDescent="0.25">
      <c r="A6" t="s">
        <v>236</v>
      </c>
      <c r="B6">
        <v>0.46007980092216072</v>
      </c>
    </row>
    <row r="7" spans="1:9" x14ac:dyDescent="0.25">
      <c r="A7" t="s">
        <v>237</v>
      </c>
      <c r="B7">
        <v>1.2918274244968033</v>
      </c>
    </row>
    <row r="8" spans="1:9" ht="15.75" thickBot="1" x14ac:dyDescent="0.3">
      <c r="A8" s="65" t="s">
        <v>238</v>
      </c>
      <c r="B8" s="65">
        <v>54</v>
      </c>
    </row>
    <row r="10" spans="1:9" ht="15.75" thickBot="1" x14ac:dyDescent="0.3">
      <c r="A10" t="s">
        <v>239</v>
      </c>
    </row>
    <row r="11" spans="1:9" x14ac:dyDescent="0.25">
      <c r="A11" s="62"/>
      <c r="B11" s="62" t="s">
        <v>240</v>
      </c>
      <c r="C11" s="62" t="s">
        <v>241</v>
      </c>
      <c r="D11" s="62" t="s">
        <v>242</v>
      </c>
      <c r="E11" s="62" t="s">
        <v>243</v>
      </c>
      <c r="F11" s="62" t="s">
        <v>244</v>
      </c>
    </row>
    <row r="12" spans="1:9" x14ac:dyDescent="0.25">
      <c r="A12" t="s">
        <v>245</v>
      </c>
      <c r="B12">
        <v>1</v>
      </c>
      <c r="C12">
        <v>77.03707325287435</v>
      </c>
      <c r="D12">
        <v>77.03707325287435</v>
      </c>
      <c r="E12">
        <v>46.162654574734837</v>
      </c>
      <c r="F12">
        <v>1.0532131568657453E-8</v>
      </c>
    </row>
    <row r="13" spans="1:9" x14ac:dyDescent="0.25">
      <c r="A13" t="s">
        <v>246</v>
      </c>
      <c r="B13">
        <v>52</v>
      </c>
      <c r="C13">
        <v>86.778540923466309</v>
      </c>
      <c r="D13">
        <v>1.6688180946820443</v>
      </c>
    </row>
    <row r="14" spans="1:9" ht="15.75" thickBot="1" x14ac:dyDescent="0.3">
      <c r="A14" s="65" t="s">
        <v>67</v>
      </c>
      <c r="B14" s="65">
        <v>53</v>
      </c>
      <c r="C14" s="65">
        <v>163.81561417634066</v>
      </c>
      <c r="D14" s="65"/>
      <c r="E14" s="65"/>
      <c r="F14" s="65"/>
    </row>
    <row r="15" spans="1:9" ht="15.75" thickBot="1" x14ac:dyDescent="0.3"/>
    <row r="16" spans="1:9" x14ac:dyDescent="0.25">
      <c r="A16" s="62"/>
      <c r="B16" s="62" t="s">
        <v>247</v>
      </c>
      <c r="C16" s="62" t="s">
        <v>237</v>
      </c>
      <c r="D16" s="62" t="s">
        <v>248</v>
      </c>
      <c r="E16" s="62" t="s">
        <v>249</v>
      </c>
      <c r="F16" s="62" t="s">
        <v>250</v>
      </c>
      <c r="G16" s="62" t="s">
        <v>251</v>
      </c>
      <c r="H16" s="62" t="s">
        <v>252</v>
      </c>
      <c r="I16" s="62" t="s">
        <v>253</v>
      </c>
    </row>
    <row r="17" spans="1:9" x14ac:dyDescent="0.25">
      <c r="A17" t="s">
        <v>254</v>
      </c>
      <c r="B17">
        <v>4.5602908741357062</v>
      </c>
      <c r="C17">
        <v>0.58053646577117479</v>
      </c>
      <c r="D17">
        <v>7.8553047793094155</v>
      </c>
      <c r="E17">
        <v>2.1566299156421362E-10</v>
      </c>
      <c r="F17">
        <v>3.3953592298741757</v>
      </c>
      <c r="G17">
        <v>5.7252225183972367</v>
      </c>
      <c r="H17">
        <v>3.3953592298741757</v>
      </c>
      <c r="I17">
        <v>5.7252225183972367</v>
      </c>
    </row>
    <row r="18" spans="1:9" ht="15.75" thickBot="1" x14ac:dyDescent="0.3">
      <c r="A18" s="65" t="s">
        <v>676</v>
      </c>
      <c r="B18" s="65">
        <v>0.89352580697377626</v>
      </c>
      <c r="C18" s="65">
        <v>0.13151088881480058</v>
      </c>
      <c r="D18" s="65">
        <v>6.7943104561636609</v>
      </c>
      <c r="E18" s="65">
        <v>1.0532131568657453E-8</v>
      </c>
      <c r="F18" s="65">
        <v>0.62962990210273406</v>
      </c>
      <c r="G18" s="65">
        <v>1.1574217118448185</v>
      </c>
      <c r="H18" s="65">
        <v>0.62962990210273406</v>
      </c>
      <c r="I18" s="65">
        <v>1.1574217118448185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E3588-F375-4BFB-90FB-70E206F96CD4}">
  <sheetPr codeName="Sheet37"/>
  <dimension ref="A1:I18"/>
  <sheetViews>
    <sheetView workbookViewId="0">
      <selection activeCell="M28" sqref="M28"/>
    </sheetView>
  </sheetViews>
  <sheetFormatPr defaultRowHeight="15" x14ac:dyDescent="0.25"/>
  <cols>
    <col min="1" max="1" width="18" bestFit="1" customWidth="1"/>
    <col min="2" max="2" width="12" bestFit="1" customWidth="1"/>
    <col min="3" max="3" width="14.5703125" bestFit="1" customWidth="1"/>
    <col min="4" max="5" width="12" bestFit="1" customWidth="1"/>
    <col min="6" max="6" width="13.42578125" bestFit="1" customWidth="1"/>
    <col min="7" max="7" width="12" bestFit="1" customWidth="1"/>
    <col min="8" max="8" width="12.42578125" bestFit="1" customWidth="1"/>
    <col min="9" max="9" width="12.5703125" bestFit="1" customWidth="1"/>
  </cols>
  <sheetData>
    <row r="1" spans="1:9" x14ac:dyDescent="0.25">
      <c r="A1" t="s">
        <v>232</v>
      </c>
    </row>
    <row r="2" spans="1:9" ht="15.75" thickBot="1" x14ac:dyDescent="0.3"/>
    <row r="3" spans="1:9" x14ac:dyDescent="0.25">
      <c r="A3" s="73" t="s">
        <v>233</v>
      </c>
      <c r="B3" s="73"/>
    </row>
    <row r="4" spans="1:9" x14ac:dyDescent="0.25">
      <c r="A4" t="s">
        <v>234</v>
      </c>
      <c r="B4">
        <v>0.93631197081709772</v>
      </c>
    </row>
    <row r="5" spans="1:9" x14ac:dyDescent="0.25">
      <c r="A5" t="s">
        <v>235</v>
      </c>
      <c r="B5">
        <v>0.87668010669539764</v>
      </c>
    </row>
    <row r="6" spans="1:9" x14ac:dyDescent="0.25">
      <c r="A6" t="s">
        <v>236</v>
      </c>
      <c r="B6">
        <v>0.87430857028569364</v>
      </c>
    </row>
    <row r="7" spans="1:9" x14ac:dyDescent="0.25">
      <c r="A7" t="s">
        <v>237</v>
      </c>
      <c r="B7">
        <v>0.22352731419267935</v>
      </c>
    </row>
    <row r="8" spans="1:9" ht="15.75" thickBot="1" x14ac:dyDescent="0.3">
      <c r="A8" s="65" t="s">
        <v>238</v>
      </c>
      <c r="B8" s="65">
        <v>54</v>
      </c>
    </row>
    <row r="10" spans="1:9" ht="15.75" thickBot="1" x14ac:dyDescent="0.3">
      <c r="A10" t="s">
        <v>239</v>
      </c>
    </row>
    <row r="11" spans="1:9" x14ac:dyDescent="0.25">
      <c r="A11" s="62"/>
      <c r="B11" s="62" t="s">
        <v>240</v>
      </c>
      <c r="C11" s="62" t="s">
        <v>241</v>
      </c>
      <c r="D11" s="62" t="s">
        <v>242</v>
      </c>
      <c r="E11" s="62" t="s">
        <v>243</v>
      </c>
      <c r="F11" s="62" t="s">
        <v>244</v>
      </c>
    </row>
    <row r="12" spans="1:9" x14ac:dyDescent="0.25">
      <c r="A12" t="s">
        <v>245</v>
      </c>
      <c r="B12">
        <v>1</v>
      </c>
      <c r="C12">
        <v>18.470240689235457</v>
      </c>
      <c r="D12">
        <v>18.470240689235457</v>
      </c>
      <c r="E12">
        <v>369.66757208878772</v>
      </c>
      <c r="F12">
        <v>2.7300292058163428E-25</v>
      </c>
    </row>
    <row r="13" spans="1:9" x14ac:dyDescent="0.25">
      <c r="A13" t="s">
        <v>246</v>
      </c>
      <c r="B13">
        <v>52</v>
      </c>
      <c r="C13">
        <v>2.5981519298900251</v>
      </c>
      <c r="D13">
        <v>4.9964460190192787E-2</v>
      </c>
    </row>
    <row r="14" spans="1:9" ht="15.75" thickBot="1" x14ac:dyDescent="0.3">
      <c r="A14" s="65" t="s">
        <v>67</v>
      </c>
      <c r="B14" s="65">
        <v>53</v>
      </c>
      <c r="C14" s="65">
        <v>21.068392619125483</v>
      </c>
      <c r="D14" s="65"/>
      <c r="E14" s="65"/>
      <c r="F14" s="65"/>
    </row>
    <row r="15" spans="1:9" ht="15.75" thickBot="1" x14ac:dyDescent="0.3"/>
    <row r="16" spans="1:9" x14ac:dyDescent="0.25">
      <c r="A16" s="62"/>
      <c r="B16" s="62" t="s">
        <v>247</v>
      </c>
      <c r="C16" s="62" t="s">
        <v>237</v>
      </c>
      <c r="D16" s="62" t="s">
        <v>248</v>
      </c>
      <c r="E16" s="62" t="s">
        <v>249</v>
      </c>
      <c r="F16" s="62" t="s">
        <v>250</v>
      </c>
      <c r="G16" s="62" t="s">
        <v>251</v>
      </c>
      <c r="H16" s="62" t="s">
        <v>252</v>
      </c>
      <c r="I16" s="62" t="s">
        <v>253</v>
      </c>
    </row>
    <row r="17" spans="1:9" x14ac:dyDescent="0.25">
      <c r="A17" t="s">
        <v>254</v>
      </c>
      <c r="B17">
        <v>1.9029733592721421E-2</v>
      </c>
      <c r="C17">
        <v>0.14243246137955437</v>
      </c>
      <c r="D17">
        <v>0.13360531306140205</v>
      </c>
      <c r="E17">
        <v>0.89423041615093712</v>
      </c>
      <c r="F17">
        <v>-0.26678190997163337</v>
      </c>
      <c r="G17">
        <v>0.30484137715707621</v>
      </c>
      <c r="H17">
        <v>-0.26678190997163337</v>
      </c>
      <c r="I17">
        <v>0.30484137715707621</v>
      </c>
    </row>
    <row r="18" spans="1:9" ht="15.75" thickBot="1" x14ac:dyDescent="0.3">
      <c r="A18" s="65" t="s">
        <v>400</v>
      </c>
      <c r="B18" s="65">
        <v>3.3078397974545232E-2</v>
      </c>
      <c r="C18" s="65">
        <v>1.7204370651206311E-3</v>
      </c>
      <c r="D18" s="65">
        <v>19.226741067814583</v>
      </c>
      <c r="E18" s="65">
        <v>2.7300292058163235E-25</v>
      </c>
      <c r="F18" s="65">
        <v>2.9626088434511214E-2</v>
      </c>
      <c r="G18" s="65">
        <v>3.653070751457925E-2</v>
      </c>
      <c r="H18" s="65">
        <v>2.9626088434511214E-2</v>
      </c>
      <c r="I18" s="65">
        <v>3.653070751457925E-2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71B24-393E-4C07-A880-566C3769361B}">
  <sheetPr codeName="Sheet38"/>
  <dimension ref="A1:I59"/>
  <sheetViews>
    <sheetView workbookViewId="0">
      <selection activeCell="O28" sqref="O28"/>
    </sheetView>
  </sheetViews>
  <sheetFormatPr defaultRowHeight="15" x14ac:dyDescent="0.25"/>
  <cols>
    <col min="1" max="1" width="18" bestFit="1" customWidth="1"/>
    <col min="2" max="2" width="12" bestFit="1" customWidth="1"/>
    <col min="3" max="3" width="14.5703125" bestFit="1" customWidth="1"/>
    <col min="4" max="4" width="12" bestFit="1" customWidth="1"/>
    <col min="6" max="6" width="13.42578125" bestFit="1" customWidth="1"/>
    <col min="7" max="7" width="12" bestFit="1" customWidth="1"/>
    <col min="8" max="8" width="12.42578125" bestFit="1" customWidth="1"/>
    <col min="9" max="9" width="12.5703125" bestFit="1" customWidth="1"/>
  </cols>
  <sheetData>
    <row r="1" spans="1:9" x14ac:dyDescent="0.25">
      <c r="A1" t="s">
        <v>232</v>
      </c>
    </row>
    <row r="2" spans="1:9" ht="15.75" thickBot="1" x14ac:dyDescent="0.3"/>
    <row r="3" spans="1:9" x14ac:dyDescent="0.25">
      <c r="A3" s="73" t="s">
        <v>233</v>
      </c>
      <c r="B3" s="73"/>
    </row>
    <row r="4" spans="1:9" x14ac:dyDescent="0.25">
      <c r="A4" t="s">
        <v>234</v>
      </c>
      <c r="B4">
        <v>0.79148063023340454</v>
      </c>
    </row>
    <row r="5" spans="1:9" x14ac:dyDescent="0.25">
      <c r="A5" t="s">
        <v>235</v>
      </c>
      <c r="B5">
        <v>0.62644158803466732</v>
      </c>
    </row>
    <row r="6" spans="1:9" x14ac:dyDescent="0.25">
      <c r="A6" t="s">
        <v>236</v>
      </c>
      <c r="B6">
        <v>0.61179223854583076</v>
      </c>
    </row>
    <row r="7" spans="1:9" x14ac:dyDescent="0.25">
      <c r="A7" t="s">
        <v>237</v>
      </c>
      <c r="B7">
        <v>0.19820909845383677</v>
      </c>
    </row>
    <row r="8" spans="1:9" ht="15.75" thickBot="1" x14ac:dyDescent="0.3">
      <c r="A8" s="65" t="s">
        <v>238</v>
      </c>
      <c r="B8" s="65">
        <v>54</v>
      </c>
    </row>
    <row r="10" spans="1:9" ht="15.75" thickBot="1" x14ac:dyDescent="0.3">
      <c r="A10" t="s">
        <v>239</v>
      </c>
    </row>
    <row r="11" spans="1:9" x14ac:dyDescent="0.25">
      <c r="A11" s="62"/>
      <c r="B11" s="62" t="s">
        <v>240</v>
      </c>
      <c r="C11" s="62" t="s">
        <v>241</v>
      </c>
      <c r="D11" s="62" t="s">
        <v>242</v>
      </c>
      <c r="E11" s="62" t="s">
        <v>243</v>
      </c>
      <c r="F11" s="62" t="s">
        <v>244</v>
      </c>
    </row>
    <row r="12" spans="1:9" x14ac:dyDescent="0.25">
      <c r="A12" t="s">
        <v>245</v>
      </c>
      <c r="B12">
        <v>2</v>
      </c>
      <c r="C12">
        <v>3.3600010240138056</v>
      </c>
      <c r="D12">
        <v>1.6800005120069028</v>
      </c>
      <c r="E12">
        <v>42.762416755231513</v>
      </c>
      <c r="F12">
        <v>1.244922375771294E-11</v>
      </c>
    </row>
    <row r="13" spans="1:9" x14ac:dyDescent="0.25">
      <c r="A13" t="s">
        <v>246</v>
      </c>
      <c r="B13">
        <v>51</v>
      </c>
      <c r="C13">
        <v>2.0036291822040209</v>
      </c>
      <c r="D13">
        <v>3.9286846709882764E-2</v>
      </c>
    </row>
    <row r="14" spans="1:9" ht="15.75" thickBot="1" x14ac:dyDescent="0.3">
      <c r="A14" s="65" t="s">
        <v>67</v>
      </c>
      <c r="B14" s="65">
        <v>53</v>
      </c>
      <c r="C14" s="65">
        <v>5.3636302062178265</v>
      </c>
      <c r="D14" s="65"/>
      <c r="E14" s="65"/>
      <c r="F14" s="65"/>
    </row>
    <row r="15" spans="1:9" ht="15.75" thickBot="1" x14ac:dyDescent="0.3"/>
    <row r="16" spans="1:9" x14ac:dyDescent="0.25">
      <c r="A16" s="62"/>
      <c r="B16" s="62" t="s">
        <v>247</v>
      </c>
      <c r="C16" s="62" t="s">
        <v>237</v>
      </c>
      <c r="D16" s="62" t="s">
        <v>248</v>
      </c>
      <c r="E16" s="62" t="s">
        <v>249</v>
      </c>
      <c r="F16" s="62" t="s">
        <v>250</v>
      </c>
      <c r="G16" s="62" t="s">
        <v>251</v>
      </c>
      <c r="H16" s="62" t="s">
        <v>252</v>
      </c>
      <c r="I16" s="62" t="s">
        <v>253</v>
      </c>
    </row>
    <row r="17" spans="1:9" x14ac:dyDescent="0.25">
      <c r="A17" t="s">
        <v>254</v>
      </c>
      <c r="B17">
        <v>-6.6229245540062376E-2</v>
      </c>
      <c r="C17">
        <v>0.12649807305780397</v>
      </c>
      <c r="D17">
        <v>-0.52355932338825883</v>
      </c>
      <c r="E17">
        <v>0.60285281276765901</v>
      </c>
      <c r="F17">
        <v>-0.32018472398713643</v>
      </c>
      <c r="G17">
        <v>0.18772623290701168</v>
      </c>
      <c r="H17">
        <v>-0.32018472398713643</v>
      </c>
      <c r="I17">
        <v>0.18772623290701168</v>
      </c>
    </row>
    <row r="18" spans="1:9" x14ac:dyDescent="0.25">
      <c r="A18" t="s">
        <v>426</v>
      </c>
      <c r="B18">
        <v>8.7219976004179883E-2</v>
      </c>
      <c r="C18">
        <v>2.6378728085957859E-2</v>
      </c>
      <c r="D18">
        <v>3.3064511571583139</v>
      </c>
      <c r="E18">
        <v>1.735437334066698E-3</v>
      </c>
      <c r="F18">
        <v>3.4262469617236391E-2</v>
      </c>
      <c r="G18">
        <v>0.14017748239112338</v>
      </c>
      <c r="H18">
        <v>3.4262469617236391E-2</v>
      </c>
      <c r="I18">
        <v>0.14017748239112338</v>
      </c>
    </row>
    <row r="19" spans="1:9" ht="15.75" thickBot="1" x14ac:dyDescent="0.3">
      <c r="A19" s="65" t="s">
        <v>400</v>
      </c>
      <c r="B19" s="65">
        <v>8.9284590688944211E-3</v>
      </c>
      <c r="C19" s="65">
        <v>1.9943658490448827E-3</v>
      </c>
      <c r="D19" s="65">
        <v>4.4768411338222274</v>
      </c>
      <c r="E19" s="65">
        <v>4.2789267534348441E-5</v>
      </c>
      <c r="F19" s="65">
        <v>4.9246025582797542E-3</v>
      </c>
      <c r="G19" s="65">
        <v>1.2932315579509088E-2</v>
      </c>
      <c r="H19" s="65">
        <v>4.9246025582797542E-3</v>
      </c>
      <c r="I19" s="65">
        <v>1.2932315579509088E-2</v>
      </c>
    </row>
    <row r="21" spans="1:9" x14ac:dyDescent="0.25">
      <c r="A21" t="s">
        <v>232</v>
      </c>
    </row>
    <row r="22" spans="1:9" ht="15.75" thickBot="1" x14ac:dyDescent="0.3"/>
    <row r="23" spans="1:9" x14ac:dyDescent="0.25">
      <c r="A23" s="73" t="s">
        <v>233</v>
      </c>
      <c r="B23" s="73"/>
    </row>
    <row r="24" spans="1:9" x14ac:dyDescent="0.25">
      <c r="A24" t="s">
        <v>234</v>
      </c>
      <c r="B24">
        <v>0.73916419548678014</v>
      </c>
    </row>
    <row r="25" spans="1:9" x14ac:dyDescent="0.25">
      <c r="A25" t="s">
        <v>235</v>
      </c>
      <c r="B25">
        <v>0.54636370788961885</v>
      </c>
    </row>
    <row r="26" spans="1:9" x14ac:dyDescent="0.25">
      <c r="A26" t="s">
        <v>236</v>
      </c>
      <c r="B26">
        <v>0.53763993304134228</v>
      </c>
    </row>
    <row r="27" spans="1:9" x14ac:dyDescent="0.25">
      <c r="A27" t="s">
        <v>237</v>
      </c>
      <c r="B27">
        <v>0.21631251070721616</v>
      </c>
    </row>
    <row r="28" spans="1:9" ht="15.75" thickBot="1" x14ac:dyDescent="0.3">
      <c r="A28" s="65" t="s">
        <v>238</v>
      </c>
      <c r="B28" s="65">
        <v>54</v>
      </c>
    </row>
    <row r="30" spans="1:9" ht="15.75" thickBot="1" x14ac:dyDescent="0.3">
      <c r="A30" t="s">
        <v>239</v>
      </c>
    </row>
    <row r="31" spans="1:9" x14ac:dyDescent="0.25">
      <c r="A31" s="62"/>
      <c r="B31" s="62" t="s">
        <v>240</v>
      </c>
      <c r="C31" s="62" t="s">
        <v>241</v>
      </c>
      <c r="D31" s="62" t="s">
        <v>242</v>
      </c>
      <c r="E31" s="62" t="s">
        <v>243</v>
      </c>
      <c r="F31" s="62" t="s">
        <v>244</v>
      </c>
    </row>
    <row r="32" spans="1:9" x14ac:dyDescent="0.25">
      <c r="A32" t="s">
        <v>245</v>
      </c>
      <c r="B32">
        <v>1</v>
      </c>
      <c r="C32">
        <v>2.9304928872179326</v>
      </c>
      <c r="D32">
        <v>2.9304928872179326</v>
      </c>
      <c r="E32">
        <v>62.629276590919417</v>
      </c>
      <c r="F32">
        <v>1.7420662420749952E-10</v>
      </c>
    </row>
    <row r="33" spans="1:9" x14ac:dyDescent="0.25">
      <c r="A33" t="s">
        <v>246</v>
      </c>
      <c r="B33">
        <v>52</v>
      </c>
      <c r="C33">
        <v>2.4331373189998939</v>
      </c>
      <c r="D33">
        <v>4.67911022884595E-2</v>
      </c>
    </row>
    <row r="34" spans="1:9" ht="15.75" thickBot="1" x14ac:dyDescent="0.3">
      <c r="A34" s="65" t="s">
        <v>67</v>
      </c>
      <c r="B34" s="65">
        <v>53</v>
      </c>
      <c r="C34" s="65">
        <v>5.3636302062178265</v>
      </c>
      <c r="D34" s="65"/>
      <c r="E34" s="65"/>
      <c r="F34" s="65"/>
    </row>
    <row r="35" spans="1:9" ht="15.75" thickBot="1" x14ac:dyDescent="0.3"/>
    <row r="36" spans="1:9" x14ac:dyDescent="0.25">
      <c r="A36" s="62"/>
      <c r="B36" s="62" t="s">
        <v>247</v>
      </c>
      <c r="C36" s="62" t="s">
        <v>237</v>
      </c>
      <c r="D36" s="62" t="s">
        <v>248</v>
      </c>
      <c r="E36" s="62" t="s">
        <v>249</v>
      </c>
      <c r="F36" s="62" t="s">
        <v>250</v>
      </c>
      <c r="G36" s="62" t="s">
        <v>251</v>
      </c>
      <c r="H36" s="62" t="s">
        <v>252</v>
      </c>
      <c r="I36" s="62" t="s">
        <v>253</v>
      </c>
    </row>
    <row r="37" spans="1:9" x14ac:dyDescent="0.25">
      <c r="A37" t="s">
        <v>254</v>
      </c>
      <c r="B37">
        <v>-4.2808408279344734E-2</v>
      </c>
      <c r="C37">
        <v>0.13783516094441153</v>
      </c>
      <c r="D37">
        <v>-0.31057683675219289</v>
      </c>
      <c r="E37">
        <v>0.75736382663874535</v>
      </c>
      <c r="F37">
        <v>-0.31939489361361145</v>
      </c>
      <c r="G37">
        <v>0.23377807705492198</v>
      </c>
      <c r="H37">
        <v>-0.31939489361361145</v>
      </c>
      <c r="I37">
        <v>0.23377807705492198</v>
      </c>
    </row>
    <row r="38" spans="1:9" ht="15.75" thickBot="1" x14ac:dyDescent="0.3">
      <c r="A38" s="65" t="s">
        <v>400</v>
      </c>
      <c r="B38" s="65">
        <v>1.3175846492966005E-2</v>
      </c>
      <c r="C38" s="65">
        <v>1.6649064227971932E-3</v>
      </c>
      <c r="D38" s="65">
        <v>7.9138660963475607</v>
      </c>
      <c r="E38" s="65">
        <v>1.7420662420750201E-10</v>
      </c>
      <c r="F38" s="65">
        <v>9.8349673389333363E-3</v>
      </c>
      <c r="G38" s="65">
        <v>1.6516725646998673E-2</v>
      </c>
      <c r="H38" s="65">
        <v>9.8349673389333363E-3</v>
      </c>
      <c r="I38" s="65">
        <v>1.6516725646998673E-2</v>
      </c>
    </row>
    <row r="42" spans="1:9" x14ac:dyDescent="0.25">
      <c r="A42" t="s">
        <v>232</v>
      </c>
    </row>
    <row r="43" spans="1:9" ht="15.75" thickBot="1" x14ac:dyDescent="0.3"/>
    <row r="44" spans="1:9" x14ac:dyDescent="0.25">
      <c r="A44" s="73" t="s">
        <v>233</v>
      </c>
      <c r="B44" s="73"/>
    </row>
    <row r="45" spans="1:9" x14ac:dyDescent="0.25">
      <c r="A45" t="s">
        <v>234</v>
      </c>
      <c r="B45">
        <v>0.69256023308779924</v>
      </c>
    </row>
    <row r="46" spans="1:9" x14ac:dyDescent="0.25">
      <c r="A46" t="s">
        <v>235</v>
      </c>
      <c r="B46">
        <v>0.47963967645462674</v>
      </c>
    </row>
    <row r="47" spans="1:9" x14ac:dyDescent="0.25">
      <c r="A47" t="s">
        <v>236</v>
      </c>
      <c r="B47">
        <v>0.46963274715567727</v>
      </c>
    </row>
    <row r="48" spans="1:9" x14ac:dyDescent="0.25">
      <c r="A48" t="s">
        <v>237</v>
      </c>
      <c r="B48">
        <v>0.2316753509964572</v>
      </c>
    </row>
    <row r="49" spans="1:9" ht="15.75" thickBot="1" x14ac:dyDescent="0.3">
      <c r="A49" s="65" t="s">
        <v>238</v>
      </c>
      <c r="B49" s="65">
        <v>54</v>
      </c>
    </row>
    <row r="51" spans="1:9" ht="15.75" thickBot="1" x14ac:dyDescent="0.3">
      <c r="A51" t="s">
        <v>239</v>
      </c>
    </row>
    <row r="52" spans="1:9" x14ac:dyDescent="0.25">
      <c r="A52" s="62"/>
      <c r="B52" s="62" t="s">
        <v>240</v>
      </c>
      <c r="C52" s="62" t="s">
        <v>241</v>
      </c>
      <c r="D52" s="62" t="s">
        <v>242</v>
      </c>
      <c r="E52" s="62" t="s">
        <v>243</v>
      </c>
      <c r="F52" s="62" t="s">
        <v>244</v>
      </c>
    </row>
    <row r="53" spans="1:9" x14ac:dyDescent="0.25">
      <c r="A53" t="s">
        <v>245</v>
      </c>
      <c r="B53">
        <v>1</v>
      </c>
      <c r="C53">
        <v>2.5726098567325812</v>
      </c>
      <c r="D53">
        <v>2.5726098567325812</v>
      </c>
      <c r="E53">
        <v>47.930754992440953</v>
      </c>
      <c r="F53">
        <v>6.5608724816597389E-9</v>
      </c>
    </row>
    <row r="54" spans="1:9" x14ac:dyDescent="0.25">
      <c r="A54" t="s">
        <v>246</v>
      </c>
      <c r="B54">
        <v>52</v>
      </c>
      <c r="C54">
        <v>2.7910203494852452</v>
      </c>
      <c r="D54">
        <v>5.3673468259331641E-2</v>
      </c>
    </row>
    <row r="55" spans="1:9" ht="15.75" thickBot="1" x14ac:dyDescent="0.3">
      <c r="A55" s="65" t="s">
        <v>67</v>
      </c>
      <c r="B55" s="65">
        <v>53</v>
      </c>
      <c r="C55" s="65">
        <v>5.3636302062178265</v>
      </c>
      <c r="D55" s="65"/>
      <c r="E55" s="65"/>
      <c r="F55" s="65"/>
    </row>
    <row r="56" spans="1:9" ht="15.75" thickBot="1" x14ac:dyDescent="0.3"/>
    <row r="57" spans="1:9" x14ac:dyDescent="0.25">
      <c r="A57" s="62"/>
      <c r="B57" s="62" t="s">
        <v>247</v>
      </c>
      <c r="C57" s="62" t="s">
        <v>237</v>
      </c>
      <c r="D57" s="62" t="s">
        <v>248</v>
      </c>
      <c r="E57" s="62" t="s">
        <v>249</v>
      </c>
      <c r="F57" s="62" t="s">
        <v>250</v>
      </c>
      <c r="G57" s="62" t="s">
        <v>251</v>
      </c>
      <c r="H57" s="62" t="s">
        <v>252</v>
      </c>
      <c r="I57" s="62" t="s">
        <v>253</v>
      </c>
    </row>
    <row r="58" spans="1:9" x14ac:dyDescent="0.25">
      <c r="A58" t="s">
        <v>254</v>
      </c>
      <c r="B58">
        <v>0.33588159725386912</v>
      </c>
      <c r="C58">
        <v>0.10411296967640161</v>
      </c>
      <c r="D58">
        <v>3.2261263730910605</v>
      </c>
      <c r="E58">
        <v>2.1723394215661601E-3</v>
      </c>
      <c r="F58">
        <v>0.12696363928723362</v>
      </c>
      <c r="G58">
        <v>0.54479955522050461</v>
      </c>
      <c r="H58">
        <v>0.12696363928723362</v>
      </c>
      <c r="I58">
        <v>0.54479955522050461</v>
      </c>
    </row>
    <row r="59" spans="1:9" ht="15.75" thickBot="1" x14ac:dyDescent="0.3">
      <c r="A59" s="65" t="s">
        <v>676</v>
      </c>
      <c r="B59" s="65">
        <v>0.16328420554890025</v>
      </c>
      <c r="C59" s="65">
        <v>2.3585063103837504E-2</v>
      </c>
      <c r="D59" s="65">
        <v>6.9232040987133256</v>
      </c>
      <c r="E59" s="65">
        <v>6.560872481659667E-9</v>
      </c>
      <c r="F59" s="65">
        <v>0.11595731402440645</v>
      </c>
      <c r="G59" s="65">
        <v>0.21061109707339404</v>
      </c>
      <c r="H59" s="65">
        <v>0.11595731402440645</v>
      </c>
      <c r="I59" s="65">
        <v>0.21061109707339404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9DC1C-1318-4483-943B-FCF051EB07DD}">
  <sheetPr codeName="Sheet39"/>
  <dimension ref="B3:K25"/>
  <sheetViews>
    <sheetView workbookViewId="0">
      <selection activeCell="K15" sqref="K15"/>
    </sheetView>
  </sheetViews>
  <sheetFormatPr defaultRowHeight="15" x14ac:dyDescent="0.25"/>
  <cols>
    <col min="2" max="2" width="18" bestFit="1" customWidth="1"/>
    <col min="3" max="3" width="31.42578125" customWidth="1"/>
    <col min="4" max="4" width="34.7109375" customWidth="1"/>
    <col min="5" max="5" width="35.42578125" customWidth="1"/>
    <col min="6" max="6" width="25.140625" customWidth="1"/>
    <col min="7" max="7" width="18" customWidth="1"/>
  </cols>
  <sheetData>
    <row r="3" spans="2:11" ht="51.75" customHeight="1" x14ac:dyDescent="0.25">
      <c r="B3" s="506" t="s">
        <v>723</v>
      </c>
      <c r="C3" s="135" t="s">
        <v>677</v>
      </c>
      <c r="D3" s="135" t="s">
        <v>678</v>
      </c>
      <c r="E3" s="135" t="s">
        <v>679</v>
      </c>
      <c r="F3" s="135" t="s">
        <v>699</v>
      </c>
      <c r="G3" s="135" t="s">
        <v>761</v>
      </c>
    </row>
    <row r="4" spans="2:11" x14ac:dyDescent="0.25">
      <c r="B4" t="s">
        <v>322</v>
      </c>
      <c r="C4" s="79">
        <v>52220.959999999999</v>
      </c>
      <c r="D4" s="79">
        <v>259</v>
      </c>
      <c r="E4" s="79">
        <v>13840</v>
      </c>
      <c r="F4" s="37">
        <f>IF('Summary Dashboard'!$L$3="No",SUM(C4:E4),SUM('15. Emissions'!C4:E4)-'15. Emissions'!G4)</f>
        <v>66319.959999999992</v>
      </c>
      <c r="G4" s="79">
        <v>5140.8700000000008</v>
      </c>
      <c r="H4" s="523"/>
    </row>
    <row r="5" spans="2:11" x14ac:dyDescent="0.25">
      <c r="B5" t="s">
        <v>324</v>
      </c>
      <c r="C5" s="79">
        <v>52220.959999999999</v>
      </c>
      <c r="D5" s="79">
        <v>259</v>
      </c>
      <c r="E5" s="79">
        <v>13840</v>
      </c>
      <c r="F5" s="37">
        <f>IF('Summary Dashboard'!$L$3="No",SUM(C5:E5),SUM('15. Emissions'!C5:E5)-'15. Emissions'!G5)</f>
        <v>66319.959999999992</v>
      </c>
      <c r="G5" s="79">
        <v>5140.8700000000008</v>
      </c>
    </row>
    <row r="6" spans="2:11" x14ac:dyDescent="0.25">
      <c r="B6" t="s">
        <v>323</v>
      </c>
      <c r="C6" s="79">
        <v>52220.959999999999</v>
      </c>
      <c r="D6" s="79">
        <v>259</v>
      </c>
      <c r="E6" s="79">
        <v>13840</v>
      </c>
      <c r="F6" s="37">
        <f>IF('Summary Dashboard'!$L$3="No",SUM(C6:E6),SUM('15. Emissions'!C6:E6)-'15. Emissions'!G6)</f>
        <v>66319.959999999992</v>
      </c>
      <c r="G6" s="79">
        <v>5140.8700000000008</v>
      </c>
    </row>
    <row r="7" spans="2:11" x14ac:dyDescent="0.25">
      <c r="B7" t="s">
        <v>325</v>
      </c>
      <c r="C7" s="43">
        <v>59341</v>
      </c>
      <c r="D7" s="104">
        <v>2521</v>
      </c>
      <c r="E7" s="43">
        <v>11151</v>
      </c>
      <c r="F7" s="37">
        <f>IF('Summary Dashboard'!$L$3="No",SUM(C7:E7),SUM('15. Emissions'!C7:E7)-'15. Emissions'!G7)</f>
        <v>73013</v>
      </c>
      <c r="G7" s="79">
        <v>13142.34</v>
      </c>
    </row>
    <row r="8" spans="2:11" x14ac:dyDescent="0.25">
      <c r="B8" t="s">
        <v>351</v>
      </c>
      <c r="C8" s="43">
        <v>65954</v>
      </c>
      <c r="D8" s="104">
        <v>275</v>
      </c>
      <c r="E8" s="43">
        <v>-78236</v>
      </c>
      <c r="F8" s="37">
        <f>IF('Summary Dashboard'!$L$3="No",SUM(C8:E8),SUM('15. Emissions'!C8:E8)-'15. Emissions'!G8)</f>
        <v>-12007</v>
      </c>
      <c r="G8" s="37">
        <v>0</v>
      </c>
    </row>
    <row r="9" spans="2:11" x14ac:dyDescent="0.25">
      <c r="B9" t="s">
        <v>760</v>
      </c>
      <c r="C9" s="43">
        <v>65954</v>
      </c>
      <c r="D9" s="104">
        <v>275</v>
      </c>
      <c r="E9" s="43">
        <v>-78236</v>
      </c>
      <c r="F9" s="37">
        <f>IF('Summary Dashboard'!$L$3="No",SUM(C9:E9),SUM('15. Emissions'!C9:E9)-'15. Emissions'!G9)</f>
        <v>-12007</v>
      </c>
      <c r="G9" s="37">
        <v>0</v>
      </c>
    </row>
    <row r="10" spans="2:11" x14ac:dyDescent="0.25">
      <c r="B10" t="s">
        <v>771</v>
      </c>
      <c r="C10" s="43">
        <v>59080</v>
      </c>
      <c r="D10" s="104">
        <v>130</v>
      </c>
      <c r="E10" s="43">
        <v>-4210</v>
      </c>
      <c r="F10" s="37">
        <f>IF('Summary Dashboard'!$L$3="No",SUM(C10:E10),SUM('15. Emissions'!C10:E10)-'15. Emissions'!G10)</f>
        <v>55000</v>
      </c>
      <c r="G10" s="37">
        <v>0</v>
      </c>
    </row>
    <row r="11" spans="2:11" x14ac:dyDescent="0.25">
      <c r="B11" t="s">
        <v>371</v>
      </c>
      <c r="C11" s="43">
        <v>59080</v>
      </c>
      <c r="D11" s="104">
        <v>130</v>
      </c>
      <c r="E11" s="43">
        <v>259</v>
      </c>
      <c r="F11" s="37">
        <f>IF('Summary Dashboard'!$L$3="No",SUM(C11:E11),SUM('15. Emissions'!C11:E11)-'15. Emissions'!G11)</f>
        <v>59469</v>
      </c>
      <c r="G11" s="37">
        <v>0</v>
      </c>
    </row>
    <row r="12" spans="2:11" x14ac:dyDescent="0.25">
      <c r="B12" t="s">
        <v>372</v>
      </c>
      <c r="C12" s="43">
        <v>59080</v>
      </c>
      <c r="D12" s="104">
        <v>130</v>
      </c>
      <c r="E12" s="43">
        <v>259</v>
      </c>
      <c r="F12" s="37">
        <f>IF('Summary Dashboard'!$L$3="No",SUM(C12:E12),SUM('15. Emissions'!C12:E12)-'15. Emissions'!G12)</f>
        <v>59469</v>
      </c>
      <c r="G12" s="37">
        <v>0</v>
      </c>
    </row>
    <row r="13" spans="2:11" x14ac:dyDescent="0.25">
      <c r="B13" t="s">
        <v>373</v>
      </c>
      <c r="C13" s="43">
        <v>59080</v>
      </c>
      <c r="D13" s="104">
        <v>130</v>
      </c>
      <c r="E13" s="43">
        <v>259</v>
      </c>
      <c r="F13" s="37">
        <f>IF('Summary Dashboard'!$L$3="No",SUM(C13:E13),SUM('15. Emissions'!C13:E13)-'15. Emissions'!G13)</f>
        <v>59469</v>
      </c>
      <c r="G13" s="37">
        <v>0</v>
      </c>
    </row>
    <row r="14" spans="2:11" x14ac:dyDescent="0.25">
      <c r="B14" t="s">
        <v>374</v>
      </c>
      <c r="C14" s="43">
        <v>59080</v>
      </c>
      <c r="D14" s="104">
        <v>130</v>
      </c>
      <c r="E14" s="43">
        <v>259</v>
      </c>
      <c r="F14" s="37">
        <f>IF('Summary Dashboard'!$L$3="No",SUM(C14:E14),SUM('15. Emissions'!C14:E14)-'15. Emissions'!G14)</f>
        <v>59469</v>
      </c>
      <c r="G14" s="37">
        <v>0</v>
      </c>
      <c r="K14" t="s">
        <v>20</v>
      </c>
    </row>
    <row r="15" spans="2:11" x14ac:dyDescent="0.25">
      <c r="B15" t="s">
        <v>375</v>
      </c>
      <c r="C15" s="43">
        <v>59080</v>
      </c>
      <c r="D15" s="104">
        <v>130</v>
      </c>
      <c r="E15" s="43">
        <v>259</v>
      </c>
      <c r="F15" s="37">
        <f>IF('Summary Dashboard'!$L$3="No",SUM(C15:E15),SUM('15. Emissions'!C15:E15)-'15. Emissions'!G15)</f>
        <v>59469</v>
      </c>
      <c r="G15" s="37">
        <v>0</v>
      </c>
    </row>
    <row r="16" spans="2:11" x14ac:dyDescent="0.25">
      <c r="B16" t="s">
        <v>376</v>
      </c>
      <c r="C16" s="43">
        <v>59080</v>
      </c>
      <c r="D16" s="104">
        <v>130</v>
      </c>
      <c r="E16" s="43">
        <v>259</v>
      </c>
      <c r="F16" s="37">
        <f>IF('Summary Dashboard'!$L$3="No",SUM(C16:E16),SUM('15. Emissions'!C16:E16)-'15. Emissions'!G16)</f>
        <v>59469</v>
      </c>
      <c r="G16" s="37">
        <v>0</v>
      </c>
    </row>
    <row r="17" spans="2:7" x14ac:dyDescent="0.25">
      <c r="B17" t="s">
        <v>377</v>
      </c>
      <c r="C17" s="43">
        <v>59080</v>
      </c>
      <c r="D17" s="104">
        <v>130</v>
      </c>
      <c r="E17" s="43">
        <v>259</v>
      </c>
      <c r="F17" s="37">
        <f>IF('Summary Dashboard'!$L$3="No",SUM(C17:E17),SUM('15. Emissions'!C17:E17)-'15. Emissions'!G17)</f>
        <v>59469</v>
      </c>
      <c r="G17" s="37">
        <v>0</v>
      </c>
    </row>
    <row r="18" spans="2:7" x14ac:dyDescent="0.25">
      <c r="B18" t="s">
        <v>378</v>
      </c>
      <c r="C18" s="43">
        <v>59080</v>
      </c>
      <c r="D18" s="104">
        <v>130</v>
      </c>
      <c r="E18" s="43">
        <v>259</v>
      </c>
      <c r="F18" s="37">
        <f>IF('Summary Dashboard'!$L$3="No",SUM(C18:E18),SUM('15. Emissions'!C18:E18)-'15. Emissions'!G18)</f>
        <v>59469</v>
      </c>
      <c r="G18" s="37">
        <v>0</v>
      </c>
    </row>
    <row r="19" spans="2:7" x14ac:dyDescent="0.25">
      <c r="B19" t="s">
        <v>379</v>
      </c>
      <c r="C19" s="43">
        <v>59341</v>
      </c>
      <c r="D19" s="104">
        <v>2521</v>
      </c>
      <c r="E19" s="43">
        <v>11151</v>
      </c>
      <c r="F19" s="37">
        <f>IF('Summary Dashboard'!$L$3="No",SUM(C19:E19),SUM('15. Emissions'!C19:E19)-'15. Emissions'!G19)</f>
        <v>73013</v>
      </c>
      <c r="G19" s="79">
        <v>13142.34</v>
      </c>
    </row>
    <row r="20" spans="2:7" x14ac:dyDescent="0.25">
      <c r="B20" t="s">
        <v>380</v>
      </c>
      <c r="C20" s="43">
        <v>59341</v>
      </c>
      <c r="D20" s="104">
        <v>2521</v>
      </c>
      <c r="E20" s="43">
        <v>11151</v>
      </c>
      <c r="F20" s="37">
        <f>IF('Summary Dashboard'!$L$3="No",SUM(C20:E20),SUM('15. Emissions'!C20:E20)-'15. Emissions'!G20)</f>
        <v>73013</v>
      </c>
      <c r="G20" s="79">
        <v>13142.34</v>
      </c>
    </row>
    <row r="21" spans="2:7" x14ac:dyDescent="0.25">
      <c r="B21" t="s">
        <v>381</v>
      </c>
      <c r="C21" s="43">
        <v>59341</v>
      </c>
      <c r="D21" s="104">
        <v>2521</v>
      </c>
      <c r="E21" s="43">
        <v>11151</v>
      </c>
      <c r="F21" s="37">
        <f>IF('Summary Dashboard'!$L$3="No",SUM(C21:E21),SUM('15. Emissions'!C21:E21)-'15. Emissions'!G21)</f>
        <v>73013</v>
      </c>
      <c r="G21" s="79">
        <v>13142.34</v>
      </c>
    </row>
    <row r="22" spans="2:7" x14ac:dyDescent="0.25">
      <c r="B22" t="s">
        <v>382</v>
      </c>
      <c r="C22" s="43">
        <v>59341</v>
      </c>
      <c r="D22" s="104">
        <v>2521</v>
      </c>
      <c r="E22" s="43">
        <v>11151</v>
      </c>
      <c r="F22" s="37">
        <f>IF('Summary Dashboard'!$L$3="No",SUM(C22:E22),SUM('15. Emissions'!C22:E22)-'15. Emissions'!G22)</f>
        <v>73013</v>
      </c>
      <c r="G22" s="79">
        <v>13142.34</v>
      </c>
    </row>
    <row r="23" spans="2:7" x14ac:dyDescent="0.25">
      <c r="B23" t="s">
        <v>383</v>
      </c>
      <c r="C23" s="43">
        <v>59341</v>
      </c>
      <c r="D23" s="104">
        <v>2521</v>
      </c>
      <c r="E23" s="43">
        <v>11151</v>
      </c>
      <c r="F23" s="37">
        <f>IF('Summary Dashboard'!$L$3="No",SUM(C23:E23),SUM('15. Emissions'!C23:E23)-'15. Emissions'!G23)</f>
        <v>73013</v>
      </c>
      <c r="G23" s="79">
        <v>13142.34</v>
      </c>
    </row>
    <row r="24" spans="2:7" x14ac:dyDescent="0.25">
      <c r="B24" t="s">
        <v>384</v>
      </c>
      <c r="C24" s="43">
        <v>0</v>
      </c>
      <c r="D24" s="79">
        <v>259</v>
      </c>
      <c r="E24" s="43">
        <v>0</v>
      </c>
      <c r="F24" s="37">
        <f>IF('Summary Dashboard'!$L$3="No",SUM(C24:E24),SUM('15. Emissions'!C24:E24)-'15. Emissions'!G24)</f>
        <v>259</v>
      </c>
      <c r="G24" s="37">
        <v>0</v>
      </c>
    </row>
    <row r="25" spans="2:7" x14ac:dyDescent="0.25">
      <c r="B25" t="s">
        <v>349</v>
      </c>
      <c r="C25" s="43">
        <v>64039</v>
      </c>
      <c r="D25" s="104">
        <v>531</v>
      </c>
      <c r="E25" s="43">
        <v>12493</v>
      </c>
      <c r="F25" s="37">
        <f>IF('Summary Dashboard'!$L$3="No",SUM(C25:E25),SUM('15. Emissions'!C25:E25)-'15. Emissions'!G25)</f>
        <v>77063</v>
      </c>
      <c r="G25" s="79">
        <v>13871.34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A177A-3AB1-42A7-92BC-8C8420AA606C}">
  <sheetPr codeName="Sheet4">
    <tabColor theme="7"/>
  </sheetPr>
  <dimension ref="B1:V80"/>
  <sheetViews>
    <sheetView topLeftCell="A90" zoomScale="55" zoomScaleNormal="55" workbookViewId="0">
      <selection activeCell="C261" sqref="C261"/>
    </sheetView>
  </sheetViews>
  <sheetFormatPr defaultColWidth="9.140625" defaultRowHeight="15" x14ac:dyDescent="0.25"/>
  <cols>
    <col min="1" max="1" width="9.140625" style="1"/>
    <col min="2" max="2" width="41.7109375" style="1" customWidth="1"/>
    <col min="3" max="3" width="20.5703125" style="1" customWidth="1"/>
    <col min="4" max="4" width="15.5703125" style="1" customWidth="1"/>
    <col min="5" max="5" width="18.140625" style="1" customWidth="1"/>
    <col min="6" max="6" width="12.5703125" style="1" customWidth="1"/>
    <col min="7" max="7" width="18.85546875" style="1" bestFit="1" customWidth="1"/>
    <col min="8" max="8" width="22.28515625" style="1" customWidth="1"/>
    <col min="9" max="9" width="12.5703125" style="1" customWidth="1"/>
    <col min="10" max="10" width="22.42578125" style="1" bestFit="1" customWidth="1"/>
    <col min="11" max="11" width="20.42578125" style="1" bestFit="1" customWidth="1"/>
    <col min="12" max="16384" width="9.140625" style="1"/>
  </cols>
  <sheetData>
    <row r="1" spans="2:22" x14ac:dyDescent="0.25">
      <c r="C1" s="29"/>
      <c r="D1" s="30"/>
      <c r="E1" s="30"/>
      <c r="F1" s="30"/>
      <c r="G1" s="30"/>
      <c r="H1" s="30"/>
      <c r="I1" s="30"/>
      <c r="J1" s="30"/>
    </row>
    <row r="2" spans="2:22" ht="21" x14ac:dyDescent="0.35">
      <c r="B2" s="33" t="s">
        <v>25</v>
      </c>
      <c r="C2" s="31"/>
      <c r="D2" s="25"/>
      <c r="E2" s="25"/>
      <c r="F2" s="25"/>
      <c r="G2" s="25"/>
      <c r="H2" s="25"/>
      <c r="I2" s="25"/>
      <c r="J2" s="30"/>
      <c r="L2" s="40" t="s">
        <v>9</v>
      </c>
      <c r="M2" s="25"/>
      <c r="N2" s="25"/>
      <c r="O2" s="25"/>
      <c r="P2" s="25"/>
      <c r="Q2" s="25"/>
      <c r="R2" s="25"/>
      <c r="S2" s="10"/>
      <c r="T2" s="10"/>
      <c r="U2" s="10"/>
      <c r="V2" s="10"/>
    </row>
    <row r="4" spans="2:22" x14ac:dyDescent="0.25">
      <c r="B4" s="1" t="s">
        <v>26</v>
      </c>
      <c r="C4" s="28" t="str">
        <f>'Dash Demand'!C2</f>
        <v>Base</v>
      </c>
      <c r="E4" s="1" t="s">
        <v>27</v>
      </c>
      <c r="F4" s="28" t="s">
        <v>28</v>
      </c>
    </row>
    <row r="6" spans="2:22" x14ac:dyDescent="0.25">
      <c r="B6" s="1" t="s">
        <v>29</v>
      </c>
      <c r="C6" s="28" t="str">
        <f>'Summary Dashboard'!F5</f>
        <v>No</v>
      </c>
    </row>
    <row r="7" spans="2:22" x14ac:dyDescent="0.25">
      <c r="E7" s="420" t="s">
        <v>30</v>
      </c>
    </row>
    <row r="8" spans="2:22" x14ac:dyDescent="0.25">
      <c r="B8" s="1" t="s">
        <v>31</v>
      </c>
      <c r="C8" s="28" t="str">
        <f>'Summary Dashboard'!F7</f>
        <v>Base</v>
      </c>
      <c r="E8" s="13">
        <f>'Summary Dashboard'!H7</f>
        <v>2035</v>
      </c>
    </row>
    <row r="9" spans="2:22" x14ac:dyDescent="0.25">
      <c r="G9" s="1" t="s">
        <v>0</v>
      </c>
    </row>
    <row r="10" spans="2:22" x14ac:dyDescent="0.25">
      <c r="B10" s="1" t="s">
        <v>32</v>
      </c>
      <c r="C10" s="41">
        <f>'Summary Dashboard'!C5</f>
        <v>0.02</v>
      </c>
    </row>
    <row r="13" spans="2:22" x14ac:dyDescent="0.25">
      <c r="B13" s="34"/>
      <c r="C13" s="27"/>
      <c r="D13" s="27"/>
      <c r="E13" s="32"/>
      <c r="F13" s="32"/>
      <c r="G13" s="32"/>
      <c r="H13" s="32"/>
      <c r="I13" s="32"/>
    </row>
    <row r="79" spans="2:11" ht="21" x14ac:dyDescent="0.25">
      <c r="B79" s="26" t="s">
        <v>33</v>
      </c>
    </row>
    <row r="80" spans="2:11" ht="21" x14ac:dyDescent="0.25">
      <c r="J80" s="543" t="s">
        <v>34</v>
      </c>
      <c r="K80" s="543"/>
    </row>
  </sheetData>
  <mergeCells count="1">
    <mergeCell ref="J80:K80"/>
  </mergeCells>
  <phoneticPr fontId="4" type="noConversion"/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0303D-6379-4D0B-82ED-B78F0F68F91A}">
  <sheetPr codeName="Sheet40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D86A9-7072-4C7A-AC8D-C053D0FD8842}">
  <sheetPr codeName="Sheet5">
    <tabColor theme="8"/>
  </sheetPr>
  <dimension ref="A2:AF95"/>
  <sheetViews>
    <sheetView zoomScale="70" zoomScaleNormal="70" workbookViewId="0">
      <selection activeCell="J11" sqref="J11"/>
    </sheetView>
  </sheetViews>
  <sheetFormatPr defaultRowHeight="15" x14ac:dyDescent="0.25"/>
  <cols>
    <col min="2" max="2" width="43.42578125" customWidth="1"/>
    <col min="3" max="3" width="16.42578125" bestFit="1" customWidth="1"/>
    <col min="4" max="4" width="12.5703125" bestFit="1" customWidth="1"/>
    <col min="5" max="5" width="12.42578125" customWidth="1"/>
    <col min="6" max="6" width="14.28515625" bestFit="1" customWidth="1"/>
    <col min="7" max="7" width="12.140625" customWidth="1"/>
    <col min="8" max="8" width="13.5703125" bestFit="1" customWidth="1"/>
    <col min="9" max="9" width="14.85546875" bestFit="1" customWidth="1"/>
    <col min="10" max="10" width="17.42578125" customWidth="1"/>
    <col min="11" max="11" width="25.7109375" style="497" bestFit="1" customWidth="1"/>
    <col min="12" max="13" width="14.85546875" bestFit="1" customWidth="1"/>
    <col min="14" max="14" width="13.5703125" bestFit="1" customWidth="1"/>
    <col min="15" max="15" width="27" bestFit="1" customWidth="1"/>
    <col min="16" max="16" width="42.85546875" customWidth="1"/>
    <col min="17" max="17" width="15.85546875" bestFit="1" customWidth="1"/>
    <col min="18" max="26" width="12" bestFit="1" customWidth="1"/>
    <col min="27" max="32" width="14.85546875" bestFit="1" customWidth="1"/>
  </cols>
  <sheetData>
    <row r="2" spans="1:20" x14ac:dyDescent="0.25">
      <c r="A2" s="35" t="s">
        <v>680</v>
      </c>
    </row>
    <row r="3" spans="1:20" x14ac:dyDescent="0.25">
      <c r="E3" s="545">
        <v>2022</v>
      </c>
      <c r="F3" s="545"/>
      <c r="G3" s="545"/>
    </row>
    <row r="4" spans="1:20" x14ac:dyDescent="0.25">
      <c r="B4" s="485" t="s">
        <v>681</v>
      </c>
      <c r="C4" s="35"/>
      <c r="E4" s="35" t="s">
        <v>724</v>
      </c>
      <c r="F4" s="35" t="s">
        <v>725</v>
      </c>
      <c r="G4" s="496" t="s">
        <v>682</v>
      </c>
      <c r="I4" s="35" t="s">
        <v>683</v>
      </c>
      <c r="J4" t="s">
        <v>266</v>
      </c>
      <c r="K4" s="496" t="s">
        <v>707</v>
      </c>
      <c r="L4" t="s">
        <v>266</v>
      </c>
      <c r="M4" s="35" t="s">
        <v>684</v>
      </c>
      <c r="O4" s="35" t="s">
        <v>732</v>
      </c>
      <c r="P4" t="s">
        <v>266</v>
      </c>
      <c r="Q4" s="35" t="s">
        <v>708</v>
      </c>
    </row>
    <row r="5" spans="1:20" x14ac:dyDescent="0.25">
      <c r="B5" t="s">
        <v>685</v>
      </c>
      <c r="E5" s="486">
        <f>800</f>
        <v>800</v>
      </c>
      <c r="F5" s="486">
        <f>1000</f>
        <v>1000</v>
      </c>
      <c r="G5" s="486">
        <v>0</v>
      </c>
      <c r="I5" s="44">
        <v>2450</v>
      </c>
      <c r="J5" s="58" t="s">
        <v>709</v>
      </c>
      <c r="K5" s="503">
        <f>6*12</f>
        <v>72</v>
      </c>
      <c r="L5" t="s">
        <v>671</v>
      </c>
      <c r="M5" s="15">
        <v>10</v>
      </c>
      <c r="O5" s="504">
        <v>0.42</v>
      </c>
      <c r="P5" s="58" t="s">
        <v>740</v>
      </c>
      <c r="Q5" s="487">
        <v>0.02</v>
      </c>
      <c r="T5" s="490"/>
    </row>
    <row r="6" spans="1:20" x14ac:dyDescent="0.25">
      <c r="B6" t="s">
        <v>686</v>
      </c>
      <c r="E6" s="486">
        <f>2000</f>
        <v>2000</v>
      </c>
      <c r="F6" s="486">
        <v>1500</v>
      </c>
      <c r="G6" s="486">
        <f>0.3*SUM(E6:F6)</f>
        <v>1050</v>
      </c>
      <c r="H6" s="97" t="s">
        <v>0</v>
      </c>
      <c r="I6" s="44">
        <v>680</v>
      </c>
      <c r="J6" s="58" t="s">
        <v>709</v>
      </c>
      <c r="K6" s="503">
        <f>6*12</f>
        <v>72</v>
      </c>
      <c r="M6" s="15">
        <v>10</v>
      </c>
      <c r="O6" s="504">
        <v>0.42</v>
      </c>
      <c r="P6" s="58" t="s">
        <v>740</v>
      </c>
      <c r="Q6" s="487">
        <v>0.02</v>
      </c>
      <c r="T6" s="490"/>
    </row>
    <row r="7" spans="1:20" x14ac:dyDescent="0.25">
      <c r="B7" t="s">
        <v>710</v>
      </c>
      <c r="E7" s="486">
        <v>1039</v>
      </c>
      <c r="F7" s="486">
        <v>0</v>
      </c>
      <c r="G7" s="486">
        <f>0</f>
        <v>0</v>
      </c>
      <c r="I7" s="44">
        <v>1022</v>
      </c>
      <c r="K7" s="503">
        <f>2*12</f>
        <v>24</v>
      </c>
      <c r="M7" s="15">
        <v>10</v>
      </c>
      <c r="O7" s="504">
        <v>0.42</v>
      </c>
      <c r="P7" s="58" t="s">
        <v>740</v>
      </c>
      <c r="Q7" s="487">
        <v>0.02</v>
      </c>
      <c r="T7" s="490"/>
    </row>
    <row r="8" spans="1:20" x14ac:dyDescent="0.25">
      <c r="B8" t="s">
        <v>711</v>
      </c>
      <c r="E8" s="486">
        <v>600</v>
      </c>
      <c r="F8" s="486">
        <v>0</v>
      </c>
      <c r="G8" s="486">
        <f>0</f>
        <v>0</v>
      </c>
      <c r="I8" s="44">
        <v>0</v>
      </c>
      <c r="K8" s="503">
        <f>2*12</f>
        <v>24</v>
      </c>
      <c r="M8" s="15">
        <v>10</v>
      </c>
      <c r="O8" s="504">
        <v>0</v>
      </c>
      <c r="Q8" s="487">
        <v>0.02</v>
      </c>
      <c r="T8" s="490"/>
    </row>
    <row r="9" spans="1:20" x14ac:dyDescent="0.25">
      <c r="B9" t="s">
        <v>712</v>
      </c>
      <c r="E9" s="486">
        <v>729</v>
      </c>
      <c r="F9" s="486">
        <v>0</v>
      </c>
      <c r="G9" s="486">
        <v>0</v>
      </c>
      <c r="I9" s="44">
        <v>0</v>
      </c>
      <c r="K9" s="503">
        <f>6*12</f>
        <v>72</v>
      </c>
      <c r="M9" s="15">
        <v>10</v>
      </c>
      <c r="O9" s="504">
        <v>0</v>
      </c>
      <c r="Q9" s="487">
        <v>0.02</v>
      </c>
      <c r="T9" s="490"/>
    </row>
    <row r="10" spans="1:20" x14ac:dyDescent="0.25">
      <c r="K10"/>
      <c r="O10" s="505"/>
    </row>
    <row r="11" spans="1:20" x14ac:dyDescent="0.25">
      <c r="B11" s="485" t="s">
        <v>688</v>
      </c>
      <c r="C11" s="35"/>
      <c r="E11" s="35" t="s">
        <v>724</v>
      </c>
      <c r="F11" s="496" t="s">
        <v>725</v>
      </c>
      <c r="G11" s="496" t="s">
        <v>682</v>
      </c>
      <c r="I11" t="s">
        <v>683</v>
      </c>
      <c r="K11" s="497" t="s">
        <v>707</v>
      </c>
      <c r="M11" t="s">
        <v>684</v>
      </c>
      <c r="O11" s="505" t="s">
        <v>731</v>
      </c>
      <c r="Q11" t="s">
        <v>708</v>
      </c>
    </row>
    <row r="12" spans="1:20" x14ac:dyDescent="0.25">
      <c r="B12" t="s">
        <v>689</v>
      </c>
      <c r="E12" s="486">
        <v>5500</v>
      </c>
      <c r="F12" s="486">
        <v>1000</v>
      </c>
      <c r="G12" s="486">
        <v>500</v>
      </c>
      <c r="I12" s="44">
        <v>52560</v>
      </c>
      <c r="K12" s="44">
        <f>200*12</f>
        <v>2400</v>
      </c>
      <c r="M12" s="15">
        <v>10</v>
      </c>
      <c r="O12" s="504">
        <v>0.33900000000000002</v>
      </c>
      <c r="P12" s="58" t="s">
        <v>740</v>
      </c>
      <c r="Q12" s="487">
        <v>0.02</v>
      </c>
    </row>
    <row r="13" spans="1:20" x14ac:dyDescent="0.25">
      <c r="B13" t="s">
        <v>687</v>
      </c>
      <c r="E13" s="486">
        <v>11500</v>
      </c>
      <c r="F13" s="486">
        <v>1000</v>
      </c>
      <c r="G13" s="486">
        <v>0</v>
      </c>
      <c r="I13" s="44">
        <v>84096</v>
      </c>
      <c r="K13" s="44">
        <f>500*12</f>
        <v>6000</v>
      </c>
      <c r="M13" s="15">
        <v>10</v>
      </c>
      <c r="O13" s="504">
        <v>0.33900000000000002</v>
      </c>
      <c r="P13" s="58" t="s">
        <v>740</v>
      </c>
      <c r="Q13" s="487">
        <v>0.02</v>
      </c>
    </row>
    <row r="17" spans="2:32" x14ac:dyDescent="0.25">
      <c r="B17" s="38" t="s">
        <v>713</v>
      </c>
      <c r="C17" s="497"/>
      <c r="D17" s="493">
        <v>1</v>
      </c>
      <c r="E17" s="493">
        <f>D17*(1+$Q$9)</f>
        <v>1.02</v>
      </c>
      <c r="F17" s="493">
        <f t="shared" ref="F17:AF17" si="0">E17*(1+$Q$9)</f>
        <v>1.0404</v>
      </c>
      <c r="G17" s="493">
        <f t="shared" si="0"/>
        <v>1.0612079999999999</v>
      </c>
      <c r="H17" s="493">
        <f t="shared" si="0"/>
        <v>1.08243216</v>
      </c>
      <c r="I17" s="493">
        <f t="shared" si="0"/>
        <v>1.1040808032</v>
      </c>
      <c r="J17" s="493">
        <f t="shared" si="0"/>
        <v>1.1261624192640001</v>
      </c>
      <c r="K17" s="493">
        <f t="shared" si="0"/>
        <v>1.14868566764928</v>
      </c>
      <c r="L17" s="493">
        <f t="shared" si="0"/>
        <v>1.1716593810022657</v>
      </c>
      <c r="M17" s="493">
        <f t="shared" si="0"/>
        <v>1.1950925686223111</v>
      </c>
      <c r="N17" s="493">
        <f t="shared" si="0"/>
        <v>1.2189944199947573</v>
      </c>
      <c r="O17" s="493">
        <f t="shared" si="0"/>
        <v>1.2433743083946525</v>
      </c>
      <c r="P17" s="493">
        <f t="shared" si="0"/>
        <v>1.2682417945625455</v>
      </c>
      <c r="Q17" s="493">
        <f t="shared" si="0"/>
        <v>1.2936066304537963</v>
      </c>
      <c r="R17" s="493">
        <f t="shared" si="0"/>
        <v>1.3194787630628724</v>
      </c>
      <c r="S17" s="493">
        <f t="shared" si="0"/>
        <v>1.3458683383241299</v>
      </c>
      <c r="T17" s="493">
        <f t="shared" si="0"/>
        <v>1.3727857050906125</v>
      </c>
      <c r="U17" s="493">
        <f t="shared" si="0"/>
        <v>1.4002414191924248</v>
      </c>
      <c r="V17" s="493">
        <f t="shared" si="0"/>
        <v>1.4282462475762734</v>
      </c>
      <c r="W17" s="493">
        <f t="shared" si="0"/>
        <v>1.4568111725277988</v>
      </c>
      <c r="X17" s="493">
        <f t="shared" si="0"/>
        <v>1.4859473959783549</v>
      </c>
      <c r="Y17" s="493">
        <f t="shared" si="0"/>
        <v>1.5156663438979221</v>
      </c>
      <c r="Z17" s="493">
        <f t="shared" si="0"/>
        <v>1.5459796707758806</v>
      </c>
      <c r="AA17" s="493">
        <f t="shared" si="0"/>
        <v>1.5768992641913981</v>
      </c>
      <c r="AB17" s="493">
        <f t="shared" si="0"/>
        <v>1.6084372494752261</v>
      </c>
      <c r="AC17" s="493">
        <f t="shared" si="0"/>
        <v>1.6406059944647307</v>
      </c>
      <c r="AD17" s="493">
        <f t="shared" si="0"/>
        <v>1.6734181143540252</v>
      </c>
      <c r="AE17" s="493">
        <f t="shared" si="0"/>
        <v>1.7068864766411058</v>
      </c>
      <c r="AF17" s="493">
        <f t="shared" si="0"/>
        <v>1.7410242061739281</v>
      </c>
    </row>
    <row r="18" spans="2:32" x14ac:dyDescent="0.25">
      <c r="B18" s="497"/>
      <c r="C18" s="497"/>
      <c r="D18" s="69">
        <v>2022</v>
      </c>
      <c r="E18" s="69">
        <v>2023</v>
      </c>
      <c r="F18" s="69">
        <v>2024</v>
      </c>
      <c r="G18" s="69">
        <v>2025</v>
      </c>
      <c r="H18" s="69">
        <v>2026</v>
      </c>
      <c r="I18" s="69">
        <v>2027</v>
      </c>
      <c r="J18" s="69">
        <v>2028</v>
      </c>
      <c r="K18" s="69">
        <v>2029</v>
      </c>
      <c r="L18" s="69">
        <v>2030</v>
      </c>
      <c r="M18" s="69">
        <v>2031</v>
      </c>
      <c r="N18" s="69">
        <v>2032</v>
      </c>
      <c r="O18" s="69">
        <v>2033</v>
      </c>
      <c r="P18" s="69">
        <v>2034</v>
      </c>
      <c r="Q18" s="69">
        <v>2035</v>
      </c>
      <c r="R18" s="69">
        <v>2036</v>
      </c>
      <c r="S18" s="69">
        <v>2037</v>
      </c>
      <c r="T18" s="69">
        <v>2038</v>
      </c>
      <c r="U18" s="69">
        <v>2039</v>
      </c>
      <c r="V18" s="69">
        <v>2040</v>
      </c>
      <c r="W18" s="69">
        <v>2041</v>
      </c>
      <c r="X18" s="69">
        <v>2042</v>
      </c>
      <c r="Y18" s="69">
        <v>2043</v>
      </c>
      <c r="Z18" s="69">
        <v>2044</v>
      </c>
      <c r="AA18" s="69">
        <v>2045</v>
      </c>
      <c r="AB18" s="69">
        <v>2046</v>
      </c>
      <c r="AC18" s="69">
        <v>2047</v>
      </c>
      <c r="AD18" s="69">
        <v>2048</v>
      </c>
      <c r="AE18" s="69">
        <v>2049</v>
      </c>
      <c r="AF18" s="69">
        <v>2050</v>
      </c>
    </row>
    <row r="19" spans="2:32" x14ac:dyDescent="0.25">
      <c r="B19" s="38" t="s">
        <v>691</v>
      </c>
      <c r="C19" s="497"/>
      <c r="D19" s="488">
        <f>O5</f>
        <v>0.42</v>
      </c>
      <c r="E19" s="488">
        <f t="shared" ref="E19:AF19" si="1">D19*(1+$Q$5)^(E$18-D$18)</f>
        <v>0.4284</v>
      </c>
      <c r="F19" s="488">
        <f t="shared" si="1"/>
        <v>0.43696800000000002</v>
      </c>
      <c r="G19" s="488">
        <f t="shared" si="1"/>
        <v>0.44570736000000005</v>
      </c>
      <c r="H19" s="488">
        <f t="shared" si="1"/>
        <v>0.45462150720000005</v>
      </c>
      <c r="I19" s="488">
        <f t="shared" si="1"/>
        <v>0.46371393734400007</v>
      </c>
      <c r="J19" s="488">
        <f t="shared" si="1"/>
        <v>0.4729882160908801</v>
      </c>
      <c r="K19" s="488">
        <f t="shared" si="1"/>
        <v>0.48244798041269771</v>
      </c>
      <c r="L19" s="488">
        <f t="shared" si="1"/>
        <v>0.49209694002095167</v>
      </c>
      <c r="M19" s="488">
        <f t="shared" si="1"/>
        <v>0.50193887882137067</v>
      </c>
      <c r="N19" s="488">
        <f t="shared" si="1"/>
        <v>0.51197765639779813</v>
      </c>
      <c r="O19" s="488">
        <f t="shared" si="1"/>
        <v>0.52221720952575412</v>
      </c>
      <c r="P19" s="488">
        <f t="shared" si="1"/>
        <v>0.53266155371626922</v>
      </c>
      <c r="Q19" s="488">
        <f t="shared" si="1"/>
        <v>0.54331478479059458</v>
      </c>
      <c r="R19" s="488">
        <f t="shared" si="1"/>
        <v>0.55418108048640646</v>
      </c>
      <c r="S19" s="488">
        <f t="shared" si="1"/>
        <v>0.56526470209613455</v>
      </c>
      <c r="T19" s="488">
        <f t="shared" si="1"/>
        <v>0.57656999613805726</v>
      </c>
      <c r="U19" s="488">
        <f t="shared" si="1"/>
        <v>0.58810139606081846</v>
      </c>
      <c r="V19" s="488">
        <f t="shared" si="1"/>
        <v>0.59986342398203485</v>
      </c>
      <c r="W19" s="488">
        <f t="shared" si="1"/>
        <v>0.61186069246167551</v>
      </c>
      <c r="X19" s="488">
        <f t="shared" si="1"/>
        <v>0.624097906310909</v>
      </c>
      <c r="Y19" s="488">
        <f t="shared" si="1"/>
        <v>0.63657986443712722</v>
      </c>
      <c r="Z19" s="488">
        <f t="shared" si="1"/>
        <v>0.64931146172586973</v>
      </c>
      <c r="AA19" s="488">
        <f t="shared" si="1"/>
        <v>0.66229769096038715</v>
      </c>
      <c r="AB19" s="488">
        <f t="shared" si="1"/>
        <v>0.67554364477959494</v>
      </c>
      <c r="AC19" s="488">
        <f t="shared" si="1"/>
        <v>0.68905451767518688</v>
      </c>
      <c r="AD19" s="488">
        <f t="shared" si="1"/>
        <v>0.70283560802869061</v>
      </c>
      <c r="AE19" s="488">
        <f t="shared" si="1"/>
        <v>0.71689232018926441</v>
      </c>
      <c r="AF19" s="488">
        <f t="shared" si="1"/>
        <v>0.73123016659304974</v>
      </c>
    </row>
    <row r="20" spans="2:32" x14ac:dyDescent="0.25">
      <c r="B20" s="38" t="s">
        <v>692</v>
      </c>
      <c r="C20" s="497"/>
      <c r="D20" s="488">
        <f>O12</f>
        <v>0.33900000000000002</v>
      </c>
      <c r="E20" s="488">
        <f t="shared" ref="E20:AF20" si="2">D20*(1+$Q$12)^(E$18-D$18)</f>
        <v>0.34578000000000003</v>
      </c>
      <c r="F20" s="488">
        <f t="shared" si="2"/>
        <v>0.35269560000000005</v>
      </c>
      <c r="G20" s="488">
        <f t="shared" si="2"/>
        <v>0.35974951200000005</v>
      </c>
      <c r="H20" s="488">
        <f t="shared" si="2"/>
        <v>0.36694450224000008</v>
      </c>
      <c r="I20" s="488">
        <f t="shared" si="2"/>
        <v>0.37428339228480006</v>
      </c>
      <c r="J20" s="488">
        <f t="shared" si="2"/>
        <v>0.38176906013049605</v>
      </c>
      <c r="K20" s="488">
        <f t="shared" si="2"/>
        <v>0.38940444133310598</v>
      </c>
      <c r="L20" s="488">
        <f t="shared" si="2"/>
        <v>0.39719253015976813</v>
      </c>
      <c r="M20" s="488">
        <f t="shared" si="2"/>
        <v>0.40513638076296349</v>
      </c>
      <c r="N20" s="488">
        <f t="shared" si="2"/>
        <v>0.41323910837822275</v>
      </c>
      <c r="O20" s="488">
        <f t="shared" si="2"/>
        <v>0.42150389054578724</v>
      </c>
      <c r="P20" s="488">
        <f t="shared" si="2"/>
        <v>0.429933968356703</v>
      </c>
      <c r="Q20" s="488">
        <f t="shared" si="2"/>
        <v>0.43853264772383704</v>
      </c>
      <c r="R20" s="488">
        <f t="shared" si="2"/>
        <v>0.44730330067831381</v>
      </c>
      <c r="S20" s="488">
        <f t="shared" si="2"/>
        <v>0.4562493666918801</v>
      </c>
      <c r="T20" s="488">
        <f t="shared" si="2"/>
        <v>0.4653743540257177</v>
      </c>
      <c r="U20" s="488">
        <f t="shared" si="2"/>
        <v>0.47468184110623207</v>
      </c>
      <c r="V20" s="488">
        <f t="shared" si="2"/>
        <v>0.48417547792835675</v>
      </c>
      <c r="W20" s="488">
        <f t="shared" si="2"/>
        <v>0.49385898748692386</v>
      </c>
      <c r="X20" s="488">
        <f t="shared" si="2"/>
        <v>0.50373616723666237</v>
      </c>
      <c r="Y20" s="488">
        <f t="shared" si="2"/>
        <v>0.51381089058139562</v>
      </c>
      <c r="Z20" s="488">
        <f t="shared" si="2"/>
        <v>0.52408710839302353</v>
      </c>
      <c r="AA20" s="488">
        <f t="shared" si="2"/>
        <v>0.53456885056088399</v>
      </c>
      <c r="AB20" s="488">
        <f t="shared" si="2"/>
        <v>0.54526022757210169</v>
      </c>
      <c r="AC20" s="488">
        <f t="shared" si="2"/>
        <v>0.55616543212354375</v>
      </c>
      <c r="AD20" s="488">
        <f t="shared" si="2"/>
        <v>0.56728874076601465</v>
      </c>
      <c r="AE20" s="488">
        <f t="shared" si="2"/>
        <v>0.57863451558133494</v>
      </c>
      <c r="AF20" s="488">
        <f t="shared" si="2"/>
        <v>0.59020720589296161</v>
      </c>
    </row>
    <row r="21" spans="2:32" x14ac:dyDescent="0.25">
      <c r="B21" s="38" t="s">
        <v>693</v>
      </c>
      <c r="C21" s="497"/>
      <c r="D21" s="488">
        <f>SUM('Oahu COS and Allocation'!J435+'Oahu COS and Allocation'!J421)*D17</f>
        <v>6.0120656562431103</v>
      </c>
      <c r="E21" s="488">
        <f>SUM('Oahu COS and Allocation'!K435+'Oahu COS and Allocation'!K421)*E17</f>
        <v>5.8633370669646547</v>
      </c>
      <c r="F21" s="488">
        <f>SUM('Oahu COS and Allocation'!L435+'Oahu COS and Allocation'!L421)*F17</f>
        <v>5.5637897425014247</v>
      </c>
      <c r="G21" s="488">
        <f>SUM('Oahu COS and Allocation'!M435+'Oahu COS and Allocation'!M421)*G17</f>
        <v>5.8023793148872151</v>
      </c>
      <c r="H21" s="488">
        <f>SUM('Oahu COS and Allocation'!N435+'Oahu COS and Allocation'!N421)*H17</f>
        <v>5.9992965682945298</v>
      </c>
      <c r="I21" s="488">
        <f>SUM('Oahu COS and Allocation'!O435+'Oahu COS and Allocation'!O421)*I17</f>
        <v>6.1867071016905024</v>
      </c>
      <c r="J21" s="488">
        <f>SUM('Oahu COS and Allocation'!P435+'Oahu COS and Allocation'!P421)*J17</f>
        <v>6.3869337317975914</v>
      </c>
      <c r="K21" s="488">
        <f>SUM('Oahu COS and Allocation'!Q435+'Oahu COS and Allocation'!Q421)*K17</f>
        <v>6.5799731902962266</v>
      </c>
      <c r="L21" s="488">
        <f>SUM('Oahu COS and Allocation'!R435+'Oahu COS and Allocation'!R421)*L17</f>
        <v>6.8239610458603215</v>
      </c>
      <c r="M21" s="488">
        <f>SUM('Oahu COS and Allocation'!S435+'Oahu COS and Allocation'!S421)*M17</f>
        <v>7.0688942282025158</v>
      </c>
      <c r="N21" s="488">
        <f>SUM('Oahu COS and Allocation'!T435+'Oahu COS and Allocation'!T421)*N17</f>
        <v>7.2749814670749906</v>
      </c>
      <c r="O21" s="488">
        <f>SUM('Oahu COS and Allocation'!U435+'Oahu COS and Allocation'!U421)*O17</f>
        <v>7.4742970010181615</v>
      </c>
      <c r="P21" s="488">
        <f>SUM('Oahu COS and Allocation'!V435+'Oahu COS and Allocation'!V421)*P17</f>
        <v>7.6635185672973831</v>
      </c>
      <c r="Q21" s="488">
        <f>SUM('Oahu COS and Allocation'!W435+'Oahu COS and Allocation'!W421)*Q17</f>
        <v>7.9573696869930179</v>
      </c>
      <c r="R21" s="488">
        <f>SUM('Oahu COS and Allocation'!X435+'Oahu COS and Allocation'!X421)*R17</f>
        <v>8.2107259564491653</v>
      </c>
      <c r="S21" s="488">
        <f>SUM('Oahu COS and Allocation'!Y435+'Oahu COS and Allocation'!Y421)*S17</f>
        <v>8.4234244364339972</v>
      </c>
      <c r="T21" s="488">
        <f>SUM('Oahu COS and Allocation'!Z435+'Oahu COS and Allocation'!Z421)*T17</f>
        <v>8.6445547831684681</v>
      </c>
      <c r="U21" s="488">
        <f>SUM('Oahu COS and Allocation'!AA435+'Oahu COS and Allocation'!AA421)*U17</f>
        <v>8.8437714499248337</v>
      </c>
      <c r="V21" s="488">
        <f>SUM('Oahu COS and Allocation'!AB435+'Oahu COS and Allocation'!AB421)*V17</f>
        <v>9.4144627559134353</v>
      </c>
      <c r="W21" s="488">
        <f>SUM('Oahu COS and Allocation'!AC435+'Oahu COS and Allocation'!AC421)*W17</f>
        <v>9.67789303318105</v>
      </c>
      <c r="X21" s="488">
        <f>SUM('Oahu COS and Allocation'!AD435+'Oahu COS and Allocation'!AD421)*X17</f>
        <v>9.8923793770651702</v>
      </c>
      <c r="Y21" s="488">
        <f>SUM('Oahu COS and Allocation'!AE435+'Oahu COS and Allocation'!AE421)*Y17</f>
        <v>10.140342148981562</v>
      </c>
      <c r="Z21" s="488">
        <f>SUM('Oahu COS and Allocation'!AF435+'Oahu COS and Allocation'!AF421)*Z17</f>
        <v>10.399919057302398</v>
      </c>
      <c r="AA21" s="488">
        <f>SUM('Oahu COS and Allocation'!AG435+'Oahu COS and Allocation'!AG421)*AA17</f>
        <v>10.627675289546335</v>
      </c>
      <c r="AB21" s="488">
        <f>AA21*(1+$Q$7)</f>
        <v>10.840228795337262</v>
      </c>
      <c r="AC21" s="488">
        <f t="shared" ref="AC21:AF22" si="3">AB21*(1+$Q$7)</f>
        <v>11.057033371244009</v>
      </c>
      <c r="AD21" s="488">
        <f t="shared" si="3"/>
        <v>11.278174038668888</v>
      </c>
      <c r="AE21" s="488">
        <f t="shared" si="3"/>
        <v>11.503737519442266</v>
      </c>
      <c r="AF21" s="488">
        <f t="shared" si="3"/>
        <v>11.733812269831112</v>
      </c>
    </row>
    <row r="22" spans="2:32" x14ac:dyDescent="0.25">
      <c r="B22" s="38" t="s">
        <v>714</v>
      </c>
      <c r="C22" s="497"/>
      <c r="D22" s="488">
        <f>('Oahu COS and Allocation'!J437+'Oahu COS and Allocation'!J423)*D17</f>
        <v>4.444345017340984</v>
      </c>
      <c r="E22" s="488">
        <f>('Oahu COS and Allocation'!K437+'Oahu COS and Allocation'!K423)*E17</f>
        <v>4.2582377810952856</v>
      </c>
      <c r="F22" s="488">
        <f>('Oahu COS and Allocation'!L437+'Oahu COS and Allocation'!L423)*F17</f>
        <v>3.9024330816508139</v>
      </c>
      <c r="G22" s="488">
        <f>('Oahu COS and Allocation'!M437+'Oahu COS and Allocation'!M423)*G17</f>
        <v>4.0853044388681017</v>
      </c>
      <c r="H22" s="488">
        <f>('Oahu COS and Allocation'!N437+'Oahu COS and Allocation'!N423)*H17</f>
        <v>4.2209520461106704</v>
      </c>
      <c r="I22" s="488">
        <f>('Oahu COS and Allocation'!O437+'Oahu COS and Allocation'!O423)*I17</f>
        <v>4.3604546131606794</v>
      </c>
      <c r="J22" s="488">
        <f>('Oahu COS and Allocation'!P437+'Oahu COS and Allocation'!P423)*J17</f>
        <v>4.5064088019207151</v>
      </c>
      <c r="K22" s="488">
        <f>('Oahu COS and Allocation'!Q437+'Oahu COS and Allocation'!Q423)*K17</f>
        <v>4.6445157051333368</v>
      </c>
      <c r="L22" s="488">
        <f>('Oahu COS and Allocation'!R437+'Oahu COS and Allocation'!R423)*L17</f>
        <v>4.8209540624722633</v>
      </c>
      <c r="M22" s="488">
        <f>('Oahu COS and Allocation'!S437+'Oahu COS and Allocation'!S423)*M17</f>
        <v>4.9947657322388617</v>
      </c>
      <c r="N22" s="488">
        <f>('Oahu COS and Allocation'!T437+'Oahu COS and Allocation'!T423)*N17</f>
        <v>5.1426385683514324</v>
      </c>
      <c r="O22" s="488">
        <f>('Oahu COS and Allocation'!U437+'Oahu COS and Allocation'!U423)*O17</f>
        <v>5.2831599712910293</v>
      </c>
      <c r="P22" s="488">
        <f>('Oahu COS and Allocation'!V437+'Oahu COS and Allocation'!V423)*P17</f>
        <v>5.4130508449698169</v>
      </c>
      <c r="Q22" s="488">
        <f>('Oahu COS and Allocation'!W437+'Oahu COS and Allocation'!W423)*Q17</f>
        <v>5.6301665258980051</v>
      </c>
      <c r="R22" s="488">
        <f>('Oahu COS and Allocation'!X437+'Oahu COS and Allocation'!X423)*R17</f>
        <v>5.8067709162286105</v>
      </c>
      <c r="S22" s="488">
        <f>('Oahu COS and Allocation'!Y437+'Oahu COS and Allocation'!Y423)*S17</f>
        <v>5.956650364458838</v>
      </c>
      <c r="T22" s="488">
        <f>('Oahu COS and Allocation'!Z437+'Oahu COS and Allocation'!Z423)*T17</f>
        <v>6.1136878313016592</v>
      </c>
      <c r="U22" s="488">
        <f>('Oahu COS and Allocation'!AA437+'Oahu COS and Allocation'!AA423)*U17</f>
        <v>6.2490086781283214</v>
      </c>
      <c r="V22" s="488">
        <f>('Oahu COS and Allocation'!AB437+'Oahu COS and Allocation'!AB423)*V17</f>
        <v>6.6883425951943281</v>
      </c>
      <c r="W22" s="488">
        <f>('Oahu COS and Allocation'!AC437+'Oahu COS and Allocation'!AC423)*W17</f>
        <v>6.8682527886130451</v>
      </c>
      <c r="X22" s="488">
        <f>('Oahu COS and Allocation'!AD437+'Oahu COS and Allocation'!AD423)*X17</f>
        <v>7.0146628727772971</v>
      </c>
      <c r="Y22" s="488">
        <f>('Oahu COS and Allocation'!AE437+'Oahu COS and Allocation'!AE423)*Y17</f>
        <v>7.1914776126615667</v>
      </c>
      <c r="Z22" s="488">
        <f>('Oahu COS and Allocation'!AF437+'Oahu COS and Allocation'!AF423)*Z17</f>
        <v>7.3781850415513768</v>
      </c>
      <c r="AA22" s="488">
        <f>('Oahu COS and Allocation'!AG437+'Oahu COS and Allocation'!AG423)*AA17</f>
        <v>7.5345611902987439</v>
      </c>
      <c r="AB22" s="488">
        <f>AA22*(1+$Q$7)</f>
        <v>7.6852524141047187</v>
      </c>
      <c r="AC22" s="488">
        <f t="shared" si="3"/>
        <v>7.838957462386813</v>
      </c>
      <c r="AD22" s="488">
        <f t="shared" si="3"/>
        <v>7.9957366116345492</v>
      </c>
      <c r="AE22" s="488">
        <f t="shared" si="3"/>
        <v>8.1556513438672411</v>
      </c>
      <c r="AF22" s="488">
        <f t="shared" si="3"/>
        <v>8.3187643707445869</v>
      </c>
    </row>
    <row r="23" spans="2:32" x14ac:dyDescent="0.25">
      <c r="B23" s="497"/>
      <c r="C23" s="497"/>
      <c r="K23"/>
    </row>
    <row r="24" spans="2:32" x14ac:dyDescent="0.25">
      <c r="B24" s="491" t="s">
        <v>715</v>
      </c>
      <c r="C24" s="497"/>
    </row>
    <row r="25" spans="2:32" x14ac:dyDescent="0.25">
      <c r="B25" t="s">
        <v>685</v>
      </c>
      <c r="C25" s="497"/>
      <c r="D25" s="489">
        <f t="shared" ref="D25:AF25" si="4">$I$5*D$19</f>
        <v>1029</v>
      </c>
      <c r="E25" s="489">
        <f t="shared" si="4"/>
        <v>1049.58</v>
      </c>
      <c r="F25" s="489">
        <f t="shared" si="4"/>
        <v>1070.5716</v>
      </c>
      <c r="G25" s="489">
        <f t="shared" si="4"/>
        <v>1091.9830320000001</v>
      </c>
      <c r="H25" s="489">
        <f t="shared" si="4"/>
        <v>1113.8226926400002</v>
      </c>
      <c r="I25" s="489">
        <f t="shared" si="4"/>
        <v>1136.0991464928002</v>
      </c>
      <c r="J25" s="489">
        <f t="shared" si="4"/>
        <v>1158.8211294226562</v>
      </c>
      <c r="K25" s="489">
        <f t="shared" si="4"/>
        <v>1181.9975520111093</v>
      </c>
      <c r="L25" s="489">
        <f t="shared" si="4"/>
        <v>1205.6375030513316</v>
      </c>
      <c r="M25" s="489">
        <f t="shared" si="4"/>
        <v>1229.7502531123582</v>
      </c>
      <c r="N25" s="489">
        <f t="shared" si="4"/>
        <v>1254.3452581746055</v>
      </c>
      <c r="O25" s="489">
        <f t="shared" si="4"/>
        <v>1279.4321633380976</v>
      </c>
      <c r="P25" s="489">
        <f t="shared" si="4"/>
        <v>1305.0208066048597</v>
      </c>
      <c r="Q25" s="489">
        <f t="shared" si="4"/>
        <v>1331.1212227369567</v>
      </c>
      <c r="R25" s="489">
        <f t="shared" si="4"/>
        <v>1357.7436471916958</v>
      </c>
      <c r="S25" s="489">
        <f t="shared" si="4"/>
        <v>1384.8985201355297</v>
      </c>
      <c r="T25" s="489">
        <f t="shared" si="4"/>
        <v>1412.5964905382402</v>
      </c>
      <c r="U25" s="489">
        <f t="shared" si="4"/>
        <v>1440.8484203490052</v>
      </c>
      <c r="V25" s="489">
        <f t="shared" si="4"/>
        <v>1469.6653887559853</v>
      </c>
      <c r="W25" s="489">
        <f t="shared" si="4"/>
        <v>1499.0586965311049</v>
      </c>
      <c r="X25" s="489">
        <f t="shared" si="4"/>
        <v>1529.0398704617271</v>
      </c>
      <c r="Y25" s="489">
        <f t="shared" si="4"/>
        <v>1559.6206678709616</v>
      </c>
      <c r="Z25" s="489">
        <f t="shared" si="4"/>
        <v>1590.813081228381</v>
      </c>
      <c r="AA25" s="489">
        <f t="shared" si="4"/>
        <v>1622.6293428529484</v>
      </c>
      <c r="AB25" s="489">
        <f t="shared" si="4"/>
        <v>1655.0819297100077</v>
      </c>
      <c r="AC25" s="489">
        <f t="shared" si="4"/>
        <v>1688.1835683042079</v>
      </c>
      <c r="AD25" s="489">
        <f t="shared" si="4"/>
        <v>1721.947239670292</v>
      </c>
      <c r="AE25" s="489">
        <f t="shared" si="4"/>
        <v>1756.3861844636979</v>
      </c>
      <c r="AF25" s="489">
        <f t="shared" si="4"/>
        <v>1791.5139081529719</v>
      </c>
    </row>
    <row r="26" spans="2:32" x14ac:dyDescent="0.25">
      <c r="B26" t="s">
        <v>686</v>
      </c>
      <c r="C26" s="497"/>
      <c r="D26" s="489">
        <f t="shared" ref="D26:AF26" si="5">$I$6*D$19</f>
        <v>285.59999999999997</v>
      </c>
      <c r="E26" s="489">
        <f t="shared" si="5"/>
        <v>291.31200000000001</v>
      </c>
      <c r="F26" s="489">
        <f t="shared" si="5"/>
        <v>297.13824</v>
      </c>
      <c r="G26" s="489">
        <f t="shared" si="5"/>
        <v>303.08100480000002</v>
      </c>
      <c r="H26" s="489">
        <f t="shared" si="5"/>
        <v>309.14262489600003</v>
      </c>
      <c r="I26" s="489">
        <f t="shared" si="5"/>
        <v>315.32547739392004</v>
      </c>
      <c r="J26" s="489">
        <f t="shared" si="5"/>
        <v>321.63198694179846</v>
      </c>
      <c r="K26" s="489">
        <f t="shared" si="5"/>
        <v>328.06462668063443</v>
      </c>
      <c r="L26" s="489">
        <f t="shared" si="5"/>
        <v>334.62591921424712</v>
      </c>
      <c r="M26" s="489">
        <f t="shared" si="5"/>
        <v>341.31843759853206</v>
      </c>
      <c r="N26" s="489">
        <f t="shared" si="5"/>
        <v>348.14480635050273</v>
      </c>
      <c r="O26" s="489">
        <f t="shared" si="5"/>
        <v>355.10770247751282</v>
      </c>
      <c r="P26" s="489">
        <f t="shared" si="5"/>
        <v>362.2098565270631</v>
      </c>
      <c r="Q26" s="489">
        <f t="shared" si="5"/>
        <v>369.45405365760433</v>
      </c>
      <c r="R26" s="489">
        <f t="shared" si="5"/>
        <v>376.84313473075639</v>
      </c>
      <c r="S26" s="489">
        <f t="shared" si="5"/>
        <v>384.37999742537147</v>
      </c>
      <c r="T26" s="489">
        <f t="shared" si="5"/>
        <v>392.06759737387893</v>
      </c>
      <c r="U26" s="489">
        <f t="shared" si="5"/>
        <v>399.90894932135654</v>
      </c>
      <c r="V26" s="489">
        <f t="shared" si="5"/>
        <v>407.90712830778369</v>
      </c>
      <c r="W26" s="489">
        <f t="shared" si="5"/>
        <v>416.06527087393937</v>
      </c>
      <c r="X26" s="489">
        <f t="shared" si="5"/>
        <v>424.38657629141812</v>
      </c>
      <c r="Y26" s="489">
        <f t="shared" si="5"/>
        <v>432.87430781724652</v>
      </c>
      <c r="Z26" s="489">
        <f t="shared" si="5"/>
        <v>441.53179397359139</v>
      </c>
      <c r="AA26" s="489">
        <f t="shared" si="5"/>
        <v>450.36242985306325</v>
      </c>
      <c r="AB26" s="489">
        <f t="shared" si="5"/>
        <v>459.36967845012458</v>
      </c>
      <c r="AC26" s="489">
        <f t="shared" si="5"/>
        <v>468.55707201912708</v>
      </c>
      <c r="AD26" s="489">
        <f t="shared" si="5"/>
        <v>477.92821345950961</v>
      </c>
      <c r="AE26" s="489">
        <f t="shared" si="5"/>
        <v>487.48677772869979</v>
      </c>
      <c r="AF26" s="489">
        <f t="shared" si="5"/>
        <v>497.23651328327384</v>
      </c>
    </row>
    <row r="27" spans="2:32" x14ac:dyDescent="0.25">
      <c r="B27" t="s">
        <v>687</v>
      </c>
      <c r="C27" s="497"/>
      <c r="D27" s="489">
        <f t="shared" ref="D27:AF27" si="6">$I$7*D$19</f>
        <v>429.24</v>
      </c>
      <c r="E27" s="489">
        <f t="shared" si="6"/>
        <v>437.82479999999998</v>
      </c>
      <c r="F27" s="489">
        <f t="shared" si="6"/>
        <v>446.58129600000001</v>
      </c>
      <c r="G27" s="489">
        <f t="shared" si="6"/>
        <v>455.51292192000005</v>
      </c>
      <c r="H27" s="489">
        <f t="shared" si="6"/>
        <v>464.62318035840008</v>
      </c>
      <c r="I27" s="489">
        <f t="shared" si="6"/>
        <v>473.91564396556805</v>
      </c>
      <c r="J27" s="489">
        <f t="shared" si="6"/>
        <v>483.39395684487948</v>
      </c>
      <c r="K27" s="489">
        <f t="shared" si="6"/>
        <v>493.06183598177705</v>
      </c>
      <c r="L27" s="489">
        <f t="shared" si="6"/>
        <v>502.92307270141259</v>
      </c>
      <c r="M27" s="489">
        <f t="shared" si="6"/>
        <v>512.98153415544084</v>
      </c>
      <c r="N27" s="489">
        <f t="shared" si="6"/>
        <v>523.24116483854971</v>
      </c>
      <c r="O27" s="489">
        <f t="shared" si="6"/>
        <v>533.70598813532069</v>
      </c>
      <c r="P27" s="489">
        <f t="shared" si="6"/>
        <v>544.38010789802718</v>
      </c>
      <c r="Q27" s="489">
        <f t="shared" si="6"/>
        <v>555.26771005598766</v>
      </c>
      <c r="R27" s="489">
        <f t="shared" si="6"/>
        <v>566.37306425710744</v>
      </c>
      <c r="S27" s="489">
        <f t="shared" si="6"/>
        <v>577.70052554224947</v>
      </c>
      <c r="T27" s="489">
        <f t="shared" si="6"/>
        <v>589.25453605309451</v>
      </c>
      <c r="U27" s="489">
        <f t="shared" si="6"/>
        <v>601.03962677415643</v>
      </c>
      <c r="V27" s="489">
        <f t="shared" si="6"/>
        <v>613.06041930963966</v>
      </c>
      <c r="W27" s="489">
        <f t="shared" si="6"/>
        <v>625.32162769583238</v>
      </c>
      <c r="X27" s="489">
        <f t="shared" si="6"/>
        <v>637.828060249749</v>
      </c>
      <c r="Y27" s="489">
        <f t="shared" si="6"/>
        <v>650.58462145474402</v>
      </c>
      <c r="Z27" s="489">
        <f t="shared" si="6"/>
        <v>663.59631388383889</v>
      </c>
      <c r="AA27" s="489">
        <f t="shared" si="6"/>
        <v>676.8682401615157</v>
      </c>
      <c r="AB27" s="489">
        <f t="shared" si="6"/>
        <v>690.40560496474598</v>
      </c>
      <c r="AC27" s="489">
        <f t="shared" si="6"/>
        <v>704.21371706404102</v>
      </c>
      <c r="AD27" s="489">
        <f t="shared" si="6"/>
        <v>718.2979914053218</v>
      </c>
      <c r="AE27" s="489">
        <f t="shared" si="6"/>
        <v>732.66395123342818</v>
      </c>
      <c r="AF27" s="489">
        <f t="shared" si="6"/>
        <v>747.31723025809686</v>
      </c>
    </row>
    <row r="28" spans="2:32" x14ac:dyDescent="0.25">
      <c r="B28" s="497"/>
      <c r="C28" s="497"/>
    </row>
    <row r="29" spans="2:32" x14ac:dyDescent="0.25">
      <c r="B29" s="419" t="s">
        <v>716</v>
      </c>
      <c r="C29" s="497"/>
    </row>
    <row r="30" spans="2:32" x14ac:dyDescent="0.25">
      <c r="B30" t="s">
        <v>694</v>
      </c>
      <c r="C30" s="497"/>
      <c r="D30" s="489">
        <f t="shared" ref="D30:AF30" si="7">$K$5*D$21</f>
        <v>432.86872724950393</v>
      </c>
      <c r="E30" s="489">
        <f t="shared" si="7"/>
        <v>422.16026882145513</v>
      </c>
      <c r="F30" s="489">
        <f t="shared" si="7"/>
        <v>400.5928614601026</v>
      </c>
      <c r="G30" s="489">
        <f t="shared" si="7"/>
        <v>417.77131067187952</v>
      </c>
      <c r="H30" s="489">
        <f t="shared" si="7"/>
        <v>431.94935291720617</v>
      </c>
      <c r="I30" s="489">
        <f t="shared" si="7"/>
        <v>445.44291132171617</v>
      </c>
      <c r="J30" s="489">
        <f t="shared" si="7"/>
        <v>459.85922868942657</v>
      </c>
      <c r="K30" s="489">
        <f t="shared" si="7"/>
        <v>473.75806970132834</v>
      </c>
      <c r="L30" s="489">
        <f t="shared" si="7"/>
        <v>491.32519530194315</v>
      </c>
      <c r="M30" s="489">
        <f t="shared" si="7"/>
        <v>508.96038443058114</v>
      </c>
      <c r="N30" s="489">
        <f t="shared" si="7"/>
        <v>523.79866562939935</v>
      </c>
      <c r="O30" s="489">
        <f t="shared" si="7"/>
        <v>538.1493840733076</v>
      </c>
      <c r="P30" s="489">
        <f t="shared" si="7"/>
        <v>551.77333684541156</v>
      </c>
      <c r="Q30" s="489">
        <f t="shared" si="7"/>
        <v>572.93061746349724</v>
      </c>
      <c r="R30" s="489">
        <f t="shared" si="7"/>
        <v>591.17226886433991</v>
      </c>
      <c r="S30" s="489">
        <f t="shared" si="7"/>
        <v>606.48655942324785</v>
      </c>
      <c r="T30" s="489">
        <f t="shared" si="7"/>
        <v>622.40794438812975</v>
      </c>
      <c r="U30" s="489">
        <f t="shared" si="7"/>
        <v>636.751544394588</v>
      </c>
      <c r="V30" s="489">
        <f t="shared" si="7"/>
        <v>677.84131842576733</v>
      </c>
      <c r="W30" s="489">
        <f t="shared" si="7"/>
        <v>696.8082983890356</v>
      </c>
      <c r="X30" s="489">
        <f t="shared" si="7"/>
        <v>712.25131514869224</v>
      </c>
      <c r="Y30" s="489">
        <f t="shared" si="7"/>
        <v>730.10463472667243</v>
      </c>
      <c r="Z30" s="489">
        <f t="shared" si="7"/>
        <v>748.79417212577266</v>
      </c>
      <c r="AA30" s="489">
        <f t="shared" si="7"/>
        <v>765.19262084733612</v>
      </c>
      <c r="AB30" s="489">
        <f t="shared" si="7"/>
        <v>780.49647326428294</v>
      </c>
      <c r="AC30" s="489">
        <f t="shared" si="7"/>
        <v>796.10640272956857</v>
      </c>
      <c r="AD30" s="489">
        <f t="shared" si="7"/>
        <v>812.02853078416001</v>
      </c>
      <c r="AE30" s="489">
        <f t="shared" si="7"/>
        <v>828.26910139984318</v>
      </c>
      <c r="AF30" s="489">
        <f t="shared" si="7"/>
        <v>844.83448342784004</v>
      </c>
    </row>
    <row r="31" spans="2:32" x14ac:dyDescent="0.25">
      <c r="B31" t="s">
        <v>694</v>
      </c>
      <c r="C31" s="497"/>
      <c r="D31" s="489">
        <f>$K$6*D$21</f>
        <v>432.86872724950393</v>
      </c>
      <c r="E31" s="489">
        <f t="shared" ref="E31:AF31" si="8">$K$6*E$21</f>
        <v>422.16026882145513</v>
      </c>
      <c r="F31" s="489">
        <f t="shared" si="8"/>
        <v>400.5928614601026</v>
      </c>
      <c r="G31" s="489">
        <f t="shared" si="8"/>
        <v>417.77131067187952</v>
      </c>
      <c r="H31" s="489">
        <f t="shared" si="8"/>
        <v>431.94935291720617</v>
      </c>
      <c r="I31" s="489">
        <f t="shared" si="8"/>
        <v>445.44291132171617</v>
      </c>
      <c r="J31" s="489">
        <f t="shared" si="8"/>
        <v>459.85922868942657</v>
      </c>
      <c r="K31" s="489">
        <f t="shared" si="8"/>
        <v>473.75806970132834</v>
      </c>
      <c r="L31" s="489">
        <f t="shared" si="8"/>
        <v>491.32519530194315</v>
      </c>
      <c r="M31" s="489">
        <f t="shared" si="8"/>
        <v>508.96038443058114</v>
      </c>
      <c r="N31" s="489">
        <f t="shared" si="8"/>
        <v>523.79866562939935</v>
      </c>
      <c r="O31" s="489">
        <f t="shared" si="8"/>
        <v>538.1493840733076</v>
      </c>
      <c r="P31" s="489">
        <f t="shared" si="8"/>
        <v>551.77333684541156</v>
      </c>
      <c r="Q31" s="489">
        <f t="shared" si="8"/>
        <v>572.93061746349724</v>
      </c>
      <c r="R31" s="489">
        <f t="shared" si="8"/>
        <v>591.17226886433991</v>
      </c>
      <c r="S31" s="489">
        <f t="shared" si="8"/>
        <v>606.48655942324785</v>
      </c>
      <c r="T31" s="489">
        <f t="shared" si="8"/>
        <v>622.40794438812975</v>
      </c>
      <c r="U31" s="489">
        <f t="shared" si="8"/>
        <v>636.751544394588</v>
      </c>
      <c r="V31" s="489">
        <f t="shared" si="8"/>
        <v>677.84131842576733</v>
      </c>
      <c r="W31" s="489">
        <f t="shared" si="8"/>
        <v>696.8082983890356</v>
      </c>
      <c r="X31" s="489">
        <f t="shared" si="8"/>
        <v>712.25131514869224</v>
      </c>
      <c r="Y31" s="489">
        <f t="shared" si="8"/>
        <v>730.10463472667243</v>
      </c>
      <c r="Z31" s="489">
        <f t="shared" si="8"/>
        <v>748.79417212577266</v>
      </c>
      <c r="AA31" s="489">
        <f t="shared" si="8"/>
        <v>765.19262084733612</v>
      </c>
      <c r="AB31" s="489">
        <f t="shared" si="8"/>
        <v>780.49647326428294</v>
      </c>
      <c r="AC31" s="489">
        <f t="shared" si="8"/>
        <v>796.10640272956857</v>
      </c>
      <c r="AD31" s="489">
        <f t="shared" si="8"/>
        <v>812.02853078416001</v>
      </c>
      <c r="AE31" s="489">
        <f t="shared" si="8"/>
        <v>828.26910139984318</v>
      </c>
      <c r="AF31" s="489">
        <f t="shared" si="8"/>
        <v>844.83448342784004</v>
      </c>
    </row>
    <row r="32" spans="2:32" x14ac:dyDescent="0.25">
      <c r="B32" t="s">
        <v>717</v>
      </c>
      <c r="C32" s="497"/>
      <c r="D32" s="489">
        <f t="shared" ref="D32:AF32" si="9">$K$7*D$21</f>
        <v>144.28957574983465</v>
      </c>
      <c r="E32" s="489">
        <f t="shared" si="9"/>
        <v>140.72008960715172</v>
      </c>
      <c r="F32" s="489">
        <f t="shared" si="9"/>
        <v>133.5309538200342</v>
      </c>
      <c r="G32" s="489">
        <f t="shared" si="9"/>
        <v>139.25710355729316</v>
      </c>
      <c r="H32" s="489">
        <f t="shared" si="9"/>
        <v>143.98311763906872</v>
      </c>
      <c r="I32" s="489">
        <f t="shared" si="9"/>
        <v>148.48097044057207</v>
      </c>
      <c r="J32" s="489">
        <f t="shared" si="9"/>
        <v>153.2864095631422</v>
      </c>
      <c r="K32" s="489">
        <f t="shared" si="9"/>
        <v>157.91935656710945</v>
      </c>
      <c r="L32" s="489">
        <f t="shared" si="9"/>
        <v>163.77506510064771</v>
      </c>
      <c r="M32" s="489">
        <f t="shared" si="9"/>
        <v>169.65346147686037</v>
      </c>
      <c r="N32" s="489">
        <f t="shared" si="9"/>
        <v>174.59955520979977</v>
      </c>
      <c r="O32" s="489">
        <f t="shared" si="9"/>
        <v>179.38312802443588</v>
      </c>
      <c r="P32" s="489">
        <f t="shared" si="9"/>
        <v>183.92444561513719</v>
      </c>
      <c r="Q32" s="489">
        <f t="shared" si="9"/>
        <v>190.97687248783242</v>
      </c>
      <c r="R32" s="489">
        <f t="shared" si="9"/>
        <v>197.05742295477995</v>
      </c>
      <c r="S32" s="489">
        <f t="shared" si="9"/>
        <v>202.16218647441593</v>
      </c>
      <c r="T32" s="489">
        <f t="shared" si="9"/>
        <v>207.46931479604325</v>
      </c>
      <c r="U32" s="489">
        <f t="shared" si="9"/>
        <v>212.25051479819601</v>
      </c>
      <c r="V32" s="489">
        <f t="shared" si="9"/>
        <v>225.94710614192246</v>
      </c>
      <c r="W32" s="489">
        <f t="shared" si="9"/>
        <v>232.2694327963452</v>
      </c>
      <c r="X32" s="489">
        <f t="shared" si="9"/>
        <v>237.4171050495641</v>
      </c>
      <c r="Y32" s="489">
        <f t="shared" si="9"/>
        <v>243.3682115755575</v>
      </c>
      <c r="Z32" s="489">
        <f t="shared" si="9"/>
        <v>249.59805737525755</v>
      </c>
      <c r="AA32" s="489">
        <f t="shared" si="9"/>
        <v>255.06420694911205</v>
      </c>
      <c r="AB32" s="489">
        <f t="shared" si="9"/>
        <v>260.16549108809431</v>
      </c>
      <c r="AC32" s="489">
        <f t="shared" si="9"/>
        <v>265.36880090985619</v>
      </c>
      <c r="AD32" s="489">
        <f t="shared" si="9"/>
        <v>270.67617692805334</v>
      </c>
      <c r="AE32" s="489">
        <f t="shared" si="9"/>
        <v>276.08970046661437</v>
      </c>
      <c r="AF32" s="489">
        <f t="shared" si="9"/>
        <v>281.6114944759467</v>
      </c>
    </row>
    <row r="33" spans="2:32" x14ac:dyDescent="0.25">
      <c r="B33" s="497"/>
      <c r="C33" s="497"/>
    </row>
    <row r="34" spans="2:32" ht="18" customHeight="1" x14ac:dyDescent="0.25">
      <c r="B34" s="491" t="s">
        <v>718</v>
      </c>
      <c r="C34" s="497"/>
    </row>
    <row r="35" spans="2:32" x14ac:dyDescent="0.25">
      <c r="B35" t="s">
        <v>685</v>
      </c>
      <c r="C35" s="497"/>
      <c r="D35" s="490">
        <f t="shared" ref="D35:AF37" si="10">D25-D30</f>
        <v>596.13127275049601</v>
      </c>
      <c r="E35" s="490">
        <f t="shared" si="10"/>
        <v>627.41973117854479</v>
      </c>
      <c r="F35" s="490">
        <f t="shared" si="10"/>
        <v>669.97873853989745</v>
      </c>
      <c r="G35" s="490">
        <f t="shared" si="10"/>
        <v>674.21172132812057</v>
      </c>
      <c r="H35" s="490">
        <f t="shared" si="10"/>
        <v>681.87333972279407</v>
      </c>
      <c r="I35" s="490">
        <f t="shared" si="10"/>
        <v>690.65623517108406</v>
      </c>
      <c r="J35" s="490">
        <f t="shared" si="10"/>
        <v>698.96190073322964</v>
      </c>
      <c r="K35" s="490">
        <f t="shared" si="10"/>
        <v>708.2394823097809</v>
      </c>
      <c r="L35" s="490">
        <f t="shared" si="10"/>
        <v>714.31230774938842</v>
      </c>
      <c r="M35" s="490">
        <f t="shared" si="10"/>
        <v>720.78986868177708</v>
      </c>
      <c r="N35" s="490">
        <f t="shared" si="10"/>
        <v>730.54659254520618</v>
      </c>
      <c r="O35" s="490">
        <f t="shared" si="10"/>
        <v>741.28277926478995</v>
      </c>
      <c r="P35" s="490">
        <f t="shared" si="10"/>
        <v>753.24746975944811</v>
      </c>
      <c r="Q35" s="490">
        <f t="shared" si="10"/>
        <v>758.19060527345948</v>
      </c>
      <c r="R35" s="490">
        <f t="shared" si="10"/>
        <v>766.57137832735589</v>
      </c>
      <c r="S35" s="490">
        <f t="shared" si="10"/>
        <v>778.41196071228183</v>
      </c>
      <c r="T35" s="490">
        <f t="shared" si="10"/>
        <v>790.18854615011048</v>
      </c>
      <c r="U35" s="490">
        <f t="shared" si="10"/>
        <v>804.09687595441721</v>
      </c>
      <c r="V35" s="490">
        <f t="shared" si="10"/>
        <v>791.82407033021798</v>
      </c>
      <c r="W35" s="490">
        <f t="shared" si="10"/>
        <v>802.25039814206934</v>
      </c>
      <c r="X35" s="490">
        <f t="shared" si="10"/>
        <v>816.78855531303486</v>
      </c>
      <c r="Y35" s="490">
        <f t="shared" si="10"/>
        <v>829.51603314428917</v>
      </c>
      <c r="Z35" s="490">
        <f t="shared" si="10"/>
        <v>842.01890910260829</v>
      </c>
      <c r="AA35" s="490">
        <f t="shared" si="10"/>
        <v>857.4367220056123</v>
      </c>
      <c r="AB35" s="490">
        <f t="shared" si="10"/>
        <v>874.58545644572473</v>
      </c>
      <c r="AC35" s="490">
        <f t="shared" si="10"/>
        <v>892.07716557463937</v>
      </c>
      <c r="AD35" s="490">
        <f t="shared" si="10"/>
        <v>909.91870888613198</v>
      </c>
      <c r="AE35" s="490">
        <f t="shared" si="10"/>
        <v>928.11708306385469</v>
      </c>
      <c r="AF35" s="490">
        <f t="shared" si="10"/>
        <v>946.67942472513187</v>
      </c>
    </row>
    <row r="36" spans="2:32" x14ac:dyDescent="0.25">
      <c r="B36" t="s">
        <v>686</v>
      </c>
      <c r="C36" s="497"/>
      <c r="D36" s="490">
        <f t="shared" si="10"/>
        <v>-147.26872724950397</v>
      </c>
      <c r="E36" s="490">
        <f t="shared" si="10"/>
        <v>-130.84826882145512</v>
      </c>
      <c r="F36" s="490">
        <f t="shared" si="10"/>
        <v>-103.4546214601026</v>
      </c>
      <c r="G36" s="490">
        <f t="shared" si="10"/>
        <v>-114.6903058718795</v>
      </c>
      <c r="H36" s="490">
        <f t="shared" si="10"/>
        <v>-122.80672802120614</v>
      </c>
      <c r="I36" s="490">
        <f t="shared" si="10"/>
        <v>-130.11743392779613</v>
      </c>
      <c r="J36" s="490">
        <f t="shared" si="10"/>
        <v>-138.22724174762811</v>
      </c>
      <c r="K36" s="490">
        <f t="shared" si="10"/>
        <v>-145.69344302069391</v>
      </c>
      <c r="L36" s="490">
        <f t="shared" si="10"/>
        <v>-156.69927608769603</v>
      </c>
      <c r="M36" s="490">
        <f t="shared" si="10"/>
        <v>-167.64194683204909</v>
      </c>
      <c r="N36" s="490">
        <f t="shared" si="10"/>
        <v>-175.65385927889662</v>
      </c>
      <c r="O36" s="490">
        <f t="shared" si="10"/>
        <v>-183.04168159579478</v>
      </c>
      <c r="P36" s="490">
        <f t="shared" si="10"/>
        <v>-189.56348031834847</v>
      </c>
      <c r="Q36" s="490">
        <f t="shared" si="10"/>
        <v>-203.47656380589291</v>
      </c>
      <c r="R36" s="490">
        <f t="shared" si="10"/>
        <v>-214.32913413358352</v>
      </c>
      <c r="S36" s="490">
        <f t="shared" si="10"/>
        <v>-222.10656199787638</v>
      </c>
      <c r="T36" s="490">
        <f t="shared" si="10"/>
        <v>-230.34034701425082</v>
      </c>
      <c r="U36" s="490">
        <f t="shared" si="10"/>
        <v>-236.84259507323145</v>
      </c>
      <c r="V36" s="490">
        <f t="shared" si="10"/>
        <v>-269.93419011798363</v>
      </c>
      <c r="W36" s="490">
        <f t="shared" si="10"/>
        <v>-280.74302751509623</v>
      </c>
      <c r="X36" s="490">
        <f t="shared" si="10"/>
        <v>-287.86473885727412</v>
      </c>
      <c r="Y36" s="490">
        <f t="shared" si="10"/>
        <v>-297.23032690942591</v>
      </c>
      <c r="Z36" s="490">
        <f t="shared" si="10"/>
        <v>-307.26237815218127</v>
      </c>
      <c r="AA36" s="490">
        <f t="shared" si="10"/>
        <v>-314.83019099427287</v>
      </c>
      <c r="AB36" s="490">
        <f t="shared" si="10"/>
        <v>-321.12679481415836</v>
      </c>
      <c r="AC36" s="490">
        <f t="shared" si="10"/>
        <v>-327.5493307104415</v>
      </c>
      <c r="AD36" s="490">
        <f t="shared" si="10"/>
        <v>-334.1003173246504</v>
      </c>
      <c r="AE36" s="490">
        <f t="shared" si="10"/>
        <v>-340.78232367114339</v>
      </c>
      <c r="AF36" s="490">
        <f t="shared" si="10"/>
        <v>-347.5979701445662</v>
      </c>
    </row>
    <row r="37" spans="2:32" x14ac:dyDescent="0.25">
      <c r="B37" t="s">
        <v>687</v>
      </c>
      <c r="C37" s="497"/>
      <c r="D37" s="490">
        <f t="shared" si="10"/>
        <v>284.95042425016538</v>
      </c>
      <c r="E37" s="490">
        <f t="shared" si="10"/>
        <v>297.10471039284823</v>
      </c>
      <c r="F37" s="490">
        <f t="shared" si="10"/>
        <v>313.05034217996581</v>
      </c>
      <c r="G37" s="490">
        <f t="shared" si="10"/>
        <v>316.25581836270692</v>
      </c>
      <c r="H37" s="490">
        <f t="shared" si="10"/>
        <v>320.64006271933135</v>
      </c>
      <c r="I37" s="490">
        <f t="shared" si="10"/>
        <v>325.43467352499601</v>
      </c>
      <c r="J37" s="490">
        <f t="shared" si="10"/>
        <v>330.10754728173731</v>
      </c>
      <c r="K37" s="490">
        <f t="shared" si="10"/>
        <v>335.1424794146676</v>
      </c>
      <c r="L37" s="490">
        <f t="shared" si="10"/>
        <v>339.14800760076491</v>
      </c>
      <c r="M37" s="490">
        <f t="shared" si="10"/>
        <v>343.3280726785805</v>
      </c>
      <c r="N37" s="490">
        <f t="shared" si="10"/>
        <v>348.64160962874996</v>
      </c>
      <c r="O37" s="490">
        <f t="shared" si="10"/>
        <v>354.32286011088479</v>
      </c>
      <c r="P37" s="490">
        <f t="shared" si="10"/>
        <v>360.45566228288999</v>
      </c>
      <c r="Q37" s="490">
        <f t="shared" si="10"/>
        <v>364.29083756815521</v>
      </c>
      <c r="R37" s="490">
        <f t="shared" si="10"/>
        <v>369.31564130232749</v>
      </c>
      <c r="S37" s="490">
        <f t="shared" si="10"/>
        <v>375.53833906783353</v>
      </c>
      <c r="T37" s="490">
        <f t="shared" si="10"/>
        <v>381.78522125705126</v>
      </c>
      <c r="U37" s="490">
        <f t="shared" si="10"/>
        <v>388.7891119759604</v>
      </c>
      <c r="V37" s="490">
        <f t="shared" si="10"/>
        <v>387.11331316771719</v>
      </c>
      <c r="W37" s="490">
        <f t="shared" si="10"/>
        <v>393.05219489948718</v>
      </c>
      <c r="X37" s="490">
        <f t="shared" si="10"/>
        <v>400.4109552001849</v>
      </c>
      <c r="Y37" s="490">
        <f t="shared" si="10"/>
        <v>407.21640987918653</v>
      </c>
      <c r="Z37" s="490">
        <f t="shared" si="10"/>
        <v>413.99825650858133</v>
      </c>
      <c r="AA37" s="490">
        <f t="shared" si="10"/>
        <v>421.80403321240362</v>
      </c>
      <c r="AB37" s="490">
        <f t="shared" si="10"/>
        <v>430.24011387665166</v>
      </c>
      <c r="AC37" s="490">
        <f t="shared" si="10"/>
        <v>438.84491615418483</v>
      </c>
      <c r="AD37" s="490">
        <f t="shared" si="10"/>
        <v>447.62181447726846</v>
      </c>
      <c r="AE37" s="490">
        <f t="shared" si="10"/>
        <v>456.5742507668138</v>
      </c>
      <c r="AF37" s="490">
        <f t="shared" si="10"/>
        <v>465.70573578215016</v>
      </c>
    </row>
    <row r="38" spans="2:32" x14ac:dyDescent="0.25">
      <c r="B38" s="497"/>
      <c r="C38" s="497"/>
    </row>
    <row r="39" spans="2:32" x14ac:dyDescent="0.25">
      <c r="B39" s="491" t="s">
        <v>695</v>
      </c>
      <c r="C39" s="497" t="s">
        <v>696</v>
      </c>
      <c r="D39" s="544" t="s">
        <v>719</v>
      </c>
      <c r="E39" s="544"/>
      <c r="F39" s="544"/>
      <c r="G39" s="544"/>
      <c r="H39" s="544"/>
      <c r="I39" s="544"/>
      <c r="J39" s="544"/>
      <c r="K39" s="544"/>
      <c r="L39" s="544"/>
      <c r="M39" s="544"/>
    </row>
    <row r="40" spans="2:32" x14ac:dyDescent="0.25">
      <c r="B40" s="497"/>
      <c r="C40" s="487">
        <v>3.2500000000000001E-2</v>
      </c>
      <c r="D40" s="69">
        <v>2022</v>
      </c>
      <c r="E40" s="69">
        <v>2023</v>
      </c>
      <c r="F40" s="69">
        <v>2024</v>
      </c>
      <c r="G40" s="69">
        <v>2025</v>
      </c>
      <c r="H40" s="69">
        <v>2026</v>
      </c>
      <c r="I40" s="69">
        <v>2027</v>
      </c>
      <c r="J40" s="69">
        <v>2028</v>
      </c>
      <c r="K40" s="69">
        <v>2029</v>
      </c>
      <c r="L40" s="69">
        <v>2030</v>
      </c>
      <c r="M40" s="69">
        <v>2031</v>
      </c>
      <c r="N40" s="69">
        <v>2032</v>
      </c>
      <c r="O40" s="69">
        <v>2033</v>
      </c>
      <c r="P40" s="69">
        <v>2034</v>
      </c>
      <c r="Q40" s="69">
        <v>2035</v>
      </c>
    </row>
    <row r="41" spans="2:32" x14ac:dyDescent="0.25">
      <c r="B41" t="s">
        <v>685</v>
      </c>
      <c r="C41" s="497"/>
      <c r="D41" s="492">
        <f>NPV($C$40,D35:M35)</f>
        <v>5685.2492733639492</v>
      </c>
      <c r="E41" s="492">
        <f t="shared" ref="E41:Q43" si="11">NPV($C$40,E35:N35)</f>
        <v>5804.4642536625233</v>
      </c>
      <c r="F41" s="492">
        <f t="shared" si="11"/>
        <v>5904.0626559105212</v>
      </c>
      <c r="G41" s="492">
        <f t="shared" si="11"/>
        <v>5973.0286204781387</v>
      </c>
      <c r="H41" s="492">
        <f t="shared" si="11"/>
        <v>6043.5930578123498</v>
      </c>
      <c r="I41" s="492">
        <f t="shared" si="11"/>
        <v>6114.8759431126109</v>
      </c>
      <c r="J41" s="492">
        <f t="shared" si="11"/>
        <v>6188.2921120798437</v>
      </c>
      <c r="K41" s="492">
        <f t="shared" si="11"/>
        <v>6264.3416471183718</v>
      </c>
      <c r="L41" s="492">
        <f t="shared" si="11"/>
        <v>6343.6864431964741</v>
      </c>
      <c r="M41" s="492">
        <f t="shared" si="11"/>
        <v>6410.6237226589656</v>
      </c>
      <c r="N41" s="492">
        <f t="shared" si="11"/>
        <v>6480.8312543911852</v>
      </c>
      <c r="O41" s="492">
        <f t="shared" si="11"/>
        <v>6554.1224658505853</v>
      </c>
      <c r="P41" s="492">
        <f t="shared" si="11"/>
        <v>6628.3030677772313</v>
      </c>
      <c r="Q41" s="492">
        <f t="shared" si="11"/>
        <v>6702.0103394988619</v>
      </c>
    </row>
    <row r="42" spans="2:32" x14ac:dyDescent="0.25">
      <c r="B42" t="s">
        <v>686</v>
      </c>
      <c r="C42" s="497"/>
      <c r="D42" s="492">
        <f>NPV($C$40,D36:M36)</f>
        <v>-1134.8979718010769</v>
      </c>
      <c r="E42" s="492">
        <f t="shared" si="11"/>
        <v>-1152.0859364058026</v>
      </c>
      <c r="F42" s="492">
        <f t="shared" si="11"/>
        <v>-1191.6185379591739</v>
      </c>
      <c r="G42" s="492">
        <f t="shared" si="11"/>
        <v>-1264.5661972689493</v>
      </c>
      <c r="H42" s="492">
        <f t="shared" si="11"/>
        <v>-1338.7536562896803</v>
      </c>
      <c r="I42" s="492">
        <f t="shared" si="11"/>
        <v>-1415.117705271459</v>
      </c>
      <c r="J42" s="492">
        <f t="shared" si="11"/>
        <v>-1492.3014092719088</v>
      </c>
      <c r="K42" s="492">
        <f t="shared" si="11"/>
        <v>-1569.8637446604155</v>
      </c>
      <c r="L42" s="492">
        <f t="shared" si="11"/>
        <v>-1647.2030564178895</v>
      </c>
      <c r="M42" s="492">
        <f t="shared" si="11"/>
        <v>-1740.0835669476855</v>
      </c>
      <c r="N42" s="492">
        <f t="shared" si="11"/>
        <v>-1832.8901810075979</v>
      </c>
      <c r="O42" s="492">
        <f t="shared" si="11"/>
        <v>-1925.8733982561741</v>
      </c>
      <c r="P42" s="492">
        <f t="shared" si="11"/>
        <v>-2021.2927136116639</v>
      </c>
      <c r="Q42" s="492">
        <f t="shared" si="11"/>
        <v>-2120.5773575178109</v>
      </c>
    </row>
    <row r="43" spans="2:32" x14ac:dyDescent="0.25">
      <c r="B43" t="s">
        <v>687</v>
      </c>
      <c r="C43" s="497"/>
      <c r="D43" s="492">
        <f>NPV($C$40,D37:M37)</f>
        <v>2686.2715474342463</v>
      </c>
      <c r="E43" s="492">
        <f t="shared" si="11"/>
        <v>2741.8336433266963</v>
      </c>
      <c r="F43" s="492">
        <f t="shared" si="11"/>
        <v>2791.1733552514784</v>
      </c>
      <c r="G43" s="492">
        <f t="shared" si="11"/>
        <v>2830.6250595063111</v>
      </c>
      <c r="H43" s="492">
        <f t="shared" si="11"/>
        <v>2870.9388490046531</v>
      </c>
      <c r="I43" s="492">
        <f t="shared" si="11"/>
        <v>2911.827967366085</v>
      </c>
      <c r="J43" s="492">
        <f t="shared" si="11"/>
        <v>2953.7707434150666</v>
      </c>
      <c r="K43" s="492">
        <f t="shared" si="11"/>
        <v>2996.9407225490113</v>
      </c>
      <c r="L43" s="492">
        <f t="shared" si="11"/>
        <v>3041.5655247119034</v>
      </c>
      <c r="M43" s="492">
        <f t="shared" si="11"/>
        <v>3082.4180187389952</v>
      </c>
      <c r="N43" s="492">
        <f t="shared" si="11"/>
        <v>3124.731398206789</v>
      </c>
      <c r="O43" s="492">
        <f t="shared" si="11"/>
        <v>3168.4508882947835</v>
      </c>
      <c r="P43" s="492">
        <f t="shared" si="11"/>
        <v>3212.8526235972231</v>
      </c>
      <c r="Q43" s="492">
        <f t="shared" si="11"/>
        <v>3257.4900795245298</v>
      </c>
    </row>
    <row r="45" spans="2:32" x14ac:dyDescent="0.25">
      <c r="B45" t="s">
        <v>685</v>
      </c>
      <c r="D45" s="492">
        <f>D41+$E$5-$G$5</f>
        <v>6485.2492733639492</v>
      </c>
      <c r="E45" s="492">
        <f t="shared" ref="E45:Q45" si="12">E41+$E$5-$G$5</f>
        <v>6604.4642536625233</v>
      </c>
      <c r="F45" s="492">
        <f t="shared" si="12"/>
        <v>6704.0626559105212</v>
      </c>
      <c r="G45" s="492">
        <f t="shared" si="12"/>
        <v>6773.0286204781387</v>
      </c>
      <c r="H45" s="492">
        <f t="shared" si="12"/>
        <v>6843.5930578123498</v>
      </c>
      <c r="I45" s="492">
        <f t="shared" si="12"/>
        <v>6914.8759431126109</v>
      </c>
      <c r="J45" s="492">
        <f t="shared" si="12"/>
        <v>6988.2921120798437</v>
      </c>
      <c r="K45" s="492">
        <f t="shared" si="12"/>
        <v>7064.3416471183718</v>
      </c>
      <c r="L45" s="492">
        <f t="shared" si="12"/>
        <v>7143.6864431964741</v>
      </c>
      <c r="M45" s="492">
        <f t="shared" si="12"/>
        <v>7210.6237226589656</v>
      </c>
      <c r="N45" s="492">
        <f t="shared" si="12"/>
        <v>7280.8312543911852</v>
      </c>
      <c r="O45" s="492">
        <f t="shared" si="12"/>
        <v>7354.1224658505853</v>
      </c>
      <c r="P45" s="492">
        <f t="shared" si="12"/>
        <v>7428.3030677772313</v>
      </c>
      <c r="Q45" s="492">
        <f t="shared" si="12"/>
        <v>7502.0103394988619</v>
      </c>
    </row>
    <row r="46" spans="2:32" x14ac:dyDescent="0.25">
      <c r="B46" t="s">
        <v>686</v>
      </c>
      <c r="D46" s="492">
        <f>D42+$E$6-$G$6</f>
        <v>-184.89797180107689</v>
      </c>
      <c r="E46" s="492">
        <f t="shared" ref="E46:L46" si="13">E42+$E$6-$G$6</f>
        <v>-202.08593640580261</v>
      </c>
      <c r="F46" s="492">
        <f t="shared" si="13"/>
        <v>-241.61853795917386</v>
      </c>
      <c r="G46" s="492">
        <f t="shared" si="13"/>
        <v>-314.56619726894928</v>
      </c>
      <c r="H46" s="492">
        <f t="shared" si="13"/>
        <v>-388.75365628968029</v>
      </c>
      <c r="I46" s="492">
        <f t="shared" si="13"/>
        <v>-465.11770527145904</v>
      </c>
      <c r="J46" s="492">
        <f t="shared" si="13"/>
        <v>-542.30140927190882</v>
      </c>
      <c r="K46" s="492">
        <f t="shared" si="13"/>
        <v>-619.86374466041548</v>
      </c>
      <c r="L46" s="492">
        <f t="shared" si="13"/>
        <v>-697.20305641788946</v>
      </c>
      <c r="M46" s="492">
        <f>M42+$E$6-$G$6</f>
        <v>-790.08356694768554</v>
      </c>
      <c r="N46" s="492">
        <f>N42+$E$6-$G$6</f>
        <v>-882.8901810075979</v>
      </c>
      <c r="O46" s="492">
        <f>O42+$E$6-$G$6</f>
        <v>-975.87339825617414</v>
      </c>
      <c r="P46" s="492">
        <f>P42+$E$6-$G$6</f>
        <v>-1071.2927136116639</v>
      </c>
      <c r="Q46" s="492">
        <f>Q42+$E$6-$G$6</f>
        <v>-1170.5773575178109</v>
      </c>
    </row>
    <row r="47" spans="2:32" x14ac:dyDescent="0.25">
      <c r="B47" t="s">
        <v>687</v>
      </c>
      <c r="D47" s="492">
        <f>D43+$E$7-$G$7</f>
        <v>3725.2715474342463</v>
      </c>
      <c r="E47" s="492">
        <f t="shared" ref="E47:Q47" si="14">E43+$E$7-$G$7</f>
        <v>3780.8336433266963</v>
      </c>
      <c r="F47" s="492">
        <f t="shared" si="14"/>
        <v>3830.1733552514784</v>
      </c>
      <c r="G47" s="492">
        <f t="shared" si="14"/>
        <v>3869.6250595063111</v>
      </c>
      <c r="H47" s="492">
        <f t="shared" si="14"/>
        <v>3909.9388490046531</v>
      </c>
      <c r="I47" s="492">
        <f t="shared" si="14"/>
        <v>3950.827967366085</v>
      </c>
      <c r="J47" s="492">
        <f t="shared" si="14"/>
        <v>3992.7707434150666</v>
      </c>
      <c r="K47" s="492">
        <f t="shared" si="14"/>
        <v>4035.9407225490113</v>
      </c>
      <c r="L47" s="492">
        <f t="shared" si="14"/>
        <v>4080.5655247119034</v>
      </c>
      <c r="M47" s="492">
        <f t="shared" si="14"/>
        <v>4121.4180187389957</v>
      </c>
      <c r="N47" s="492">
        <f t="shared" si="14"/>
        <v>4163.731398206789</v>
      </c>
      <c r="O47" s="492">
        <f t="shared" si="14"/>
        <v>4207.450888294783</v>
      </c>
      <c r="P47" s="492">
        <f t="shared" si="14"/>
        <v>4251.8526235972231</v>
      </c>
      <c r="Q47" s="492">
        <f t="shared" si="14"/>
        <v>4296.4900795245303</v>
      </c>
    </row>
    <row r="49" spans="2:32" x14ac:dyDescent="0.25">
      <c r="B49" s="491" t="s">
        <v>720</v>
      </c>
      <c r="D49" s="69">
        <v>2022</v>
      </c>
      <c r="E49" s="69">
        <v>2023</v>
      </c>
      <c r="F49" s="69">
        <v>2024</v>
      </c>
      <c r="G49" s="69">
        <v>2025</v>
      </c>
      <c r="H49" s="69">
        <v>2026</v>
      </c>
      <c r="I49" s="69">
        <v>2027</v>
      </c>
      <c r="J49" s="69">
        <v>2028</v>
      </c>
      <c r="K49" s="69">
        <v>2029</v>
      </c>
      <c r="L49" s="69">
        <v>2030</v>
      </c>
      <c r="M49" s="69">
        <v>2031</v>
      </c>
      <c r="N49" s="69">
        <v>2032</v>
      </c>
      <c r="O49" s="69">
        <v>2033</v>
      </c>
      <c r="P49" s="69">
        <v>2034</v>
      </c>
      <c r="Q49" s="69">
        <v>2035</v>
      </c>
    </row>
    <row r="50" spans="2:32" x14ac:dyDescent="0.25">
      <c r="B50" t="s">
        <v>685</v>
      </c>
      <c r="D50" s="492">
        <f>NPV($C$40,$E$5+$F$5+D25,E25:M25)</f>
        <v>11183.658212637627</v>
      </c>
      <c r="E50" s="492">
        <f t="shared" ref="E50:Q50" si="15">NPV($C$40,$E$5+$F$5+E25,F25:N25)</f>
        <v>11372.464548803215</v>
      </c>
      <c r="F50" s="492">
        <f t="shared" si="15"/>
        <v>11565.047011692111</v>
      </c>
      <c r="G50" s="492">
        <f t="shared" si="15"/>
        <v>11761.481123838787</v>
      </c>
      <c r="H50" s="492">
        <f t="shared" si="15"/>
        <v>11961.843918228395</v>
      </c>
      <c r="I50" s="492">
        <f t="shared" si="15"/>
        <v>12166.213968505797</v>
      </c>
      <c r="J50" s="492">
        <f t="shared" si="15"/>
        <v>12374.671419788745</v>
      </c>
      <c r="K50" s="492">
        <f t="shared" si="15"/>
        <v>12587.298020097354</v>
      </c>
      <c r="L50" s="492">
        <f t="shared" si="15"/>
        <v>12804.177152412132</v>
      </c>
      <c r="M50" s="492">
        <f t="shared" si="15"/>
        <v>13025.39386737321</v>
      </c>
      <c r="N50" s="492">
        <f t="shared" si="15"/>
        <v>13251.034916633505</v>
      </c>
      <c r="O50" s="492">
        <f t="shared" si="15"/>
        <v>13481.188786879011</v>
      </c>
      <c r="P50" s="492">
        <f t="shared" si="15"/>
        <v>13715.945734529425</v>
      </c>
      <c r="Q50" s="492">
        <f t="shared" si="15"/>
        <v>13955.397821132843</v>
      </c>
    </row>
    <row r="51" spans="2:32" x14ac:dyDescent="0.25">
      <c r="B51" t="s">
        <v>686</v>
      </c>
      <c r="D51" s="492">
        <f>NPV($C$40,$E$6+$F$6-$G$6+D26,E26:M26)</f>
        <v>4993.05091904645</v>
      </c>
      <c r="E51" s="492">
        <f t="shared" ref="E51:Q51" si="16">NPV($C$40,$E$6+$F$6-$G$6+E26,F26:N26)</f>
        <v>5045.4543103087353</v>
      </c>
      <c r="F51" s="492">
        <f t="shared" si="16"/>
        <v>5098.9057693962659</v>
      </c>
      <c r="G51" s="492">
        <f t="shared" si="16"/>
        <v>5153.4262576655492</v>
      </c>
      <c r="H51" s="492">
        <f t="shared" si="16"/>
        <v>5209.0371557002154</v>
      </c>
      <c r="I51" s="492">
        <f t="shared" si="16"/>
        <v>5265.7602716955762</v>
      </c>
      <c r="J51" s="492">
        <f t="shared" si="16"/>
        <v>5323.6178500108426</v>
      </c>
      <c r="K51" s="492">
        <f t="shared" si="16"/>
        <v>5382.6325798924154</v>
      </c>
      <c r="L51" s="492">
        <f t="shared" si="16"/>
        <v>5442.8276043716196</v>
      </c>
      <c r="M51" s="492">
        <f t="shared" si="16"/>
        <v>5504.2265293404071</v>
      </c>
      <c r="N51" s="492">
        <f t="shared" si="16"/>
        <v>5566.8534328085734</v>
      </c>
      <c r="O51" s="492">
        <f t="shared" si="16"/>
        <v>5630.7328743460985</v>
      </c>
      <c r="P51" s="492">
        <f t="shared" si="16"/>
        <v>5695.8899047143777</v>
      </c>
      <c r="Q51" s="492">
        <f t="shared" si="16"/>
        <v>5762.3500756900203</v>
      </c>
    </row>
    <row r="52" spans="2:32" x14ac:dyDescent="0.25">
      <c r="B52" t="s">
        <v>687</v>
      </c>
      <c r="D52" s="492">
        <f>NPV($C$40,$E$7+$F$7-$G$7+D27,E27:M27)</f>
        <v>4944.2561252550931</v>
      </c>
      <c r="E52" s="492">
        <f t="shared" ref="E52:Q52" si="17">NPV($C$40,$E$7+$F$7-$G$7+E27,F27:N27)</f>
        <v>5023.0153397698805</v>
      </c>
      <c r="F52" s="492">
        <f t="shared" si="17"/>
        <v>5103.3497385749633</v>
      </c>
      <c r="G52" s="492">
        <f t="shared" si="17"/>
        <v>5185.2908253561482</v>
      </c>
      <c r="H52" s="492">
        <f t="shared" si="17"/>
        <v>5268.8707338729555</v>
      </c>
      <c r="I52" s="492">
        <f t="shared" si="17"/>
        <v>5354.1222405601002</v>
      </c>
      <c r="J52" s="492">
        <f t="shared" si="17"/>
        <v>5441.078777380988</v>
      </c>
      <c r="K52" s="492">
        <f t="shared" si="17"/>
        <v>5529.7744449382917</v>
      </c>
      <c r="L52" s="492">
        <f t="shared" si="17"/>
        <v>5620.244025846745</v>
      </c>
      <c r="M52" s="492">
        <f t="shared" si="17"/>
        <v>5712.5229983733643</v>
      </c>
      <c r="N52" s="492">
        <f t="shared" si="17"/>
        <v>5806.6475503505162</v>
      </c>
      <c r="O52" s="492">
        <f t="shared" si="17"/>
        <v>5902.6545933672114</v>
      </c>
      <c r="P52" s="492">
        <f t="shared" si="17"/>
        <v>6000.5817772442424</v>
      </c>
      <c r="Q52" s="492">
        <f t="shared" si="17"/>
        <v>6100.4675047988112</v>
      </c>
    </row>
    <row r="53" spans="2:32" x14ac:dyDescent="0.25">
      <c r="B53" t="s">
        <v>712</v>
      </c>
      <c r="D53" s="492">
        <f>NPV($C$40,$E$9+$F$9+D30,E30:M30)</f>
        <v>4461.1208036804583</v>
      </c>
      <c r="E53" s="492">
        <f t="shared" ref="E53:Q53" si="18">NPV($C$40,$E$9+$F$9+E30,F30:N30)</f>
        <v>4530.7121595474682</v>
      </c>
      <c r="F53" s="492">
        <f t="shared" si="18"/>
        <v>4623.6962201883707</v>
      </c>
      <c r="G53" s="492">
        <f t="shared" si="18"/>
        <v>4751.1643677674265</v>
      </c>
      <c r="H53" s="492">
        <f t="shared" si="18"/>
        <v>4880.9627248228253</v>
      </c>
      <c r="I53" s="492">
        <f t="shared" si="18"/>
        <v>5014.0498897999632</v>
      </c>
      <c r="J53" s="492">
        <f t="shared" si="18"/>
        <v>5149.0911721156817</v>
      </c>
      <c r="K53" s="492">
        <f t="shared" si="18"/>
        <v>5285.6682373857602</v>
      </c>
      <c r="L53" s="492">
        <f t="shared" si="18"/>
        <v>5423.2025736224386</v>
      </c>
      <c r="M53" s="492">
        <f t="shared" si="18"/>
        <v>5577.4820091210231</v>
      </c>
      <c r="N53" s="492">
        <f t="shared" si="18"/>
        <v>5732.9155266490998</v>
      </c>
      <c r="O53" s="492">
        <f t="shared" si="18"/>
        <v>5889.7781854352033</v>
      </c>
      <c r="P53" s="492">
        <f t="shared" si="18"/>
        <v>6050.3545311589705</v>
      </c>
      <c r="Q53" s="492">
        <f t="shared" si="18"/>
        <v>6216.0993460407608</v>
      </c>
    </row>
    <row r="54" spans="2:32" x14ac:dyDescent="0.25">
      <c r="B54" t="s">
        <v>717</v>
      </c>
      <c r="D54" s="492">
        <f>NPV($C$40,$E$8+$F$8+D32,E32:M32)</f>
        <v>1832.8029797578929</v>
      </c>
      <c r="E54" s="492">
        <f t="shared" ref="E54:Q54" si="19">NPV($C$40,$E$8+$F$8+E32,F32:N32)</f>
        <v>1856.0000983802295</v>
      </c>
      <c r="F54" s="492">
        <f t="shared" si="19"/>
        <v>1886.9947852605303</v>
      </c>
      <c r="G54" s="492">
        <f t="shared" si="19"/>
        <v>1929.4841677868822</v>
      </c>
      <c r="H54" s="492">
        <f t="shared" si="19"/>
        <v>1972.7502868053487</v>
      </c>
      <c r="I54" s="492">
        <f t="shared" si="19"/>
        <v>2017.1126751310612</v>
      </c>
      <c r="J54" s="492">
        <f t="shared" si="19"/>
        <v>2062.1264359029678</v>
      </c>
      <c r="K54" s="492">
        <f t="shared" si="19"/>
        <v>2107.6521243263269</v>
      </c>
      <c r="L54" s="492">
        <f t="shared" si="19"/>
        <v>2153.4969030718867</v>
      </c>
      <c r="M54" s="492">
        <f t="shared" si="19"/>
        <v>2204.9233815714147</v>
      </c>
      <c r="N54" s="492">
        <f t="shared" si="19"/>
        <v>2256.7345540807737</v>
      </c>
      <c r="O54" s="492">
        <f t="shared" si="19"/>
        <v>2309.0221070094744</v>
      </c>
      <c r="P54" s="492">
        <f t="shared" si="19"/>
        <v>2362.5475555840635</v>
      </c>
      <c r="Q54" s="492">
        <f t="shared" si="19"/>
        <v>2417.7958272113278</v>
      </c>
    </row>
    <row r="55" spans="2:32" x14ac:dyDescent="0.25">
      <c r="D55" s="493">
        <f t="shared" ref="D55:I55" si="20">IF(D53&gt;D51*1.1,1,0)</f>
        <v>0</v>
      </c>
      <c r="E55" s="493">
        <f t="shared" si="20"/>
        <v>0</v>
      </c>
      <c r="F55" s="493">
        <f t="shared" si="20"/>
        <v>0</v>
      </c>
      <c r="G55" s="493">
        <f t="shared" si="20"/>
        <v>0</v>
      </c>
      <c r="H55" s="493">
        <f t="shared" si="20"/>
        <v>0</v>
      </c>
      <c r="I55" s="493">
        <f t="shared" si="20"/>
        <v>0</v>
      </c>
      <c r="J55" s="513"/>
      <c r="K55" s="513"/>
      <c r="L55" s="513"/>
      <c r="M55" s="513"/>
      <c r="N55" s="513"/>
      <c r="O55" s="513"/>
      <c r="P55" s="513"/>
      <c r="Q55" s="513"/>
    </row>
    <row r="57" spans="2:32" x14ac:dyDescent="0.25">
      <c r="B57" s="35" t="s">
        <v>697</v>
      </c>
      <c r="C57" t="s">
        <v>698</v>
      </c>
      <c r="D57" s="69">
        <v>2022</v>
      </c>
      <c r="E57" s="69">
        <v>2023</v>
      </c>
      <c r="F57" s="69">
        <v>2024</v>
      </c>
      <c r="G57" s="69">
        <v>2025</v>
      </c>
      <c r="H57" s="69">
        <v>2026</v>
      </c>
      <c r="I57" s="69">
        <v>2027</v>
      </c>
      <c r="J57" s="69">
        <v>2028</v>
      </c>
      <c r="K57" s="69">
        <v>2029</v>
      </c>
      <c r="L57" s="69">
        <v>2030</v>
      </c>
      <c r="M57" s="69">
        <v>2031</v>
      </c>
      <c r="N57" s="69">
        <v>2032</v>
      </c>
      <c r="O57" s="69">
        <v>2033</v>
      </c>
      <c r="P57" s="69">
        <v>2034</v>
      </c>
      <c r="Q57" s="69">
        <v>2035</v>
      </c>
      <c r="R57" s="69">
        <v>2036</v>
      </c>
      <c r="S57" s="69">
        <v>2037</v>
      </c>
      <c r="T57" s="69">
        <v>2038</v>
      </c>
      <c r="U57" s="69">
        <v>2039</v>
      </c>
      <c r="V57" s="69">
        <v>2040</v>
      </c>
      <c r="W57" s="69">
        <v>2041</v>
      </c>
      <c r="X57" s="69">
        <v>2042</v>
      </c>
      <c r="Y57" s="69">
        <v>2043</v>
      </c>
      <c r="Z57" s="69">
        <v>2044</v>
      </c>
      <c r="AA57" s="69">
        <v>2045</v>
      </c>
      <c r="AB57" s="69">
        <v>2046</v>
      </c>
      <c r="AC57" s="69">
        <v>2047</v>
      </c>
      <c r="AD57" s="69">
        <v>2048</v>
      </c>
      <c r="AE57" s="69">
        <v>2049</v>
      </c>
      <c r="AF57" s="69">
        <v>2050</v>
      </c>
    </row>
    <row r="58" spans="2:32" x14ac:dyDescent="0.25">
      <c r="B58" t="s">
        <v>685</v>
      </c>
      <c r="C58" s="16">
        <f>COUNTIF(D58:AA58,"&lt;"&amp;0)</f>
        <v>24</v>
      </c>
      <c r="D58" s="490">
        <f>-SUM(E5:F5)+G5-D35</f>
        <v>-2396.131272750496</v>
      </c>
      <c r="E58" s="490">
        <f t="shared" ref="E58:AF60" si="21">D58-E35/(1+$C$40)^(E$57-$D$57)</f>
        <v>-3003.80171456991</v>
      </c>
      <c r="F58" s="490">
        <f t="shared" si="21"/>
        <v>-3632.2664307046334</v>
      </c>
      <c r="G58" s="490">
        <f t="shared" si="21"/>
        <v>-4244.7946726321579</v>
      </c>
      <c r="H58" s="490">
        <f t="shared" si="21"/>
        <v>-4844.7839225798771</v>
      </c>
      <c r="I58" s="490">
        <f t="shared" si="21"/>
        <v>-5433.3722366407883</v>
      </c>
      <c r="J58" s="490">
        <f t="shared" si="21"/>
        <v>-6010.2889779323286</v>
      </c>
      <c r="K58" s="490">
        <f t="shared" si="21"/>
        <v>-6576.4627038612589</v>
      </c>
      <c r="L58" s="490">
        <f t="shared" si="21"/>
        <v>-7129.5168475178234</v>
      </c>
      <c r="M58" s="490">
        <f t="shared" si="21"/>
        <v>-7670.0198747482773</v>
      </c>
      <c r="N58" s="490">
        <f t="shared" si="21"/>
        <v>-8200.5955264130207</v>
      </c>
      <c r="O58" s="490">
        <f t="shared" si="21"/>
        <v>-8722.0222045558858</v>
      </c>
      <c r="P58" s="490">
        <f t="shared" si="21"/>
        <v>-9235.1871213137256</v>
      </c>
      <c r="Q58" s="490">
        <f t="shared" si="21"/>
        <v>-9735.4607549941229</v>
      </c>
      <c r="R58" s="490">
        <f t="shared" si="21"/>
        <v>-10225.343062966584</v>
      </c>
      <c r="S58" s="490">
        <f t="shared" si="21"/>
        <v>-10707.133965966603</v>
      </c>
      <c r="T58" s="490">
        <f t="shared" si="21"/>
        <v>-11180.819110692388</v>
      </c>
      <c r="U58" s="490">
        <f t="shared" si="21"/>
        <v>-11647.669095738785</v>
      </c>
      <c r="V58" s="490">
        <f t="shared" si="21"/>
        <v>-12092.922874232259</v>
      </c>
      <c r="W58" s="490">
        <f t="shared" si="21"/>
        <v>-12529.839725399759</v>
      </c>
      <c r="X58" s="490">
        <f t="shared" si="21"/>
        <v>-12960.672205839901</v>
      </c>
      <c r="Y58" s="490">
        <f t="shared" si="21"/>
        <v>-13384.445434976948</v>
      </c>
      <c r="Z58" s="490">
        <f t="shared" si="21"/>
        <v>-13801.06582128127</v>
      </c>
      <c r="AA58" s="490">
        <f t="shared" si="21"/>
        <v>-14211.960665434195</v>
      </c>
      <c r="AB58" s="490">
        <f t="shared" si="21"/>
        <v>-14617.880995735388</v>
      </c>
      <c r="AC58" s="490">
        <f t="shared" si="21"/>
        <v>-15018.887036323493</v>
      </c>
      <c r="AD58" s="490">
        <f t="shared" si="21"/>
        <v>-15415.038282231353</v>
      </c>
      <c r="AE58" s="490">
        <f t="shared" si="21"/>
        <v>-15806.393508212968</v>
      </c>
      <c r="AF58" s="490">
        <f t="shared" si="21"/>
        <v>-16193.010777463571</v>
      </c>
    </row>
    <row r="59" spans="2:32" x14ac:dyDescent="0.25">
      <c r="B59" t="s">
        <v>686</v>
      </c>
      <c r="C59" s="16">
        <f>COUNTIF(D59:AA59,"&lt;"&amp;0)</f>
        <v>19</v>
      </c>
      <c r="D59" s="490">
        <f>-SUM(E6:F6)+G6-D36</f>
        <v>-2302.7312727504959</v>
      </c>
      <c r="E59" s="490">
        <f t="shared" si="21"/>
        <v>-2176.0017145699098</v>
      </c>
      <c r="F59" s="490">
        <f t="shared" si="21"/>
        <v>-2078.9574718668605</v>
      </c>
      <c r="G59" s="490">
        <f>F59-G36/(1+$C$40)^(G$57-$D$57)</f>
        <v>-1974.7601563953262</v>
      </c>
      <c r="H59" s="490">
        <f t="shared" si="21"/>
        <v>-1866.7009138035398</v>
      </c>
      <c r="I59" s="490">
        <f t="shared" si="21"/>
        <v>-1755.8127509731235</v>
      </c>
      <c r="J59" s="490">
        <f t="shared" si="21"/>
        <v>-1641.7212535923588</v>
      </c>
      <c r="K59" s="490">
        <f t="shared" si="21"/>
        <v>-1525.2524580241943</v>
      </c>
      <c r="L59" s="490">
        <f>K59-L36/(1+$C$40)^(L$57-$D$57)</f>
        <v>-1403.9285174899239</v>
      </c>
      <c r="M59" s="490">
        <f t="shared" si="21"/>
        <v>-1278.2178441153883</v>
      </c>
      <c r="N59" s="490">
        <f t="shared" si="21"/>
        <v>-1150.6453363446938</v>
      </c>
      <c r="O59" s="490">
        <f t="shared" si="21"/>
        <v>-1021.8917504448025</v>
      </c>
      <c r="P59" s="490">
        <f t="shared" si="21"/>
        <v>-892.74783492795723</v>
      </c>
      <c r="Q59" s="490">
        <f t="shared" si="21"/>
        <v>-758.48877231762481</v>
      </c>
      <c r="R59" s="490">
        <f t="shared" si="21"/>
        <v>-621.52037790118015</v>
      </c>
      <c r="S59" s="490">
        <f t="shared" si="21"/>
        <v>-484.04957006663903</v>
      </c>
      <c r="T59" s="490">
        <f t="shared" si="21"/>
        <v>-345.9701191011402</v>
      </c>
      <c r="U59" s="490">
        <f t="shared" si="21"/>
        <v>-208.46185949367927</v>
      </c>
      <c r="V59" s="490">
        <f t="shared" si="21"/>
        <v>-56.674079103920832</v>
      </c>
      <c r="W59" s="490">
        <f t="shared" si="21"/>
        <v>96.222522572062104</v>
      </c>
      <c r="X59" s="490">
        <f t="shared" si="21"/>
        <v>248.06289627269734</v>
      </c>
      <c r="Y59" s="490">
        <f t="shared" si="21"/>
        <v>399.90837049990574</v>
      </c>
      <c r="Z59" s="490">
        <f t="shared" si="21"/>
        <v>551.93793812443448</v>
      </c>
      <c r="AA59" s="490">
        <f t="shared" si="21"/>
        <v>702.80866589153879</v>
      </c>
      <c r="AB59" s="490">
        <f t="shared" si="21"/>
        <v>851.85287153071204</v>
      </c>
      <c r="AC59" s="490">
        <f t="shared" si="21"/>
        <v>999.09266790064589</v>
      </c>
      <c r="AD59" s="490">
        <f t="shared" si="21"/>
        <v>1144.5499001498783</v>
      </c>
      <c r="AE59" s="490">
        <f t="shared" si="21"/>
        <v>1288.2461489578368</v>
      </c>
      <c r="AF59" s="490">
        <f t="shared" si="21"/>
        <v>1430.2027337366433</v>
      </c>
    </row>
    <row r="60" spans="2:32" x14ac:dyDescent="0.25">
      <c r="B60" t="s">
        <v>687</v>
      </c>
      <c r="C60" s="16">
        <f>COUNTIF(D60:AA60,"&lt;"&amp;0)</f>
        <v>24</v>
      </c>
      <c r="D60" s="490">
        <f>-SUM(E7,F7)+G7-D37</f>
        <v>-1323.9504242501653</v>
      </c>
      <c r="E60" s="490">
        <f t="shared" si="21"/>
        <v>-1611.7031703933596</v>
      </c>
      <c r="F60" s="490">
        <f t="shared" si="21"/>
        <v>-1905.3559135576775</v>
      </c>
      <c r="G60" s="490">
        <f t="shared" si="21"/>
        <v>-2192.6775579210557</v>
      </c>
      <c r="H60" s="490">
        <f t="shared" si="21"/>
        <v>-2474.8129334035038</v>
      </c>
      <c r="I60" s="490">
        <f t="shared" si="21"/>
        <v>-2752.1535785358715</v>
      </c>
      <c r="J60" s="490">
        <f>I60-J37/(1+$C$40)^(J$57-$D$57)</f>
        <v>-3024.6213199875033</v>
      </c>
      <c r="K60" s="490">
        <f t="shared" si="21"/>
        <v>-3292.5375701073558</v>
      </c>
      <c r="L60" s="490">
        <f t="shared" si="21"/>
        <v>-3555.1218891532453</v>
      </c>
      <c r="M60" s="490">
        <f t="shared" si="21"/>
        <v>-3812.5753727258589</v>
      </c>
      <c r="N60" s="490">
        <f t="shared" si="21"/>
        <v>-4065.7840675768616</v>
      </c>
      <c r="O60" s="490">
        <f t="shared" si="21"/>
        <v>-4315.018768699877</v>
      </c>
      <c r="P60" s="490">
        <f t="shared" si="21"/>
        <v>-4560.5864039809658</v>
      </c>
      <c r="Q60" s="490">
        <f t="shared" si="21"/>
        <v>-4800.9548545514726</v>
      </c>
      <c r="R60" s="490">
        <f t="shared" si="21"/>
        <v>-5036.9683607252618</v>
      </c>
      <c r="S60" s="490">
        <f t="shared" si="21"/>
        <v>-5269.4043517203881</v>
      </c>
      <c r="T60" s="490">
        <f t="shared" si="21"/>
        <v>-5498.2687014587063</v>
      </c>
      <c r="U60" s="490">
        <f t="shared" si="21"/>
        <v>-5723.9954721251661</v>
      </c>
      <c r="V60" s="490">
        <f t="shared" si="21"/>
        <v>-5941.6747166083142</v>
      </c>
      <c r="W60" s="490">
        <f t="shared" si="21"/>
        <v>-6155.7364705665177</v>
      </c>
      <c r="X60" s="490">
        <f t="shared" si="21"/>
        <v>-6366.9417377096006</v>
      </c>
      <c r="Y60" s="490">
        <f t="shared" si="21"/>
        <v>-6574.9755864562958</v>
      </c>
      <c r="Z60" s="490">
        <f t="shared" si="21"/>
        <v>-6779.8167268289562</v>
      </c>
      <c r="AA60" s="490">
        <f t="shared" si="21"/>
        <v>-6981.9507129783751</v>
      </c>
      <c r="AB60" s="490">
        <f t="shared" si="21"/>
        <v>-7181.6375564383334</v>
      </c>
      <c r="AC60" s="490">
        <f t="shared" si="21"/>
        <v>-7378.9068836336437</v>
      </c>
      <c r="AD60" s="490">
        <f t="shared" si="21"/>
        <v>-7573.7879623156932</v>
      </c>
      <c r="AE60" s="490">
        <f t="shared" si="21"/>
        <v>-7766.3097059047395</v>
      </c>
      <c r="AF60" s="490">
        <f t="shared" si="21"/>
        <v>-7956.5006777796334</v>
      </c>
    </row>
    <row r="61" spans="2:32" x14ac:dyDescent="0.25">
      <c r="E61" s="490" t="s">
        <v>0</v>
      </c>
    </row>
    <row r="62" spans="2:32" x14ac:dyDescent="0.25">
      <c r="B62" s="419">
        <v>2025</v>
      </c>
    </row>
    <row r="63" spans="2:32" x14ac:dyDescent="0.25">
      <c r="B63" t="s">
        <v>685</v>
      </c>
      <c r="C63" s="16">
        <f>COUNTIF(G63:AA63,"&lt;"&amp;0)</f>
        <v>21</v>
      </c>
      <c r="G63" s="490">
        <f>-SUM(E5:F5)+G5-G35/(1+$C$40^(G$57-$D$57))</f>
        <v>-2474.1885776983518</v>
      </c>
      <c r="H63" s="490">
        <f t="shared" ref="H63:AF65" si="22">G63-H35/(1+$C$40)^(H$57-$D$57)</f>
        <v>-3074.1778276460714</v>
      </c>
      <c r="I63" s="490">
        <f t="shared" si="22"/>
        <v>-3662.766141706983</v>
      </c>
      <c r="J63" s="490">
        <f t="shared" si="22"/>
        <v>-4239.6828829985234</v>
      </c>
      <c r="K63" s="490">
        <f t="shared" si="22"/>
        <v>-4805.8566089274536</v>
      </c>
      <c r="L63" s="490">
        <f t="shared" si="22"/>
        <v>-5358.9107525840182</v>
      </c>
      <c r="M63" s="490">
        <f t="shared" si="22"/>
        <v>-5899.413779814472</v>
      </c>
      <c r="N63" s="490">
        <f t="shared" si="22"/>
        <v>-6429.9894314792155</v>
      </c>
      <c r="O63" s="490">
        <f t="shared" si="22"/>
        <v>-6951.4161096220805</v>
      </c>
      <c r="P63" s="490">
        <f t="shared" si="22"/>
        <v>-7464.5810263799194</v>
      </c>
      <c r="Q63" s="490">
        <f t="shared" si="22"/>
        <v>-7964.8546600603167</v>
      </c>
      <c r="R63" s="490">
        <f t="shared" si="22"/>
        <v>-8454.7369680327774</v>
      </c>
      <c r="S63" s="490">
        <f t="shared" si="22"/>
        <v>-8936.5278710327966</v>
      </c>
      <c r="T63" s="490">
        <f t="shared" si="22"/>
        <v>-9410.2130157585816</v>
      </c>
      <c r="U63" s="490">
        <f t="shared" si="22"/>
        <v>-9877.0630008049793</v>
      </c>
      <c r="V63" s="490">
        <f t="shared" si="22"/>
        <v>-10322.316779298453</v>
      </c>
      <c r="W63" s="490">
        <f t="shared" si="22"/>
        <v>-10759.233630465953</v>
      </c>
      <c r="X63" s="490">
        <f t="shared" si="22"/>
        <v>-11190.066110906095</v>
      </c>
      <c r="Y63" s="490">
        <f t="shared" si="22"/>
        <v>-11613.839340043141</v>
      </c>
      <c r="Z63" s="490">
        <f t="shared" si="22"/>
        <v>-12030.459726347464</v>
      </c>
      <c r="AA63" s="490">
        <f t="shared" si="22"/>
        <v>-12441.354570500389</v>
      </c>
      <c r="AB63" s="490">
        <f t="shared" si="22"/>
        <v>-12847.274900801582</v>
      </c>
      <c r="AC63" s="490">
        <f t="shared" si="22"/>
        <v>-13248.280941389687</v>
      </c>
      <c r="AD63" s="490">
        <f t="shared" si="22"/>
        <v>-13644.432187297547</v>
      </c>
      <c r="AE63" s="490">
        <f t="shared" si="22"/>
        <v>-14035.787413279162</v>
      </c>
      <c r="AF63" s="490">
        <f t="shared" si="22"/>
        <v>-14422.404682529765</v>
      </c>
    </row>
    <row r="64" spans="2:32" x14ac:dyDescent="0.25">
      <c r="B64" t="s">
        <v>686</v>
      </c>
      <c r="C64" s="16">
        <f>COUNTIF(G64:AA64,"&lt;"&amp;0)</f>
        <v>18</v>
      </c>
      <c r="G64" s="490">
        <f>-SUM(E6:F6)+G6-G36/(1+$C$40^(G$57-$D$57))</f>
        <v>-2335.3136310961281</v>
      </c>
      <c r="H64" s="490">
        <f>G64-H36/(1+$C$40)^(H$57-$D$57)</f>
        <v>-2227.2543885043415</v>
      </c>
      <c r="I64" s="490">
        <f t="shared" si="22"/>
        <v>-2116.3662256739249</v>
      </c>
      <c r="J64" s="490">
        <f t="shared" si="22"/>
        <v>-2002.2747282931603</v>
      </c>
      <c r="K64" s="490">
        <f t="shared" si="22"/>
        <v>-1885.8059327249957</v>
      </c>
      <c r="L64" s="490">
        <f t="shared" si="22"/>
        <v>-1764.4819921907254</v>
      </c>
      <c r="M64" s="490">
        <f t="shared" si="22"/>
        <v>-1638.7713188161897</v>
      </c>
      <c r="N64" s="490">
        <f t="shared" si="22"/>
        <v>-1511.1988110454952</v>
      </c>
      <c r="O64" s="490">
        <f t="shared" si="22"/>
        <v>-1382.4452251456039</v>
      </c>
      <c r="P64" s="490">
        <f t="shared" si="22"/>
        <v>-1253.3013096287586</v>
      </c>
      <c r="Q64" s="490">
        <f t="shared" si="22"/>
        <v>-1119.0422470184262</v>
      </c>
      <c r="R64" s="490">
        <f t="shared" si="22"/>
        <v>-982.07385260198157</v>
      </c>
      <c r="S64" s="490">
        <f t="shared" si="22"/>
        <v>-844.60304476744045</v>
      </c>
      <c r="T64" s="490">
        <f t="shared" si="22"/>
        <v>-706.52359380194162</v>
      </c>
      <c r="U64" s="490">
        <f t="shared" si="22"/>
        <v>-569.01533419448072</v>
      </c>
      <c r="V64" s="490">
        <f t="shared" si="22"/>
        <v>-417.22755380472228</v>
      </c>
      <c r="W64" s="490">
        <f t="shared" si="22"/>
        <v>-264.33095212873934</v>
      </c>
      <c r="X64" s="490">
        <f t="shared" si="22"/>
        <v>-112.4905784281041</v>
      </c>
      <c r="Y64" s="490">
        <f t="shared" si="22"/>
        <v>39.354895799104298</v>
      </c>
      <c r="Z64" s="490">
        <f t="shared" si="22"/>
        <v>191.38446342363301</v>
      </c>
      <c r="AA64" s="490">
        <f t="shared" si="22"/>
        <v>342.25519119073732</v>
      </c>
      <c r="AB64" s="490">
        <f t="shared" si="22"/>
        <v>491.29939682991056</v>
      </c>
      <c r="AC64" s="490">
        <f t="shared" si="22"/>
        <v>638.53919319984448</v>
      </c>
      <c r="AD64" s="490">
        <f t="shared" si="22"/>
        <v>783.99642544907704</v>
      </c>
      <c r="AE64" s="490">
        <f t="shared" si="22"/>
        <v>927.69267425703561</v>
      </c>
      <c r="AF64" s="490">
        <f t="shared" si="22"/>
        <v>1069.6492590358421</v>
      </c>
    </row>
    <row r="65" spans="2:32" x14ac:dyDescent="0.25">
      <c r="B65" t="s">
        <v>687</v>
      </c>
      <c r="C65" s="16">
        <f>COUNTIF(G65:AA65,"&lt;"&amp;0)</f>
        <v>21</v>
      </c>
      <c r="G65" s="490">
        <f>-SUM(E7:F7)+G7-G37/(1+$C$40^(G$57-$D$57))</f>
        <v>-1355.2449622661115</v>
      </c>
      <c r="H65" s="490">
        <f t="shared" ref="H65:AA65" si="23">G65-H37/(1+$C$40)^(H$57-$D$57)</f>
        <v>-1637.3803377485597</v>
      </c>
      <c r="I65" s="490">
        <f t="shared" si="23"/>
        <v>-1914.7209828809271</v>
      </c>
      <c r="J65" s="490">
        <f t="shared" si="23"/>
        <v>-2187.1887243325591</v>
      </c>
      <c r="K65" s="490">
        <f t="shared" si="23"/>
        <v>-2455.1049744524116</v>
      </c>
      <c r="L65" s="490">
        <f t="shared" si="23"/>
        <v>-2717.6892934983011</v>
      </c>
      <c r="M65" s="490">
        <f t="shared" si="23"/>
        <v>-2975.1427770709142</v>
      </c>
      <c r="N65" s="490">
        <f t="shared" si="23"/>
        <v>-3228.351471921917</v>
      </c>
      <c r="O65" s="490">
        <f t="shared" si="23"/>
        <v>-3477.5861730449319</v>
      </c>
      <c r="P65" s="490">
        <f t="shared" si="23"/>
        <v>-3723.1538083260207</v>
      </c>
      <c r="Q65" s="490">
        <f t="shared" si="23"/>
        <v>-3963.5222588965275</v>
      </c>
      <c r="R65" s="490">
        <f t="shared" si="23"/>
        <v>-4199.5357650703163</v>
      </c>
      <c r="S65" s="490">
        <f t="shared" si="23"/>
        <v>-4431.9717560654426</v>
      </c>
      <c r="T65" s="490">
        <f t="shared" si="23"/>
        <v>-4660.8361058037608</v>
      </c>
      <c r="U65" s="490">
        <f t="shared" si="23"/>
        <v>-4886.5628764702205</v>
      </c>
      <c r="V65" s="490">
        <f t="shared" si="23"/>
        <v>-5104.2421209533686</v>
      </c>
      <c r="W65" s="490">
        <f t="shared" si="23"/>
        <v>-5318.3038749115722</v>
      </c>
      <c r="X65" s="490">
        <f t="shared" si="23"/>
        <v>-5529.5091420546551</v>
      </c>
      <c r="Y65" s="490">
        <f t="shared" si="23"/>
        <v>-5737.5429908013502</v>
      </c>
      <c r="Z65" s="490">
        <f t="shared" si="23"/>
        <v>-5942.3841311740107</v>
      </c>
      <c r="AA65" s="490">
        <f t="shared" si="23"/>
        <v>-6144.5181173234296</v>
      </c>
      <c r="AB65" s="490">
        <f t="shared" si="22"/>
        <v>-6344.2049607833878</v>
      </c>
      <c r="AC65" s="490">
        <f t="shared" si="22"/>
        <v>-6541.4742879786982</v>
      </c>
      <c r="AD65" s="490">
        <f t="shared" si="22"/>
        <v>-6736.3553666607477</v>
      </c>
      <c r="AE65" s="490">
        <f t="shared" si="22"/>
        <v>-6928.877110249794</v>
      </c>
      <c r="AF65" s="490">
        <f t="shared" si="22"/>
        <v>-7119.0680821246879</v>
      </c>
    </row>
    <row r="67" spans="2:32" x14ac:dyDescent="0.25">
      <c r="B67" s="419">
        <v>2030</v>
      </c>
    </row>
    <row r="68" spans="2:32" x14ac:dyDescent="0.25">
      <c r="B68" t="s">
        <v>685</v>
      </c>
      <c r="C68" s="16">
        <f>COUNTIF(L68:AA68,"&lt;"&amp;0)</f>
        <v>16</v>
      </c>
      <c r="L68" s="490">
        <f>-SUM(E5:F5)+G5-L35/(1+$C$40)^(L$57-$D$57)</f>
        <v>-2353.0541436565645</v>
      </c>
      <c r="M68" s="490">
        <f>L68-M35/(1+$C$40)^(M$57-$D$57)</f>
        <v>-2893.5571708870184</v>
      </c>
      <c r="N68" s="490">
        <f t="shared" ref="N68:AF70" si="24">M68-N35/(1+$C$40)^(N$57-$D$57)</f>
        <v>-3424.1328225517614</v>
      </c>
      <c r="O68" s="490">
        <f t="shared" si="24"/>
        <v>-3945.5595006946269</v>
      </c>
      <c r="P68" s="490">
        <f t="shared" si="24"/>
        <v>-4458.7244174524658</v>
      </c>
      <c r="Q68" s="490">
        <f t="shared" si="24"/>
        <v>-4958.9980511328631</v>
      </c>
      <c r="R68" s="490">
        <f t="shared" si="24"/>
        <v>-5448.8803591053229</v>
      </c>
      <c r="S68" s="490">
        <f t="shared" si="24"/>
        <v>-5930.6712621053412</v>
      </c>
      <c r="T68" s="490">
        <f t="shared" si="24"/>
        <v>-6404.3564068311262</v>
      </c>
      <c r="U68" s="490">
        <f t="shared" si="24"/>
        <v>-6871.2063918775248</v>
      </c>
      <c r="V68" s="490">
        <f t="shared" si="24"/>
        <v>-7316.4601703709977</v>
      </c>
      <c r="W68" s="490">
        <f t="shared" si="24"/>
        <v>-7753.3770215384975</v>
      </c>
      <c r="X68" s="490">
        <f t="shared" si="24"/>
        <v>-8184.2095019786393</v>
      </c>
      <c r="Y68" s="490">
        <f t="shared" si="24"/>
        <v>-8607.982731115686</v>
      </c>
      <c r="Z68" s="490">
        <f t="shared" si="24"/>
        <v>-9024.6031174200089</v>
      </c>
      <c r="AA68" s="490">
        <f t="shared" si="24"/>
        <v>-9435.4979615729335</v>
      </c>
      <c r="AB68" s="490">
        <f t="shared" si="24"/>
        <v>-9841.418291874128</v>
      </c>
      <c r="AC68" s="490">
        <f t="shared" si="24"/>
        <v>-10242.424332462233</v>
      </c>
      <c r="AD68" s="490">
        <f t="shared" si="24"/>
        <v>-10638.575578370093</v>
      </c>
      <c r="AE68" s="490">
        <f t="shared" si="24"/>
        <v>-11029.930804351709</v>
      </c>
      <c r="AF68" s="490">
        <f t="shared" si="24"/>
        <v>-11416.548073602311</v>
      </c>
    </row>
    <row r="69" spans="2:32" x14ac:dyDescent="0.25">
      <c r="B69" t="s">
        <v>686</v>
      </c>
      <c r="C69" s="16">
        <f>COUNTIF(L69:AA69,"&lt;"&amp;0)</f>
        <v>16</v>
      </c>
      <c r="L69" s="490">
        <f>-SUM(E6:F6)+G6-L36/(1+$C$40)^(L$57-$D$57)</f>
        <v>-2328.6760594657294</v>
      </c>
      <c r="M69" s="490">
        <f>L69-M36/(1+$C$40)^(M$57-$D$57)</f>
        <v>-2202.965386091194</v>
      </c>
      <c r="N69" s="490">
        <f t="shared" si="24"/>
        <v>-2075.3928783204997</v>
      </c>
      <c r="O69" s="490">
        <f t="shared" si="24"/>
        <v>-1946.6392924206084</v>
      </c>
      <c r="P69" s="490">
        <f t="shared" si="24"/>
        <v>-1817.4953769037631</v>
      </c>
      <c r="Q69" s="490">
        <f t="shared" si="24"/>
        <v>-1683.2363142934307</v>
      </c>
      <c r="R69" s="490">
        <f t="shared" si="24"/>
        <v>-1546.2679198769861</v>
      </c>
      <c r="S69" s="490">
        <f t="shared" si="24"/>
        <v>-1408.797112042445</v>
      </c>
      <c r="T69" s="490">
        <f t="shared" si="24"/>
        <v>-1270.7176610769461</v>
      </c>
      <c r="U69" s="490">
        <f t="shared" si="24"/>
        <v>-1133.2094014694851</v>
      </c>
      <c r="V69" s="490">
        <f t="shared" si="24"/>
        <v>-981.42162107972672</v>
      </c>
      <c r="W69" s="490">
        <f t="shared" si="24"/>
        <v>-828.52501940374373</v>
      </c>
      <c r="X69" s="490">
        <f t="shared" si="24"/>
        <v>-676.68464570310846</v>
      </c>
      <c r="Y69" s="490">
        <f t="shared" si="24"/>
        <v>-524.8391714759</v>
      </c>
      <c r="Z69" s="490">
        <f t="shared" si="24"/>
        <v>-372.80960385137132</v>
      </c>
      <c r="AA69" s="490">
        <f t="shared" si="24"/>
        <v>-221.93887608426701</v>
      </c>
      <c r="AB69" s="490">
        <f t="shared" si="24"/>
        <v>-72.894670445093766</v>
      </c>
      <c r="AC69" s="490">
        <f t="shared" si="24"/>
        <v>74.34512592484009</v>
      </c>
      <c r="AD69" s="490">
        <f t="shared" si="24"/>
        <v>219.80235817407262</v>
      </c>
      <c r="AE69" s="490">
        <f t="shared" si="24"/>
        <v>363.49860698203111</v>
      </c>
      <c r="AF69" s="490">
        <f t="shared" si="24"/>
        <v>505.45519176083758</v>
      </c>
    </row>
    <row r="70" spans="2:32" x14ac:dyDescent="0.25">
      <c r="B70" t="s">
        <v>687</v>
      </c>
      <c r="C70" s="16">
        <f>COUNTIF(L70:AA70,"&lt;"&amp;0)</f>
        <v>16</v>
      </c>
      <c r="L70" s="490">
        <f>-SUM(E7:F7)+G7-L37/(1+$C$40)^(L$57-$D$57)</f>
        <v>-1301.5843190458895</v>
      </c>
      <c r="M70" s="490">
        <f>L70-M37/(1+$C$40)^(M$57-$D$57)</f>
        <v>-1559.0378026185028</v>
      </c>
      <c r="N70" s="490">
        <f t="shared" si="24"/>
        <v>-1812.2464974695056</v>
      </c>
      <c r="O70" s="490">
        <f t="shared" si="24"/>
        <v>-2061.4811985925207</v>
      </c>
      <c r="P70" s="490">
        <f t="shared" si="24"/>
        <v>-2307.0488338736095</v>
      </c>
      <c r="Q70" s="490">
        <f t="shared" si="24"/>
        <v>-2547.4172844441164</v>
      </c>
      <c r="R70" s="490">
        <f t="shared" si="24"/>
        <v>-2783.4307906179056</v>
      </c>
      <c r="S70" s="490">
        <f t="shared" si="24"/>
        <v>-3015.8667816130319</v>
      </c>
      <c r="T70" s="490">
        <f t="shared" si="24"/>
        <v>-3244.7311313513501</v>
      </c>
      <c r="U70" s="490">
        <f t="shared" si="24"/>
        <v>-3470.4579020178098</v>
      </c>
      <c r="V70" s="490">
        <f t="shared" si="24"/>
        <v>-3688.1371465009584</v>
      </c>
      <c r="W70" s="490">
        <f t="shared" si="24"/>
        <v>-3902.1989004591619</v>
      </c>
      <c r="X70" s="490">
        <f t="shared" si="24"/>
        <v>-4113.4041676022453</v>
      </c>
      <c r="Y70" s="490">
        <f t="shared" si="24"/>
        <v>-4321.4380163489404</v>
      </c>
      <c r="Z70" s="490">
        <f t="shared" si="24"/>
        <v>-4526.2791567216009</v>
      </c>
      <c r="AA70" s="490">
        <f t="shared" si="24"/>
        <v>-4728.4131428710198</v>
      </c>
      <c r="AB70" s="490">
        <f t="shared" si="24"/>
        <v>-4928.099986330978</v>
      </c>
      <c r="AC70" s="490">
        <f t="shared" si="24"/>
        <v>-5125.3693135262884</v>
      </c>
      <c r="AD70" s="490">
        <f t="shared" si="24"/>
        <v>-5320.2503922083379</v>
      </c>
      <c r="AE70" s="490">
        <f t="shared" si="24"/>
        <v>-5512.7721357973842</v>
      </c>
      <c r="AF70" s="490">
        <f t="shared" si="24"/>
        <v>-5702.9631076722781</v>
      </c>
    </row>
    <row r="72" spans="2:32" x14ac:dyDescent="0.25">
      <c r="B72" s="419">
        <v>2035</v>
      </c>
    </row>
    <row r="73" spans="2:32" x14ac:dyDescent="0.25">
      <c r="B73" t="s">
        <v>685</v>
      </c>
      <c r="C73" s="16">
        <f>COUNTIF(Q73:AF73,"&lt;"&amp;0)</f>
        <v>16</v>
      </c>
      <c r="Q73" s="490">
        <f>-SUM(E5:F5)+G5-Q35/(1+$C$40)^(Q$57-$D$57)</f>
        <v>-2300.2736336803973</v>
      </c>
      <c r="R73" s="490">
        <f>Q73-R35/(1+$C$40)^(R$57-$D$57)</f>
        <v>-2790.1559416528576</v>
      </c>
      <c r="S73" s="490">
        <f t="shared" ref="S73:AF75" si="25">R73-S35/(1+$C$40)^(S$57-$D$57)</f>
        <v>-3271.9468446528763</v>
      </c>
      <c r="T73" s="490">
        <f t="shared" si="25"/>
        <v>-3745.6319893786613</v>
      </c>
      <c r="U73" s="490">
        <f t="shared" si="25"/>
        <v>-4212.4819744250599</v>
      </c>
      <c r="V73" s="490">
        <f t="shared" si="25"/>
        <v>-4657.7357529185329</v>
      </c>
      <c r="W73" s="490">
        <f t="shared" si="25"/>
        <v>-5094.6526040860326</v>
      </c>
      <c r="X73" s="490">
        <f t="shared" si="25"/>
        <v>-5525.4850845261744</v>
      </c>
      <c r="Y73" s="490">
        <f t="shared" si="25"/>
        <v>-5949.2583136632211</v>
      </c>
      <c r="Z73" s="490">
        <f t="shared" si="25"/>
        <v>-6365.8786999675449</v>
      </c>
      <c r="AA73" s="490">
        <f t="shared" si="25"/>
        <v>-6776.7735441204686</v>
      </c>
      <c r="AB73" s="490">
        <f t="shared" si="25"/>
        <v>-7182.6938744216623</v>
      </c>
      <c r="AC73" s="490">
        <f t="shared" si="25"/>
        <v>-7583.6999150097663</v>
      </c>
      <c r="AD73" s="490">
        <f t="shared" si="25"/>
        <v>-7979.8511609176267</v>
      </c>
      <c r="AE73" s="490">
        <f t="shared" si="25"/>
        <v>-8371.2063868992427</v>
      </c>
      <c r="AF73" s="490">
        <f t="shared" si="25"/>
        <v>-8757.8236561498452</v>
      </c>
    </row>
    <row r="74" spans="2:32" x14ac:dyDescent="0.25">
      <c r="B74" t="s">
        <v>686</v>
      </c>
      <c r="C74" s="16">
        <f>COUNTIF(Q74:AF74,"&lt;"&amp;0)</f>
        <v>16</v>
      </c>
      <c r="Q74" s="490">
        <f>-SUM(E6:F6)+G6-Q36/(1+$C$40)^(Q$57-$D$57)</f>
        <v>-2315.7409373896676</v>
      </c>
      <c r="R74" s="490">
        <f>Q74-R36/(1+$C$40)^(R$57-$D$57)</f>
        <v>-2178.7725429732227</v>
      </c>
      <c r="S74" s="490">
        <f t="shared" si="25"/>
        <v>-2041.3017351386816</v>
      </c>
      <c r="T74" s="490">
        <f t="shared" si="25"/>
        <v>-1903.2222841731827</v>
      </c>
      <c r="U74" s="490">
        <f t="shared" si="25"/>
        <v>-1765.7140245657217</v>
      </c>
      <c r="V74" s="490">
        <f t="shared" si="25"/>
        <v>-1613.9262441759633</v>
      </c>
      <c r="W74" s="490">
        <f t="shared" si="25"/>
        <v>-1461.0296424999804</v>
      </c>
      <c r="X74" s="490">
        <f t="shared" si="25"/>
        <v>-1309.1892687993452</v>
      </c>
      <c r="Y74" s="490">
        <f t="shared" si="25"/>
        <v>-1157.3437945721369</v>
      </c>
      <c r="Z74" s="490">
        <f t="shared" si="25"/>
        <v>-1005.3142269476082</v>
      </c>
      <c r="AA74" s="490">
        <f t="shared" si="25"/>
        <v>-854.44349918050386</v>
      </c>
      <c r="AB74" s="490">
        <f t="shared" si="25"/>
        <v>-705.39929354133062</v>
      </c>
      <c r="AC74" s="490">
        <f t="shared" si="25"/>
        <v>-558.15949717139677</v>
      </c>
      <c r="AD74" s="490">
        <f t="shared" si="25"/>
        <v>-412.7022649221642</v>
      </c>
      <c r="AE74" s="490">
        <f t="shared" si="25"/>
        <v>-269.00601611420569</v>
      </c>
      <c r="AF74" s="490">
        <f t="shared" si="25"/>
        <v>-127.04943133539925</v>
      </c>
    </row>
    <row r="75" spans="2:32" x14ac:dyDescent="0.25">
      <c r="B75" t="s">
        <v>687</v>
      </c>
      <c r="C75" s="16">
        <f>COUNTIF(Q75:AF75,"&lt;"&amp;0)</f>
        <v>16</v>
      </c>
      <c r="Q75" s="490">
        <f>-SUM(E7,F7)+G7-Q37/(1+$C$40)^(Q$57-$D$57)</f>
        <v>-1279.3684505705071</v>
      </c>
      <c r="R75" s="490">
        <f>Q75-R37/(1+$C$40)^(R$57-$D$57)</f>
        <v>-1515.3819567442963</v>
      </c>
      <c r="S75" s="490">
        <f t="shared" si="25"/>
        <v>-1747.8179477394228</v>
      </c>
      <c r="T75" s="490">
        <f t="shared" si="25"/>
        <v>-1976.6822974777413</v>
      </c>
      <c r="U75" s="490">
        <f t="shared" si="25"/>
        <v>-2202.4090681442012</v>
      </c>
      <c r="V75" s="490">
        <f t="shared" si="25"/>
        <v>-2420.0883126273498</v>
      </c>
      <c r="W75" s="490">
        <f t="shared" si="25"/>
        <v>-2634.1500665855533</v>
      </c>
      <c r="X75" s="490">
        <f t="shared" si="25"/>
        <v>-2845.3553337286362</v>
      </c>
      <c r="Y75" s="490">
        <f t="shared" si="25"/>
        <v>-3053.3891824753318</v>
      </c>
      <c r="Z75" s="490">
        <f t="shared" si="25"/>
        <v>-3258.2303228479918</v>
      </c>
      <c r="AA75" s="490">
        <f t="shared" si="25"/>
        <v>-3460.3643089974103</v>
      </c>
      <c r="AB75" s="490">
        <f t="shared" si="25"/>
        <v>-3660.0511524573685</v>
      </c>
      <c r="AC75" s="490">
        <f t="shared" si="25"/>
        <v>-3857.3204796526784</v>
      </c>
      <c r="AD75" s="490">
        <f t="shared" si="25"/>
        <v>-4052.2015583347279</v>
      </c>
      <c r="AE75" s="490">
        <f t="shared" si="25"/>
        <v>-4244.7233019237747</v>
      </c>
      <c r="AF75" s="490">
        <f t="shared" si="25"/>
        <v>-4434.9142737986676</v>
      </c>
    </row>
    <row r="76" spans="2:32" x14ac:dyDescent="0.25">
      <c r="D76" t="s">
        <v>0</v>
      </c>
    </row>
    <row r="80" spans="2:32" x14ac:dyDescent="0.25">
      <c r="B80" s="491" t="s">
        <v>721</v>
      </c>
      <c r="D80" s="69">
        <v>2022</v>
      </c>
      <c r="E80" s="69">
        <v>2023</v>
      </c>
      <c r="F80" s="69">
        <v>2024</v>
      </c>
      <c r="G80" s="69">
        <v>2025</v>
      </c>
      <c r="H80" s="69">
        <v>2026</v>
      </c>
      <c r="I80" s="69">
        <v>2027</v>
      </c>
      <c r="J80" s="69">
        <v>2028</v>
      </c>
      <c r="K80" s="69">
        <v>2029</v>
      </c>
      <c r="L80" s="69">
        <v>2030</v>
      </c>
      <c r="M80" s="69">
        <v>2031</v>
      </c>
      <c r="N80" s="69">
        <v>2032</v>
      </c>
      <c r="O80" s="69">
        <v>2033</v>
      </c>
      <c r="P80" s="69">
        <v>2034</v>
      </c>
      <c r="Q80" s="69">
        <v>2035</v>
      </c>
      <c r="R80" s="69">
        <v>2036</v>
      </c>
      <c r="S80" s="69">
        <v>2037</v>
      </c>
      <c r="T80" s="69">
        <v>2038</v>
      </c>
      <c r="U80" s="69">
        <v>2039</v>
      </c>
      <c r="V80" s="69">
        <v>2040</v>
      </c>
      <c r="W80" s="69">
        <v>2041</v>
      </c>
      <c r="X80" s="69">
        <v>2042</v>
      </c>
      <c r="Y80" s="69">
        <v>2043</v>
      </c>
      <c r="Z80" s="69">
        <v>2044</v>
      </c>
      <c r="AA80" s="69">
        <v>2045</v>
      </c>
      <c r="AB80" s="69">
        <v>2046</v>
      </c>
      <c r="AC80" s="69">
        <v>2047</v>
      </c>
      <c r="AD80" s="69">
        <v>2048</v>
      </c>
      <c r="AE80" s="69">
        <v>2049</v>
      </c>
      <c r="AF80" s="69">
        <v>2050</v>
      </c>
    </row>
    <row r="81" spans="2:32" x14ac:dyDescent="0.25">
      <c r="B81" t="s">
        <v>689</v>
      </c>
      <c r="D81" s="489">
        <f t="shared" ref="D81:AF81" si="26">$I$12*D$20</f>
        <v>17817.84</v>
      </c>
      <c r="E81" s="489">
        <f t="shared" si="26"/>
        <v>18174.196800000002</v>
      </c>
      <c r="F81" s="489">
        <f t="shared" si="26"/>
        <v>18537.680736000002</v>
      </c>
      <c r="G81" s="489">
        <f t="shared" si="26"/>
        <v>18908.434350720003</v>
      </c>
      <c r="H81" s="489">
        <f t="shared" si="26"/>
        <v>19286.603037734403</v>
      </c>
      <c r="I81" s="489">
        <f t="shared" si="26"/>
        <v>19672.335098489093</v>
      </c>
      <c r="J81" s="489">
        <f t="shared" si="26"/>
        <v>20065.781800458873</v>
      </c>
      <c r="K81" s="489">
        <f t="shared" si="26"/>
        <v>20467.097436468051</v>
      </c>
      <c r="L81" s="489">
        <f t="shared" si="26"/>
        <v>20876.439385197413</v>
      </c>
      <c r="M81" s="489">
        <f t="shared" si="26"/>
        <v>21293.968172901361</v>
      </c>
      <c r="N81" s="489">
        <f t="shared" si="26"/>
        <v>21719.847536359386</v>
      </c>
      <c r="O81" s="489">
        <f t="shared" si="26"/>
        <v>22154.244487086577</v>
      </c>
      <c r="P81" s="489">
        <f t="shared" si="26"/>
        <v>22597.329376828311</v>
      </c>
      <c r="Q81" s="489">
        <f t="shared" si="26"/>
        <v>23049.275964364875</v>
      </c>
      <c r="R81" s="489">
        <f t="shared" si="26"/>
        <v>23510.261483652175</v>
      </c>
      <c r="S81" s="489">
        <f t="shared" si="26"/>
        <v>23980.466713325219</v>
      </c>
      <c r="T81" s="489">
        <f t="shared" si="26"/>
        <v>24460.076047591723</v>
      </c>
      <c r="U81" s="489">
        <f t="shared" si="26"/>
        <v>24949.277568543559</v>
      </c>
      <c r="V81" s="489">
        <f t="shared" si="26"/>
        <v>25448.263119914431</v>
      </c>
      <c r="W81" s="489">
        <f t="shared" si="26"/>
        <v>25957.228382312718</v>
      </c>
      <c r="X81" s="489">
        <f t="shared" si="26"/>
        <v>26476.372949958975</v>
      </c>
      <c r="Y81" s="489">
        <f t="shared" si="26"/>
        <v>27005.900408958154</v>
      </c>
      <c r="Z81" s="489">
        <f t="shared" si="26"/>
        <v>27546.018417137315</v>
      </c>
      <c r="AA81" s="489">
        <f t="shared" si="26"/>
        <v>28096.938785480063</v>
      </c>
      <c r="AB81" s="489">
        <f t="shared" si="26"/>
        <v>28658.877561189664</v>
      </c>
      <c r="AC81" s="489">
        <f t="shared" si="26"/>
        <v>29232.055112413458</v>
      </c>
      <c r="AD81" s="489">
        <f t="shared" si="26"/>
        <v>29816.69621466173</v>
      </c>
      <c r="AE81" s="489">
        <f t="shared" si="26"/>
        <v>30413.030138954964</v>
      </c>
      <c r="AF81" s="489">
        <f t="shared" si="26"/>
        <v>31021.290741734061</v>
      </c>
    </row>
    <row r="82" spans="2:32" x14ac:dyDescent="0.25">
      <c r="B82" t="s">
        <v>690</v>
      </c>
      <c r="D82" s="489">
        <f>$I$13*D$20</f>
        <v>28508.544000000002</v>
      </c>
      <c r="E82" s="489">
        <f t="shared" ref="E82:AF82" si="27">$I$13*E$20</f>
        <v>29078.714880000003</v>
      </c>
      <c r="F82" s="489">
        <f t="shared" si="27"/>
        <v>29660.289177600003</v>
      </c>
      <c r="G82" s="489">
        <f t="shared" si="27"/>
        <v>30253.494961152002</v>
      </c>
      <c r="H82" s="489">
        <f t="shared" si="27"/>
        <v>30858.564860375045</v>
      </c>
      <c r="I82" s="489">
        <f t="shared" si="27"/>
        <v>31475.736157582545</v>
      </c>
      <c r="J82" s="489">
        <f t="shared" si="27"/>
        <v>32105.250880734195</v>
      </c>
      <c r="K82" s="489">
        <f t="shared" si="27"/>
        <v>32747.35589834888</v>
      </c>
      <c r="L82" s="489">
        <f t="shared" si="27"/>
        <v>33402.303016315862</v>
      </c>
      <c r="M82" s="489">
        <f t="shared" si="27"/>
        <v>34070.349076642175</v>
      </c>
      <c r="N82" s="489">
        <f t="shared" si="27"/>
        <v>34751.756058175022</v>
      </c>
      <c r="O82" s="489">
        <f t="shared" si="27"/>
        <v>35446.791179338521</v>
      </c>
      <c r="P82" s="489">
        <f t="shared" si="27"/>
        <v>36155.727002925298</v>
      </c>
      <c r="Q82" s="489">
        <f t="shared" si="27"/>
        <v>36878.841542983799</v>
      </c>
      <c r="R82" s="489">
        <f t="shared" si="27"/>
        <v>37616.41837384348</v>
      </c>
      <c r="S82" s="489">
        <f t="shared" si="27"/>
        <v>38368.746741320349</v>
      </c>
      <c r="T82" s="489">
        <f t="shared" si="27"/>
        <v>39136.121676146759</v>
      </c>
      <c r="U82" s="489">
        <f t="shared" si="27"/>
        <v>39918.844109669692</v>
      </c>
      <c r="V82" s="489">
        <f t="shared" si="27"/>
        <v>40717.220991863091</v>
      </c>
      <c r="W82" s="489">
        <f t="shared" si="27"/>
        <v>41531.565411700351</v>
      </c>
      <c r="X82" s="489">
        <f t="shared" si="27"/>
        <v>42362.196719934356</v>
      </c>
      <c r="Y82" s="489">
        <f t="shared" si="27"/>
        <v>43209.440654333048</v>
      </c>
      <c r="Z82" s="489">
        <f t="shared" si="27"/>
        <v>44073.629467419705</v>
      </c>
      <c r="AA82" s="489">
        <f t="shared" si="27"/>
        <v>44955.102056768097</v>
      </c>
      <c r="AB82" s="489">
        <f t="shared" si="27"/>
        <v>45854.204097903465</v>
      </c>
      <c r="AC82" s="489">
        <f t="shared" si="27"/>
        <v>46771.288179861534</v>
      </c>
      <c r="AD82" s="489">
        <f t="shared" si="27"/>
        <v>47706.713943458766</v>
      </c>
      <c r="AE82" s="489">
        <f t="shared" si="27"/>
        <v>48660.848222327942</v>
      </c>
      <c r="AF82" s="489">
        <f t="shared" si="27"/>
        <v>49634.065186774496</v>
      </c>
    </row>
    <row r="84" spans="2:32" x14ac:dyDescent="0.25">
      <c r="B84" s="419" t="s">
        <v>726</v>
      </c>
    </row>
    <row r="85" spans="2:32" x14ac:dyDescent="0.25">
      <c r="B85" t="s">
        <v>689</v>
      </c>
      <c r="D85" s="489">
        <f t="shared" ref="D85:S86" si="28">$K$12*D$22</f>
        <v>10666.428041618361</v>
      </c>
      <c r="E85" s="489">
        <f t="shared" si="28"/>
        <v>10219.770674628686</v>
      </c>
      <c r="F85" s="489">
        <f t="shared" si="28"/>
        <v>9365.8393959619534</v>
      </c>
      <c r="G85" s="489">
        <f t="shared" si="28"/>
        <v>9804.7306532834446</v>
      </c>
      <c r="H85" s="489">
        <f t="shared" si="28"/>
        <v>10130.284910665609</v>
      </c>
      <c r="I85" s="489">
        <f t="shared" si="28"/>
        <v>10465.09107158563</v>
      </c>
      <c r="J85" s="489">
        <f t="shared" si="28"/>
        <v>10815.381124609716</v>
      </c>
      <c r="K85" s="489">
        <f t="shared" si="28"/>
        <v>11146.837692320009</v>
      </c>
      <c r="L85" s="489">
        <f t="shared" si="28"/>
        <v>11570.289749933432</v>
      </c>
      <c r="M85" s="489">
        <f t="shared" si="28"/>
        <v>11987.437757373267</v>
      </c>
      <c r="N85" s="489">
        <f t="shared" si="28"/>
        <v>12342.332564043438</v>
      </c>
      <c r="O85" s="489">
        <f t="shared" si="28"/>
        <v>12679.58393109847</v>
      </c>
      <c r="P85" s="489">
        <f t="shared" si="28"/>
        <v>12991.322027927561</v>
      </c>
      <c r="Q85" s="489">
        <f t="shared" si="28"/>
        <v>13512.399662155212</v>
      </c>
      <c r="R85" s="489">
        <f t="shared" si="28"/>
        <v>13936.250198948665</v>
      </c>
      <c r="S85" s="489">
        <f t="shared" si="28"/>
        <v>14295.960874701212</v>
      </c>
      <c r="T85" s="489">
        <f t="shared" ref="T85:AF86" si="29">$K$12*T$22</f>
        <v>14672.850795123983</v>
      </c>
      <c r="U85" s="489">
        <f t="shared" si="29"/>
        <v>14997.620827507972</v>
      </c>
      <c r="V85" s="489">
        <f t="shared" si="29"/>
        <v>16052.022228466387</v>
      </c>
      <c r="W85" s="489">
        <f t="shared" si="29"/>
        <v>16483.806692671307</v>
      </c>
      <c r="X85" s="489">
        <f t="shared" si="29"/>
        <v>16835.190894665513</v>
      </c>
      <c r="Y85" s="489">
        <f t="shared" si="29"/>
        <v>17259.54627038776</v>
      </c>
      <c r="Z85" s="489">
        <f t="shared" si="29"/>
        <v>17707.644099723304</v>
      </c>
      <c r="AA85" s="489">
        <f t="shared" si="29"/>
        <v>18082.946856716986</v>
      </c>
      <c r="AB85" s="489">
        <f t="shared" si="29"/>
        <v>18444.605793851326</v>
      </c>
      <c r="AC85" s="489">
        <f t="shared" si="29"/>
        <v>18813.49790972835</v>
      </c>
      <c r="AD85" s="489">
        <f t="shared" si="29"/>
        <v>19189.767867922918</v>
      </c>
      <c r="AE85" s="489">
        <f t="shared" si="29"/>
        <v>19573.563225281378</v>
      </c>
      <c r="AF85" s="489">
        <f t="shared" si="29"/>
        <v>19965.034489787009</v>
      </c>
    </row>
    <row r="86" spans="2:32" x14ac:dyDescent="0.25">
      <c r="B86" t="s">
        <v>690</v>
      </c>
      <c r="D86" s="489">
        <f t="shared" si="28"/>
        <v>10666.428041618361</v>
      </c>
      <c r="E86" s="489">
        <f t="shared" si="28"/>
        <v>10219.770674628686</v>
      </c>
      <c r="F86" s="489">
        <f t="shared" si="28"/>
        <v>9365.8393959619534</v>
      </c>
      <c r="G86" s="489">
        <f t="shared" si="28"/>
        <v>9804.7306532834446</v>
      </c>
      <c r="H86" s="489">
        <f t="shared" si="28"/>
        <v>10130.284910665609</v>
      </c>
      <c r="I86" s="489">
        <f t="shared" si="28"/>
        <v>10465.09107158563</v>
      </c>
      <c r="J86" s="489">
        <f t="shared" si="28"/>
        <v>10815.381124609716</v>
      </c>
      <c r="K86" s="489">
        <f t="shared" si="28"/>
        <v>11146.837692320009</v>
      </c>
      <c r="L86" s="489">
        <f t="shared" si="28"/>
        <v>11570.289749933432</v>
      </c>
      <c r="M86" s="489">
        <f t="shared" si="28"/>
        <v>11987.437757373267</v>
      </c>
      <c r="N86" s="489">
        <f t="shared" si="28"/>
        <v>12342.332564043438</v>
      </c>
      <c r="O86" s="489">
        <f t="shared" si="28"/>
        <v>12679.58393109847</v>
      </c>
      <c r="P86" s="489">
        <f t="shared" si="28"/>
        <v>12991.322027927561</v>
      </c>
      <c r="Q86" s="489">
        <f t="shared" si="28"/>
        <v>13512.399662155212</v>
      </c>
      <c r="R86" s="489">
        <f t="shared" si="28"/>
        <v>13936.250198948665</v>
      </c>
      <c r="S86" s="489">
        <f t="shared" si="28"/>
        <v>14295.960874701212</v>
      </c>
      <c r="T86" s="489">
        <f t="shared" si="29"/>
        <v>14672.850795123983</v>
      </c>
      <c r="U86" s="489">
        <f t="shared" si="29"/>
        <v>14997.620827507972</v>
      </c>
      <c r="V86" s="489">
        <f t="shared" si="29"/>
        <v>16052.022228466387</v>
      </c>
      <c r="W86" s="489">
        <f t="shared" si="29"/>
        <v>16483.806692671307</v>
      </c>
      <c r="X86" s="489">
        <f t="shared" si="29"/>
        <v>16835.190894665513</v>
      </c>
      <c r="Y86" s="489">
        <f t="shared" si="29"/>
        <v>17259.54627038776</v>
      </c>
      <c r="Z86" s="489">
        <f t="shared" si="29"/>
        <v>17707.644099723304</v>
      </c>
      <c r="AA86" s="489">
        <f t="shared" si="29"/>
        <v>18082.946856716986</v>
      </c>
      <c r="AB86" s="489">
        <f t="shared" si="29"/>
        <v>18444.605793851326</v>
      </c>
      <c r="AC86" s="489">
        <f t="shared" si="29"/>
        <v>18813.49790972835</v>
      </c>
      <c r="AD86" s="489">
        <f t="shared" si="29"/>
        <v>19189.767867922918</v>
      </c>
      <c r="AE86" s="489">
        <f t="shared" si="29"/>
        <v>19573.563225281378</v>
      </c>
      <c r="AF86" s="489">
        <f t="shared" si="29"/>
        <v>19965.034489787009</v>
      </c>
    </row>
    <row r="88" spans="2:32" x14ac:dyDescent="0.25">
      <c r="B88" s="491" t="s">
        <v>722</v>
      </c>
    </row>
    <row r="89" spans="2:32" x14ac:dyDescent="0.25">
      <c r="B89" t="s">
        <v>689</v>
      </c>
      <c r="D89" s="490">
        <f>D81-D85</f>
        <v>7151.4119583816391</v>
      </c>
      <c r="E89" s="490">
        <f t="shared" ref="E89:AF90" si="30">E81-E85</f>
        <v>7954.4261253713157</v>
      </c>
      <c r="F89" s="490">
        <f t="shared" si="30"/>
        <v>9171.8413400380487</v>
      </c>
      <c r="G89" s="490">
        <f t="shared" si="30"/>
        <v>9103.7036974365583</v>
      </c>
      <c r="H89" s="490">
        <f t="shared" si="30"/>
        <v>9156.3181270687946</v>
      </c>
      <c r="I89" s="490">
        <f t="shared" si="30"/>
        <v>9207.2440269034632</v>
      </c>
      <c r="J89" s="490">
        <f t="shared" si="30"/>
        <v>9250.4006758491578</v>
      </c>
      <c r="K89" s="490">
        <f t="shared" si="30"/>
        <v>9320.259744148043</v>
      </c>
      <c r="L89" s="490">
        <f t="shared" si="30"/>
        <v>9306.1496352639806</v>
      </c>
      <c r="M89" s="490">
        <f t="shared" si="30"/>
        <v>9306.5304155280937</v>
      </c>
      <c r="N89" s="490">
        <f t="shared" si="30"/>
        <v>9377.5149723159484</v>
      </c>
      <c r="O89" s="490">
        <f t="shared" si="30"/>
        <v>9474.6605559881064</v>
      </c>
      <c r="P89" s="490">
        <f t="shared" si="30"/>
        <v>9606.00734890075</v>
      </c>
      <c r="Q89" s="490">
        <f>Q81-Q85</f>
        <v>9536.8763022096628</v>
      </c>
      <c r="R89" s="490">
        <f t="shared" si="30"/>
        <v>9574.0112847035107</v>
      </c>
      <c r="S89" s="490">
        <f t="shared" si="30"/>
        <v>9684.5058386240071</v>
      </c>
      <c r="T89" s="490">
        <f t="shared" si="30"/>
        <v>9787.2252524677406</v>
      </c>
      <c r="U89" s="490">
        <f t="shared" si="30"/>
        <v>9951.6567410355874</v>
      </c>
      <c r="V89" s="490">
        <f t="shared" si="30"/>
        <v>9396.2408914480438</v>
      </c>
      <c r="W89" s="490">
        <f t="shared" si="30"/>
        <v>9473.4216896414109</v>
      </c>
      <c r="X89" s="490">
        <f t="shared" si="30"/>
        <v>9641.1820552934623</v>
      </c>
      <c r="Y89" s="490">
        <f t="shared" si="30"/>
        <v>9746.3541385703938</v>
      </c>
      <c r="Z89" s="490">
        <f t="shared" si="30"/>
        <v>9838.3743174140109</v>
      </c>
      <c r="AA89" s="490">
        <f t="shared" si="30"/>
        <v>10013.991928763076</v>
      </c>
      <c r="AB89" s="490">
        <f t="shared" si="30"/>
        <v>10214.271767338338</v>
      </c>
      <c r="AC89" s="490">
        <f t="shared" si="30"/>
        <v>10418.557202685108</v>
      </c>
      <c r="AD89" s="490">
        <f t="shared" si="30"/>
        <v>10626.928346738812</v>
      </c>
      <c r="AE89" s="490">
        <f t="shared" si="30"/>
        <v>10839.466913673587</v>
      </c>
      <c r="AF89" s="490">
        <f t="shared" si="30"/>
        <v>11056.256251947052</v>
      </c>
    </row>
    <row r="90" spans="2:32" x14ac:dyDescent="0.25">
      <c r="B90" t="s">
        <v>690</v>
      </c>
      <c r="D90" s="490">
        <f>D82-D86</f>
        <v>17842.115958381641</v>
      </c>
      <c r="E90" s="490">
        <f t="shared" si="30"/>
        <v>18858.944205371317</v>
      </c>
      <c r="F90" s="490">
        <f t="shared" si="30"/>
        <v>20294.44978163805</v>
      </c>
      <c r="G90" s="490">
        <f t="shared" si="30"/>
        <v>20448.764307868558</v>
      </c>
      <c r="H90" s="490">
        <f t="shared" si="30"/>
        <v>20728.279949709438</v>
      </c>
      <c r="I90" s="490">
        <f t="shared" si="30"/>
        <v>21010.645085996915</v>
      </c>
      <c r="J90" s="490">
        <f t="shared" si="30"/>
        <v>21289.869756124477</v>
      </c>
      <c r="K90" s="490">
        <f t="shared" si="30"/>
        <v>21600.518206028872</v>
      </c>
      <c r="L90" s="490">
        <f t="shared" si="30"/>
        <v>21832.01326638243</v>
      </c>
      <c r="M90" s="490">
        <f t="shared" si="30"/>
        <v>22082.911319268907</v>
      </c>
      <c r="N90" s="490">
        <f t="shared" si="30"/>
        <v>22409.423494131584</v>
      </c>
      <c r="O90" s="490">
        <f t="shared" si="30"/>
        <v>22767.207248240051</v>
      </c>
      <c r="P90" s="490">
        <f t="shared" si="30"/>
        <v>23164.404974997735</v>
      </c>
      <c r="Q90" s="490">
        <f t="shared" si="30"/>
        <v>23366.441880828585</v>
      </c>
      <c r="R90" s="490">
        <f t="shared" si="30"/>
        <v>23680.168174894818</v>
      </c>
      <c r="S90" s="490">
        <f t="shared" si="30"/>
        <v>24072.785866619139</v>
      </c>
      <c r="T90" s="490">
        <f t="shared" si="30"/>
        <v>24463.270881022778</v>
      </c>
      <c r="U90" s="490">
        <f t="shared" si="30"/>
        <v>24921.223282161722</v>
      </c>
      <c r="V90" s="490">
        <f t="shared" si="30"/>
        <v>24665.198763396704</v>
      </c>
      <c r="W90" s="490">
        <f t="shared" si="30"/>
        <v>25047.758719029043</v>
      </c>
      <c r="X90" s="490">
        <f t="shared" si="30"/>
        <v>25527.005825268843</v>
      </c>
      <c r="Y90" s="490">
        <f t="shared" si="30"/>
        <v>25949.894383945288</v>
      </c>
      <c r="Z90" s="490">
        <f t="shared" si="30"/>
        <v>26365.985367696401</v>
      </c>
      <c r="AA90" s="490">
        <f t="shared" si="30"/>
        <v>26872.155200051111</v>
      </c>
      <c r="AB90" s="490">
        <f t="shared" si="30"/>
        <v>27409.598304052139</v>
      </c>
      <c r="AC90" s="490">
        <f t="shared" si="30"/>
        <v>27957.790270133184</v>
      </c>
      <c r="AD90" s="490">
        <f t="shared" si="30"/>
        <v>28516.946075535849</v>
      </c>
      <c r="AE90" s="490">
        <f t="shared" si="30"/>
        <v>29087.284997046565</v>
      </c>
      <c r="AF90" s="490">
        <f t="shared" si="30"/>
        <v>29669.030696987487</v>
      </c>
    </row>
    <row r="92" spans="2:32" s="508" customFormat="1" x14ac:dyDescent="0.25">
      <c r="B92" s="507"/>
      <c r="D92" s="509"/>
      <c r="E92" s="509"/>
      <c r="F92" s="509"/>
      <c r="G92" s="509"/>
      <c r="H92" s="509"/>
      <c r="I92" s="509"/>
      <c r="J92" s="509"/>
      <c r="K92" s="509"/>
      <c r="L92" s="509"/>
      <c r="M92" s="509"/>
      <c r="N92" s="509"/>
      <c r="O92" s="509"/>
      <c r="P92" s="509"/>
      <c r="Q92" s="509"/>
    </row>
    <row r="93" spans="2:32" s="508" customFormat="1" x14ac:dyDescent="0.25">
      <c r="D93" s="510"/>
      <c r="E93" s="510"/>
      <c r="F93" s="510"/>
      <c r="G93" s="510"/>
      <c r="H93" s="510"/>
      <c r="I93" s="510"/>
      <c r="J93" s="510"/>
      <c r="K93" s="510"/>
      <c r="L93" s="510"/>
      <c r="M93" s="510"/>
      <c r="N93" s="510"/>
      <c r="O93" s="510"/>
      <c r="P93" s="510"/>
      <c r="Q93" s="510"/>
    </row>
    <row r="94" spans="2:32" s="508" customFormat="1" x14ac:dyDescent="0.25">
      <c r="D94" s="510"/>
      <c r="E94" s="510"/>
      <c r="F94" s="510"/>
      <c r="G94" s="510"/>
      <c r="H94" s="510"/>
      <c r="I94" s="510"/>
      <c r="J94" s="510"/>
      <c r="K94" s="510"/>
      <c r="L94" s="510"/>
      <c r="M94" s="510"/>
      <c r="N94" s="510"/>
      <c r="O94" s="510"/>
      <c r="P94" s="510"/>
      <c r="Q94" s="510"/>
    </row>
    <row r="95" spans="2:32" s="508" customFormat="1" x14ac:dyDescent="0.25">
      <c r="K95" s="509"/>
    </row>
  </sheetData>
  <mergeCells count="2">
    <mergeCell ref="D39:M39"/>
    <mergeCell ref="E3:G3"/>
  </mergeCells>
  <conditionalFormatting sqref="D53:Q53">
    <cfRule type="cellIs" dxfId="0" priority="2" operator="greaterThan">
      <formula>$D$51*1.1</formula>
    </cfRule>
  </conditionalFormatting>
  <hyperlinks>
    <hyperlink ref="J5" r:id="rId1" display="https://hawaiienergy.com/for-home/water-heating/water-heating-types" xr:uid="{1A3EAFA3-58E2-4E92-8616-4DDEBA17E9E8}"/>
    <hyperlink ref="J6" r:id="rId2" display="https://hawaiienergy.com/for-home/water-heating/water-heating-types" xr:uid="{38D1BCBA-0829-41A1-AD89-A81CBC1E62A2}"/>
    <hyperlink ref="P5" r:id="rId3" display="https://www.hawaiianelectric.com/documents/billing_and_payment/rates/effective_rate_summary/efs_2023_01.pdf" xr:uid="{9F40EAF4-5AF9-4CE6-8EA3-AB1342B34160}"/>
    <hyperlink ref="P6" r:id="rId4" display="https://www.hawaiianelectric.com/documents/billing_and_payment/rates/effective_rate_summary/efs_2023_01.pdf" xr:uid="{3F99F2DF-8F02-4312-BA83-B560CDBF28CB}"/>
    <hyperlink ref="P7" r:id="rId5" display="https://www.hawaiianelectric.com/documents/billing_and_payment/rates/effective_rate_summary/efs_2023_01.pdf" xr:uid="{17965CFA-9826-4BF7-A1BE-3FB20A9FD88C}"/>
    <hyperlink ref="P12" r:id="rId6" display="https://www.hawaiianelectric.com/documents/billing_and_payment/rates/effective_rate_summary/efs_2023_01.pdf" xr:uid="{BFE558BC-C8A2-4AC9-B5AD-F09A06907E19}"/>
    <hyperlink ref="P13" r:id="rId7" display="https://www.hawaiianelectric.com/documents/billing_and_payment/rates/effective_rate_summary/efs_2023_01.pdf" xr:uid="{4884E87A-E0C1-4932-B15E-9303F70BDA7A}"/>
  </hyperlinks>
  <pageMargins left="0.7" right="0.7" top="0.75" bottom="0.75" header="0.3" footer="0.3"/>
  <pageSetup orientation="portrait"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9BB8B-73F8-464C-ABEA-A24DDBFA36D7}">
  <sheetPr codeName="Sheet6"/>
  <dimension ref="A1:AY277"/>
  <sheetViews>
    <sheetView zoomScale="85" zoomScaleNormal="85" workbookViewId="0">
      <selection activeCell="L138" sqref="L138"/>
    </sheetView>
  </sheetViews>
  <sheetFormatPr defaultRowHeight="15" x14ac:dyDescent="0.25"/>
  <cols>
    <col min="1" max="1" width="12.85546875" customWidth="1"/>
    <col min="2" max="2" width="9.5703125" bestFit="1" customWidth="1"/>
    <col min="3" max="3" width="19.7109375" customWidth="1"/>
    <col min="4" max="4" width="53" customWidth="1"/>
    <col min="5" max="5" width="26.7109375" customWidth="1"/>
    <col min="6" max="6" width="17.5703125" customWidth="1"/>
    <col min="7" max="14" width="14.42578125" customWidth="1"/>
    <col min="15" max="15" width="14.42578125" style="1" customWidth="1"/>
    <col min="16" max="17" width="14.42578125" customWidth="1"/>
    <col min="18" max="18" width="14.7109375" customWidth="1"/>
    <col min="19" max="29" width="14.42578125" customWidth="1"/>
    <col min="30" max="30" width="15.140625" bestFit="1" customWidth="1"/>
    <col min="31" max="35" width="14.42578125" customWidth="1"/>
  </cols>
  <sheetData>
    <row r="1" spans="1:51" x14ac:dyDescent="0.25">
      <c r="A1" s="1"/>
      <c r="B1" s="1"/>
      <c r="C1" s="1"/>
      <c r="D1" s="1"/>
      <c r="F1" s="1"/>
      <c r="G1" s="51"/>
      <c r="H1" s="51"/>
      <c r="I1" s="1"/>
      <c r="J1" s="1"/>
      <c r="K1" s="1"/>
      <c r="L1" s="1"/>
      <c r="M1" s="1"/>
      <c r="N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25">
      <c r="A2" s="1"/>
      <c r="B2" s="13" t="s">
        <v>7</v>
      </c>
      <c r="C2" s="12" t="s">
        <v>6</v>
      </c>
      <c r="D2" s="110" t="s">
        <v>339</v>
      </c>
      <c r="E2" s="117" t="str">
        <f>'Summary Dashboard'!C7</f>
        <v>Reference</v>
      </c>
      <c r="F2" s="111"/>
      <c r="G2" s="113"/>
      <c r="H2" s="113"/>
      <c r="I2" s="1"/>
      <c r="J2" s="1"/>
      <c r="K2" s="1"/>
      <c r="L2" s="1"/>
      <c r="M2" s="1"/>
      <c r="N2" s="1"/>
      <c r="P2" s="1"/>
      <c r="Q2" s="1"/>
      <c r="R2" s="1"/>
      <c r="S2" s="1"/>
      <c r="T2" s="1"/>
      <c r="U2" s="1"/>
      <c r="V2" s="1"/>
      <c r="W2" s="1"/>
      <c r="X2" s="1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x14ac:dyDescent="0.25">
      <c r="A3" s="1"/>
      <c r="B3" s="15" t="s">
        <v>7</v>
      </c>
      <c r="C3" s="14" t="s">
        <v>8</v>
      </c>
      <c r="D3" s="1"/>
      <c r="E3" s="1"/>
      <c r="F3" s="114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x14ac:dyDescent="0.25">
      <c r="A4" s="1"/>
      <c r="B4" s="16" t="s">
        <v>7</v>
      </c>
      <c r="C4" s="14" t="s">
        <v>9</v>
      </c>
      <c r="D4" s="1"/>
      <c r="E4" s="1"/>
      <c r="F4" s="114"/>
      <c r="G4" s="113"/>
      <c r="H4" s="113"/>
      <c r="I4" s="113"/>
      <c r="J4" s="113"/>
      <c r="K4" s="113"/>
      <c r="L4" s="113"/>
      <c r="M4" s="113"/>
      <c r="N4" s="113" t="s">
        <v>0</v>
      </c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x14ac:dyDescent="0.25">
      <c r="A5" s="1"/>
      <c r="B5" s="1"/>
      <c r="C5" s="1"/>
      <c r="D5" s="1"/>
      <c r="E5" s="51"/>
      <c r="F5" s="114"/>
      <c r="G5" s="8"/>
      <c r="H5" s="8"/>
      <c r="I5" s="1"/>
      <c r="J5" s="367"/>
      <c r="K5" s="367"/>
      <c r="L5" s="367"/>
      <c r="M5" s="367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x14ac:dyDescent="0.25">
      <c r="A6" s="1"/>
      <c r="B6" s="1"/>
      <c r="C6" s="457"/>
      <c r="D6" s="467" t="s">
        <v>341</v>
      </c>
      <c r="E6" s="454"/>
      <c r="F6" s="61"/>
      <c r="G6" s="156">
        <v>2022</v>
      </c>
      <c r="H6" s="156">
        <v>2023</v>
      </c>
      <c r="I6" s="156">
        <v>2024</v>
      </c>
      <c r="J6" s="156">
        <v>2025</v>
      </c>
      <c r="K6" s="156">
        <v>2026</v>
      </c>
      <c r="L6" s="156">
        <v>2027</v>
      </c>
      <c r="M6" s="156">
        <v>2028</v>
      </c>
      <c r="N6" s="156">
        <v>2029</v>
      </c>
      <c r="O6" s="156">
        <v>2030</v>
      </c>
      <c r="P6" s="156">
        <v>2031</v>
      </c>
      <c r="Q6" s="156">
        <v>2032</v>
      </c>
      <c r="R6" s="156">
        <v>2033</v>
      </c>
      <c r="S6" s="156">
        <v>2034</v>
      </c>
      <c r="T6" s="156">
        <v>2035</v>
      </c>
      <c r="U6" s="156">
        <v>2036</v>
      </c>
      <c r="V6" s="156">
        <v>2037</v>
      </c>
      <c r="W6" s="156">
        <v>2038</v>
      </c>
      <c r="X6" s="156">
        <v>2039</v>
      </c>
      <c r="Y6" s="156">
        <v>2040</v>
      </c>
      <c r="Z6" s="156">
        <v>2041</v>
      </c>
      <c r="AA6" s="156">
        <v>2042</v>
      </c>
      <c r="AB6" s="156">
        <v>2043</v>
      </c>
      <c r="AC6" s="156">
        <v>2044</v>
      </c>
      <c r="AD6" s="156">
        <v>2045</v>
      </c>
      <c r="AE6" s="156">
        <v>2046</v>
      </c>
      <c r="AF6" s="156">
        <v>2047</v>
      </c>
      <c r="AG6" s="156">
        <v>2048</v>
      </c>
      <c r="AH6" s="156">
        <v>2049</v>
      </c>
      <c r="AI6" s="156">
        <v>2050</v>
      </c>
      <c r="AJ6" s="468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1" x14ac:dyDescent="0.25">
      <c r="A7" s="1"/>
      <c r="B7" s="1"/>
      <c r="C7" s="8" t="s">
        <v>342</v>
      </c>
      <c r="D7" s="455"/>
      <c r="E7" s="455"/>
      <c r="F7" s="1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1" x14ac:dyDescent="0.25">
      <c r="A8" s="1"/>
      <c r="B8" s="1"/>
      <c r="C8" s="8" t="s">
        <v>343</v>
      </c>
      <c r="D8" s="1"/>
      <c r="E8" s="114" t="s">
        <v>344</v>
      </c>
      <c r="F8" s="1" t="s">
        <v>330</v>
      </c>
      <c r="G8" s="112">
        <v>65185</v>
      </c>
      <c r="H8" s="112">
        <v>62685.483658376354</v>
      </c>
      <c r="I8" s="112">
        <v>59185.218745440317</v>
      </c>
      <c r="J8" s="112">
        <v>50412.146777287118</v>
      </c>
      <c r="K8" s="112">
        <v>50774.078366469817</v>
      </c>
      <c r="L8" s="112">
        <v>51103.158837052331</v>
      </c>
      <c r="M8" s="112">
        <v>51473.935021010584</v>
      </c>
      <c r="N8" s="112">
        <v>51881.720690615468</v>
      </c>
      <c r="O8" s="112">
        <v>49065.926282057328</v>
      </c>
      <c r="P8" s="112">
        <v>49470.0734421749</v>
      </c>
      <c r="Q8" s="112">
        <v>49912.559333749385</v>
      </c>
      <c r="R8" s="112">
        <v>50395.74457571582</v>
      </c>
      <c r="S8" s="112">
        <v>50920.972555061286</v>
      </c>
      <c r="T8" s="112">
        <v>47270.964124539503</v>
      </c>
      <c r="U8" s="112">
        <v>47862.873228418845</v>
      </c>
      <c r="V8" s="112">
        <v>48490.343238268011</v>
      </c>
      <c r="W8" s="112">
        <v>49116.937790218675</v>
      </c>
      <c r="X8" s="112">
        <v>49820.424252678255</v>
      </c>
      <c r="Y8" s="112">
        <v>34812.220771091466</v>
      </c>
      <c r="Z8" s="112">
        <v>35482.044192397429</v>
      </c>
      <c r="AA8" s="112">
        <v>36211.838894465487</v>
      </c>
      <c r="AB8" s="112">
        <v>36862.410170092488</v>
      </c>
      <c r="AC8" s="112">
        <v>37498.805605907342</v>
      </c>
      <c r="AD8" s="112">
        <v>38266.403908338398</v>
      </c>
      <c r="AE8" s="112">
        <v>38330.773037883962</v>
      </c>
      <c r="AF8" s="112">
        <v>38392.549605228691</v>
      </c>
      <c r="AG8" s="112">
        <v>38451.838029661958</v>
      </c>
      <c r="AH8" s="112">
        <v>38508.738524831344</v>
      </c>
      <c r="AI8" s="112">
        <v>38563.347268131038</v>
      </c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1" x14ac:dyDescent="0.25">
      <c r="A9" s="1"/>
      <c r="B9" s="1"/>
      <c r="C9" s="113" t="s">
        <v>345</v>
      </c>
      <c r="D9" s="1"/>
      <c r="E9" s="114" t="s">
        <v>323</v>
      </c>
      <c r="F9" s="1" t="s">
        <v>330</v>
      </c>
      <c r="G9" s="112">
        <v>12606</v>
      </c>
      <c r="H9" s="112">
        <v>12483</v>
      </c>
      <c r="I9" s="112">
        <v>12605</v>
      </c>
      <c r="J9" s="112">
        <v>12605</v>
      </c>
      <c r="K9" s="112">
        <v>12605</v>
      </c>
      <c r="L9" s="112">
        <v>12605</v>
      </c>
      <c r="M9" s="112">
        <v>12605</v>
      </c>
      <c r="N9" s="112">
        <v>12605</v>
      </c>
      <c r="O9" s="112">
        <v>12605</v>
      </c>
      <c r="P9" s="112">
        <v>12605</v>
      </c>
      <c r="Q9" s="112">
        <v>12605</v>
      </c>
      <c r="R9" s="112">
        <v>12605</v>
      </c>
      <c r="S9" s="112">
        <v>12605</v>
      </c>
      <c r="T9" s="112">
        <v>12605</v>
      </c>
      <c r="U9" s="112">
        <v>12605</v>
      </c>
      <c r="V9" s="112">
        <v>12605</v>
      </c>
      <c r="W9" s="112">
        <v>12605</v>
      </c>
      <c r="X9" s="112">
        <v>12605</v>
      </c>
      <c r="Y9" s="112">
        <v>12605</v>
      </c>
      <c r="Z9" s="112">
        <v>12605</v>
      </c>
      <c r="AA9" s="112">
        <v>12605</v>
      </c>
      <c r="AB9" s="112">
        <v>12605</v>
      </c>
      <c r="AC9" s="112">
        <v>12605</v>
      </c>
      <c r="AD9" s="112">
        <v>12605</v>
      </c>
      <c r="AE9" s="112">
        <v>12605</v>
      </c>
      <c r="AF9" s="112">
        <v>12605</v>
      </c>
      <c r="AG9" s="112">
        <v>12605</v>
      </c>
      <c r="AH9" s="112">
        <v>12605</v>
      </c>
      <c r="AI9" s="112">
        <v>12605</v>
      </c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1" x14ac:dyDescent="0.25">
      <c r="A10" s="1"/>
      <c r="B10" s="1"/>
      <c r="C10" s="8" t="s">
        <v>346</v>
      </c>
      <c r="D10" s="1"/>
      <c r="E10" s="114" t="s">
        <v>324</v>
      </c>
      <c r="F10" s="1" t="s">
        <v>330</v>
      </c>
      <c r="G10" s="112">
        <v>0</v>
      </c>
      <c r="H10" s="112">
        <v>0</v>
      </c>
      <c r="I10" s="112">
        <v>0</v>
      </c>
      <c r="J10" s="112">
        <v>0</v>
      </c>
      <c r="K10" s="112">
        <v>0</v>
      </c>
      <c r="L10" s="112">
        <v>0</v>
      </c>
      <c r="M10" s="112">
        <v>0</v>
      </c>
      <c r="N10" s="112">
        <v>0</v>
      </c>
      <c r="O10" s="112">
        <v>0</v>
      </c>
      <c r="P10" s="112">
        <v>0</v>
      </c>
      <c r="Q10" s="112">
        <v>0</v>
      </c>
      <c r="R10" s="112">
        <v>0</v>
      </c>
      <c r="S10" s="112">
        <v>0</v>
      </c>
      <c r="T10" s="112">
        <v>0</v>
      </c>
      <c r="U10" s="112">
        <v>0</v>
      </c>
      <c r="V10" s="112">
        <v>0</v>
      </c>
      <c r="W10" s="112">
        <v>0</v>
      </c>
      <c r="X10" s="112">
        <v>0</v>
      </c>
      <c r="Y10" s="112">
        <v>0</v>
      </c>
      <c r="Z10" s="112">
        <v>0</v>
      </c>
      <c r="AA10" s="112">
        <v>0</v>
      </c>
      <c r="AB10" s="112">
        <v>0</v>
      </c>
      <c r="AC10" s="112">
        <v>0</v>
      </c>
      <c r="AD10" s="112">
        <v>0</v>
      </c>
      <c r="AE10" s="112">
        <v>0</v>
      </c>
      <c r="AF10" s="112">
        <v>0</v>
      </c>
      <c r="AG10" s="112">
        <v>0</v>
      </c>
      <c r="AH10" s="112">
        <v>0</v>
      </c>
      <c r="AI10" s="112">
        <v>0</v>
      </c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</row>
    <row r="11" spans="1:51" x14ac:dyDescent="0.25">
      <c r="A11" s="1"/>
      <c r="B11" s="1"/>
      <c r="C11" s="8" t="s">
        <v>347</v>
      </c>
      <c r="D11" s="1"/>
      <c r="E11" s="114" t="s">
        <v>348</v>
      </c>
      <c r="F11" s="1" t="s">
        <v>330</v>
      </c>
      <c r="G11" s="112">
        <v>0</v>
      </c>
      <c r="H11" s="112">
        <f>0.5*7000</f>
        <v>3500</v>
      </c>
      <c r="I11" s="112">
        <v>7000</v>
      </c>
      <c r="J11" s="112">
        <v>14000</v>
      </c>
      <c r="K11" s="112">
        <v>14000</v>
      </c>
      <c r="L11" s="112">
        <v>14000</v>
      </c>
      <c r="M11" s="112">
        <v>14000</v>
      </c>
      <c r="N11" s="112">
        <v>14000</v>
      </c>
      <c r="O11" s="112">
        <v>14000</v>
      </c>
      <c r="P11" s="112">
        <v>14000</v>
      </c>
      <c r="Q11" s="112">
        <v>14000</v>
      </c>
      <c r="R11" s="112">
        <v>14000</v>
      </c>
      <c r="S11" s="112">
        <v>14000</v>
      </c>
      <c r="T11" s="112">
        <v>14000</v>
      </c>
      <c r="U11" s="112">
        <v>14000</v>
      </c>
      <c r="V11" s="112">
        <v>14000</v>
      </c>
      <c r="W11" s="112">
        <v>14000</v>
      </c>
      <c r="X11" s="112">
        <v>14000</v>
      </c>
      <c r="Y11" s="112">
        <v>14000</v>
      </c>
      <c r="Z11" s="112">
        <v>14000</v>
      </c>
      <c r="AA11" s="112">
        <v>14000</v>
      </c>
      <c r="AB11" s="112">
        <v>14000</v>
      </c>
      <c r="AC11" s="112">
        <v>14000</v>
      </c>
      <c r="AD11" s="112">
        <v>14000</v>
      </c>
      <c r="AE11" s="112">
        <v>14000</v>
      </c>
      <c r="AF11" s="112">
        <v>14000</v>
      </c>
      <c r="AG11" s="112">
        <v>14000</v>
      </c>
      <c r="AH11" s="112">
        <v>14000</v>
      </c>
      <c r="AI11" s="112">
        <v>14000</v>
      </c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</row>
    <row r="12" spans="1:51" x14ac:dyDescent="0.25">
      <c r="A12" s="1"/>
      <c r="B12" s="1"/>
      <c r="C12" s="8"/>
      <c r="D12" s="1"/>
      <c r="E12" s="114" t="s">
        <v>349</v>
      </c>
      <c r="F12" s="1" t="s">
        <v>330</v>
      </c>
      <c r="G12" s="112">
        <v>0</v>
      </c>
      <c r="H12" s="112">
        <v>0</v>
      </c>
      <c r="I12" s="112">
        <v>0</v>
      </c>
      <c r="J12" s="112">
        <v>0</v>
      </c>
      <c r="K12" s="112">
        <v>0</v>
      </c>
      <c r="L12" s="112">
        <v>0</v>
      </c>
      <c r="M12" s="112">
        <v>0</v>
      </c>
      <c r="N12" s="112">
        <v>0</v>
      </c>
      <c r="O12" s="112">
        <v>0</v>
      </c>
      <c r="P12" s="112">
        <v>0</v>
      </c>
      <c r="Q12" s="112">
        <v>0</v>
      </c>
      <c r="R12" s="112">
        <v>0</v>
      </c>
      <c r="S12" s="112">
        <v>0</v>
      </c>
      <c r="T12" s="112">
        <v>0</v>
      </c>
      <c r="U12" s="112">
        <v>0</v>
      </c>
      <c r="V12" s="112">
        <v>0</v>
      </c>
      <c r="W12" s="112">
        <v>0</v>
      </c>
      <c r="X12" s="112">
        <v>0</v>
      </c>
      <c r="Y12" s="112">
        <v>0</v>
      </c>
      <c r="Z12" s="112">
        <v>0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</row>
    <row r="13" spans="1:51" x14ac:dyDescent="0.25">
      <c r="A13" s="1"/>
      <c r="B13" s="1"/>
      <c r="C13" s="1" t="s">
        <v>350</v>
      </c>
      <c r="D13" s="1"/>
      <c r="E13" s="114" t="s">
        <v>351</v>
      </c>
      <c r="F13" s="1" t="s">
        <v>330</v>
      </c>
      <c r="G13" s="349">
        <f>VLOOKUP(G6,'8a. RNG'!$D$16:$E$45,2,FALSE)</f>
        <v>2191.7808219178082</v>
      </c>
      <c r="H13" s="349">
        <f>VLOOKUP(H6,'8a. RNG'!$D$16:$E$45,2,FALSE)</f>
        <v>2191.7808219178082</v>
      </c>
      <c r="I13" s="349">
        <f>VLOOKUP(I6,'8a. RNG'!$D$16:$E$45,2,FALSE)</f>
        <v>2191.7808219178082</v>
      </c>
      <c r="J13" s="349">
        <f>VLOOKUP(J6,'8a. RNG'!$D$16:$E$45,2,FALSE)</f>
        <v>2191.7808219178082</v>
      </c>
      <c r="K13" s="349">
        <f>VLOOKUP(K6,'8a. RNG'!$D$16:$E$45,2,FALSE)</f>
        <v>2191.7808219178082</v>
      </c>
      <c r="L13" s="349">
        <f>VLOOKUP(L6,'8a. RNG'!$D$16:$E$45,2,FALSE)</f>
        <v>2191.7808219178082</v>
      </c>
      <c r="M13" s="349">
        <f>VLOOKUP(M6,'8a. RNG'!$D$16:$E$45,2,FALSE)</f>
        <v>2191.7808219178082</v>
      </c>
      <c r="N13" s="349">
        <f>VLOOKUP(N6,'8a. RNG'!$D$16:$E$45,2,FALSE)</f>
        <v>2191.7808219178082</v>
      </c>
      <c r="O13" s="349">
        <f>VLOOKUP(O6,'8a. RNG'!$D$16:$E$45,2,FALSE)</f>
        <v>2191.7808219178082</v>
      </c>
      <c r="P13" s="349">
        <f>VLOOKUP(P6,'8a. RNG'!$D$16:$E$45,2,FALSE)</f>
        <v>2191.7808219178082</v>
      </c>
      <c r="Q13" s="349">
        <f>VLOOKUP(Q6,'8a. RNG'!$D$16:$E$45,2,FALSE)</f>
        <v>2191.7808219178082</v>
      </c>
      <c r="R13" s="349">
        <f>VLOOKUP(R6,'8a. RNG'!$D$16:$E$45,2,FALSE)</f>
        <v>2191.7808219178082</v>
      </c>
      <c r="S13" s="349">
        <f>VLOOKUP(S6,'8a. RNG'!$D$16:$E$45,2,FALSE)</f>
        <v>2191.7808219178082</v>
      </c>
      <c r="T13" s="349">
        <f>VLOOKUP(T6,'8a. RNG'!$D$16:$E$45,2,FALSE)</f>
        <v>2191.7808219178082</v>
      </c>
      <c r="U13" s="349">
        <f>VLOOKUP(U6,'8a. RNG'!$D$16:$E$45,2,FALSE)</f>
        <v>2191.7808219178082</v>
      </c>
      <c r="V13" s="349">
        <f>VLOOKUP(V6,'8a. RNG'!$D$16:$E$45,2,FALSE)</f>
        <v>2191.7808219178082</v>
      </c>
      <c r="W13" s="349">
        <f>VLOOKUP(W6,'8a. RNG'!$D$16:$E$45,2,FALSE)</f>
        <v>2191.7808219178082</v>
      </c>
      <c r="X13" s="349">
        <f>VLOOKUP(X6,'8a. RNG'!$D$16:$E$45,2,FALSE)</f>
        <v>2191.7808219178082</v>
      </c>
      <c r="Y13" s="349">
        <f>VLOOKUP(Y6,'8a. RNG'!$D$16:$E$45,2,FALSE)</f>
        <v>2191.7808219178082</v>
      </c>
      <c r="Z13" s="349">
        <f>VLOOKUP(Z6,'8a. RNG'!$D$16:$E$45,2,FALSE)</f>
        <v>2191.7808219178082</v>
      </c>
      <c r="AA13" s="349">
        <f>VLOOKUP(AA6,'8a. RNG'!$D$16:$E$45,2,FALSE)</f>
        <v>2191.7808219178082</v>
      </c>
      <c r="AB13" s="349">
        <f>VLOOKUP(AB6,'8a. RNG'!$D$16:$E$45,2,FALSE)</f>
        <v>2191.7808219178082</v>
      </c>
      <c r="AC13" s="349">
        <f>VLOOKUP(AC6,'8a. RNG'!$D$16:$E$45,2,FALSE)</f>
        <v>2191.7808219178082</v>
      </c>
      <c r="AD13" s="349">
        <f>VLOOKUP(AD6,'8a. RNG'!$D$16:$E$45,2,FALSE)</f>
        <v>2191.7808219178082</v>
      </c>
      <c r="AE13" s="349">
        <f>VLOOKUP(AE6,'8a. RNG'!$D$16:$E$45,2,FALSE)</f>
        <v>2191.7808219178082</v>
      </c>
      <c r="AF13" s="349">
        <f>VLOOKUP(AF6,'8a. RNG'!$D$16:$E$45,2,FALSE)</f>
        <v>2191.7808219178082</v>
      </c>
      <c r="AG13" s="349">
        <f>VLOOKUP(AG6,'8a. RNG'!$D$16:$E$45,2,FALSE)</f>
        <v>2191.7808219178082</v>
      </c>
      <c r="AH13" s="349">
        <f>VLOOKUP(AH6,'8a. RNG'!$D$16:$E$45,2,FALSE)</f>
        <v>2191.7808219178082</v>
      </c>
      <c r="AI13" s="349">
        <f>VLOOKUP(AI6,'8a. RNG'!$D$16:$E$45,2,FALSE)</f>
        <v>2191.7808219178082</v>
      </c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</row>
    <row r="14" spans="1:51" x14ac:dyDescent="0.25">
      <c r="A14" s="1"/>
      <c r="B14" s="1"/>
      <c r="C14" s="1"/>
      <c r="D14" s="1"/>
      <c r="E14" s="1"/>
      <c r="F14" s="110" t="s">
        <v>352</v>
      </c>
      <c r="G14" s="456">
        <f>SUM(G8:G13)</f>
        <v>79982.780821917811</v>
      </c>
      <c r="H14" s="456">
        <f t="shared" ref="H14:AI14" si="0">SUM(H8:H13)</f>
        <v>80860.264480294165</v>
      </c>
      <c r="I14" s="456">
        <f t="shared" si="0"/>
        <v>80981.999567358129</v>
      </c>
      <c r="J14" s="456">
        <f t="shared" si="0"/>
        <v>79208.927599204937</v>
      </c>
      <c r="K14" s="456">
        <f t="shared" si="0"/>
        <v>79570.859188387636</v>
      </c>
      <c r="L14" s="456">
        <f t="shared" si="0"/>
        <v>79899.939658970135</v>
      </c>
      <c r="M14" s="456">
        <f t="shared" si="0"/>
        <v>80270.715842928388</v>
      </c>
      <c r="N14" s="456">
        <f t="shared" si="0"/>
        <v>80678.501512533287</v>
      </c>
      <c r="O14" s="456">
        <f t="shared" si="0"/>
        <v>77862.707103975146</v>
      </c>
      <c r="P14" s="456">
        <f t="shared" si="0"/>
        <v>78266.854264092719</v>
      </c>
      <c r="Q14" s="456">
        <f t="shared" si="0"/>
        <v>78709.340155667189</v>
      </c>
      <c r="R14" s="456">
        <f t="shared" si="0"/>
        <v>79192.525397633639</v>
      </c>
      <c r="S14" s="456">
        <f t="shared" si="0"/>
        <v>79717.75337697909</v>
      </c>
      <c r="T14" s="456">
        <f t="shared" si="0"/>
        <v>76067.744946457315</v>
      </c>
      <c r="U14" s="456">
        <f t="shared" si="0"/>
        <v>76659.654050336656</v>
      </c>
      <c r="V14" s="456">
        <f t="shared" si="0"/>
        <v>77287.12406018583</v>
      </c>
      <c r="W14" s="456">
        <f t="shared" si="0"/>
        <v>77913.718612136494</v>
      </c>
      <c r="X14" s="456">
        <f t="shared" si="0"/>
        <v>78617.205074596073</v>
      </c>
      <c r="Y14" s="456">
        <f t="shared" si="0"/>
        <v>63609.001593009278</v>
      </c>
      <c r="Z14" s="456">
        <f t="shared" si="0"/>
        <v>64278.82501431524</v>
      </c>
      <c r="AA14" s="456">
        <f t="shared" si="0"/>
        <v>65008.619716383299</v>
      </c>
      <c r="AB14" s="456">
        <f t="shared" si="0"/>
        <v>65659.190992010292</v>
      </c>
      <c r="AC14" s="456">
        <f t="shared" si="0"/>
        <v>66295.586427825154</v>
      </c>
      <c r="AD14" s="456">
        <f t="shared" si="0"/>
        <v>67063.184730256209</v>
      </c>
      <c r="AE14" s="456">
        <f t="shared" si="0"/>
        <v>67127.553859801774</v>
      </c>
      <c r="AF14" s="456">
        <f t="shared" si="0"/>
        <v>67189.330427146502</v>
      </c>
      <c r="AG14" s="456">
        <f t="shared" si="0"/>
        <v>67248.618851579769</v>
      </c>
      <c r="AH14" s="456">
        <f t="shared" si="0"/>
        <v>67305.519346749148</v>
      </c>
      <c r="AI14" s="456">
        <f t="shared" si="0"/>
        <v>67360.128090048849</v>
      </c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</row>
    <row r="15" spans="1:5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</row>
    <row r="16" spans="1:51" x14ac:dyDescent="0.25">
      <c r="A16" s="1"/>
      <c r="B16" s="11"/>
      <c r="C16" s="1"/>
      <c r="D16" s="1"/>
      <c r="E16" s="1"/>
      <c r="F16" s="1"/>
      <c r="G16" s="172">
        <f t="shared" ref="G16:AI16" si="1">G6</f>
        <v>2022</v>
      </c>
      <c r="H16" s="172">
        <f t="shared" si="1"/>
        <v>2023</v>
      </c>
      <c r="I16" s="172">
        <f t="shared" si="1"/>
        <v>2024</v>
      </c>
      <c r="J16" s="172">
        <f t="shared" si="1"/>
        <v>2025</v>
      </c>
      <c r="K16" s="172">
        <f t="shared" si="1"/>
        <v>2026</v>
      </c>
      <c r="L16" s="172">
        <f t="shared" si="1"/>
        <v>2027</v>
      </c>
      <c r="M16" s="172">
        <f t="shared" si="1"/>
        <v>2028</v>
      </c>
      <c r="N16" s="172">
        <f t="shared" si="1"/>
        <v>2029</v>
      </c>
      <c r="O16" s="172">
        <f t="shared" si="1"/>
        <v>2030</v>
      </c>
      <c r="P16" s="172">
        <f t="shared" si="1"/>
        <v>2031</v>
      </c>
      <c r="Q16" s="172">
        <f t="shared" si="1"/>
        <v>2032</v>
      </c>
      <c r="R16" s="172">
        <f t="shared" si="1"/>
        <v>2033</v>
      </c>
      <c r="S16" s="172">
        <f t="shared" si="1"/>
        <v>2034</v>
      </c>
      <c r="T16" s="172">
        <f t="shared" si="1"/>
        <v>2035</v>
      </c>
      <c r="U16" s="172">
        <f t="shared" si="1"/>
        <v>2036</v>
      </c>
      <c r="V16" s="172">
        <f t="shared" si="1"/>
        <v>2037</v>
      </c>
      <c r="W16" s="172">
        <f t="shared" si="1"/>
        <v>2038</v>
      </c>
      <c r="X16" s="172">
        <f t="shared" si="1"/>
        <v>2039</v>
      </c>
      <c r="Y16" s="172">
        <f t="shared" si="1"/>
        <v>2040</v>
      </c>
      <c r="Z16" s="172">
        <f t="shared" si="1"/>
        <v>2041</v>
      </c>
      <c r="AA16" s="172">
        <f t="shared" si="1"/>
        <v>2042</v>
      </c>
      <c r="AB16" s="172">
        <f t="shared" si="1"/>
        <v>2043</v>
      </c>
      <c r="AC16" s="172">
        <f t="shared" si="1"/>
        <v>2044</v>
      </c>
      <c r="AD16" s="172">
        <f t="shared" si="1"/>
        <v>2045</v>
      </c>
      <c r="AE16" s="172">
        <f t="shared" si="1"/>
        <v>2046</v>
      </c>
      <c r="AF16" s="172">
        <f t="shared" si="1"/>
        <v>2047</v>
      </c>
      <c r="AG16" s="172">
        <f t="shared" si="1"/>
        <v>2048</v>
      </c>
      <c r="AH16" s="172">
        <f t="shared" si="1"/>
        <v>2049</v>
      </c>
      <c r="AI16" s="172">
        <f t="shared" si="1"/>
        <v>2050</v>
      </c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</row>
    <row r="17" spans="1:51" x14ac:dyDescent="0.25">
      <c r="A17" s="1"/>
      <c r="B17" s="1"/>
      <c r="C17" s="1"/>
      <c r="D17" s="1"/>
      <c r="E17" s="114" t="s">
        <v>353</v>
      </c>
      <c r="F17" s="1" t="s">
        <v>330</v>
      </c>
      <c r="G17" s="349">
        <f>VLOOKUP(G$6,' Summary Data'!$B$5:$O$28,14,FALSE)/365</f>
        <v>79982.36913990826</v>
      </c>
      <c r="H17" s="349">
        <f>VLOOKUP(H$6,' Summary Data'!$B$5:$O$28,14,FALSE)/365</f>
        <v>80860.264480294165</v>
      </c>
      <c r="I17" s="349">
        <f>VLOOKUP(I$6,' Summary Data'!$B$5:$O$28,14,FALSE)/365</f>
        <v>80981.999567358129</v>
      </c>
      <c r="J17" s="349">
        <f>VLOOKUP(J$6,' Summary Data'!$B$5:$O$28,14,FALSE)/365</f>
        <v>81366.397687093879</v>
      </c>
      <c r="K17" s="349">
        <f>VLOOKUP(K$6,' Summary Data'!$B$5:$O$28,14,FALSE)/365</f>
        <v>81728.329276276578</v>
      </c>
      <c r="L17" s="349">
        <f>VLOOKUP(L$6,' Summary Data'!$B$5:$O$28,14,FALSE)/365</f>
        <v>82057.409746859092</v>
      </c>
      <c r="M17" s="349">
        <f>VLOOKUP(M$6,' Summary Data'!$B$5:$O$28,14,FALSE)/365</f>
        <v>82428.185930817344</v>
      </c>
      <c r="N17" s="349">
        <f>VLOOKUP(N$6,' Summary Data'!$B$5:$O$28,14,FALSE)/365</f>
        <v>82835.971600422228</v>
      </c>
      <c r="O17" s="349">
        <f>VLOOKUP(O$6,' Summary Data'!$B$5:$O$28,14,FALSE)/365</f>
        <v>83255.90684158045</v>
      </c>
      <c r="P17" s="349">
        <f>VLOOKUP(P$6,' Summary Data'!$B$5:$O$28,14,FALSE)/365</f>
        <v>83660.054001698023</v>
      </c>
      <c r="Q17" s="349">
        <f>VLOOKUP(Q$6,' Summary Data'!$B$5:$O$28,14,FALSE)/365</f>
        <v>84102.539893272507</v>
      </c>
      <c r="R17" s="349">
        <f>VLOOKUP(R$6,' Summary Data'!$B$5:$O$28,14,FALSE)/365</f>
        <v>84585.725135238943</v>
      </c>
      <c r="S17" s="349">
        <f>VLOOKUP(S$6,' Summary Data'!$B$5:$O$28,14,FALSE)/365</f>
        <v>85110.953114584408</v>
      </c>
      <c r="T17" s="349">
        <f>VLOOKUP(T$6,' Summary Data'!$B$5:$O$28,14,FALSE)/365</f>
        <v>85629.249527841108</v>
      </c>
      <c r="U17" s="349">
        <f>VLOOKUP(U$6,' Summary Data'!$B$5:$O$28,14,FALSE)/365</f>
        <v>86124.059293241793</v>
      </c>
      <c r="V17" s="349">
        <f>VLOOKUP(V$6,' Summary Data'!$B$5:$O$28,14,FALSE)/365</f>
        <v>86658.340784541739</v>
      </c>
      <c r="W17" s="349">
        <f>VLOOKUP(W$6,' Summary Data'!$B$5:$O$28,14,FALSE)/365</f>
        <v>87195.500123797232</v>
      </c>
      <c r="X17" s="349">
        <f>VLOOKUP(X$6,' Summary Data'!$B$5:$O$28,14,FALSE)/365</f>
        <v>87813.153509453405</v>
      </c>
      <c r="Y17" s="349">
        <f>VLOOKUP(Y$6,' Summary Data'!$B$5:$O$28,14,FALSE)/365</f>
        <v>88339.012361751622</v>
      </c>
      <c r="Z17" s="349">
        <f>VLOOKUP(Z$6,' Summary Data'!$B$5:$O$28,14,FALSE)/365</f>
        <v>88929.777577301807</v>
      </c>
      <c r="AA17" s="349">
        <f>VLOOKUP(AA$6,' Summary Data'!$B$5:$O$28,14,FALSE)/365</f>
        <v>89583.698260154386</v>
      </c>
      <c r="AB17" s="349">
        <f>VLOOKUP(AB$6,' Summary Data'!$B$5:$O$28,14,FALSE)/365</f>
        <v>90161.451455268703</v>
      </c>
      <c r="AC17" s="349">
        <f>VLOOKUP(AC$6,' Summary Data'!$B$5:$O$28,14,FALSE)/365</f>
        <v>90727.961666808158</v>
      </c>
      <c r="AD17" s="349">
        <f>VLOOKUP(AD$6,' Summary Data'!$B$5:$O$28,14,FALSE)/365</f>
        <v>91428.489476064438</v>
      </c>
      <c r="AE17" s="349">
        <f>$AD$17</f>
        <v>91428.489476064438</v>
      </c>
      <c r="AF17" s="349">
        <f>$AD$17</f>
        <v>91428.489476064438</v>
      </c>
      <c r="AG17" s="349">
        <f>$AD$17</f>
        <v>91428.489476064438</v>
      </c>
      <c r="AH17" s="349">
        <f>$AD$17</f>
        <v>91428.489476064438</v>
      </c>
      <c r="AI17" s="349">
        <f>$AD$17</f>
        <v>91428.489476064438</v>
      </c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</row>
    <row r="18" spans="1:51" x14ac:dyDescent="0.25">
      <c r="A18" s="1"/>
      <c r="B18" s="1"/>
      <c r="C18" s="1"/>
      <c r="D18" s="1"/>
      <c r="E18" s="110" t="s">
        <v>354</v>
      </c>
      <c r="F18" s="11" t="s">
        <v>330</v>
      </c>
      <c r="G18" s="465">
        <f>G17-G14-G48</f>
        <v>-0.4116820095514413</v>
      </c>
      <c r="H18" s="465">
        <f>H17-H14-H48</f>
        <v>0</v>
      </c>
      <c r="I18" s="465">
        <f>I17-I14-I48</f>
        <v>0</v>
      </c>
      <c r="J18" s="465">
        <f>J17-J14-J48</f>
        <v>-1.0459189070388675E-11</v>
      </c>
      <c r="K18" s="465">
        <f t="shared" ref="K18:S18" si="2">K17-K14-K48</f>
        <v>-1.0459189070388675E-11</v>
      </c>
      <c r="L18" s="465">
        <f t="shared" si="2"/>
        <v>4.0927261579781771E-12</v>
      </c>
      <c r="M18" s="465">
        <f t="shared" si="2"/>
        <v>4.0927261579781771E-12</v>
      </c>
      <c r="N18" s="465">
        <f t="shared" si="2"/>
        <v>-1.0459189070388675E-11</v>
      </c>
      <c r="O18" s="465">
        <f t="shared" si="2"/>
        <v>0</v>
      </c>
      <c r="P18" s="465">
        <f t="shared" si="2"/>
        <v>0</v>
      </c>
      <c r="Q18" s="465">
        <f t="shared" si="2"/>
        <v>9.0949470177292824E-12</v>
      </c>
      <c r="R18" s="465">
        <f t="shared" si="2"/>
        <v>0</v>
      </c>
      <c r="S18" s="465">
        <f t="shared" si="2"/>
        <v>9.0949470177292824E-12</v>
      </c>
      <c r="T18" s="465">
        <f>T17-T14-T48</f>
        <v>0</v>
      </c>
      <c r="U18" s="465">
        <f t="shared" ref="U18:AI18" si="3">U17-U14-U48</f>
        <v>0</v>
      </c>
      <c r="V18" s="465">
        <f t="shared" si="3"/>
        <v>0</v>
      </c>
      <c r="W18" s="465">
        <f t="shared" si="3"/>
        <v>0</v>
      </c>
      <c r="X18" s="465">
        <f t="shared" si="3"/>
        <v>0</v>
      </c>
      <c r="Y18" s="465">
        <f>Y17-Y14-Y48</f>
        <v>0</v>
      </c>
      <c r="Z18" s="465">
        <f t="shared" si="3"/>
        <v>0</v>
      </c>
      <c r="AA18" s="465">
        <f t="shared" si="3"/>
        <v>0</v>
      </c>
      <c r="AB18" s="465">
        <f t="shared" si="3"/>
        <v>0</v>
      </c>
      <c r="AC18" s="465">
        <f t="shared" si="3"/>
        <v>0</v>
      </c>
      <c r="AD18" s="465">
        <f t="shared" si="3"/>
        <v>0</v>
      </c>
      <c r="AE18" s="465">
        <f t="shared" si="3"/>
        <v>0</v>
      </c>
      <c r="AF18" s="465">
        <f t="shared" si="3"/>
        <v>0</v>
      </c>
      <c r="AG18" s="465">
        <f t="shared" si="3"/>
        <v>0</v>
      </c>
      <c r="AH18" s="465">
        <f t="shared" si="3"/>
        <v>0</v>
      </c>
      <c r="AI18" s="465">
        <f t="shared" si="3"/>
        <v>0</v>
      </c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</row>
    <row r="19" spans="1:5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</row>
    <row r="20" spans="1:51" x14ac:dyDescent="0.25">
      <c r="A20" s="1"/>
      <c r="B20" s="1"/>
      <c r="C20" s="1"/>
      <c r="D20" s="454" t="s">
        <v>355</v>
      </c>
      <c r="E20" s="61"/>
      <c r="F20" s="466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</row>
    <row r="21" spans="1:5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</row>
    <row r="22" spans="1:51" x14ac:dyDescent="0.25">
      <c r="A22" s="1"/>
      <c r="B22" s="1"/>
      <c r="C22" s="1"/>
      <c r="D22" s="1"/>
      <c r="E22" s="1"/>
      <c r="F22" s="1"/>
      <c r="G22" s="114" t="s">
        <v>356</v>
      </c>
      <c r="H22" s="117">
        <v>0.3</v>
      </c>
      <c r="J22" s="1"/>
      <c r="K22" s="1"/>
      <c r="L22" s="1"/>
      <c r="M22" s="1"/>
      <c r="N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</row>
    <row r="23" spans="1:51" x14ac:dyDescent="0.25">
      <c r="A23" s="1"/>
      <c r="B23" s="1"/>
      <c r="C23" s="1"/>
      <c r="D23" s="1"/>
      <c r="E23" s="1"/>
      <c r="F23" s="1"/>
      <c r="G23" s="546" t="s">
        <v>357</v>
      </c>
      <c r="H23" s="546"/>
      <c r="I23" s="546"/>
      <c r="J23" s="1"/>
      <c r="K23" s="547" t="s">
        <v>770</v>
      </c>
      <c r="L23" s="547"/>
      <c r="M23" s="1"/>
      <c r="N23" s="546" t="s">
        <v>358</v>
      </c>
      <c r="O23" s="546"/>
      <c r="P23" s="1"/>
      <c r="Q23" s="547" t="s">
        <v>359</v>
      </c>
      <c r="R23" s="547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</row>
    <row r="24" spans="1:51" ht="15.75" thickBot="1" x14ac:dyDescent="0.3">
      <c r="A24" s="1"/>
      <c r="B24" s="1"/>
      <c r="C24" s="1"/>
      <c r="D24" s="1"/>
      <c r="E24" s="1"/>
      <c r="F24" s="1"/>
      <c r="G24" s="1" t="s">
        <v>360</v>
      </c>
      <c r="H24" s="119" t="s">
        <v>173</v>
      </c>
      <c r="I24" s="51" t="s">
        <v>361</v>
      </c>
      <c r="J24" s="1"/>
      <c r="K24" s="119" t="s">
        <v>173</v>
      </c>
      <c r="L24" s="51" t="s">
        <v>361</v>
      </c>
      <c r="M24" s="1"/>
      <c r="N24" s="119" t="s">
        <v>173</v>
      </c>
      <c r="O24" s="51" t="s">
        <v>361</v>
      </c>
      <c r="P24" s="1"/>
      <c r="Q24" s="119" t="s">
        <v>173</v>
      </c>
      <c r="R24" s="60" t="s">
        <v>362</v>
      </c>
      <c r="S24" s="51" t="s">
        <v>363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</row>
    <row r="25" spans="1:51" ht="15.75" thickBot="1" x14ac:dyDescent="0.3">
      <c r="A25" s="1"/>
      <c r="B25" s="1"/>
      <c r="C25" s="1"/>
      <c r="D25" s="1"/>
      <c r="E25" s="1"/>
      <c r="F25" s="1"/>
      <c r="G25" s="122" t="s">
        <v>364</v>
      </c>
      <c r="H25" s="123">
        <v>2035</v>
      </c>
      <c r="I25" s="458">
        <v>0</v>
      </c>
      <c r="J25" s="1"/>
      <c r="K25" s="123">
        <v>2025</v>
      </c>
      <c r="L25" s="124">
        <f>VLOOKUP(K25,'8a. RNG'!D16:H45,3,FALSE)</f>
        <v>2157.4700878889521</v>
      </c>
      <c r="M25" s="1"/>
      <c r="N25" s="123">
        <v>2040</v>
      </c>
      <c r="O25" s="124">
        <f>VLOOKUP(N25,'8a. RNG'!$O$16:$T$45,2,FALSE)</f>
        <v>15616.438356164384</v>
      </c>
      <c r="P25" s="1"/>
      <c r="Q25" s="461" t="s">
        <v>0</v>
      </c>
      <c r="R25" s="462">
        <v>89.4</v>
      </c>
      <c r="S25" s="463" t="s">
        <v>340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</row>
    <row r="26" spans="1:51" ht="15.75" thickBot="1" x14ac:dyDescent="0.3">
      <c r="A26" s="1"/>
      <c r="B26" s="1"/>
      <c r="C26" s="1"/>
      <c r="D26" s="1"/>
      <c r="E26" s="1"/>
      <c r="F26" s="1"/>
      <c r="G26" s="125" t="s">
        <v>365</v>
      </c>
      <c r="H26" s="126">
        <v>2040</v>
      </c>
      <c r="I26" s="459">
        <v>0</v>
      </c>
      <c r="J26" s="1"/>
      <c r="K26" s="126">
        <v>2030</v>
      </c>
      <c r="L26" s="127">
        <f>VLOOKUP(K26,'8a. RNG'!D16:H45,4,FALSE)</f>
        <v>3235.7296497163575</v>
      </c>
      <c r="M26" s="1"/>
      <c r="N26" s="126" t="s">
        <v>366</v>
      </c>
      <c r="O26" s="127">
        <f>VLOOKUP(N26,'8a. RNG'!$O$16:$T$45,3,FALSE)</f>
        <v>0</v>
      </c>
      <c r="P26" s="1"/>
      <c r="Q26" s="51" t="s">
        <v>361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</row>
    <row r="27" spans="1:51" ht="15.75" thickBot="1" x14ac:dyDescent="0.3">
      <c r="A27" s="1"/>
      <c r="B27" s="1"/>
      <c r="C27" s="1"/>
      <c r="D27" s="1"/>
      <c r="E27" s="1"/>
      <c r="F27" s="1"/>
      <c r="G27" s="125" t="s">
        <v>367</v>
      </c>
      <c r="H27" s="126">
        <v>2045</v>
      </c>
      <c r="I27" s="459">
        <v>0</v>
      </c>
      <c r="J27" s="1"/>
      <c r="K27" s="130">
        <v>2035</v>
      </c>
      <c r="L27" s="131">
        <f>VLOOKUP(K27,'8a. RNG'!D16:H45,5,FALSE)</f>
        <v>4168.3048437784746</v>
      </c>
      <c r="M27" s="1"/>
      <c r="N27" s="126" t="s">
        <v>366</v>
      </c>
      <c r="O27" s="127">
        <f>VLOOKUP(N27,'8a. RNG'!$O$16:$T$45,4,FALSE)</f>
        <v>0</v>
      </c>
      <c r="P27" s="1"/>
      <c r="Q27" s="464" t="e">
        <f>IF(Q25="n/a",0,VLOOKUP(1,'7a. Green Hydrogen'!Q6:W41,7,FALSE))</f>
        <v>#N/A</v>
      </c>
      <c r="R27" s="8" t="str">
        <f>IF(ISERROR(Q27),"Please select power price $/MWh applicable to respective year from the drop-down menu above","")</f>
        <v>Please select power price $/MWh applicable to respective year from the drop-down menu above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</row>
    <row r="28" spans="1:51" x14ac:dyDescent="0.25">
      <c r="A28" s="1"/>
      <c r="B28" s="1"/>
      <c r="C28" s="1"/>
      <c r="D28" s="1"/>
      <c r="E28" s="1"/>
      <c r="F28" s="1"/>
      <c r="G28" s="125" t="s">
        <v>368</v>
      </c>
      <c r="H28" s="126">
        <v>2050</v>
      </c>
      <c r="I28" s="459">
        <v>0</v>
      </c>
      <c r="J28" s="1"/>
      <c r="K28" s="51"/>
      <c r="L28" s="17"/>
      <c r="M28" s="1"/>
      <c r="N28" s="126" t="s">
        <v>366</v>
      </c>
      <c r="O28" s="127">
        <f>VLOOKUP(N28,'8a. RNG'!$O$16:$T$45,5,FALSE)</f>
        <v>0</v>
      </c>
      <c r="P28" s="1"/>
      <c r="Q28" s="1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</row>
    <row r="29" spans="1:51" ht="15.75" thickBot="1" x14ac:dyDescent="0.3">
      <c r="A29" s="1"/>
      <c r="B29" s="1"/>
      <c r="C29" s="1"/>
      <c r="D29" s="1"/>
      <c r="E29" s="1"/>
      <c r="F29" s="1"/>
      <c r="G29" s="129" t="s">
        <v>369</v>
      </c>
      <c r="H29" s="130" t="s">
        <v>366</v>
      </c>
      <c r="I29" s="460">
        <v>0</v>
      </c>
      <c r="J29" s="1"/>
      <c r="K29" s="51"/>
      <c r="L29" s="17"/>
      <c r="M29" s="1"/>
      <c r="N29" s="130" t="s">
        <v>366</v>
      </c>
      <c r="O29" s="131">
        <f>VLOOKUP(N29,'8a. RNG'!$O$16:$T$45,6,FALSE)</f>
        <v>0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</row>
    <row r="30" spans="1:5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</row>
    <row r="31" spans="1:5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</row>
    <row r="32" spans="1:51" x14ac:dyDescent="0.25">
      <c r="A32" s="1"/>
      <c r="B32" s="1"/>
      <c r="C32" s="1"/>
      <c r="D32" s="1"/>
      <c r="E32" s="1"/>
      <c r="F32" s="455" t="s">
        <v>370</v>
      </c>
      <c r="G32" s="110">
        <v>2022</v>
      </c>
      <c r="H32" s="110">
        <v>2023</v>
      </c>
      <c r="I32" s="110">
        <v>2024</v>
      </c>
      <c r="J32" s="110">
        <v>2025</v>
      </c>
      <c r="K32" s="110">
        <v>2026</v>
      </c>
      <c r="L32" s="110">
        <v>2027</v>
      </c>
      <c r="M32" s="110">
        <v>2028</v>
      </c>
      <c r="N32" s="110">
        <v>2029</v>
      </c>
      <c r="O32" s="110">
        <v>2030</v>
      </c>
      <c r="P32" s="110">
        <v>2031</v>
      </c>
      <c r="Q32" s="110">
        <v>2032</v>
      </c>
      <c r="R32" s="110">
        <v>2033</v>
      </c>
      <c r="S32" s="110">
        <v>2034</v>
      </c>
      <c r="T32" s="110">
        <v>2035</v>
      </c>
      <c r="U32" s="110">
        <v>2036</v>
      </c>
      <c r="V32" s="110">
        <v>2037</v>
      </c>
      <c r="W32" s="110">
        <v>2038</v>
      </c>
      <c r="X32" s="110">
        <v>2039</v>
      </c>
      <c r="Y32" s="110">
        <v>2040</v>
      </c>
      <c r="Z32" s="110">
        <v>2041</v>
      </c>
      <c r="AA32" s="110">
        <v>2042</v>
      </c>
      <c r="AB32" s="110">
        <v>2043</v>
      </c>
      <c r="AC32" s="110">
        <v>2044</v>
      </c>
      <c r="AD32" s="110">
        <v>2045</v>
      </c>
      <c r="AE32" s="110">
        <v>2046</v>
      </c>
      <c r="AF32" s="110">
        <v>2047</v>
      </c>
      <c r="AG32" s="110">
        <v>2048</v>
      </c>
      <c r="AH32" s="110">
        <v>2049</v>
      </c>
      <c r="AI32" s="110">
        <v>2050</v>
      </c>
      <c r="AJ32" s="172" t="s">
        <v>0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</row>
    <row r="33" spans="1:51" ht="11.25" customHeight="1" x14ac:dyDescent="0.25">
      <c r="A33" s="1"/>
      <c r="B33" s="1"/>
      <c r="C33" s="1"/>
      <c r="D33" s="1"/>
      <c r="E33" s="114"/>
      <c r="F33" s="1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</row>
    <row r="34" spans="1:51" x14ac:dyDescent="0.25">
      <c r="A34" s="1"/>
      <c r="B34" s="1"/>
      <c r="C34" s="1"/>
      <c r="D34" s="1"/>
      <c r="E34" s="139" t="s">
        <v>760</v>
      </c>
      <c r="F34" s="1" t="s">
        <v>330</v>
      </c>
      <c r="G34" s="469">
        <f t="array" ref="G34:AI36">TRANSPOSE('8a. RNG'!F16:H44)</f>
        <v>0</v>
      </c>
      <c r="H34" s="469">
        <v>0</v>
      </c>
      <c r="I34" s="469">
        <v>0</v>
      </c>
      <c r="J34" s="469">
        <v>2157.4700878889521</v>
      </c>
      <c r="K34" s="469">
        <v>2157.4700878889521</v>
      </c>
      <c r="L34" s="469">
        <v>2157.4700878889521</v>
      </c>
      <c r="M34" s="469">
        <v>2157.4700878889521</v>
      </c>
      <c r="N34" s="469">
        <v>2157.4700878889521</v>
      </c>
      <c r="O34" s="469">
        <v>2157.4700878889521</v>
      </c>
      <c r="P34" s="469">
        <v>2157.4700878889521</v>
      </c>
      <c r="Q34" s="469">
        <v>2157.4700878889521</v>
      </c>
      <c r="R34" s="469">
        <v>2157.4700878889521</v>
      </c>
      <c r="S34" s="469">
        <v>2157.4700878889521</v>
      </c>
      <c r="T34" s="469">
        <v>2157.4700878889521</v>
      </c>
      <c r="U34" s="469">
        <v>2157.4700878889521</v>
      </c>
      <c r="V34" s="469">
        <v>2157.4700878889521</v>
      </c>
      <c r="W34" s="469">
        <v>2157.4700878889521</v>
      </c>
      <c r="X34" s="469">
        <v>2157.4700878889521</v>
      </c>
      <c r="Y34" s="469">
        <v>2157.4700878889521</v>
      </c>
      <c r="Z34" s="469">
        <v>2157.4700878889521</v>
      </c>
      <c r="AA34" s="469">
        <v>2157.4700878889521</v>
      </c>
      <c r="AB34" s="469">
        <v>2157.4700878889521</v>
      </c>
      <c r="AC34" s="469">
        <v>2157.4700878889521</v>
      </c>
      <c r="AD34" s="469">
        <v>2157.4700878889521</v>
      </c>
      <c r="AE34" s="469">
        <v>2157.4700878889521</v>
      </c>
      <c r="AF34" s="469">
        <v>2157.4700878889521</v>
      </c>
      <c r="AG34" s="469">
        <v>2157.4700878889521</v>
      </c>
      <c r="AH34" s="469">
        <v>2157.4700878889521</v>
      </c>
      <c r="AI34" s="469">
        <v>2157.4700878889521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</row>
    <row r="35" spans="1:51" x14ac:dyDescent="0.25">
      <c r="A35" s="1"/>
      <c r="B35" s="1"/>
      <c r="C35" s="1"/>
      <c r="D35" s="1"/>
      <c r="E35" s="139" t="s">
        <v>771</v>
      </c>
      <c r="F35" s="1" t="s">
        <v>330</v>
      </c>
      <c r="G35" s="469">
        <v>0</v>
      </c>
      <c r="H35" s="469">
        <v>0</v>
      </c>
      <c r="I35" s="469">
        <v>0</v>
      </c>
      <c r="J35" s="469">
        <v>0</v>
      </c>
      <c r="K35" s="469">
        <v>0</v>
      </c>
      <c r="L35" s="469">
        <v>0</v>
      </c>
      <c r="M35" s="469">
        <v>0</v>
      </c>
      <c r="N35" s="469">
        <v>0</v>
      </c>
      <c r="O35" s="469">
        <v>3235.7296497163575</v>
      </c>
      <c r="P35" s="469">
        <v>3235.7296497163575</v>
      </c>
      <c r="Q35" s="469">
        <v>3235.7296497163575</v>
      </c>
      <c r="R35" s="469">
        <v>3235.7296497163575</v>
      </c>
      <c r="S35" s="469">
        <v>3235.7296497163575</v>
      </c>
      <c r="T35" s="469">
        <v>3235.7296497163575</v>
      </c>
      <c r="U35" s="469">
        <v>3235.7296497163575</v>
      </c>
      <c r="V35" s="469">
        <v>3235.7296497163575</v>
      </c>
      <c r="W35" s="469">
        <v>3235.7296497163575</v>
      </c>
      <c r="X35" s="469">
        <v>3235.7296497163575</v>
      </c>
      <c r="Y35" s="469">
        <v>3235.7296497163575</v>
      </c>
      <c r="Z35" s="469">
        <v>3235.7296497163575</v>
      </c>
      <c r="AA35" s="469">
        <v>3235.7296497163575</v>
      </c>
      <c r="AB35" s="469">
        <v>3235.7296497163575</v>
      </c>
      <c r="AC35" s="469">
        <v>3235.7296497163575</v>
      </c>
      <c r="AD35" s="469">
        <v>3235.7296497163575</v>
      </c>
      <c r="AE35" s="469">
        <v>3235.7296497163575</v>
      </c>
      <c r="AF35" s="469">
        <v>3235.7296497163575</v>
      </c>
      <c r="AG35" s="469">
        <v>3235.7296497163575</v>
      </c>
      <c r="AH35" s="469">
        <v>3235.7296497163575</v>
      </c>
      <c r="AI35" s="469">
        <v>3235.7296497163575</v>
      </c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</row>
    <row r="36" spans="1:51" x14ac:dyDescent="0.25">
      <c r="A36" s="1"/>
      <c r="B36" s="1"/>
      <c r="C36" s="1"/>
      <c r="D36" s="1"/>
      <c r="E36" s="115" t="s">
        <v>373</v>
      </c>
      <c r="F36" s="1" t="s">
        <v>330</v>
      </c>
      <c r="G36" s="469">
        <v>0</v>
      </c>
      <c r="H36" s="469">
        <v>0</v>
      </c>
      <c r="I36" s="469">
        <v>0</v>
      </c>
      <c r="J36" s="469">
        <v>0</v>
      </c>
      <c r="K36" s="469">
        <v>0</v>
      </c>
      <c r="L36" s="469">
        <v>0</v>
      </c>
      <c r="M36" s="469">
        <v>0</v>
      </c>
      <c r="N36" s="469">
        <v>0</v>
      </c>
      <c r="O36" s="469">
        <v>0</v>
      </c>
      <c r="P36" s="469">
        <v>0</v>
      </c>
      <c r="Q36" s="469">
        <v>0</v>
      </c>
      <c r="R36" s="469">
        <v>0</v>
      </c>
      <c r="S36" s="469">
        <v>0</v>
      </c>
      <c r="T36" s="469">
        <v>4168.3048437784746</v>
      </c>
      <c r="U36" s="469">
        <v>4071.2055052998276</v>
      </c>
      <c r="V36" s="469">
        <v>3978.0169867506083</v>
      </c>
      <c r="W36" s="469">
        <v>3888.5817740554357</v>
      </c>
      <c r="X36" s="469">
        <v>3802.7486972520292</v>
      </c>
      <c r="Y36" s="469">
        <v>3720.3726749726393</v>
      </c>
      <c r="Z36" s="469">
        <v>3641.3144692168717</v>
      </c>
      <c r="AA36" s="469">
        <v>3565.4404500013898</v>
      </c>
      <c r="AB36" s="469">
        <v>3492.6223694887103</v>
      </c>
      <c r="AC36" s="469">
        <v>3422.7371452132993</v>
      </c>
      <c r="AD36" s="469">
        <v>3355.6666520385406</v>
      </c>
      <c r="AE36" s="469">
        <v>3291.2975224929669</v>
      </c>
      <c r="AF36" s="469">
        <v>3229.5209551482385</v>
      </c>
      <c r="AG36" s="469">
        <v>3170.2325307149713</v>
      </c>
      <c r="AH36" s="469">
        <v>3113.332035545598</v>
      </c>
      <c r="AI36" s="469">
        <v>3058.7232922458988</v>
      </c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</row>
    <row r="37" spans="1:51" x14ac:dyDescent="0.25">
      <c r="A37" s="1"/>
      <c r="B37" s="1"/>
      <c r="C37" s="1"/>
      <c r="D37" s="1"/>
      <c r="E37" s="139" t="str">
        <f>'8a. RNG'!$P$12</f>
        <v>CDW Exp. 1</v>
      </c>
      <c r="F37" s="1" t="s">
        <v>330</v>
      </c>
      <c r="G37" s="469">
        <f t="array" ref="G37:AI41">TRANSPOSE('8a. RNG'!P16:T44)</f>
        <v>0</v>
      </c>
      <c r="H37" s="469">
        <v>0</v>
      </c>
      <c r="I37" s="469">
        <v>0</v>
      </c>
      <c r="J37" s="469">
        <v>0</v>
      </c>
      <c r="K37" s="469">
        <v>0</v>
      </c>
      <c r="L37" s="469">
        <v>0</v>
      </c>
      <c r="M37" s="469">
        <v>0</v>
      </c>
      <c r="N37" s="469">
        <v>0</v>
      </c>
      <c r="O37" s="469">
        <v>0</v>
      </c>
      <c r="P37" s="469">
        <v>0</v>
      </c>
      <c r="Q37" s="469">
        <v>0</v>
      </c>
      <c r="R37" s="469">
        <v>0</v>
      </c>
      <c r="S37" s="469">
        <v>0</v>
      </c>
      <c r="T37" s="469">
        <v>0</v>
      </c>
      <c r="U37" s="469">
        <v>0</v>
      </c>
      <c r="V37" s="469">
        <v>0</v>
      </c>
      <c r="W37" s="469">
        <v>0</v>
      </c>
      <c r="X37" s="469">
        <v>0</v>
      </c>
      <c r="Y37" s="469">
        <v>15616.438356164384</v>
      </c>
      <c r="Z37" s="469">
        <v>15616.438356164384</v>
      </c>
      <c r="AA37" s="469">
        <v>15616.438356164384</v>
      </c>
      <c r="AB37" s="469">
        <v>15616.438356164384</v>
      </c>
      <c r="AC37" s="469">
        <v>15616.438356164384</v>
      </c>
      <c r="AD37" s="469">
        <v>15616.438356164384</v>
      </c>
      <c r="AE37" s="469">
        <v>15616.438356164384</v>
      </c>
      <c r="AF37" s="469">
        <v>15616.438356164384</v>
      </c>
      <c r="AG37" s="469">
        <v>15616.438356164384</v>
      </c>
      <c r="AH37" s="469">
        <v>15616.438356164384</v>
      </c>
      <c r="AI37" s="469">
        <v>15616.438356164384</v>
      </c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</row>
    <row r="38" spans="1:51" x14ac:dyDescent="0.25">
      <c r="A38" s="1"/>
      <c r="B38" s="1"/>
      <c r="C38" s="1"/>
      <c r="D38" s="1"/>
      <c r="E38" s="139" t="str">
        <f>'8a. RNG'!$Q$12</f>
        <v>CDW Exp. 2</v>
      </c>
      <c r="F38" s="1" t="s">
        <v>330</v>
      </c>
      <c r="G38" s="469">
        <v>0</v>
      </c>
      <c r="H38" s="469">
        <v>0</v>
      </c>
      <c r="I38" s="469">
        <v>0</v>
      </c>
      <c r="J38" s="469">
        <v>0</v>
      </c>
      <c r="K38" s="469">
        <v>0</v>
      </c>
      <c r="L38" s="469">
        <v>0</v>
      </c>
      <c r="M38" s="469">
        <v>0</v>
      </c>
      <c r="N38" s="469">
        <v>0</v>
      </c>
      <c r="O38" s="469">
        <v>0</v>
      </c>
      <c r="P38" s="469">
        <v>0</v>
      </c>
      <c r="Q38" s="469">
        <v>0</v>
      </c>
      <c r="R38" s="469">
        <v>0</v>
      </c>
      <c r="S38" s="469">
        <v>0</v>
      </c>
      <c r="T38" s="469">
        <v>0</v>
      </c>
      <c r="U38" s="469">
        <v>0</v>
      </c>
      <c r="V38" s="469">
        <v>0</v>
      </c>
      <c r="W38" s="469">
        <v>0</v>
      </c>
      <c r="X38" s="469">
        <v>0</v>
      </c>
      <c r="Y38" s="469">
        <v>0</v>
      </c>
      <c r="Z38" s="469">
        <v>0</v>
      </c>
      <c r="AA38" s="469">
        <v>0</v>
      </c>
      <c r="AB38" s="469">
        <v>0</v>
      </c>
      <c r="AC38" s="469">
        <v>0</v>
      </c>
      <c r="AD38" s="469">
        <v>0</v>
      </c>
      <c r="AE38" s="469">
        <v>0</v>
      </c>
      <c r="AF38" s="469">
        <v>0</v>
      </c>
      <c r="AG38" s="469">
        <v>0</v>
      </c>
      <c r="AH38" s="469">
        <v>0</v>
      </c>
      <c r="AI38" s="469">
        <v>0</v>
      </c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</row>
    <row r="39" spans="1:51" x14ac:dyDescent="0.25">
      <c r="A39" s="1"/>
      <c r="B39" s="1"/>
      <c r="C39" s="1"/>
      <c r="D39" s="1"/>
      <c r="E39" s="139" t="str">
        <f>'8a. RNG'!$R$12</f>
        <v>CDW Exp. 3</v>
      </c>
      <c r="F39" s="1" t="s">
        <v>330</v>
      </c>
      <c r="G39" s="469">
        <v>0</v>
      </c>
      <c r="H39" s="469">
        <v>0</v>
      </c>
      <c r="I39" s="469">
        <v>0</v>
      </c>
      <c r="J39" s="469">
        <v>0</v>
      </c>
      <c r="K39" s="469">
        <v>0</v>
      </c>
      <c r="L39" s="469">
        <v>0</v>
      </c>
      <c r="M39" s="469">
        <v>0</v>
      </c>
      <c r="N39" s="469">
        <v>0</v>
      </c>
      <c r="O39" s="469">
        <v>0</v>
      </c>
      <c r="P39" s="469">
        <v>0</v>
      </c>
      <c r="Q39" s="469">
        <v>0</v>
      </c>
      <c r="R39" s="469">
        <v>0</v>
      </c>
      <c r="S39" s="469">
        <v>0</v>
      </c>
      <c r="T39" s="469">
        <v>0</v>
      </c>
      <c r="U39" s="469">
        <v>0</v>
      </c>
      <c r="V39" s="469">
        <v>0</v>
      </c>
      <c r="W39" s="469">
        <v>0</v>
      </c>
      <c r="X39" s="469">
        <v>0</v>
      </c>
      <c r="Y39" s="469">
        <v>0</v>
      </c>
      <c r="Z39" s="469">
        <v>0</v>
      </c>
      <c r="AA39" s="469">
        <v>0</v>
      </c>
      <c r="AB39" s="469">
        <v>0</v>
      </c>
      <c r="AC39" s="469">
        <v>0</v>
      </c>
      <c r="AD39" s="469">
        <v>0</v>
      </c>
      <c r="AE39" s="469">
        <v>0</v>
      </c>
      <c r="AF39" s="469">
        <v>0</v>
      </c>
      <c r="AG39" s="469">
        <v>0</v>
      </c>
      <c r="AH39" s="469">
        <v>0</v>
      </c>
      <c r="AI39" s="469">
        <v>0</v>
      </c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</row>
    <row r="40" spans="1:51" x14ac:dyDescent="0.25">
      <c r="A40" s="1"/>
      <c r="B40" s="1"/>
      <c r="C40" s="1"/>
      <c r="D40" s="1"/>
      <c r="E40" s="139" t="str">
        <f>'8a. RNG'!$S$12</f>
        <v>CDW Exp. 4</v>
      </c>
      <c r="F40" s="1" t="s">
        <v>330</v>
      </c>
      <c r="G40" s="469">
        <v>0</v>
      </c>
      <c r="H40" s="469">
        <v>0</v>
      </c>
      <c r="I40" s="469">
        <v>0</v>
      </c>
      <c r="J40" s="469">
        <v>0</v>
      </c>
      <c r="K40" s="469">
        <v>0</v>
      </c>
      <c r="L40" s="469">
        <v>0</v>
      </c>
      <c r="M40" s="469">
        <v>0</v>
      </c>
      <c r="N40" s="469">
        <v>0</v>
      </c>
      <c r="O40" s="469">
        <v>0</v>
      </c>
      <c r="P40" s="469">
        <v>0</v>
      </c>
      <c r="Q40" s="469">
        <v>0</v>
      </c>
      <c r="R40" s="469">
        <v>0</v>
      </c>
      <c r="S40" s="469">
        <v>0</v>
      </c>
      <c r="T40" s="469">
        <v>0</v>
      </c>
      <c r="U40" s="469">
        <v>0</v>
      </c>
      <c r="V40" s="469">
        <v>0</v>
      </c>
      <c r="W40" s="469">
        <v>0</v>
      </c>
      <c r="X40" s="469">
        <v>0</v>
      </c>
      <c r="Y40" s="469">
        <v>0</v>
      </c>
      <c r="Z40" s="469">
        <v>0</v>
      </c>
      <c r="AA40" s="469">
        <v>0</v>
      </c>
      <c r="AB40" s="469">
        <v>0</v>
      </c>
      <c r="AC40" s="469">
        <v>0</v>
      </c>
      <c r="AD40" s="469">
        <v>0</v>
      </c>
      <c r="AE40" s="469">
        <v>0</v>
      </c>
      <c r="AF40" s="469">
        <v>0</v>
      </c>
      <c r="AG40" s="469">
        <v>0</v>
      </c>
      <c r="AH40" s="469">
        <v>0</v>
      </c>
      <c r="AI40" s="469">
        <v>0</v>
      </c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</row>
    <row r="41" spans="1:51" x14ac:dyDescent="0.25">
      <c r="A41" s="1"/>
      <c r="B41" s="1"/>
      <c r="C41" s="1"/>
      <c r="D41" s="1"/>
      <c r="E41" s="139" t="str">
        <f>'8a. RNG'!$T$12</f>
        <v>CDW Exp. 5</v>
      </c>
      <c r="F41" s="1" t="s">
        <v>330</v>
      </c>
      <c r="G41" s="469">
        <v>0</v>
      </c>
      <c r="H41" s="469">
        <v>0</v>
      </c>
      <c r="I41" s="469">
        <v>0</v>
      </c>
      <c r="J41" s="469">
        <v>0</v>
      </c>
      <c r="K41" s="469">
        <v>0</v>
      </c>
      <c r="L41" s="469">
        <v>0</v>
      </c>
      <c r="M41" s="469">
        <v>0</v>
      </c>
      <c r="N41" s="469">
        <v>0</v>
      </c>
      <c r="O41" s="469">
        <v>0</v>
      </c>
      <c r="P41" s="469">
        <v>0</v>
      </c>
      <c r="Q41" s="469">
        <v>0</v>
      </c>
      <c r="R41" s="469">
        <v>0</v>
      </c>
      <c r="S41" s="469">
        <v>0</v>
      </c>
      <c r="T41" s="469">
        <v>0</v>
      </c>
      <c r="U41" s="469">
        <v>0</v>
      </c>
      <c r="V41" s="469">
        <v>0</v>
      </c>
      <c r="W41" s="469">
        <v>0</v>
      </c>
      <c r="X41" s="469">
        <v>0</v>
      </c>
      <c r="Y41" s="469">
        <v>0</v>
      </c>
      <c r="Z41" s="469">
        <v>0</v>
      </c>
      <c r="AA41" s="469">
        <v>0</v>
      </c>
      <c r="AB41" s="469">
        <v>0</v>
      </c>
      <c r="AC41" s="469">
        <v>0</v>
      </c>
      <c r="AD41" s="469">
        <v>0</v>
      </c>
      <c r="AE41" s="469">
        <v>0</v>
      </c>
      <c r="AF41" s="469">
        <v>0</v>
      </c>
      <c r="AG41" s="469">
        <v>0</v>
      </c>
      <c r="AH41" s="469">
        <v>0</v>
      </c>
      <c r="AI41" s="469">
        <v>0</v>
      </c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</row>
    <row r="42" spans="1:51" x14ac:dyDescent="0.25">
      <c r="A42" s="1"/>
      <c r="B42" s="1"/>
      <c r="C42" s="1"/>
      <c r="D42" s="1"/>
      <c r="E42" s="139" t="str">
        <f>'5. LNG- ISO_Expansion'!$X$12</f>
        <v>LNG ISO Exp 1</v>
      </c>
      <c r="F42" s="1" t="s">
        <v>330</v>
      </c>
      <c r="G42" s="469">
        <f t="array" ref="G42:AI46">TRANSPOSE('5. LNG- ISO_Expansion'!AE14:AI42)</f>
        <v>0</v>
      </c>
      <c r="H42" s="469">
        <v>0</v>
      </c>
      <c r="I42" s="469">
        <v>0</v>
      </c>
      <c r="J42" s="469">
        <v>0</v>
      </c>
      <c r="K42" s="469">
        <v>0</v>
      </c>
      <c r="L42" s="469">
        <v>0</v>
      </c>
      <c r="M42" s="469">
        <v>0</v>
      </c>
      <c r="N42" s="469">
        <v>0</v>
      </c>
      <c r="O42" s="469">
        <v>0</v>
      </c>
      <c r="P42" s="469">
        <v>0</v>
      </c>
      <c r="Q42" s="469">
        <v>0</v>
      </c>
      <c r="R42" s="469">
        <v>0</v>
      </c>
      <c r="S42" s="469">
        <v>0</v>
      </c>
      <c r="T42" s="469">
        <v>0</v>
      </c>
      <c r="U42" s="469">
        <v>0</v>
      </c>
      <c r="V42" s="469">
        <v>0</v>
      </c>
      <c r="W42" s="469">
        <v>0</v>
      </c>
      <c r="X42" s="469">
        <v>0</v>
      </c>
      <c r="Y42" s="469">
        <v>0</v>
      </c>
      <c r="Z42" s="469">
        <v>0</v>
      </c>
      <c r="AA42" s="469">
        <v>0</v>
      </c>
      <c r="AB42" s="469">
        <v>0</v>
      </c>
      <c r="AC42" s="469">
        <v>0</v>
      </c>
      <c r="AD42" s="469">
        <v>0</v>
      </c>
      <c r="AE42" s="469">
        <v>0</v>
      </c>
      <c r="AF42" s="469">
        <v>0</v>
      </c>
      <c r="AG42" s="469">
        <v>0</v>
      </c>
      <c r="AH42" s="469">
        <v>0</v>
      </c>
      <c r="AI42" s="469">
        <v>0</v>
      </c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</row>
    <row r="43" spans="1:51" x14ac:dyDescent="0.25">
      <c r="A43" s="1"/>
      <c r="B43" s="1"/>
      <c r="C43" s="1"/>
      <c r="D43" s="1"/>
      <c r="E43" s="139" t="str">
        <f>'5. LNG- ISO_Expansion'!$Y$12</f>
        <v>LNG ISO Exp 2</v>
      </c>
      <c r="F43" s="1" t="s">
        <v>330</v>
      </c>
      <c r="G43" s="469">
        <v>0</v>
      </c>
      <c r="H43" s="469">
        <v>0</v>
      </c>
      <c r="I43" s="469">
        <v>0</v>
      </c>
      <c r="J43" s="469">
        <v>0</v>
      </c>
      <c r="K43" s="469">
        <v>0</v>
      </c>
      <c r="L43" s="469">
        <v>0</v>
      </c>
      <c r="M43" s="469">
        <v>0</v>
      </c>
      <c r="N43" s="469">
        <v>0</v>
      </c>
      <c r="O43" s="469">
        <v>0</v>
      </c>
      <c r="P43" s="469">
        <v>0</v>
      </c>
      <c r="Q43" s="469">
        <v>0</v>
      </c>
      <c r="R43" s="469">
        <v>0</v>
      </c>
      <c r="S43" s="469">
        <v>0</v>
      </c>
      <c r="T43" s="469">
        <v>0</v>
      </c>
      <c r="U43" s="469">
        <v>0</v>
      </c>
      <c r="V43" s="469">
        <v>0</v>
      </c>
      <c r="W43" s="469">
        <v>0</v>
      </c>
      <c r="X43" s="469">
        <v>0</v>
      </c>
      <c r="Y43" s="469">
        <v>0</v>
      </c>
      <c r="Z43" s="469">
        <v>0</v>
      </c>
      <c r="AA43" s="469">
        <v>0</v>
      </c>
      <c r="AB43" s="469">
        <v>0</v>
      </c>
      <c r="AC43" s="469">
        <v>0</v>
      </c>
      <c r="AD43" s="469">
        <v>0</v>
      </c>
      <c r="AE43" s="469">
        <v>0</v>
      </c>
      <c r="AF43" s="469">
        <v>0</v>
      </c>
      <c r="AG43" s="469">
        <v>0</v>
      </c>
      <c r="AH43" s="469">
        <v>0</v>
      </c>
      <c r="AI43" s="469">
        <v>0</v>
      </c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</row>
    <row r="44" spans="1:51" x14ac:dyDescent="0.25">
      <c r="A44" s="1"/>
      <c r="B44" s="1"/>
      <c r="C44" s="1"/>
      <c r="D44" s="1"/>
      <c r="E44" s="139" t="str">
        <f>'5. LNG- ISO_Expansion'!$Z$12</f>
        <v>LNG ISO Exp 3</v>
      </c>
      <c r="F44" s="1" t="s">
        <v>330</v>
      </c>
      <c r="G44" s="469">
        <v>0</v>
      </c>
      <c r="H44" s="469">
        <v>0</v>
      </c>
      <c r="I44" s="469">
        <v>0</v>
      </c>
      <c r="J44" s="469">
        <v>0</v>
      </c>
      <c r="K44" s="469">
        <v>0</v>
      </c>
      <c r="L44" s="469">
        <v>0</v>
      </c>
      <c r="M44" s="469">
        <v>0</v>
      </c>
      <c r="N44" s="469">
        <v>0</v>
      </c>
      <c r="O44" s="469">
        <v>0</v>
      </c>
      <c r="P44" s="469">
        <v>0</v>
      </c>
      <c r="Q44" s="469">
        <v>0</v>
      </c>
      <c r="R44" s="469">
        <v>0</v>
      </c>
      <c r="S44" s="469">
        <v>0</v>
      </c>
      <c r="T44" s="469">
        <v>0</v>
      </c>
      <c r="U44" s="469">
        <v>0</v>
      </c>
      <c r="V44" s="469">
        <v>0</v>
      </c>
      <c r="W44" s="469">
        <v>0</v>
      </c>
      <c r="X44" s="469">
        <v>0</v>
      </c>
      <c r="Y44" s="469">
        <v>0</v>
      </c>
      <c r="Z44" s="469">
        <v>0</v>
      </c>
      <c r="AA44" s="469">
        <v>0</v>
      </c>
      <c r="AB44" s="469">
        <v>0</v>
      </c>
      <c r="AC44" s="469">
        <v>0</v>
      </c>
      <c r="AD44" s="469">
        <v>0</v>
      </c>
      <c r="AE44" s="469">
        <v>0</v>
      </c>
      <c r="AF44" s="469">
        <v>0</v>
      </c>
      <c r="AG44" s="469">
        <v>0</v>
      </c>
      <c r="AH44" s="469">
        <v>0</v>
      </c>
      <c r="AI44" s="469">
        <v>0</v>
      </c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</row>
    <row r="45" spans="1:51" x14ac:dyDescent="0.25">
      <c r="A45" s="1"/>
      <c r="B45" s="1"/>
      <c r="C45" s="1"/>
      <c r="D45" s="1"/>
      <c r="E45" s="139" t="str">
        <f>'5. LNG- ISO_Expansion'!$AA$12</f>
        <v>LNG ISO Exp 4</v>
      </c>
      <c r="F45" s="1" t="s">
        <v>330</v>
      </c>
      <c r="G45" s="469">
        <v>0</v>
      </c>
      <c r="H45" s="469">
        <v>0</v>
      </c>
      <c r="I45" s="469">
        <v>0</v>
      </c>
      <c r="J45" s="469">
        <v>0</v>
      </c>
      <c r="K45" s="469">
        <v>0</v>
      </c>
      <c r="L45" s="469">
        <v>0</v>
      </c>
      <c r="M45" s="469">
        <v>0</v>
      </c>
      <c r="N45" s="469">
        <v>0</v>
      </c>
      <c r="O45" s="469">
        <v>0</v>
      </c>
      <c r="P45" s="469">
        <v>0</v>
      </c>
      <c r="Q45" s="469">
        <v>0</v>
      </c>
      <c r="R45" s="469">
        <v>0</v>
      </c>
      <c r="S45" s="469">
        <v>0</v>
      </c>
      <c r="T45" s="469">
        <v>0</v>
      </c>
      <c r="U45" s="469">
        <v>0</v>
      </c>
      <c r="V45" s="469">
        <v>0</v>
      </c>
      <c r="W45" s="469">
        <v>0</v>
      </c>
      <c r="X45" s="469">
        <v>0</v>
      </c>
      <c r="Y45" s="469">
        <v>0</v>
      </c>
      <c r="Z45" s="469">
        <v>0</v>
      </c>
      <c r="AA45" s="469">
        <v>0</v>
      </c>
      <c r="AB45" s="469">
        <v>0</v>
      </c>
      <c r="AC45" s="469">
        <v>0</v>
      </c>
      <c r="AD45" s="469">
        <v>0</v>
      </c>
      <c r="AE45" s="469">
        <v>0</v>
      </c>
      <c r="AF45" s="469">
        <v>0</v>
      </c>
      <c r="AG45" s="469">
        <v>0</v>
      </c>
      <c r="AH45" s="469">
        <v>0</v>
      </c>
      <c r="AI45" s="469">
        <v>0</v>
      </c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</row>
    <row r="46" spans="1:51" x14ac:dyDescent="0.25">
      <c r="A46" s="1"/>
      <c r="B46" s="1"/>
      <c r="C46" s="1"/>
      <c r="D46" s="1"/>
      <c r="E46" s="139" t="str">
        <f>'5. LNG- ISO_Expansion'!$AB$12</f>
        <v>LNG ISO Exp 5</v>
      </c>
      <c r="F46" s="1" t="s">
        <v>330</v>
      </c>
      <c r="G46" s="469">
        <v>0</v>
      </c>
      <c r="H46" s="469">
        <v>0</v>
      </c>
      <c r="I46" s="469">
        <v>0</v>
      </c>
      <c r="J46" s="469">
        <v>0</v>
      </c>
      <c r="K46" s="469">
        <v>0</v>
      </c>
      <c r="L46" s="469">
        <v>0</v>
      </c>
      <c r="M46" s="469">
        <v>0</v>
      </c>
      <c r="N46" s="469">
        <v>0</v>
      </c>
      <c r="O46" s="469">
        <v>0</v>
      </c>
      <c r="P46" s="469">
        <v>0</v>
      </c>
      <c r="Q46" s="469">
        <v>0</v>
      </c>
      <c r="R46" s="469">
        <v>0</v>
      </c>
      <c r="S46" s="469">
        <v>0</v>
      </c>
      <c r="T46" s="469">
        <v>0</v>
      </c>
      <c r="U46" s="469">
        <v>0</v>
      </c>
      <c r="V46" s="469">
        <v>0</v>
      </c>
      <c r="W46" s="469">
        <v>0</v>
      </c>
      <c r="X46" s="469">
        <v>0</v>
      </c>
      <c r="Y46" s="469">
        <v>0</v>
      </c>
      <c r="Z46" s="469">
        <v>0</v>
      </c>
      <c r="AA46" s="469">
        <v>0</v>
      </c>
      <c r="AB46" s="469">
        <v>0</v>
      </c>
      <c r="AC46" s="469">
        <v>0</v>
      </c>
      <c r="AD46" s="469">
        <v>0</v>
      </c>
      <c r="AE46" s="469">
        <v>0</v>
      </c>
      <c r="AF46" s="469">
        <v>0</v>
      </c>
      <c r="AG46" s="469">
        <v>0</v>
      </c>
      <c r="AH46" s="469">
        <v>0</v>
      </c>
      <c r="AI46" s="469">
        <v>0</v>
      </c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</row>
    <row r="47" spans="1:51" x14ac:dyDescent="0.25">
      <c r="A47" s="1"/>
      <c r="B47" s="1"/>
      <c r="C47" s="1"/>
      <c r="D47" s="1"/>
      <c r="E47" s="139" t="s">
        <v>384</v>
      </c>
      <c r="F47" s="1" t="s">
        <v>330</v>
      </c>
      <c r="G47" s="469">
        <v>0</v>
      </c>
      <c r="H47" s="469">
        <f t="shared" ref="H47:N47" si="4">IF($Q$25=H32,$Q$27,G47)</f>
        <v>0</v>
      </c>
      <c r="I47" s="469">
        <f t="shared" si="4"/>
        <v>0</v>
      </c>
      <c r="J47" s="469">
        <f t="shared" si="4"/>
        <v>0</v>
      </c>
      <c r="K47" s="469">
        <f t="shared" si="4"/>
        <v>0</v>
      </c>
      <c r="L47" s="469">
        <f t="shared" si="4"/>
        <v>0</v>
      </c>
      <c r="M47" s="469">
        <f t="shared" si="4"/>
        <v>0</v>
      </c>
      <c r="N47" s="469">
        <f t="shared" si="4"/>
        <v>0</v>
      </c>
      <c r="O47" s="469">
        <f t="shared" ref="O47:X47" si="5">IF($Q$25&lt;=O32,MIN($Q$27,O17-O14-SUM(O34:O46)),0)</f>
        <v>0</v>
      </c>
      <c r="P47" s="469">
        <f t="shared" si="5"/>
        <v>0</v>
      </c>
      <c r="Q47" s="469">
        <f t="shared" si="5"/>
        <v>0</v>
      </c>
      <c r="R47" s="469">
        <f t="shared" si="5"/>
        <v>0</v>
      </c>
      <c r="S47" s="469">
        <f t="shared" si="5"/>
        <v>0</v>
      </c>
      <c r="T47" s="469">
        <f t="shared" si="5"/>
        <v>0</v>
      </c>
      <c r="U47" s="469">
        <f t="shared" si="5"/>
        <v>0</v>
      </c>
      <c r="V47" s="469">
        <f t="shared" si="5"/>
        <v>0</v>
      </c>
      <c r="W47" s="469">
        <f t="shared" si="5"/>
        <v>0</v>
      </c>
      <c r="X47" s="469">
        <f t="shared" si="5"/>
        <v>0</v>
      </c>
      <c r="Y47" s="469">
        <f>IF($Q$25&lt;=Y32,MIN($Q$27,Y17-Y14-SUM(Y34:Y46)),0)</f>
        <v>0</v>
      </c>
      <c r="Z47" s="469">
        <f>IF($Q$25&lt;=Z32,MIN($Q$27,Z17-Z14-SUM(Z34:Z46)),0)</f>
        <v>0</v>
      </c>
      <c r="AA47" s="469">
        <f t="shared" ref="AA47:AI47" si="6">IF($Q$25&lt;=AA32,MIN($Q$27,AA17-AA14-SUM(AA34:AA46)),0)</f>
        <v>0</v>
      </c>
      <c r="AB47" s="469">
        <f t="shared" si="6"/>
        <v>0</v>
      </c>
      <c r="AC47" s="469">
        <f t="shared" si="6"/>
        <v>0</v>
      </c>
      <c r="AD47" s="469">
        <f t="shared" si="6"/>
        <v>0</v>
      </c>
      <c r="AE47" s="469">
        <f t="shared" si="6"/>
        <v>0</v>
      </c>
      <c r="AF47" s="469">
        <f t="shared" si="6"/>
        <v>0</v>
      </c>
      <c r="AG47" s="469">
        <f t="shared" si="6"/>
        <v>0</v>
      </c>
      <c r="AH47" s="469">
        <f t="shared" si="6"/>
        <v>0</v>
      </c>
      <c r="AI47" s="469">
        <f t="shared" si="6"/>
        <v>0</v>
      </c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</row>
    <row r="48" spans="1:51" x14ac:dyDescent="0.25">
      <c r="A48" s="1"/>
      <c r="B48" s="1"/>
      <c r="C48" s="1"/>
      <c r="D48" s="1"/>
      <c r="E48" s="1"/>
      <c r="F48" s="110" t="s">
        <v>352</v>
      </c>
      <c r="G48" s="456">
        <f t="shared" ref="G48:AI48" si="7">SUM(G34:G47)</f>
        <v>0</v>
      </c>
      <c r="H48" s="456">
        <f t="shared" si="7"/>
        <v>0</v>
      </c>
      <c r="I48" s="456">
        <f t="shared" si="7"/>
        <v>0</v>
      </c>
      <c r="J48" s="456">
        <f t="shared" si="7"/>
        <v>2157.4700878889521</v>
      </c>
      <c r="K48" s="456">
        <f t="shared" si="7"/>
        <v>2157.4700878889521</v>
      </c>
      <c r="L48" s="456">
        <f t="shared" si="7"/>
        <v>2157.4700878889521</v>
      </c>
      <c r="M48" s="456">
        <f t="shared" si="7"/>
        <v>2157.4700878889521</v>
      </c>
      <c r="N48" s="456">
        <f t="shared" si="7"/>
        <v>2157.4700878889521</v>
      </c>
      <c r="O48" s="456">
        <f t="shared" si="7"/>
        <v>5393.1997376053096</v>
      </c>
      <c r="P48" s="456">
        <f t="shared" si="7"/>
        <v>5393.1997376053096</v>
      </c>
      <c r="Q48" s="456">
        <f t="shared" si="7"/>
        <v>5393.1997376053096</v>
      </c>
      <c r="R48" s="456">
        <f t="shared" si="7"/>
        <v>5393.1997376053096</v>
      </c>
      <c r="S48" s="456">
        <f t="shared" si="7"/>
        <v>5393.1997376053096</v>
      </c>
      <c r="T48" s="456">
        <f>SUM(T34:T47)</f>
        <v>9561.5045813837842</v>
      </c>
      <c r="U48" s="456">
        <f t="shared" si="7"/>
        <v>9464.4052429051371</v>
      </c>
      <c r="V48" s="456">
        <f t="shared" si="7"/>
        <v>9371.2167243559179</v>
      </c>
      <c r="W48" s="456">
        <f t="shared" si="7"/>
        <v>9281.7815116607453</v>
      </c>
      <c r="X48" s="456">
        <f t="shared" si="7"/>
        <v>9195.9484348573387</v>
      </c>
      <c r="Y48" s="456">
        <f t="shared" si="7"/>
        <v>24730.010768742333</v>
      </c>
      <c r="Z48" s="456">
        <f t="shared" si="7"/>
        <v>24650.952562986568</v>
      </c>
      <c r="AA48" s="456">
        <f t="shared" si="7"/>
        <v>24575.078543771084</v>
      </c>
      <c r="AB48" s="456">
        <f t="shared" si="7"/>
        <v>24502.260463258404</v>
      </c>
      <c r="AC48" s="456">
        <f t="shared" si="7"/>
        <v>24432.375238982993</v>
      </c>
      <c r="AD48" s="456">
        <f t="shared" si="7"/>
        <v>24365.304745808236</v>
      </c>
      <c r="AE48" s="456">
        <f t="shared" si="7"/>
        <v>24300.935616262661</v>
      </c>
      <c r="AF48" s="456">
        <f t="shared" si="7"/>
        <v>24239.159048917933</v>
      </c>
      <c r="AG48" s="456">
        <f t="shared" si="7"/>
        <v>24179.870624484665</v>
      </c>
      <c r="AH48" s="456">
        <f t="shared" si="7"/>
        <v>24122.97012931529</v>
      </c>
      <c r="AI48" s="456">
        <f t="shared" si="7"/>
        <v>24068.361386015593</v>
      </c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</row>
    <row r="49" spans="1:51" x14ac:dyDescent="0.25">
      <c r="A49" s="1"/>
      <c r="B49" s="1"/>
      <c r="C49" s="1"/>
      <c r="D49" s="1"/>
      <c r="E49" s="1"/>
      <c r="F49" s="110" t="s">
        <v>385</v>
      </c>
      <c r="G49" s="477" t="s">
        <v>0</v>
      </c>
      <c r="H49" s="477" t="s">
        <v>0</v>
      </c>
      <c r="I49" s="477" t="s">
        <v>0</v>
      </c>
      <c r="J49" s="477" t="s">
        <v>0</v>
      </c>
      <c r="K49" s="477"/>
      <c r="L49" s="477"/>
      <c r="M49" s="477"/>
      <c r="N49" s="477"/>
      <c r="O49" s="477"/>
      <c r="P49" s="477"/>
      <c r="Q49" s="477"/>
      <c r="R49" s="477"/>
      <c r="S49" s="477"/>
      <c r="T49" s="477"/>
      <c r="U49" s="477"/>
      <c r="V49" s="477"/>
      <c r="W49" s="477"/>
      <c r="X49" s="477"/>
      <c r="Y49" s="477"/>
      <c r="Z49" s="477"/>
      <c r="AA49" s="477"/>
      <c r="AB49" s="477"/>
      <c r="AC49" s="477"/>
      <c r="AD49" s="477"/>
      <c r="AE49" s="477"/>
      <c r="AF49" s="477"/>
      <c r="AG49" s="477"/>
      <c r="AH49" s="477"/>
      <c r="AI49" s="477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</row>
    <row r="50" spans="1:51" x14ac:dyDescent="0.25">
      <c r="A50" s="1"/>
      <c r="B50" s="1"/>
      <c r="C50" s="1"/>
      <c r="D50" s="454" t="s">
        <v>386</v>
      </c>
      <c r="E50" s="61"/>
      <c r="F50" s="466"/>
      <c r="G50" s="10"/>
      <c r="H50" s="10"/>
      <c r="I50" s="10"/>
      <c r="J50" s="512"/>
      <c r="K50" s="512"/>
      <c r="L50" s="512"/>
      <c r="M50" s="512"/>
      <c r="N50" s="512"/>
      <c r="O50" s="512"/>
      <c r="P50" s="512"/>
      <c r="Q50" s="512"/>
      <c r="R50" s="512"/>
      <c r="S50" s="512"/>
      <c r="T50" s="512"/>
      <c r="U50" s="512"/>
      <c r="V50" s="512"/>
      <c r="W50" s="512"/>
      <c r="X50" s="512"/>
      <c r="Y50" s="512"/>
      <c r="Z50" s="512"/>
      <c r="AA50" s="512"/>
      <c r="AB50" s="512"/>
      <c r="AC50" s="512"/>
      <c r="AD50" s="512"/>
      <c r="AE50" s="512"/>
      <c r="AF50" s="512"/>
      <c r="AG50" s="512"/>
      <c r="AH50" s="512"/>
      <c r="AI50" s="512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</row>
    <row r="51" spans="1:51" x14ac:dyDescent="0.25">
      <c r="A51" s="1"/>
      <c r="B51" s="1"/>
      <c r="C51" s="1"/>
      <c r="D51" s="1"/>
      <c r="E51" s="114"/>
      <c r="F51" s="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</row>
    <row r="52" spans="1:51" x14ac:dyDescent="0.25">
      <c r="A52" s="1"/>
      <c r="B52" s="1"/>
      <c r="C52" s="1"/>
      <c r="D52" s="1"/>
      <c r="E52" s="110" t="s">
        <v>354</v>
      </c>
      <c r="F52" s="11" t="s">
        <v>330</v>
      </c>
      <c r="G52" s="465">
        <f>G48-G18</f>
        <v>0.4116820095514413</v>
      </c>
      <c r="H52" s="465">
        <f>H18-H48</f>
        <v>0</v>
      </c>
      <c r="I52" s="465">
        <f>I18-I48</f>
        <v>0</v>
      </c>
      <c r="J52" s="465">
        <f>J17-J14-J48</f>
        <v>-1.0459189070388675E-11</v>
      </c>
      <c r="K52" s="465">
        <f t="shared" ref="K52:AI52" si="8">K17-K14-K48</f>
        <v>-1.0459189070388675E-11</v>
      </c>
      <c r="L52" s="465">
        <f t="shared" si="8"/>
        <v>4.0927261579781771E-12</v>
      </c>
      <c r="M52" s="465">
        <f t="shared" si="8"/>
        <v>4.0927261579781771E-12</v>
      </c>
      <c r="N52" s="465">
        <f t="shared" si="8"/>
        <v>-1.0459189070388675E-11</v>
      </c>
      <c r="O52" s="465">
        <f t="shared" si="8"/>
        <v>0</v>
      </c>
      <c r="P52" s="465">
        <f t="shared" si="8"/>
        <v>0</v>
      </c>
      <c r="Q52" s="465">
        <f t="shared" si="8"/>
        <v>9.0949470177292824E-12</v>
      </c>
      <c r="R52" s="465">
        <f t="shared" si="8"/>
        <v>0</v>
      </c>
      <c r="S52" s="465">
        <f t="shared" si="8"/>
        <v>9.0949470177292824E-12</v>
      </c>
      <c r="T52" s="465">
        <f>T17-T14-T48</f>
        <v>0</v>
      </c>
      <c r="U52" s="465">
        <f t="shared" si="8"/>
        <v>0</v>
      </c>
      <c r="V52" s="465">
        <f t="shared" si="8"/>
        <v>0</v>
      </c>
      <c r="W52" s="465">
        <f t="shared" si="8"/>
        <v>0</v>
      </c>
      <c r="X52" s="465">
        <f t="shared" si="8"/>
        <v>0</v>
      </c>
      <c r="Y52" s="465">
        <f t="shared" si="8"/>
        <v>0</v>
      </c>
      <c r="Z52" s="465">
        <f t="shared" si="8"/>
        <v>0</v>
      </c>
      <c r="AA52" s="465">
        <f t="shared" si="8"/>
        <v>0</v>
      </c>
      <c r="AB52" s="465">
        <f t="shared" si="8"/>
        <v>0</v>
      </c>
      <c r="AC52" s="465">
        <f t="shared" si="8"/>
        <v>0</v>
      </c>
      <c r="AD52" s="465">
        <f t="shared" si="8"/>
        <v>0</v>
      </c>
      <c r="AE52" s="465">
        <f t="shared" si="8"/>
        <v>0</v>
      </c>
      <c r="AF52" s="465">
        <f t="shared" si="8"/>
        <v>0</v>
      </c>
      <c r="AG52" s="465">
        <f t="shared" si="8"/>
        <v>0</v>
      </c>
      <c r="AH52" s="465">
        <f t="shared" si="8"/>
        <v>0</v>
      </c>
      <c r="AI52" s="465">
        <f t="shared" si="8"/>
        <v>0</v>
      </c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</row>
    <row r="53" spans="1:5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</row>
    <row r="54" spans="1:51" x14ac:dyDescent="0.25">
      <c r="A54" s="1"/>
      <c r="B54" s="1"/>
      <c r="C54" s="1"/>
      <c r="D54" s="1"/>
      <c r="E54" s="1"/>
      <c r="F54" s="455" t="s">
        <v>387</v>
      </c>
      <c r="G54" s="110">
        <v>2022</v>
      </c>
      <c r="H54" s="110">
        <v>2023</v>
      </c>
      <c r="I54" s="110">
        <v>2024</v>
      </c>
      <c r="J54" s="110">
        <v>2025</v>
      </c>
      <c r="K54" s="110">
        <v>2026</v>
      </c>
      <c r="L54" s="110">
        <v>2027</v>
      </c>
      <c r="M54" s="110">
        <v>2028</v>
      </c>
      <c r="N54" s="110">
        <v>2029</v>
      </c>
      <c r="O54" s="110">
        <v>2030</v>
      </c>
      <c r="P54" s="110">
        <v>2031</v>
      </c>
      <c r="Q54" s="110">
        <v>2032</v>
      </c>
      <c r="R54" s="110">
        <v>2033</v>
      </c>
      <c r="S54" s="110">
        <v>2034</v>
      </c>
      <c r="T54" s="110">
        <v>2035</v>
      </c>
      <c r="U54" s="110">
        <v>2036</v>
      </c>
      <c r="V54" s="110">
        <v>2037</v>
      </c>
      <c r="W54" s="110">
        <v>2038</v>
      </c>
      <c r="X54" s="110">
        <v>2039</v>
      </c>
      <c r="Y54" s="110">
        <v>2040</v>
      </c>
      <c r="Z54" s="110">
        <v>2041</v>
      </c>
      <c r="AA54" s="110">
        <v>2042</v>
      </c>
      <c r="AB54" s="110">
        <v>2043</v>
      </c>
      <c r="AC54" s="110">
        <v>2044</v>
      </c>
      <c r="AD54" s="110">
        <v>2045</v>
      </c>
      <c r="AE54" s="110">
        <v>2046</v>
      </c>
      <c r="AF54" s="110">
        <v>2047</v>
      </c>
      <c r="AG54" s="110">
        <v>2048</v>
      </c>
      <c r="AH54" s="110">
        <v>2049</v>
      </c>
      <c r="AI54" s="110">
        <v>2050</v>
      </c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</row>
    <row r="55" spans="1:51" x14ac:dyDescent="0.25">
      <c r="A55" s="1"/>
      <c r="B55" s="1"/>
      <c r="C55" s="1"/>
      <c r="D55" s="1"/>
      <c r="E55" s="1"/>
      <c r="F55" s="455"/>
      <c r="G55" s="1"/>
      <c r="H55" s="1"/>
      <c r="I55" s="1"/>
      <c r="J55" s="1"/>
      <c r="K55" s="1"/>
      <c r="L55" s="1"/>
      <c r="M55" s="1"/>
      <c r="N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</row>
    <row r="56" spans="1:51" x14ac:dyDescent="0.25">
      <c r="A56" s="1"/>
      <c r="B56" s="1"/>
      <c r="C56" s="1"/>
      <c r="D56" s="1"/>
      <c r="E56" s="114" t="s">
        <v>344</v>
      </c>
      <c r="F56" s="1" t="s">
        <v>388</v>
      </c>
      <c r="G56" s="473">
        <f>IF(G8=0,0,VLOOKUP(G$54,'2. SNG Firm'!$K$15:$P$43,6,FALSE))</f>
        <v>2.9635545750415564</v>
      </c>
      <c r="H56" s="473">
        <f>IF(H8=0,0,VLOOKUP(H$54,'2. SNG Firm'!$K$15:$P$43,6,FALSE))</f>
        <v>2.6310348086233697</v>
      </c>
      <c r="I56" s="473">
        <f>IF(I8=0,0,VLOOKUP(I$54,'2. SNG Firm'!$K$15:$P$43,6,FALSE))</f>
        <v>2.0950298143433348</v>
      </c>
      <c r="J56" s="473">
        <f>IF(J8=0,0,VLOOKUP(J$54,'2. SNG Firm'!$K$15:$P$43,6,FALSE))</f>
        <v>2.1186729560940578</v>
      </c>
      <c r="K56" s="473">
        <f>IF(K8=0,0,VLOOKUP(K$54,'2. SNG Firm'!$K$15:$P$43,6,FALSE))</f>
        <v>2.1577811562167883</v>
      </c>
      <c r="L56" s="473">
        <f>IF(L8=0,0,VLOOKUP(L$54,'2. SNG Firm'!$K$15:$P$43,6,FALSE))</f>
        <v>2.2161642299857727</v>
      </c>
      <c r="M56" s="473">
        <f>IF(M8=0,0,VLOOKUP(M$54,'2. SNG Firm'!$K$15:$P$43,6,FALSE))</f>
        <v>2.2588491934517609</v>
      </c>
      <c r="N56" s="473">
        <f>IF(N8=0,0,VLOOKUP(N$54,'2. SNG Firm'!$K$15:$P$43,6,FALSE))</f>
        <v>2.2905332962426463</v>
      </c>
      <c r="O56" s="473">
        <f>IF(O8=0,0,VLOOKUP(O$54,'2. SNG Firm'!$K$15:$P$43,6,FALSE))</f>
        <v>2.3241631724902168</v>
      </c>
      <c r="P56" s="473">
        <f>IF(P8=0,0,VLOOKUP(P$54,'2. SNG Firm'!$K$15:$P$43,6,FALSE))</f>
        <v>2.37063584476806</v>
      </c>
      <c r="Q56" s="473">
        <f>IF(Q8=0,0,VLOOKUP(Q$54,'2. SNG Firm'!$K$15:$P$43,6,FALSE))</f>
        <v>2.4070794689118853</v>
      </c>
      <c r="R56" s="473">
        <f>IF(R8=0,0,VLOOKUP(R$54,'2. SNG Firm'!$K$15:$P$43,6,FALSE))</f>
        <v>2.4317212623171898</v>
      </c>
      <c r="S56" s="473">
        <f>IF(S8=0,0,VLOOKUP(S$54,'2. SNG Firm'!$K$15:$P$43,6,FALSE))</f>
        <v>2.4442813447157481</v>
      </c>
      <c r="T56" s="473">
        <f>IF(T8=0,0,VLOOKUP(T$54,'2. SNG Firm'!$K$15:$P$43,6,FALSE))</f>
        <v>2.4665255521632869</v>
      </c>
      <c r="U56" s="473">
        <f>IF(U8=0,0,VLOOKUP(U$54,'2. SNG Firm'!$K$15:$P$43,6,FALSE))</f>
        <v>2.5043296266842177</v>
      </c>
      <c r="V56" s="473">
        <f>IF(V8=0,0,VLOOKUP(V$54,'2. SNG Firm'!$K$15:$P$43,6,FALSE))</f>
        <v>2.5320051428545058</v>
      </c>
      <c r="W56" s="473">
        <f>IF(W8=0,0,VLOOKUP(W$54,'2. SNG Firm'!$K$15:$P$43,6,FALSE))</f>
        <v>2.5641089882080719</v>
      </c>
      <c r="X56" s="473">
        <f>IF(X8=0,0,VLOOKUP(X$54,'2. SNG Firm'!$K$15:$P$43,6,FALSE))</f>
        <v>2.5721428814074407</v>
      </c>
      <c r="Y56" s="473">
        <f>IF(Y8=0,0,VLOOKUP(Y$54,'2. SNG Firm'!$K$15:$P$43,6,FALSE))</f>
        <v>2.6191207953264533</v>
      </c>
      <c r="Z56" s="473">
        <f>IF(Z8=0,0,VLOOKUP(Z$54,'2. SNG Firm'!$K$15:$P$43,6,FALSE))</f>
        <v>2.6478590718922588</v>
      </c>
      <c r="AA56" s="473">
        <f>IF(AA8=0,0,VLOOKUP(AA$54,'2. SNG Firm'!$K$15:$P$43,6,FALSE))</f>
        <v>2.6599861478507014</v>
      </c>
      <c r="AB56" s="473">
        <f>IF(AB8=0,0,VLOOKUP(AB$54,'2. SNG Firm'!$K$15:$P$43,6,FALSE))</f>
        <v>2.7043574607668286</v>
      </c>
      <c r="AC56" s="473">
        <f>IF(AC8=0,0,VLOOKUP(AC$54,'2. SNG Firm'!$K$15:$P$43,6,FALSE))</f>
        <v>2.7577700677142754</v>
      </c>
      <c r="AD56" s="473">
        <f>IF(AD8=0,0,VLOOKUP(AD$54,'2. SNG Firm'!$K$15:$P$43,6,FALSE))</f>
        <v>2.7723721333847169</v>
      </c>
      <c r="AE56" s="473">
        <f>IF(AE8=0,0,VLOOKUP(AE$54,'2. SNG Firm'!$K$15:$P$43,6,FALSE))</f>
        <v>2.8110895784327763</v>
      </c>
      <c r="AF56" s="473">
        <f>IF(AF8=0,0,VLOOKUP(AF$54,'2. SNG Firm'!$K$15:$P$43,6,FALSE))</f>
        <v>2.8095110524745559</v>
      </c>
      <c r="AG56" s="473">
        <f>IF(AG8=0,0,VLOOKUP(AG$54,'2. SNG Firm'!$K$15:$P$43,6,FALSE))</f>
        <v>2.813253863372652</v>
      </c>
      <c r="AH56" s="473">
        <f>IF(AH8=0,0,VLOOKUP(AH$54,'2. SNG Firm'!$K$15:$P$43,6,FALSE))</f>
        <v>2.8227809702669266</v>
      </c>
      <c r="AI56" s="473">
        <f>IF(AI8=0,0,VLOOKUP(AI$54,'2. SNG Firm'!$K$15:$P$43,6,FALSE))</f>
        <v>2.8142125988514777</v>
      </c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</row>
    <row r="57" spans="1:51" x14ac:dyDescent="0.25">
      <c r="A57" s="1"/>
      <c r="B57" s="1"/>
      <c r="C57" s="1"/>
      <c r="D57" s="1"/>
      <c r="E57" s="114" t="s">
        <v>323</v>
      </c>
      <c r="F57" s="1" t="s">
        <v>388</v>
      </c>
      <c r="G57" s="473">
        <f>IF(G9=0,0,VLOOKUP(G$54,'3. SNG Interruptible'!$L$15:$M$43,2,FALSE))</f>
        <v>2.4223354076111954</v>
      </c>
      <c r="H57" s="473">
        <f>IF(H9=0,0,VLOOKUP(H$54,'3. SNG Interruptible'!$L$15:$M$43,2,FALSE))</f>
        <v>2.1592951540339209</v>
      </c>
      <c r="I57" s="473">
        <f>IF(I9=0,0,VLOOKUP(I$54,'3. SNG Interruptible'!$L$15:$M$43,2,FALSE))</f>
        <v>1.7352876096619838</v>
      </c>
      <c r="J57" s="473">
        <f>IF(J9=0,0,VLOOKUP(J$54,'3. SNG Interruptible'!$L$15:$M$43,2,FALSE))</f>
        <v>1.7539905519515926</v>
      </c>
      <c r="K57" s="473">
        <f>IF(K9=0,0,VLOOKUP(K$54,'3. SNG Interruptible'!$L$15:$M$43,2,FALSE))</f>
        <v>1.784927151565032</v>
      </c>
      <c r="L57" s="473">
        <f>IF(L9=0,0,VLOOKUP(L$54,'3. SNG Interruptible'!$L$15:$M$43,2,FALSE))</f>
        <v>1.8311111685160746</v>
      </c>
      <c r="M57" s="473">
        <f>IF(M9=0,0,VLOOKUP(M$54,'3. SNG Interruptible'!$L$15:$M$43,2,FALSE))</f>
        <v>1.8648771720682054</v>
      </c>
      <c r="N57" s="473">
        <f>IF(N9=0,0,VLOOKUP(N$54,'3. SNG Interruptible'!$L$15:$M$43,2,FALSE))</f>
        <v>1.889940928494648</v>
      </c>
      <c r="O57" s="473">
        <f>IF(O9=0,0,VLOOKUP(O$54,'3. SNG Interruptible'!$L$15:$M$43,2,FALSE))</f>
        <v>1.9165438918950499</v>
      </c>
      <c r="P57" s="473">
        <f>IF(P9=0,0,VLOOKUP(P$54,'3. SNG Interruptible'!$L$15:$M$43,2,FALSE))</f>
        <v>1.953306168111147</v>
      </c>
      <c r="Q57" s="473">
        <f>IF(Q9=0,0,VLOOKUP(Q$54,'3. SNG Interruptible'!$L$15:$M$43,2,FALSE))</f>
        <v>1.9821349509511148</v>
      </c>
      <c r="R57" s="473">
        <f>IF(R9=0,0,VLOOKUP(R$54,'3. SNG Interruptible'!$L$15:$M$43,2,FALSE))</f>
        <v>2.0016278781107548</v>
      </c>
      <c r="S57" s="473">
        <f>IF(S9=0,0,VLOOKUP(S$54,'3. SNG Interruptible'!$L$15:$M$43,2,FALSE))</f>
        <v>2.0115635498894755</v>
      </c>
      <c r="T57" s="473">
        <f>IF(T9=0,0,VLOOKUP(T$54,'3. SNG Interruptible'!$L$15:$M$43,2,FALSE))</f>
        <v>2.0291598631271905</v>
      </c>
      <c r="U57" s="473">
        <f>IF(U9=0,0,VLOOKUP(U$54,'3. SNG Interruptible'!$L$15:$M$43,2,FALSE))</f>
        <v>2.0590648322523459</v>
      </c>
      <c r="V57" s="473">
        <f>IF(V9=0,0,VLOOKUP(V$54,'3. SNG Interruptible'!$L$15:$M$43,2,FALSE))</f>
        <v>2.0809575902971691</v>
      </c>
      <c r="W57" s="473">
        <f>IF(W9=0,0,VLOOKUP(W$54,'3. SNG Interruptible'!$L$15:$M$43,2,FALSE))</f>
        <v>2.1063533846993203</v>
      </c>
      <c r="X57" s="473">
        <f>IF(X9=0,0,VLOOKUP(X$54,'3. SNG Interruptible'!$L$15:$M$43,2,FALSE))</f>
        <v>2.1127086078102284</v>
      </c>
      <c r="Y57" s="473">
        <f>IF(Y9=0,0,VLOOKUP(Y$54,'3. SNG Interruptible'!$L$15:$M$43,2,FALSE))</f>
        <v>2.1498705561746694</v>
      </c>
      <c r="Z57" s="473">
        <f>IF(Z9=0,0,VLOOKUP(Z$54,'3. SNG Interruptible'!$L$15:$M$43,2,FALSE))</f>
        <v>2.1726040124039643</v>
      </c>
      <c r="AA57" s="473">
        <f>IF(AA9=0,0,VLOOKUP(AA$54,'3. SNG Interruptible'!$L$15:$M$43,2,FALSE))</f>
        <v>2.1821971537970932</v>
      </c>
      <c r="AB57" s="473">
        <f>IF(AB9=0,0,VLOOKUP(AB$54,'3. SNG Interruptible'!$L$15:$M$43,2,FALSE))</f>
        <v>2.2172971465786837</v>
      </c>
      <c r="AC57" s="473">
        <f>IF(AC9=0,0,VLOOKUP(AC$54,'3. SNG Interruptible'!$L$15:$M$43,2,FALSE))</f>
        <v>2.2595492683909257</v>
      </c>
      <c r="AD57" s="473">
        <f>IF(AD9=0,0,VLOOKUP(AD$54,'3. SNG Interruptible'!$L$15:$M$43,2,FALSE))</f>
        <v>2.2711002540603751</v>
      </c>
      <c r="AE57" s="473">
        <f>IF(AE9=0,0,VLOOKUP(AE$54,'3. SNG Interruptible'!$L$15:$M$43,2,FALSE))</f>
        <v>2.3017277462934165</v>
      </c>
      <c r="AF57" s="473">
        <f>IF(AF9=0,0,VLOOKUP(AF$54,'3. SNG Interruptible'!$L$15:$M$43,2,FALSE))</f>
        <v>2.30047905099689</v>
      </c>
      <c r="AG57" s="473">
        <f>IF(AG9=0,0,VLOOKUP(AG$54,'3. SNG Interruptible'!$L$15:$M$43,2,FALSE))</f>
        <v>2.3034398070996982</v>
      </c>
      <c r="AH57" s="473">
        <f>IF(AH9=0,0,VLOOKUP(AH$54,'3. SNG Interruptible'!$L$15:$M$43,2,FALSE))</f>
        <v>2.3109762391149187</v>
      </c>
      <c r="AI57" s="473">
        <f>IF(AI9=0,0,VLOOKUP(AI$54,'3. SNG Interruptible'!$L$15:$M$43,2,FALSE))</f>
        <v>2.304198216219794</v>
      </c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</row>
    <row r="58" spans="1:51" x14ac:dyDescent="0.25">
      <c r="A58" s="1"/>
      <c r="B58" s="1"/>
      <c r="C58" s="1"/>
      <c r="D58" s="1"/>
      <c r="E58" s="114" t="s">
        <v>324</v>
      </c>
      <c r="F58" s="1" t="s">
        <v>388</v>
      </c>
      <c r="G58" s="473">
        <f>IF(G10=0,0,VLOOKUP(G$54,'2. SNG Firm'!$K$15:$P$43,6,FALSE))</f>
        <v>0</v>
      </c>
      <c r="H58" s="473">
        <f>IF(H10=0,0,VLOOKUP(H$54,'2. SNG Firm'!$K$15:$P$43,6,FALSE))</f>
        <v>0</v>
      </c>
      <c r="I58" s="473">
        <f>IF(I10=0,0,VLOOKUP(I$54,'2. SNG Firm'!$K$15:$P$43,6,FALSE))</f>
        <v>0</v>
      </c>
      <c r="J58" s="473">
        <f>IF(J10=0,0,VLOOKUP(J$54,'2. SNG Firm'!$K$15:$P$43,6,FALSE))</f>
        <v>0</v>
      </c>
      <c r="K58" s="473">
        <f>IF(K10=0,0,VLOOKUP(K$54,'2. SNG Firm'!$K$15:$P$43,6,FALSE))</f>
        <v>0</v>
      </c>
      <c r="L58" s="473">
        <f>IF(L10=0,0,VLOOKUP(L$54,'2. SNG Firm'!$K$15:$P$43,6,FALSE))</f>
        <v>0</v>
      </c>
      <c r="M58" s="473">
        <f>IF(M10=0,0,VLOOKUP(M$54,'2. SNG Firm'!$K$15:$P$43,6,FALSE))</f>
        <v>0</v>
      </c>
      <c r="N58" s="473">
        <f>IF(N10=0,0,VLOOKUP(N$54,'2. SNG Firm'!$K$15:$P$43,6,FALSE))</f>
        <v>0</v>
      </c>
      <c r="O58" s="473">
        <f>IF(O10=0,0,VLOOKUP(O$54,'2. SNG Firm'!$K$15:$P$43,6,FALSE))</f>
        <v>0</v>
      </c>
      <c r="P58" s="473">
        <f>IF(P10=0,0,VLOOKUP(P$54,'2. SNG Firm'!$K$15:$P$43,6,FALSE))</f>
        <v>0</v>
      </c>
      <c r="Q58" s="473">
        <f>IF(Q10=0,0,VLOOKUP(Q$54,'2. SNG Firm'!$K$15:$P$43,6,FALSE))</f>
        <v>0</v>
      </c>
      <c r="R58" s="473">
        <f>IF(R10=0,0,VLOOKUP(R$54,'2. SNG Firm'!$K$15:$P$43,6,FALSE))</f>
        <v>0</v>
      </c>
      <c r="S58" s="473">
        <f>IF(S10=0,0,VLOOKUP(S$54,'2. SNG Firm'!$K$15:$P$43,6,FALSE))</f>
        <v>0</v>
      </c>
      <c r="T58" s="473">
        <f>IF(T10=0,0,VLOOKUP(T$54,'2. SNG Firm'!$K$15:$P$43,6,FALSE))</f>
        <v>0</v>
      </c>
      <c r="U58" s="473">
        <f>IF(U10=0,0,VLOOKUP(U$54,'2. SNG Firm'!$K$15:$P$43,6,FALSE))</f>
        <v>0</v>
      </c>
      <c r="V58" s="473">
        <f>IF(V10=0,0,VLOOKUP(V$54,'2. SNG Firm'!$K$15:$P$43,6,FALSE))</f>
        <v>0</v>
      </c>
      <c r="W58" s="473">
        <f>IF(W10=0,0,VLOOKUP(W$54,'2. SNG Firm'!$K$15:$P$43,6,FALSE))</f>
        <v>0</v>
      </c>
      <c r="X58" s="473">
        <f>IF(X10=0,0,VLOOKUP(X$54,'2. SNG Firm'!$K$15:$P$43,6,FALSE))</f>
        <v>0</v>
      </c>
      <c r="Y58" s="473">
        <f>IF(Y10=0,0,VLOOKUP(Y$54,'2. SNG Firm'!$K$15:$P$43,6,FALSE))</f>
        <v>0</v>
      </c>
      <c r="Z58" s="473">
        <f>IF(Z10=0,0,VLOOKUP(Z$54,'2. SNG Firm'!$K$15:$P$43,6,FALSE))</f>
        <v>0</v>
      </c>
      <c r="AA58" s="473">
        <f>IF(AA10=0,0,VLOOKUP(AA$54,'2. SNG Firm'!$K$15:$P$43,6,FALSE))</f>
        <v>0</v>
      </c>
      <c r="AB58" s="473">
        <f>IF(AB10=0,0,VLOOKUP(AB$54,'2. SNG Firm'!$K$15:$P$43,6,FALSE))</f>
        <v>0</v>
      </c>
      <c r="AC58" s="473">
        <f>IF(AC10=0,0,VLOOKUP(AC$54,'2. SNG Firm'!$K$15:$P$43,6,FALSE))</f>
        <v>0</v>
      </c>
      <c r="AD58" s="473">
        <f>IF(AD10=0,0,VLOOKUP(AD$54,'2. SNG Firm'!$K$15:$P$43,6,FALSE))</f>
        <v>0</v>
      </c>
      <c r="AE58" s="473">
        <f>IF(AE10=0,0,VLOOKUP(AE$54,'2. SNG Firm'!$K$15:$P$43,6,FALSE))</f>
        <v>0</v>
      </c>
      <c r="AF58" s="473">
        <f>IF(AF10=0,0,VLOOKUP(AF$54,'2. SNG Firm'!$K$15:$P$43,6,FALSE))</f>
        <v>0</v>
      </c>
      <c r="AG58" s="473">
        <f>IF(AG10=0,0,VLOOKUP(AG$54,'2. SNG Firm'!$K$15:$P$43,6,FALSE))</f>
        <v>0</v>
      </c>
      <c r="AH58" s="473">
        <f>IF(AH10=0,0,VLOOKUP(AH$54,'2. SNG Firm'!$K$15:$P$43,6,FALSE))</f>
        <v>0</v>
      </c>
      <c r="AI58" s="473">
        <f>IF(AI10=0,0,VLOOKUP(AI$54,'2. SNG Firm'!$K$15:$P$43,6,FALSE))</f>
        <v>0</v>
      </c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</row>
    <row r="59" spans="1:51" x14ac:dyDescent="0.25">
      <c r="A59" s="1"/>
      <c r="B59" s="1"/>
      <c r="C59" s="1"/>
      <c r="D59" s="1"/>
      <c r="E59" s="114" t="s">
        <v>348</v>
      </c>
      <c r="F59" s="1" t="s">
        <v>388</v>
      </c>
      <c r="G59" s="473">
        <f>IF(G11=0,0,VLOOKUP(G$54,'6. LNG- ISO'!$M$14:$P$42,4,FALSE))</f>
        <v>0</v>
      </c>
      <c r="H59" s="473">
        <f>IF(H11=0,0,VLOOKUP(H$54,'6. LNG- ISO'!$M$14:$P$42,4,FALSE))</f>
        <v>2.939252002746624</v>
      </c>
      <c r="I59" s="473">
        <f>IF(I11=0,0,VLOOKUP(I$54,'6. LNG- ISO'!$M$14:$P$42,4,FALSE))</f>
        <v>2.8050802965969499</v>
      </c>
      <c r="J59" s="473">
        <f>IF(J11=0,0,VLOOKUP(J$54,'6. LNG- ISO'!$M$14:$P$42,4,FALSE))</f>
        <v>2.7870396075969497</v>
      </c>
      <c r="K59" s="473">
        <f>IF(K11=0,0,VLOOKUP(K$54,'6. LNG- ISO'!$M$14:$P$42,4,FALSE))</f>
        <v>2.78468551389695</v>
      </c>
      <c r="L59" s="473">
        <f>IF(L11=0,0,VLOOKUP(L$54,'6. LNG- ISO'!$M$14:$P$42,4,FALSE))</f>
        <v>2.7947867234969497</v>
      </c>
      <c r="M59" s="473">
        <f>IF(M11=0,0,VLOOKUP(M$54,'6. LNG- ISO'!$M$14:$P$42,4,FALSE))</f>
        <v>2.81254565959695</v>
      </c>
      <c r="N59" s="473">
        <f>IF(N11=0,0,VLOOKUP(N$54,'6. LNG- ISO'!$M$14:$P$42,4,FALSE))</f>
        <v>2.8247714747969499</v>
      </c>
      <c r="O59" s="473">
        <f>IF(O11=0,0,VLOOKUP(O$54,'6. LNG- ISO'!$M$14:$P$42,4,FALSE))</f>
        <v>2.83461893049695</v>
      </c>
      <c r="P59" s="473">
        <f>IF(P11=0,0,VLOOKUP(P$54,'6. LNG- ISO'!$M$14:$P$42,4,FALSE))</f>
        <v>2.84334922609695</v>
      </c>
      <c r="Q59" s="473">
        <f>IF(Q11=0,0,VLOOKUP(Q$54,'6. LNG- ISO'!$M$14:$P$42,4,FALSE))</f>
        <v>2.8468276351969499</v>
      </c>
      <c r="R59" s="473">
        <f>IF(R11=0,0,VLOOKUP(R$54,'6. LNG- ISO'!$M$14:$P$42,4,FALSE))</f>
        <v>2.8539207151969501</v>
      </c>
      <c r="S59" s="473">
        <f>IF(S11=0,0,VLOOKUP(S$54,'6. LNG- ISO'!$M$14:$P$42,4,FALSE))</f>
        <v>2.85333045479695</v>
      </c>
      <c r="T59" s="473">
        <f>IF(T11=0,0,VLOOKUP(T$54,'6. LNG- ISO'!$M$14:$P$42,4,FALSE))</f>
        <v>2.8531036628969497</v>
      </c>
      <c r="U59" s="473">
        <f>IF(U11=0,0,VLOOKUP(U$54,'6. LNG- ISO'!$M$14:$P$42,4,FALSE))</f>
        <v>2.8541290484969499</v>
      </c>
      <c r="V59" s="473">
        <f>IF(V11=0,0,VLOOKUP(V$54,'6. LNG- ISO'!$M$14:$P$42,4,FALSE))</f>
        <v>2.8559184956969501</v>
      </c>
      <c r="W59" s="473">
        <f>IF(W11=0,0,VLOOKUP(W$54,'6. LNG- ISO'!$M$14:$P$42,4,FALSE))</f>
        <v>2.8578742776969497</v>
      </c>
      <c r="X59" s="473">
        <f>IF(X11=0,0,VLOOKUP(X$54,'6. LNG- ISO'!$M$14:$P$42,4,FALSE))</f>
        <v>2.8579897994969499</v>
      </c>
      <c r="Y59" s="473">
        <f>IF(Y11=0,0,VLOOKUP(Y$54,'6. LNG- ISO'!$M$14:$P$42,4,FALSE))</f>
        <v>2.8616728086969498</v>
      </c>
      <c r="Z59" s="473">
        <f>IF(Z11=0,0,VLOOKUP(Z$54,'6. LNG- ISO'!$M$14:$P$42,4,FALSE))</f>
        <v>2.8623007121969497</v>
      </c>
      <c r="AA59" s="473">
        <f>IF(AA11=0,0,VLOOKUP(AA$54,'6. LNG- ISO'!$M$14:$P$42,4,FALSE))</f>
        <v>2.85994018909695</v>
      </c>
      <c r="AB59" s="473">
        <f>IF(AB11=0,0,VLOOKUP(AB$54,'6. LNG- ISO'!$M$14:$P$42,4,FALSE))</f>
        <v>2.8603071833969498</v>
      </c>
      <c r="AC59" s="473">
        <f>IF(AC11=0,0,VLOOKUP(AC$54,'6. LNG- ISO'!$M$14:$P$42,4,FALSE))</f>
        <v>2.85385434719695</v>
      </c>
      <c r="AD59" s="473">
        <f>IF(AD11=0,0,VLOOKUP(AD$54,'6. LNG- ISO'!$M$14:$P$42,4,FALSE))</f>
        <v>2.8506799864969499</v>
      </c>
      <c r="AE59" s="473">
        <f>IF(AE11=0,0,VLOOKUP(AE$54,'6. LNG- ISO'!$M$14:$P$42,4,FALSE))</f>
        <v>2.8494901326969497</v>
      </c>
      <c r="AF59" s="473">
        <f>IF(AF11=0,0,VLOOKUP(AF$54,'6. LNG- ISO'!$M$14:$P$42,4,FALSE))</f>
        <v>2.84884677789695</v>
      </c>
      <c r="AG59" s="473">
        <f>IF(AG11=0,0,VLOOKUP(AG$54,'6. LNG- ISO'!$M$14:$P$42,4,FALSE))</f>
        <v>2.85136139919695</v>
      </c>
      <c r="AH59" s="473">
        <f>IF(AH11=0,0,VLOOKUP(AH$54,'6. LNG- ISO'!$M$14:$P$42,4,FALSE))</f>
        <v>2.8489225825969497</v>
      </c>
      <c r="AI59" s="473">
        <f>IF(AI11=0,0,VLOOKUP(AI$54,'6. LNG- ISO'!$M$14:$P$42,4,FALSE))</f>
        <v>2.8481727278969498</v>
      </c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</row>
    <row r="60" spans="1:51" x14ac:dyDescent="0.25">
      <c r="A60" s="1"/>
      <c r="B60" s="1"/>
      <c r="C60" s="1"/>
      <c r="D60" s="1"/>
      <c r="E60" s="114" t="s">
        <v>349</v>
      </c>
      <c r="F60" s="1" t="s">
        <v>388</v>
      </c>
      <c r="G60" s="473">
        <f>IF(G12=0,0,VLOOKUP(G$54,'4. Propane'!$M$11:$O$39,3,FALSE))</f>
        <v>0</v>
      </c>
      <c r="H60" s="473">
        <f>IF(H12=0,0,VLOOKUP(H$54,'4. Propane'!$M$11:$O$39,3,FALSE))</f>
        <v>0</v>
      </c>
      <c r="I60" s="473">
        <f>IF(I12=0,0,VLOOKUP(I$54,'4. Propane'!$M$11:$O$39,3,FALSE))</f>
        <v>0</v>
      </c>
      <c r="J60" s="473">
        <f>IF(J12=0,0,VLOOKUP(J$54,'4. Propane'!$M$11:$O$39,3,FALSE))</f>
        <v>0</v>
      </c>
      <c r="K60" s="473">
        <f>IF(K12=0,0,VLOOKUP(K$54,'4. Propane'!$M$11:$O$39,3,FALSE))</f>
        <v>0</v>
      </c>
      <c r="L60" s="473">
        <f>IF(L12=0,0,VLOOKUP(L$54,'4. Propane'!$M$11:$O$39,3,FALSE))</f>
        <v>0</v>
      </c>
      <c r="M60" s="473">
        <f>IF(M12=0,0,VLOOKUP(M$54,'4. Propane'!$M$11:$O$39,3,FALSE))</f>
        <v>0</v>
      </c>
      <c r="N60" s="473">
        <f>IF(N12=0,0,VLOOKUP(N$54,'4. Propane'!$M$11:$O$39,3,FALSE))</f>
        <v>0</v>
      </c>
      <c r="O60" s="473">
        <f>IF(O12=0,0,VLOOKUP(O$54,'4. Propane'!$M$11:$O$39,3,FALSE))</f>
        <v>0</v>
      </c>
      <c r="P60" s="473">
        <f>IF(P12=0,0,VLOOKUP(P$54,'4. Propane'!$M$11:$O$39,3,FALSE))</f>
        <v>0</v>
      </c>
      <c r="Q60" s="473">
        <f>IF(Q12=0,0,VLOOKUP(Q$54,'4. Propane'!$M$11:$O$39,3,FALSE))</f>
        <v>0</v>
      </c>
      <c r="R60" s="473">
        <f>IF(R12=0,0,VLOOKUP(R$54,'4. Propane'!$M$11:$O$39,3,FALSE))</f>
        <v>0</v>
      </c>
      <c r="S60" s="473">
        <f>IF(S12=0,0,VLOOKUP(S$54,'4. Propane'!$M$11:$O$39,3,FALSE))</f>
        <v>0</v>
      </c>
      <c r="T60" s="473">
        <f>IF(T12=0,0,VLOOKUP(T$54,'4. Propane'!$M$11:$O$39,3,FALSE))</f>
        <v>0</v>
      </c>
      <c r="U60" s="473">
        <f>IF(U12=0,0,VLOOKUP(U$54,'4. Propane'!$M$11:$O$39,3,FALSE))</f>
        <v>0</v>
      </c>
      <c r="V60" s="473">
        <f>IF(V12=0,0,VLOOKUP(V$54,'4. Propane'!$M$11:$O$39,3,FALSE))</f>
        <v>0</v>
      </c>
      <c r="W60" s="473">
        <f>IF(W12=0,0,VLOOKUP(W$54,'4. Propane'!$M$11:$O$39,3,FALSE))</f>
        <v>0</v>
      </c>
      <c r="X60" s="473">
        <f>IF(X12=0,0,VLOOKUP(X$54,'4. Propane'!$M$11:$O$39,3,FALSE))</f>
        <v>0</v>
      </c>
      <c r="Y60" s="473">
        <f>IF(Y12=0,0,VLOOKUP(Y$54,'4. Propane'!$M$11:$O$39,3,FALSE))</f>
        <v>0</v>
      </c>
      <c r="Z60" s="473">
        <f>IF(Z12=0,0,VLOOKUP(Z$54,'4. Propane'!$M$11:$O$39,3,FALSE))</f>
        <v>0</v>
      </c>
      <c r="AA60" s="473">
        <f>IF(AA12=0,0,VLOOKUP(AA$54,'4. Propane'!$M$11:$O$39,3,FALSE))</f>
        <v>0</v>
      </c>
      <c r="AB60" s="473">
        <f>IF(AB12=0,0,VLOOKUP(AB$54,'4. Propane'!$M$11:$O$39,3,FALSE))</f>
        <v>0</v>
      </c>
      <c r="AC60" s="473">
        <f>IF(AC12=0,0,VLOOKUP(AC$54,'4. Propane'!$M$11:$O$39,3,FALSE))</f>
        <v>0</v>
      </c>
      <c r="AD60" s="473">
        <f>IF(AD12=0,0,VLOOKUP(AD$54,'4. Propane'!$M$11:$O$39,3,FALSE))</f>
        <v>0</v>
      </c>
      <c r="AE60" s="473">
        <f>IF(AE12=0,0,VLOOKUP(AE$54,'4. Propane'!$M$11:$O$39,3,FALSE))</f>
        <v>0</v>
      </c>
      <c r="AF60" s="473">
        <f>IF(AF12=0,0,VLOOKUP(AF$54,'4. Propane'!$M$11:$O$39,3,FALSE))</f>
        <v>0</v>
      </c>
      <c r="AG60" s="473">
        <f>IF(AG12=0,0,VLOOKUP(AG$54,'4. Propane'!$M$11:$O$39,3,FALSE))</f>
        <v>0</v>
      </c>
      <c r="AH60" s="473">
        <f>IF(AH12=0,0,VLOOKUP(AH$54,'4. Propane'!$M$11:$O$39,3,FALSE))</f>
        <v>0</v>
      </c>
      <c r="AI60" s="473">
        <f>IF(AI12=0,0,VLOOKUP(AI$54,'4. Propane'!$M$11:$O$39,3,FALSE))</f>
        <v>0</v>
      </c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</row>
    <row r="61" spans="1:51" x14ac:dyDescent="0.25">
      <c r="A61" s="1"/>
      <c r="B61" s="1"/>
      <c r="C61" s="1"/>
      <c r="D61" s="1"/>
      <c r="E61" s="114" t="s">
        <v>351</v>
      </c>
      <c r="F61" s="1" t="s">
        <v>388</v>
      </c>
      <c r="G61" s="473">
        <f>IF(G13=0,0,'8a. RNG'!$E$14)</f>
        <v>2.5308264198715138</v>
      </c>
      <c r="H61" s="473">
        <f>IF(H13=0,0,'8a. RNG'!$E$14)</f>
        <v>2.5308264198715138</v>
      </c>
      <c r="I61" s="473">
        <f>IF(I13=0,0,'8a. RNG'!$E$14)</f>
        <v>2.5308264198715138</v>
      </c>
      <c r="J61" s="473">
        <f>IF(J13=0,0,'8a. RNG'!$E$14)</f>
        <v>2.5308264198715138</v>
      </c>
      <c r="K61" s="473">
        <f>IF(K13=0,0,'8a. RNG'!$E$14)</f>
        <v>2.5308264198715138</v>
      </c>
      <c r="L61" s="473">
        <f>IF(L13=0,0,'8a. RNG'!$E$14)</f>
        <v>2.5308264198715138</v>
      </c>
      <c r="M61" s="473">
        <f>IF(M13=0,0,'8a. RNG'!$E$14)</f>
        <v>2.5308264198715138</v>
      </c>
      <c r="N61" s="473">
        <f>IF(N13=0,0,'8a. RNG'!$E$14)</f>
        <v>2.5308264198715138</v>
      </c>
      <c r="O61" s="473">
        <f>IF(O13=0,0,'8a. RNG'!$E$14)</f>
        <v>2.5308264198715138</v>
      </c>
      <c r="P61" s="473">
        <f>IF(P13=0,0,'8a. RNG'!$E$14)</f>
        <v>2.5308264198715138</v>
      </c>
      <c r="Q61" s="473">
        <f>IF(Q13=0,0,'8a. RNG'!$E$14)</f>
        <v>2.5308264198715138</v>
      </c>
      <c r="R61" s="473">
        <f>IF(R13=0,0,'8a. RNG'!$E$14)</f>
        <v>2.5308264198715138</v>
      </c>
      <c r="S61" s="473">
        <f>IF(S13=0,0,'8a. RNG'!$E$14)</f>
        <v>2.5308264198715138</v>
      </c>
      <c r="T61" s="473">
        <f>IF(T13=0,0,'8a. RNG'!$E$14)</f>
        <v>2.5308264198715138</v>
      </c>
      <c r="U61" s="473">
        <f>IF(U13=0,0,'8a. RNG'!$E$14)</f>
        <v>2.5308264198715138</v>
      </c>
      <c r="V61" s="473">
        <f>IF(V13=0,0,'8a. RNG'!$E$14)</f>
        <v>2.5308264198715138</v>
      </c>
      <c r="W61" s="473">
        <f>IF(W13=0,0,'8a. RNG'!$E$14)</f>
        <v>2.5308264198715138</v>
      </c>
      <c r="X61" s="473">
        <f>IF(X13=0,0,'8a. RNG'!$E$14)</f>
        <v>2.5308264198715138</v>
      </c>
      <c r="Y61" s="473">
        <f>IF(Y13=0,0,'8a. RNG'!$E$14)</f>
        <v>2.5308264198715138</v>
      </c>
      <c r="Z61" s="473">
        <f>IF(Z13=0,0,'8a. RNG'!$E$14)</f>
        <v>2.5308264198715138</v>
      </c>
      <c r="AA61" s="473">
        <f>IF(AA13=0,0,'8a. RNG'!$E$14)</f>
        <v>2.5308264198715138</v>
      </c>
      <c r="AB61" s="473">
        <f>IF(AB13=0,0,'8a. RNG'!$E$14)</f>
        <v>2.5308264198715138</v>
      </c>
      <c r="AC61" s="473">
        <f>IF(AC13=0,0,'8a. RNG'!$E$14)</f>
        <v>2.5308264198715138</v>
      </c>
      <c r="AD61" s="473">
        <f>IF(AD13=0,0,'8a. RNG'!$E$14)</f>
        <v>2.5308264198715138</v>
      </c>
      <c r="AE61" s="473">
        <f>IF(AE13=0,0,'8a. RNG'!$E$14)</f>
        <v>2.5308264198715138</v>
      </c>
      <c r="AF61" s="473">
        <f>IF(AF13=0,0,'8a. RNG'!$E$14)</f>
        <v>2.5308264198715138</v>
      </c>
      <c r="AG61" s="473">
        <f>IF(AG13=0,0,'8a. RNG'!$E$14)</f>
        <v>2.5308264198715138</v>
      </c>
      <c r="AH61" s="473">
        <f>IF(AH13=0,0,'8a. RNG'!$E$14)</f>
        <v>2.5308264198715138</v>
      </c>
      <c r="AI61" s="473">
        <f>IF(AI13=0,0,'8a. RNG'!$E$14)</f>
        <v>2.5308264198715138</v>
      </c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</row>
    <row r="62" spans="1:51" x14ac:dyDescent="0.25">
      <c r="A62" s="1"/>
      <c r="B62" s="1"/>
      <c r="C62" s="1"/>
      <c r="D62" s="1"/>
      <c r="E62" s="139" t="s">
        <v>760</v>
      </c>
      <c r="F62" s="1" t="s">
        <v>388</v>
      </c>
      <c r="G62" s="473">
        <f>IF(G34=0,0,'8a. RNG'!$F$14)</f>
        <v>0</v>
      </c>
      <c r="H62" s="473">
        <f>IF(H34=0,0,'8a. RNG'!$F$14)</f>
        <v>0</v>
      </c>
      <c r="I62" s="473">
        <f>IF(I34=0,0,'8a. RNG'!$F$14)</f>
        <v>0</v>
      </c>
      <c r="J62" s="473">
        <f>IF(J34=0,0,'8a. RNG'!$F$14)</f>
        <v>2.5308264198715138</v>
      </c>
      <c r="K62" s="473">
        <f>IF(K34=0,0,'8a. RNG'!$F$14)</f>
        <v>2.5308264198715138</v>
      </c>
      <c r="L62" s="473">
        <f>IF(L34=0,0,'8a. RNG'!$F$14)</f>
        <v>2.5308264198715138</v>
      </c>
      <c r="M62" s="473">
        <f>IF(M34=0,0,'8a. RNG'!$F$14)</f>
        <v>2.5308264198715138</v>
      </c>
      <c r="N62" s="473">
        <f>IF(N34=0,0,'8a. RNG'!$F$14)</f>
        <v>2.5308264198715138</v>
      </c>
      <c r="O62" s="473">
        <f>IF(O34=0,0,'8a. RNG'!$F$14)</f>
        <v>2.5308264198715138</v>
      </c>
      <c r="P62" s="473">
        <f>IF(P34=0,0,'8a. RNG'!$F$14)</f>
        <v>2.5308264198715138</v>
      </c>
      <c r="Q62" s="473">
        <f>IF(Q34=0,0,'8a. RNG'!$F$14)</f>
        <v>2.5308264198715138</v>
      </c>
      <c r="R62" s="473">
        <f>IF(R34=0,0,'8a. RNG'!$F$14)</f>
        <v>2.5308264198715138</v>
      </c>
      <c r="S62" s="473">
        <f>IF(S34=0,0,'8a. RNG'!$F$14)</f>
        <v>2.5308264198715138</v>
      </c>
      <c r="T62" s="473">
        <f>IF(T34=0,0,'8a. RNG'!$F$14)</f>
        <v>2.5308264198715138</v>
      </c>
      <c r="U62" s="473">
        <f>IF(U34=0,0,'8a. RNG'!$F$14)</f>
        <v>2.5308264198715138</v>
      </c>
      <c r="V62" s="473">
        <f>IF(V34=0,0,'8a. RNG'!$F$14)</f>
        <v>2.5308264198715138</v>
      </c>
      <c r="W62" s="473">
        <f>IF(W34=0,0,'8a. RNG'!$F$14)</f>
        <v>2.5308264198715138</v>
      </c>
      <c r="X62" s="473">
        <f>IF(X34=0,0,'8a. RNG'!$F$14)</f>
        <v>2.5308264198715138</v>
      </c>
      <c r="Y62" s="473">
        <f>IF(Y34=0,0,'8a. RNG'!$F$14)</f>
        <v>2.5308264198715138</v>
      </c>
      <c r="Z62" s="473">
        <f>IF(Z34=0,0,'8a. RNG'!$F$14)</f>
        <v>2.5308264198715138</v>
      </c>
      <c r="AA62" s="473">
        <f>IF(AA34=0,0,'8a. RNG'!$F$14)</f>
        <v>2.5308264198715138</v>
      </c>
      <c r="AB62" s="473">
        <f>IF(AB34=0,0,'8a. RNG'!$F$14)</f>
        <v>2.5308264198715138</v>
      </c>
      <c r="AC62" s="473">
        <f>IF(AC34=0,0,'8a. RNG'!$F$14)</f>
        <v>2.5308264198715138</v>
      </c>
      <c r="AD62" s="473">
        <f>IF(AD34=0,0,'8a. RNG'!$F$14)</f>
        <v>2.5308264198715138</v>
      </c>
      <c r="AE62" s="473">
        <f>IF(AE34=0,0,'8a. RNG'!$F$14)</f>
        <v>2.5308264198715138</v>
      </c>
      <c r="AF62" s="473">
        <f>IF(AF34=0,0,'8a. RNG'!$F$14)</f>
        <v>2.5308264198715138</v>
      </c>
      <c r="AG62" s="473">
        <f>IF(AG34=0,0,'8a. RNG'!$F$14)</f>
        <v>2.5308264198715138</v>
      </c>
      <c r="AH62" s="473">
        <f>IF(AH34=0,0,'8a. RNG'!$F$14)</f>
        <v>2.5308264198715138</v>
      </c>
      <c r="AI62" s="473">
        <f>IF(AI34=0,0,'8a. RNG'!$F$14)</f>
        <v>2.5308264198715138</v>
      </c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</row>
    <row r="63" spans="1:51" x14ac:dyDescent="0.25">
      <c r="A63" s="1"/>
      <c r="B63" s="1"/>
      <c r="C63" s="1"/>
      <c r="D63" s="1"/>
      <c r="E63" s="139" t="s">
        <v>771</v>
      </c>
      <c r="F63" s="1" t="s">
        <v>388</v>
      </c>
      <c r="G63" s="473">
        <f>IF(G35=0,0,'8a. RNG'!$G$14)</f>
        <v>0</v>
      </c>
      <c r="H63" s="473">
        <f>IF(H35=0,0,'8a. RNG'!$G$14)</f>
        <v>0</v>
      </c>
      <c r="I63" s="473">
        <f>IF(I35=0,0,'8a. RNG'!$G$14)</f>
        <v>0</v>
      </c>
      <c r="J63" s="473">
        <f>IF(J35=0,0,'8a. RNG'!$G$14)</f>
        <v>0</v>
      </c>
      <c r="K63" s="473">
        <f>IF(K35=0,0,'8a. RNG'!$G$14)</f>
        <v>0</v>
      </c>
      <c r="L63" s="473">
        <f>IF(L35=0,0,'8a. RNG'!$G$14)</f>
        <v>0</v>
      </c>
      <c r="M63" s="473">
        <f>IF(M35=0,0,'8a. RNG'!$G$14)</f>
        <v>0</v>
      </c>
      <c r="N63" s="473">
        <f>IF(N35=0,0,'8a. RNG'!$G$14)</f>
        <v>0</v>
      </c>
      <c r="O63" s="473">
        <f>IF(O35=0,0,'8a. RNG'!$G$14)</f>
        <v>2.9506423613220378</v>
      </c>
      <c r="P63" s="473">
        <f>IF(P35=0,0,'8a. RNG'!$G$14)</f>
        <v>2.9506423613220378</v>
      </c>
      <c r="Q63" s="473">
        <f>IF(Q35=0,0,'8a. RNG'!$G$14)</f>
        <v>2.9506423613220378</v>
      </c>
      <c r="R63" s="473">
        <f>IF(R35=0,0,'8a. RNG'!$G$14)</f>
        <v>2.9506423613220378</v>
      </c>
      <c r="S63" s="473">
        <f>IF(S35=0,0,'8a. RNG'!$G$14)</f>
        <v>2.9506423613220378</v>
      </c>
      <c r="T63" s="473">
        <f>IF(T35=0,0,'8a. RNG'!$G$14)</f>
        <v>2.9506423613220378</v>
      </c>
      <c r="U63" s="473">
        <f>IF(U35=0,0,'8a. RNG'!$G$14)</f>
        <v>2.9506423613220378</v>
      </c>
      <c r="V63" s="473">
        <f>IF(V35=0,0,'8a. RNG'!$G$14)</f>
        <v>2.9506423613220378</v>
      </c>
      <c r="W63" s="473">
        <f>IF(W35=0,0,'8a. RNG'!$G$14)</f>
        <v>2.9506423613220378</v>
      </c>
      <c r="X63" s="473">
        <f>IF(X35=0,0,'8a. RNG'!$G$14)</f>
        <v>2.9506423613220378</v>
      </c>
      <c r="Y63" s="473">
        <f>IF(Y35=0,0,'8a. RNG'!$G$14)</f>
        <v>2.9506423613220378</v>
      </c>
      <c r="Z63" s="473">
        <f>IF(Z35=0,0,'8a. RNG'!$G$14)</f>
        <v>2.9506423613220378</v>
      </c>
      <c r="AA63" s="473">
        <f>IF(AA35=0,0,'8a. RNG'!$G$14)</f>
        <v>2.9506423613220378</v>
      </c>
      <c r="AB63" s="473">
        <f>IF(AB35=0,0,'8a. RNG'!$G$14)</f>
        <v>2.9506423613220378</v>
      </c>
      <c r="AC63" s="473">
        <f>IF(AC35=0,0,'8a. RNG'!$G$14)</f>
        <v>2.9506423613220378</v>
      </c>
      <c r="AD63" s="473">
        <f>IF(AD35=0,0,'8a. RNG'!$G$14)</f>
        <v>2.9506423613220378</v>
      </c>
      <c r="AE63" s="473">
        <f>IF(AE35=0,0,'8a. RNG'!$G$14)</f>
        <v>2.9506423613220378</v>
      </c>
      <c r="AF63" s="473">
        <f>IF(AF35=0,0,'8a. RNG'!$G$14)</f>
        <v>2.9506423613220378</v>
      </c>
      <c r="AG63" s="473">
        <f>IF(AG35=0,0,'8a. RNG'!$G$14)</f>
        <v>2.9506423613220378</v>
      </c>
      <c r="AH63" s="473">
        <f>IF(AH35=0,0,'8a. RNG'!$G$14)</f>
        <v>2.9506423613220378</v>
      </c>
      <c r="AI63" s="473">
        <f>IF(AI35=0,0,'8a. RNG'!$G$14)</f>
        <v>2.9506423613220378</v>
      </c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</row>
    <row r="64" spans="1:51" x14ac:dyDescent="0.25">
      <c r="A64" s="1"/>
      <c r="B64" s="1"/>
      <c r="C64" s="1"/>
      <c r="D64" s="1"/>
      <c r="E64" s="115" t="s">
        <v>373</v>
      </c>
      <c r="F64" s="1" t="s">
        <v>388</v>
      </c>
      <c r="G64" s="473">
        <f>IF(G36=0,0,'8a. RNG'!$H$14)</f>
        <v>0</v>
      </c>
      <c r="H64" s="473">
        <f>IF(H36=0,0,'8a. RNG'!$H$14)</f>
        <v>0</v>
      </c>
      <c r="I64" s="473">
        <f>IF(I36=0,0,'8a. RNG'!$H$14)</f>
        <v>0</v>
      </c>
      <c r="J64" s="473">
        <f>IF(J36=0,0,'8a. RNG'!$H$14)</f>
        <v>0</v>
      </c>
      <c r="K64" s="473">
        <f>IF(K36=0,0,'8a. RNG'!$H$14)</f>
        <v>0</v>
      </c>
      <c r="L64" s="473">
        <f>IF(L36=0,0,'8a. RNG'!$H$14)</f>
        <v>0</v>
      </c>
      <c r="M64" s="473">
        <f>IF(M36=0,0,'8a. RNG'!$H$14)</f>
        <v>0</v>
      </c>
      <c r="N64" s="473">
        <f>IF(N36=0,0,'8a. RNG'!$H$14)</f>
        <v>0</v>
      </c>
      <c r="O64" s="473">
        <f>IF(O36=0,0,'8a. RNG'!$H$14)</f>
        <v>0</v>
      </c>
      <c r="P64" s="473">
        <f>IF(P36=0,0,'8a. RNG'!$H$14)</f>
        <v>0</v>
      </c>
      <c r="Q64" s="473">
        <f>IF(Q36=0,0,'8a. RNG'!$H$14)</f>
        <v>0</v>
      </c>
      <c r="R64" s="473">
        <f>IF(R36=0,0,'8a. RNG'!$H$14)</f>
        <v>0</v>
      </c>
      <c r="S64" s="473">
        <f>IF(S36=0,0,'8a. RNG'!$H$14)</f>
        <v>0</v>
      </c>
      <c r="T64" s="473">
        <f>IF(T36=0,0,'8a. RNG'!$H$14)</f>
        <v>3.5411198708619214</v>
      </c>
      <c r="U64" s="473">
        <f>IF(U36=0,0,'8a. RNG'!$H$14)</f>
        <v>3.5411198708619214</v>
      </c>
      <c r="V64" s="473">
        <f>IF(V36=0,0,'8a. RNG'!$H$14)</f>
        <v>3.5411198708619214</v>
      </c>
      <c r="W64" s="473">
        <f>IF(W36=0,0,'8a. RNG'!$H$14)</f>
        <v>3.5411198708619214</v>
      </c>
      <c r="X64" s="473">
        <f>IF(X36=0,0,'8a. RNG'!$H$14)</f>
        <v>3.5411198708619214</v>
      </c>
      <c r="Y64" s="473">
        <f>IF(Y36=0,0,'8a. RNG'!$H$14)</f>
        <v>3.5411198708619214</v>
      </c>
      <c r="Z64" s="473">
        <f>IF(Z36=0,0,'8a. RNG'!$H$14)</f>
        <v>3.5411198708619214</v>
      </c>
      <c r="AA64" s="473">
        <f>IF(AA36=0,0,'8a. RNG'!$H$14)</f>
        <v>3.5411198708619214</v>
      </c>
      <c r="AB64" s="473">
        <f>IF(AB36=0,0,'8a. RNG'!$H$14)</f>
        <v>3.5411198708619214</v>
      </c>
      <c r="AC64" s="473">
        <f>IF(AC36=0,0,'8a. RNG'!$H$14)</f>
        <v>3.5411198708619214</v>
      </c>
      <c r="AD64" s="473">
        <f>IF(AD36=0,0,'8a. RNG'!$H$14)</f>
        <v>3.5411198708619214</v>
      </c>
      <c r="AE64" s="473">
        <f>IF(AE36=0,0,'8a. RNG'!$H$14)</f>
        <v>3.5411198708619214</v>
      </c>
      <c r="AF64" s="473">
        <f>IF(AF36=0,0,'8a. RNG'!$H$14)</f>
        <v>3.5411198708619214</v>
      </c>
      <c r="AG64" s="473">
        <f>IF(AG36=0,0,'8a. RNG'!$H$14)</f>
        <v>3.5411198708619214</v>
      </c>
      <c r="AH64" s="473">
        <f>IF(AH36=0,0,'8a. RNG'!$H$14)</f>
        <v>3.5411198708619214</v>
      </c>
      <c r="AI64" s="473">
        <f>IF(AI36=0,0,'8a. RNG'!$H$14)</f>
        <v>3.5411198708619214</v>
      </c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</row>
    <row r="65" spans="1:51" x14ac:dyDescent="0.25">
      <c r="A65" s="1"/>
      <c r="B65" s="1"/>
      <c r="C65" s="1"/>
      <c r="D65" s="1"/>
      <c r="E65" s="139" t="str">
        <f>'8a. RNG'!$P$12</f>
        <v>CDW Exp. 1</v>
      </c>
      <c r="F65" s="1" t="s">
        <v>388</v>
      </c>
      <c r="G65" s="473">
        <f>IF(G37=0,0,'8a. RNG'!$P$14)</f>
        <v>0</v>
      </c>
      <c r="H65" s="473">
        <f>IF(H37=0,0,'8a. RNG'!$P$14)</f>
        <v>0</v>
      </c>
      <c r="I65" s="473">
        <f>IF(I37=0,0,'8a. RNG'!$P$14)</f>
        <v>0</v>
      </c>
      <c r="J65" s="473">
        <f>IF(J37=0,0,'8a. RNG'!$P$14)</f>
        <v>0</v>
      </c>
      <c r="K65" s="473">
        <f>IF(K37=0,0,'8a. RNG'!$P$14)</f>
        <v>0</v>
      </c>
      <c r="L65" s="473">
        <f>IF(L37=0,0,'8a. RNG'!$P$14)</f>
        <v>0</v>
      </c>
      <c r="M65" s="473">
        <f>IF(M37=0,0,'8a. RNG'!$P$14)</f>
        <v>0</v>
      </c>
      <c r="N65" s="473">
        <f>IF(N37=0,0,'8a. RNG'!$P$14)</f>
        <v>0</v>
      </c>
      <c r="O65" s="473">
        <f>IF(O37=0,0,'8a. RNG'!$P$14)</f>
        <v>0</v>
      </c>
      <c r="P65" s="473">
        <f>IF(P37=0,0,'8a. RNG'!$P$14)</f>
        <v>0</v>
      </c>
      <c r="Q65" s="473">
        <f>IF(Q37=0,0,'8a. RNG'!$P$14)</f>
        <v>0</v>
      </c>
      <c r="R65" s="473">
        <f>IF(R37=0,0,'8a. RNG'!$P$14)</f>
        <v>0</v>
      </c>
      <c r="S65" s="473">
        <f>IF(S37=0,0,'8a. RNG'!$P$14)</f>
        <v>0</v>
      </c>
      <c r="T65" s="473">
        <f>IF(T37=0,0,'8a. RNG'!$P$14)</f>
        <v>0</v>
      </c>
      <c r="U65" s="473">
        <f>IF(U37=0,0,'8a. RNG'!$P$14)</f>
        <v>0</v>
      </c>
      <c r="V65" s="473">
        <f>IF(V37=0,0,'8a. RNG'!$P$14)</f>
        <v>0</v>
      </c>
      <c r="W65" s="473">
        <f>IF(W37=0,0,'8a. RNG'!$P$14)</f>
        <v>0</v>
      </c>
      <c r="X65" s="473">
        <f>IF(X37=0,0,'8a. RNG'!$P$14)</f>
        <v>0</v>
      </c>
      <c r="Y65" s="473">
        <f>IF(Y37=0,0,'8a. RNG'!$P$14)</f>
        <v>3.5232490479396983</v>
      </c>
      <c r="Z65" s="473">
        <f>IF(Z37=0,0,'8a. RNG'!$P$14)</f>
        <v>3.5232490479396983</v>
      </c>
      <c r="AA65" s="473">
        <f>IF(AA37=0,0,'8a. RNG'!$P$14)</f>
        <v>3.5232490479396983</v>
      </c>
      <c r="AB65" s="473">
        <f>IF(AB37=0,0,'8a. RNG'!$P$14)</f>
        <v>3.5232490479396983</v>
      </c>
      <c r="AC65" s="473">
        <f>IF(AC37=0,0,'8a. RNG'!$P$14)</f>
        <v>3.5232490479396983</v>
      </c>
      <c r="AD65" s="473">
        <f>IF(AD37=0,0,'8a. RNG'!$P$14)</f>
        <v>3.5232490479396983</v>
      </c>
      <c r="AE65" s="473">
        <f>IF(AE37=0,0,'8a. RNG'!$P$14)</f>
        <v>3.5232490479396983</v>
      </c>
      <c r="AF65" s="473">
        <f>IF(AF37=0,0,'8a. RNG'!$P$14)</f>
        <v>3.5232490479396983</v>
      </c>
      <c r="AG65" s="473">
        <f>IF(AG37=0,0,'8a. RNG'!$P$14)</f>
        <v>3.5232490479396983</v>
      </c>
      <c r="AH65" s="473">
        <f>IF(AH37=0,0,'8a. RNG'!$P$14)</f>
        <v>3.5232490479396983</v>
      </c>
      <c r="AI65" s="473">
        <f>IF(AI37=0,0,'8a. RNG'!$P$14)</f>
        <v>3.5232490479396983</v>
      </c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</row>
    <row r="66" spans="1:51" x14ac:dyDescent="0.25">
      <c r="A66" s="1"/>
      <c r="B66" s="1"/>
      <c r="C66" s="1"/>
      <c r="D66" s="1"/>
      <c r="E66" s="139" t="str">
        <f>'8a. RNG'!$Q$12</f>
        <v>CDW Exp. 2</v>
      </c>
      <c r="F66" s="1" t="s">
        <v>388</v>
      </c>
      <c r="G66" s="473">
        <f>IF(G38=0,0,'8a. RNG'!$Q$14)</f>
        <v>0</v>
      </c>
      <c r="H66" s="473">
        <f>IF(H38=0,0,'8a. RNG'!$Q$14)</f>
        <v>0</v>
      </c>
      <c r="I66" s="473">
        <f>IF(I38=0,0,'8a. RNG'!$Q$14)</f>
        <v>0</v>
      </c>
      <c r="J66" s="473">
        <f>IF(J38=0,0,'8a. RNG'!$Q$14)</f>
        <v>0</v>
      </c>
      <c r="K66" s="473">
        <f>IF(K38=0,0,'8a. RNG'!$Q$14)</f>
        <v>0</v>
      </c>
      <c r="L66" s="473">
        <f>IF(L38=0,0,'8a. RNG'!$Q$14)</f>
        <v>0</v>
      </c>
      <c r="M66" s="473">
        <f>IF(M38=0,0,'8a. RNG'!$Q$14)</f>
        <v>0</v>
      </c>
      <c r="N66" s="473">
        <f>IF(N38=0,0,'8a. RNG'!$Q$14)</f>
        <v>0</v>
      </c>
      <c r="O66" s="473">
        <f>IF(O38=0,0,'8a. RNG'!$Q$14)</f>
        <v>0</v>
      </c>
      <c r="P66" s="473">
        <f>IF(P38=0,0,'8a. RNG'!$Q$14)</f>
        <v>0</v>
      </c>
      <c r="Q66" s="473">
        <f>IF(Q38=0,0,'8a. RNG'!$Q$14)</f>
        <v>0</v>
      </c>
      <c r="R66" s="473">
        <f>IF(R38=0,0,'8a. RNG'!$Q$14)</f>
        <v>0</v>
      </c>
      <c r="S66" s="473">
        <f>IF(S38=0,0,'8a. RNG'!$Q$14)</f>
        <v>0</v>
      </c>
      <c r="T66" s="473">
        <f>IF(T38=0,0,'8a. RNG'!$Q$14)</f>
        <v>0</v>
      </c>
      <c r="U66" s="473">
        <f>IF(U38=0,0,'8a. RNG'!$Q$14)</f>
        <v>0</v>
      </c>
      <c r="V66" s="473">
        <f>IF(V38=0,0,'8a. RNG'!$Q$14)</f>
        <v>0</v>
      </c>
      <c r="W66" s="473">
        <f>IF(W38=0,0,'8a. RNG'!$Q$14)</f>
        <v>0</v>
      </c>
      <c r="X66" s="473">
        <f>IF(X38=0,0,'8a. RNG'!$Q$14)</f>
        <v>0</v>
      </c>
      <c r="Y66" s="473">
        <f>IF(Y38=0,0,'8a. RNG'!$Q$14)</f>
        <v>0</v>
      </c>
      <c r="Z66" s="473">
        <f>IF(Z38=0,0,'8a. RNG'!$Q$14)</f>
        <v>0</v>
      </c>
      <c r="AA66" s="473">
        <f>IF(AA38=0,0,'8a. RNG'!$Q$14)</f>
        <v>0</v>
      </c>
      <c r="AB66" s="473">
        <f>IF(AB38=0,0,'8a. RNG'!$Q$14)</f>
        <v>0</v>
      </c>
      <c r="AC66" s="473">
        <f>IF(AC38=0,0,'8a. RNG'!$Q$14)</f>
        <v>0</v>
      </c>
      <c r="AD66" s="473">
        <f>IF(AD38=0,0,'8a. RNG'!$Q$14)</f>
        <v>0</v>
      </c>
      <c r="AE66" s="473">
        <f>IF(AE38=0,0,'8a. RNG'!$Q$14)</f>
        <v>0</v>
      </c>
      <c r="AF66" s="473">
        <f>IF(AF38=0,0,'8a. RNG'!$Q$14)</f>
        <v>0</v>
      </c>
      <c r="AG66" s="473">
        <f>IF(AG38=0,0,'8a. RNG'!$Q$14)</f>
        <v>0</v>
      </c>
      <c r="AH66" s="473">
        <f>IF(AH38=0,0,'8a. RNG'!$Q$14)</f>
        <v>0</v>
      </c>
      <c r="AI66" s="473">
        <f>IF(AI38=0,0,'8a. RNG'!$Q$14)</f>
        <v>0</v>
      </c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</row>
    <row r="67" spans="1:51" x14ac:dyDescent="0.25">
      <c r="A67" s="1"/>
      <c r="B67" s="1"/>
      <c r="C67" s="1"/>
      <c r="D67" s="1"/>
      <c r="E67" s="139" t="str">
        <f>'8a. RNG'!$R$12</f>
        <v>CDW Exp. 3</v>
      </c>
      <c r="F67" s="1" t="s">
        <v>388</v>
      </c>
      <c r="G67" s="473">
        <f>IF(G39=0,0,'8a. RNG'!$R$14)</f>
        <v>0</v>
      </c>
      <c r="H67" s="473">
        <f>IF(H39=0,0,'8a. RNG'!$R$14)</f>
        <v>0</v>
      </c>
      <c r="I67" s="473">
        <f>IF(I39=0,0,'8a. RNG'!$R$14)</f>
        <v>0</v>
      </c>
      <c r="J67" s="473">
        <f>IF(J39=0,0,'8a. RNG'!$R$14)</f>
        <v>0</v>
      </c>
      <c r="K67" s="473">
        <f>IF(K39=0,0,'8a. RNG'!$R$14)</f>
        <v>0</v>
      </c>
      <c r="L67" s="473">
        <f>IF(L39=0,0,'8a. RNG'!$R$14)</f>
        <v>0</v>
      </c>
      <c r="M67" s="473">
        <f>IF(M39=0,0,'8a. RNG'!$R$14)</f>
        <v>0</v>
      </c>
      <c r="N67" s="473">
        <f>IF(N39=0,0,'8a. RNG'!$R$14)</f>
        <v>0</v>
      </c>
      <c r="O67" s="473">
        <f>IF(O39=0,0,'8a. RNG'!$R$14)</f>
        <v>0</v>
      </c>
      <c r="P67" s="473">
        <f>IF(P39=0,0,'8a. RNG'!$R$14)</f>
        <v>0</v>
      </c>
      <c r="Q67" s="473">
        <f>IF(Q39=0,0,'8a. RNG'!$R$14)</f>
        <v>0</v>
      </c>
      <c r="R67" s="473">
        <f>IF(R39=0,0,'8a. RNG'!$R$14)</f>
        <v>0</v>
      </c>
      <c r="S67" s="473">
        <f>IF(S39=0,0,'8a. RNG'!$R$14)</f>
        <v>0</v>
      </c>
      <c r="T67" s="473">
        <f>IF(T39=0,0,'8a. RNG'!$R$14)</f>
        <v>0</v>
      </c>
      <c r="U67" s="473">
        <f>IF(U39=0,0,'8a. RNG'!$R$14)</f>
        <v>0</v>
      </c>
      <c r="V67" s="473">
        <f>IF(V39=0,0,'8a. RNG'!$R$14)</f>
        <v>0</v>
      </c>
      <c r="W67" s="473">
        <f>IF(W39=0,0,'8a. RNG'!$R$14)</f>
        <v>0</v>
      </c>
      <c r="X67" s="473">
        <f>IF(X39=0,0,'8a. RNG'!$R$14)</f>
        <v>0</v>
      </c>
      <c r="Y67" s="473">
        <f>IF(Y39=0,0,'8a. RNG'!$R$14)</f>
        <v>0</v>
      </c>
      <c r="Z67" s="473">
        <f>IF(Z39=0,0,'8a. RNG'!$R$14)</f>
        <v>0</v>
      </c>
      <c r="AA67" s="473">
        <f>IF(AA39=0,0,'8a. RNG'!$R$14)</f>
        <v>0</v>
      </c>
      <c r="AB67" s="473">
        <f>IF(AB39=0,0,'8a. RNG'!$R$14)</f>
        <v>0</v>
      </c>
      <c r="AC67" s="473">
        <f>IF(AC39=0,0,'8a. RNG'!$R$14)</f>
        <v>0</v>
      </c>
      <c r="AD67" s="473">
        <f>IF(AD39=0,0,'8a. RNG'!$R$14)</f>
        <v>0</v>
      </c>
      <c r="AE67" s="473">
        <f>IF(AE39=0,0,'8a. RNG'!$R$14)</f>
        <v>0</v>
      </c>
      <c r="AF67" s="473">
        <f>IF(AF39=0,0,'8a. RNG'!$R$14)</f>
        <v>0</v>
      </c>
      <c r="AG67" s="473">
        <f>IF(AG39=0,0,'8a. RNG'!$R$14)</f>
        <v>0</v>
      </c>
      <c r="AH67" s="473">
        <f>IF(AH39=0,0,'8a. RNG'!$R$14)</f>
        <v>0</v>
      </c>
      <c r="AI67" s="473">
        <f>IF(AI39=0,0,'8a. RNG'!$R$14)</f>
        <v>0</v>
      </c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</row>
    <row r="68" spans="1:51" x14ac:dyDescent="0.25">
      <c r="A68" s="1"/>
      <c r="B68" s="1"/>
      <c r="C68" s="1"/>
      <c r="D68" s="1"/>
      <c r="E68" s="139" t="str">
        <f>'8a. RNG'!$S$12</f>
        <v>CDW Exp. 4</v>
      </c>
      <c r="F68" s="1" t="s">
        <v>388</v>
      </c>
      <c r="G68" s="473">
        <f>IF(G40=0,0,'8a. RNG'!$S$14)</f>
        <v>0</v>
      </c>
      <c r="H68" s="473">
        <f>IF(H40=0,0,'8a. RNG'!$S$14)</f>
        <v>0</v>
      </c>
      <c r="I68" s="473">
        <f>IF(I40=0,0,'8a. RNG'!$S$14)</f>
        <v>0</v>
      </c>
      <c r="J68" s="473">
        <f>IF(J40=0,0,'8a. RNG'!$S$14)</f>
        <v>0</v>
      </c>
      <c r="K68" s="473">
        <f>IF(K40=0,0,'8a. RNG'!$S$14)</f>
        <v>0</v>
      </c>
      <c r="L68" s="473">
        <f>IF(L40=0,0,'8a. RNG'!$S$14)</f>
        <v>0</v>
      </c>
      <c r="M68" s="473">
        <f>IF(M40=0,0,'8a. RNG'!$S$14)</f>
        <v>0</v>
      </c>
      <c r="N68" s="473">
        <f>IF(N40=0,0,'8a. RNG'!$S$14)</f>
        <v>0</v>
      </c>
      <c r="O68" s="473">
        <f>IF(O40=0,0,'8a. RNG'!$S$14)</f>
        <v>0</v>
      </c>
      <c r="P68" s="473">
        <f>IF(P40=0,0,'8a. RNG'!$S$14)</f>
        <v>0</v>
      </c>
      <c r="Q68" s="473">
        <f>IF(Q40=0,0,'8a. RNG'!$S$14)</f>
        <v>0</v>
      </c>
      <c r="R68" s="473">
        <f>IF(R40=0,0,'8a. RNG'!$S$14)</f>
        <v>0</v>
      </c>
      <c r="S68" s="473">
        <f>IF(S40=0,0,'8a. RNG'!$S$14)</f>
        <v>0</v>
      </c>
      <c r="T68" s="473">
        <f>IF(T40=0,0,'8a. RNG'!$S$14)</f>
        <v>0</v>
      </c>
      <c r="U68" s="473">
        <f>IF(U40=0,0,'8a. RNG'!$S$14)</f>
        <v>0</v>
      </c>
      <c r="V68" s="473">
        <f>IF(V40=0,0,'8a. RNG'!$S$14)</f>
        <v>0</v>
      </c>
      <c r="W68" s="473">
        <f>IF(W40=0,0,'8a. RNG'!$S$14)</f>
        <v>0</v>
      </c>
      <c r="X68" s="473">
        <f>IF(X40=0,0,'8a. RNG'!$S$14)</f>
        <v>0</v>
      </c>
      <c r="Y68" s="473">
        <f>IF(Y40=0,0,'8a. RNG'!$S$14)</f>
        <v>0</v>
      </c>
      <c r="Z68" s="473">
        <f>IF(Z40=0,0,'8a. RNG'!$S$14)</f>
        <v>0</v>
      </c>
      <c r="AA68" s="473">
        <f>IF(AA40=0,0,'8a. RNG'!$S$14)</f>
        <v>0</v>
      </c>
      <c r="AB68" s="473">
        <f>IF(AB40=0,0,'8a. RNG'!$S$14)</f>
        <v>0</v>
      </c>
      <c r="AC68" s="473">
        <f>IF(AC40=0,0,'8a. RNG'!$S$14)</f>
        <v>0</v>
      </c>
      <c r="AD68" s="473">
        <f>IF(AD40=0,0,'8a. RNG'!$S$14)</f>
        <v>0</v>
      </c>
      <c r="AE68" s="473">
        <f>IF(AE40=0,0,'8a. RNG'!$S$14)</f>
        <v>0</v>
      </c>
      <c r="AF68" s="473">
        <f>IF(AF40=0,0,'8a. RNG'!$S$14)</f>
        <v>0</v>
      </c>
      <c r="AG68" s="473">
        <f>IF(AG40=0,0,'8a. RNG'!$S$14)</f>
        <v>0</v>
      </c>
      <c r="AH68" s="473">
        <f>IF(AH40=0,0,'8a. RNG'!$S$14)</f>
        <v>0</v>
      </c>
      <c r="AI68" s="473">
        <f>IF(AI40=0,0,'8a. RNG'!$S$14)</f>
        <v>0</v>
      </c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</row>
    <row r="69" spans="1:51" x14ac:dyDescent="0.25">
      <c r="A69" s="1"/>
      <c r="B69" s="1"/>
      <c r="C69" s="1"/>
      <c r="D69" s="1"/>
      <c r="E69" s="139" t="str">
        <f>'8a. RNG'!$T$12</f>
        <v>CDW Exp. 5</v>
      </c>
      <c r="F69" s="1" t="s">
        <v>388</v>
      </c>
      <c r="G69" s="473">
        <f>IF(G41=0,0,'8a. RNG'!$T$14)</f>
        <v>0</v>
      </c>
      <c r="H69" s="473">
        <f>IF(H41=0,0,'8a. RNG'!$T$14)</f>
        <v>0</v>
      </c>
      <c r="I69" s="473">
        <f>IF(I41=0,0,'8a. RNG'!$T$14)</f>
        <v>0</v>
      </c>
      <c r="J69" s="473">
        <f>IF(J41=0,0,'8a. RNG'!$T$14)</f>
        <v>0</v>
      </c>
      <c r="K69" s="473">
        <f>IF(K41=0,0,'8a. RNG'!$T$14)</f>
        <v>0</v>
      </c>
      <c r="L69" s="473">
        <f>IF(L41=0,0,'8a. RNG'!$T$14)</f>
        <v>0</v>
      </c>
      <c r="M69" s="473">
        <f>IF(M41=0,0,'8a. RNG'!$T$14)</f>
        <v>0</v>
      </c>
      <c r="N69" s="473">
        <f>IF(N41=0,0,'8a. RNG'!$T$14)</f>
        <v>0</v>
      </c>
      <c r="O69" s="473">
        <f>IF(O41=0,0,'8a. RNG'!$T$14)</f>
        <v>0</v>
      </c>
      <c r="P69" s="473">
        <f>IF(P41=0,0,'8a. RNG'!$T$14)</f>
        <v>0</v>
      </c>
      <c r="Q69" s="473">
        <f>IF(Q41=0,0,'8a. RNG'!$T$14)</f>
        <v>0</v>
      </c>
      <c r="R69" s="473">
        <f>IF(R41=0,0,'8a. RNG'!$T$14)</f>
        <v>0</v>
      </c>
      <c r="S69" s="473">
        <f>IF(S41=0,0,'8a. RNG'!$T$14)</f>
        <v>0</v>
      </c>
      <c r="T69" s="473">
        <f>IF(T41=0,0,'8a. RNG'!$T$14)</f>
        <v>0</v>
      </c>
      <c r="U69" s="473">
        <f>IF(U41=0,0,'8a. RNG'!$T$14)</f>
        <v>0</v>
      </c>
      <c r="V69" s="473">
        <f>IF(V41=0,0,'8a. RNG'!$T$14)</f>
        <v>0</v>
      </c>
      <c r="W69" s="473">
        <f>IF(W41=0,0,'8a. RNG'!$T$14)</f>
        <v>0</v>
      </c>
      <c r="X69" s="473">
        <f>IF(X41=0,0,'8a. RNG'!$T$14)</f>
        <v>0</v>
      </c>
      <c r="Y69" s="473">
        <f>IF(Y41=0,0,'8a. RNG'!$T$14)</f>
        <v>0</v>
      </c>
      <c r="Z69" s="473">
        <f>IF(Z41=0,0,'8a. RNG'!$T$14)</f>
        <v>0</v>
      </c>
      <c r="AA69" s="473">
        <f>IF(AA41=0,0,'8a. RNG'!$T$14)</f>
        <v>0</v>
      </c>
      <c r="AB69" s="473">
        <f>IF(AB41=0,0,'8a. RNG'!$T$14)</f>
        <v>0</v>
      </c>
      <c r="AC69" s="473">
        <f>IF(AC41=0,0,'8a. RNG'!$T$14)</f>
        <v>0</v>
      </c>
      <c r="AD69" s="473">
        <f>IF(AD41=0,0,'8a. RNG'!$T$14)</f>
        <v>0</v>
      </c>
      <c r="AE69" s="473">
        <f>IF(AE41=0,0,'8a. RNG'!$T$14)</f>
        <v>0</v>
      </c>
      <c r="AF69" s="473">
        <f>IF(AF41=0,0,'8a. RNG'!$T$14)</f>
        <v>0</v>
      </c>
      <c r="AG69" s="473">
        <f>IF(AG41=0,0,'8a. RNG'!$T$14)</f>
        <v>0</v>
      </c>
      <c r="AH69" s="473">
        <f>IF(AH41=0,0,'8a. RNG'!$T$14)</f>
        <v>0</v>
      </c>
      <c r="AI69" s="473">
        <f>IF(AI41=0,0,'8a. RNG'!$T$14)</f>
        <v>0</v>
      </c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</row>
    <row r="70" spans="1:51" x14ac:dyDescent="0.25">
      <c r="A70" s="1"/>
      <c r="B70" s="1"/>
      <c r="C70" s="1"/>
      <c r="D70" s="1"/>
      <c r="E70" s="139" t="str">
        <f>'5. LNG- ISO_Expansion'!$X$12</f>
        <v>LNG ISO Exp 1</v>
      </c>
      <c r="F70" s="1" t="s">
        <v>388</v>
      </c>
      <c r="G70" s="473">
        <f>VLOOKUP(G54,'5. LNG- ISO_Expansion'!$W$14:$AB$43,2,FALSE)</f>
        <v>0</v>
      </c>
      <c r="H70" s="473">
        <f>VLOOKUP(H54,'5. LNG- ISO_Expansion'!$W$14:$AB$43,2,FALSE)</f>
        <v>0</v>
      </c>
      <c r="I70" s="473">
        <f>VLOOKUP(I54,'5. LNG- ISO_Expansion'!$W$14:$AB$43,2,FALSE)</f>
        <v>0</v>
      </c>
      <c r="J70" s="473">
        <f>VLOOKUP(J54,'5. LNG- ISO_Expansion'!$W$14:$AB$43,2,FALSE)</f>
        <v>0</v>
      </c>
      <c r="K70" s="473">
        <f>VLOOKUP(K54,'5. LNG- ISO_Expansion'!$W$14:$AB$43,2,FALSE)</f>
        <v>0</v>
      </c>
      <c r="L70" s="473">
        <f>VLOOKUP(L54,'5. LNG- ISO_Expansion'!$W$14:$AB$43,2,FALSE)</f>
        <v>0</v>
      </c>
      <c r="M70" s="473">
        <f>VLOOKUP(M54,'5. LNG- ISO_Expansion'!$W$14:$AB$43,2,FALSE)</f>
        <v>0</v>
      </c>
      <c r="N70" s="473">
        <f>VLOOKUP(N54,'5. LNG- ISO_Expansion'!$W$14:$AB$43,2,FALSE)</f>
        <v>0</v>
      </c>
      <c r="O70" s="473">
        <f>VLOOKUP(O54,'5. LNG- ISO_Expansion'!$W$14:$AB$43,2,FALSE)</f>
        <v>0</v>
      </c>
      <c r="P70" s="473">
        <f>VLOOKUP(P54,'5. LNG- ISO_Expansion'!$W$14:$AB$43,2,FALSE)</f>
        <v>0</v>
      </c>
      <c r="Q70" s="473">
        <f>VLOOKUP(Q54,'5. LNG- ISO_Expansion'!$W$14:$AB$43,2,FALSE)</f>
        <v>0</v>
      </c>
      <c r="R70" s="473">
        <f>VLOOKUP(R54,'5. LNG- ISO_Expansion'!$W$14:$AB$43,2,FALSE)</f>
        <v>0</v>
      </c>
      <c r="S70" s="473">
        <f>VLOOKUP(S54,'5. LNG- ISO_Expansion'!$W$14:$AB$43,2,FALSE)</f>
        <v>0</v>
      </c>
      <c r="T70" s="473">
        <f>VLOOKUP(T54,'5. LNG- ISO_Expansion'!$W$14:$AB$43,2,FALSE)</f>
        <v>0</v>
      </c>
      <c r="U70" s="473">
        <f>VLOOKUP(U54,'5. LNG- ISO_Expansion'!$W$14:$AB$43,2,FALSE)</f>
        <v>0</v>
      </c>
      <c r="V70" s="473">
        <f>VLOOKUP(V54,'5. LNG- ISO_Expansion'!$W$14:$AB$43,2,FALSE)</f>
        <v>0</v>
      </c>
      <c r="W70" s="473">
        <f>VLOOKUP(W54,'5. LNG- ISO_Expansion'!$W$14:$AB$43,2,FALSE)</f>
        <v>0</v>
      </c>
      <c r="X70" s="473">
        <f>VLOOKUP(X54,'5. LNG- ISO_Expansion'!$W$14:$AB$43,2,FALSE)</f>
        <v>0</v>
      </c>
      <c r="Y70" s="473">
        <f>VLOOKUP(Y54,'5. LNG- ISO_Expansion'!$W$14:$AB$43,2,FALSE)</f>
        <v>0</v>
      </c>
      <c r="Z70" s="473">
        <f>VLOOKUP(Z54,'5. LNG- ISO_Expansion'!$W$14:$AB$43,2,FALSE)</f>
        <v>0</v>
      </c>
      <c r="AA70" s="473">
        <f>VLOOKUP(AA54,'5. LNG- ISO_Expansion'!$W$14:$AB$43,2,FALSE)</f>
        <v>0</v>
      </c>
      <c r="AB70" s="473">
        <f>VLOOKUP(AB54,'5. LNG- ISO_Expansion'!$W$14:$AB$43,2,FALSE)</f>
        <v>0</v>
      </c>
      <c r="AC70" s="473">
        <f>VLOOKUP(AC54,'5. LNG- ISO_Expansion'!$W$14:$AB$43,2,FALSE)</f>
        <v>0</v>
      </c>
      <c r="AD70" s="473">
        <f>VLOOKUP(AD54,'5. LNG- ISO_Expansion'!$W$14:$AB$43,2,FALSE)</f>
        <v>0</v>
      </c>
      <c r="AE70" s="473">
        <f>VLOOKUP(AE54,'5. LNG- ISO_Expansion'!$W$14:$AB$43,2,FALSE)</f>
        <v>0</v>
      </c>
      <c r="AF70" s="473">
        <f>VLOOKUP(AF54,'5. LNG- ISO_Expansion'!$W$14:$AB$43,2,FALSE)</f>
        <v>0</v>
      </c>
      <c r="AG70" s="473">
        <f>VLOOKUP(AG54,'5. LNG- ISO_Expansion'!$W$14:$AB$43,2,FALSE)</f>
        <v>0</v>
      </c>
      <c r="AH70" s="473">
        <f>VLOOKUP(AH54,'5. LNG- ISO_Expansion'!$W$14:$AB$43,2,FALSE)</f>
        <v>0</v>
      </c>
      <c r="AI70" s="473">
        <f>VLOOKUP(AI54,'5. LNG- ISO_Expansion'!$W$14:$AB$43,2,FALSE)</f>
        <v>0</v>
      </c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</row>
    <row r="71" spans="1:51" x14ac:dyDescent="0.25">
      <c r="A71" s="1"/>
      <c r="B71" s="1"/>
      <c r="C71" s="1"/>
      <c r="D71" s="1"/>
      <c r="E71" s="139" t="str">
        <f>'5. LNG- ISO_Expansion'!$Y$12</f>
        <v>LNG ISO Exp 2</v>
      </c>
      <c r="F71" s="1" t="s">
        <v>388</v>
      </c>
      <c r="G71" s="473">
        <f>VLOOKUP(G54,'5. LNG- ISO_Expansion'!$W$14:$AB$43,3,FALSE)</f>
        <v>0</v>
      </c>
      <c r="H71" s="473">
        <f>VLOOKUP(H54,'5. LNG- ISO_Expansion'!$W$14:$AB$43,3,FALSE)</f>
        <v>0</v>
      </c>
      <c r="I71" s="473">
        <f>VLOOKUP(I54,'5. LNG- ISO_Expansion'!$W$14:$AB$43,3,FALSE)</f>
        <v>0</v>
      </c>
      <c r="J71" s="473">
        <f>VLOOKUP(J54,'5. LNG- ISO_Expansion'!$W$14:$AB$43,3,FALSE)</f>
        <v>0</v>
      </c>
      <c r="K71" s="473">
        <f>VLOOKUP(K54,'5. LNG- ISO_Expansion'!$W$14:$AB$43,3,FALSE)</f>
        <v>0</v>
      </c>
      <c r="L71" s="473">
        <f>VLOOKUP(L54,'5. LNG- ISO_Expansion'!$W$14:$AB$43,3,FALSE)</f>
        <v>0</v>
      </c>
      <c r="M71" s="473">
        <f>VLOOKUP(M54,'5. LNG- ISO_Expansion'!$W$14:$AB$43,3,FALSE)</f>
        <v>0</v>
      </c>
      <c r="N71" s="473">
        <f>VLOOKUP(N54,'5. LNG- ISO_Expansion'!$W$14:$AB$43,3,FALSE)</f>
        <v>0</v>
      </c>
      <c r="O71" s="473">
        <f>VLOOKUP(O54,'5. LNG- ISO_Expansion'!$W$14:$AB$43,3,FALSE)</f>
        <v>0</v>
      </c>
      <c r="P71" s="473">
        <f>VLOOKUP(P54,'5. LNG- ISO_Expansion'!$W$14:$AB$43,3,FALSE)</f>
        <v>0</v>
      </c>
      <c r="Q71" s="473">
        <f>VLOOKUP(Q54,'5. LNG- ISO_Expansion'!$W$14:$AB$43,3,FALSE)</f>
        <v>0</v>
      </c>
      <c r="R71" s="473">
        <f>VLOOKUP(R54,'5. LNG- ISO_Expansion'!$W$14:$AB$43,3,FALSE)</f>
        <v>0</v>
      </c>
      <c r="S71" s="473">
        <f>VLOOKUP(S54,'5. LNG- ISO_Expansion'!$W$14:$AB$43,3,FALSE)</f>
        <v>0</v>
      </c>
      <c r="T71" s="473">
        <f>VLOOKUP(T54,'5. LNG- ISO_Expansion'!$W$14:$AB$43,3,FALSE)</f>
        <v>0</v>
      </c>
      <c r="U71" s="473">
        <f>VLOOKUP(U54,'5. LNG- ISO_Expansion'!$W$14:$AB$43,3,FALSE)</f>
        <v>0</v>
      </c>
      <c r="V71" s="473">
        <f>VLOOKUP(V54,'5. LNG- ISO_Expansion'!$W$14:$AB$43,3,FALSE)</f>
        <v>0</v>
      </c>
      <c r="W71" s="473">
        <f>VLOOKUP(W54,'5. LNG- ISO_Expansion'!$W$14:$AB$43,3,FALSE)</f>
        <v>0</v>
      </c>
      <c r="X71" s="473">
        <f>VLOOKUP(X54,'5. LNG- ISO_Expansion'!$W$14:$AB$43,3,FALSE)</f>
        <v>0</v>
      </c>
      <c r="Y71" s="473">
        <f>VLOOKUP(Y54,'5. LNG- ISO_Expansion'!$W$14:$AB$43,3,FALSE)</f>
        <v>0</v>
      </c>
      <c r="Z71" s="473">
        <f>VLOOKUP(Z54,'5. LNG- ISO_Expansion'!$W$14:$AB$43,3,FALSE)</f>
        <v>0</v>
      </c>
      <c r="AA71" s="473">
        <f>VLOOKUP(AA54,'5. LNG- ISO_Expansion'!$W$14:$AB$43,3,FALSE)</f>
        <v>0</v>
      </c>
      <c r="AB71" s="473">
        <f>VLOOKUP(AB54,'5. LNG- ISO_Expansion'!$W$14:$AB$43,3,FALSE)</f>
        <v>0</v>
      </c>
      <c r="AC71" s="473">
        <f>VLOOKUP(AC54,'5. LNG- ISO_Expansion'!$W$14:$AB$43,3,FALSE)</f>
        <v>0</v>
      </c>
      <c r="AD71" s="473">
        <f>VLOOKUP(AD54,'5. LNG- ISO_Expansion'!$W$14:$AB$43,3,FALSE)</f>
        <v>0</v>
      </c>
      <c r="AE71" s="473">
        <f>VLOOKUP(AE54,'5. LNG- ISO_Expansion'!$W$14:$AB$43,3,FALSE)</f>
        <v>0</v>
      </c>
      <c r="AF71" s="473">
        <f>VLOOKUP(AF54,'5. LNG- ISO_Expansion'!$W$14:$AB$43,3,FALSE)</f>
        <v>0</v>
      </c>
      <c r="AG71" s="473">
        <f>VLOOKUP(AG54,'5. LNG- ISO_Expansion'!$W$14:$AB$43,3,FALSE)</f>
        <v>0</v>
      </c>
      <c r="AH71" s="473">
        <f>VLOOKUP(AH54,'5. LNG- ISO_Expansion'!$W$14:$AB$43,3,FALSE)</f>
        <v>0</v>
      </c>
      <c r="AI71" s="473">
        <f>VLOOKUP(AI54,'5. LNG- ISO_Expansion'!$W$14:$AB$43,3,FALSE)</f>
        <v>0</v>
      </c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</row>
    <row r="72" spans="1:51" x14ac:dyDescent="0.25">
      <c r="A72" s="1"/>
      <c r="B72" s="1"/>
      <c r="C72" s="1"/>
      <c r="D72" s="1"/>
      <c r="E72" s="139" t="str">
        <f>'5. LNG- ISO_Expansion'!$Z$12</f>
        <v>LNG ISO Exp 3</v>
      </c>
      <c r="F72" s="1" t="s">
        <v>388</v>
      </c>
      <c r="G72" s="473">
        <f>VLOOKUP(G54,'5. LNG- ISO_Expansion'!$W$14:$AB$43,4,FALSE)</f>
        <v>0</v>
      </c>
      <c r="H72" s="473">
        <f>VLOOKUP(H54,'5. LNG- ISO_Expansion'!$W$14:$AB$43,4,FALSE)</f>
        <v>0</v>
      </c>
      <c r="I72" s="473">
        <f>VLOOKUP(I54,'5. LNG- ISO_Expansion'!$W$14:$AB$43,4,FALSE)</f>
        <v>0</v>
      </c>
      <c r="J72" s="473">
        <f>VLOOKUP(J54,'5. LNG- ISO_Expansion'!$W$14:$AB$43,4,FALSE)</f>
        <v>0</v>
      </c>
      <c r="K72" s="473">
        <f>VLOOKUP(K54,'5. LNG- ISO_Expansion'!$W$14:$AB$43,4,FALSE)</f>
        <v>0</v>
      </c>
      <c r="L72" s="473">
        <f>VLOOKUP(L54,'5. LNG- ISO_Expansion'!$W$14:$AB$43,4,FALSE)</f>
        <v>0</v>
      </c>
      <c r="M72" s="473">
        <f>VLOOKUP(M54,'5. LNG- ISO_Expansion'!$W$14:$AB$43,4,FALSE)</f>
        <v>0</v>
      </c>
      <c r="N72" s="473">
        <f>VLOOKUP(N54,'5. LNG- ISO_Expansion'!$W$14:$AB$43,4,FALSE)</f>
        <v>0</v>
      </c>
      <c r="O72" s="473">
        <f>VLOOKUP(O54,'5. LNG- ISO_Expansion'!$W$14:$AB$43,4,FALSE)</f>
        <v>0</v>
      </c>
      <c r="P72" s="473">
        <f>VLOOKUP(P54,'5. LNG- ISO_Expansion'!$W$14:$AB$43,4,FALSE)</f>
        <v>0</v>
      </c>
      <c r="Q72" s="473">
        <f>VLOOKUP(Q54,'5. LNG- ISO_Expansion'!$W$14:$AB$43,4,FALSE)</f>
        <v>0</v>
      </c>
      <c r="R72" s="473">
        <f>VLOOKUP(R54,'5. LNG- ISO_Expansion'!$W$14:$AB$43,4,FALSE)</f>
        <v>0</v>
      </c>
      <c r="S72" s="473">
        <f>VLOOKUP(S54,'5. LNG- ISO_Expansion'!$W$14:$AB$43,4,FALSE)</f>
        <v>0</v>
      </c>
      <c r="T72" s="473">
        <f>VLOOKUP(T54,'5. LNG- ISO_Expansion'!$W$14:$AB$43,4,FALSE)</f>
        <v>0</v>
      </c>
      <c r="U72" s="473">
        <f>VLOOKUP(U54,'5. LNG- ISO_Expansion'!$W$14:$AB$43,4,FALSE)</f>
        <v>0</v>
      </c>
      <c r="V72" s="473">
        <f>VLOOKUP(V54,'5. LNG- ISO_Expansion'!$W$14:$AB$43,4,FALSE)</f>
        <v>0</v>
      </c>
      <c r="W72" s="473">
        <f>VLOOKUP(W54,'5. LNG- ISO_Expansion'!$W$14:$AB$43,4,FALSE)</f>
        <v>0</v>
      </c>
      <c r="X72" s="473">
        <f>VLOOKUP(X54,'5. LNG- ISO_Expansion'!$W$14:$AB$43,4,FALSE)</f>
        <v>0</v>
      </c>
      <c r="Y72" s="473">
        <f>VLOOKUP(Y54,'5. LNG- ISO_Expansion'!$W$14:$AB$43,4,FALSE)</f>
        <v>0</v>
      </c>
      <c r="Z72" s="473">
        <f>VLOOKUP(Z54,'5. LNG- ISO_Expansion'!$W$14:$AB$43,4,FALSE)</f>
        <v>0</v>
      </c>
      <c r="AA72" s="473">
        <f>VLOOKUP(AA54,'5. LNG- ISO_Expansion'!$W$14:$AB$43,4,FALSE)</f>
        <v>0</v>
      </c>
      <c r="AB72" s="473">
        <f>VLOOKUP(AB54,'5. LNG- ISO_Expansion'!$W$14:$AB$43,4,FALSE)</f>
        <v>0</v>
      </c>
      <c r="AC72" s="473">
        <f>VLOOKUP(AC54,'5. LNG- ISO_Expansion'!$W$14:$AB$43,4,FALSE)</f>
        <v>0</v>
      </c>
      <c r="AD72" s="473">
        <f>VLOOKUP(AD54,'5. LNG- ISO_Expansion'!$W$14:$AB$43,4,FALSE)</f>
        <v>0</v>
      </c>
      <c r="AE72" s="473">
        <f>VLOOKUP(AE54,'5. LNG- ISO_Expansion'!$W$14:$AB$43,4,FALSE)</f>
        <v>0</v>
      </c>
      <c r="AF72" s="473">
        <f>VLOOKUP(AF54,'5. LNG- ISO_Expansion'!$W$14:$AB$43,4,FALSE)</f>
        <v>0</v>
      </c>
      <c r="AG72" s="473">
        <f>VLOOKUP(AG54,'5. LNG- ISO_Expansion'!$W$14:$AB$43,4,FALSE)</f>
        <v>0</v>
      </c>
      <c r="AH72" s="473">
        <f>VLOOKUP(AH54,'5. LNG- ISO_Expansion'!$W$14:$AB$43,4,FALSE)</f>
        <v>0</v>
      </c>
      <c r="AI72" s="473">
        <f>VLOOKUP(AI54,'5. LNG- ISO_Expansion'!$W$14:$AB$43,4,FALSE)</f>
        <v>0</v>
      </c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</row>
    <row r="73" spans="1:51" x14ac:dyDescent="0.25">
      <c r="A73" s="1"/>
      <c r="B73" s="1"/>
      <c r="C73" s="1"/>
      <c r="D73" s="1"/>
      <c r="E73" s="139" t="str">
        <f>'5. LNG- ISO_Expansion'!$AA$12</f>
        <v>LNG ISO Exp 4</v>
      </c>
      <c r="F73" s="1" t="s">
        <v>388</v>
      </c>
      <c r="G73" s="473">
        <f>VLOOKUP(G54,'5. LNG- ISO_Expansion'!$W$14:$AB$43,5,FALSE)</f>
        <v>0</v>
      </c>
      <c r="H73" s="473">
        <f>VLOOKUP(H54,'5. LNG- ISO_Expansion'!$W$14:$AB$43,5,FALSE)</f>
        <v>0</v>
      </c>
      <c r="I73" s="473">
        <f>VLOOKUP(I54,'5. LNG- ISO_Expansion'!$W$14:$AB$43,5,FALSE)</f>
        <v>0</v>
      </c>
      <c r="J73" s="473">
        <f>VLOOKUP(J54,'5. LNG- ISO_Expansion'!$W$14:$AB$43,5,FALSE)</f>
        <v>0</v>
      </c>
      <c r="K73" s="473">
        <f>VLOOKUP(K54,'5. LNG- ISO_Expansion'!$W$14:$AB$43,5,FALSE)</f>
        <v>0</v>
      </c>
      <c r="L73" s="473">
        <f>VLOOKUP(L54,'5. LNG- ISO_Expansion'!$W$14:$AB$43,5,FALSE)</f>
        <v>0</v>
      </c>
      <c r="M73" s="473">
        <f>VLOOKUP(M54,'5. LNG- ISO_Expansion'!$W$14:$AB$43,5,FALSE)</f>
        <v>0</v>
      </c>
      <c r="N73" s="473">
        <f>VLOOKUP(N54,'5. LNG- ISO_Expansion'!$W$14:$AB$43,5,FALSE)</f>
        <v>0</v>
      </c>
      <c r="O73" s="473">
        <f>VLOOKUP(O54,'5. LNG- ISO_Expansion'!$W$14:$AB$43,5,FALSE)</f>
        <v>0</v>
      </c>
      <c r="P73" s="473">
        <f>VLOOKUP(P54,'5. LNG- ISO_Expansion'!$W$14:$AB$43,5,FALSE)</f>
        <v>0</v>
      </c>
      <c r="Q73" s="473">
        <f>VLOOKUP(Q54,'5. LNG- ISO_Expansion'!$W$14:$AB$43,5,FALSE)</f>
        <v>0</v>
      </c>
      <c r="R73" s="473">
        <f>VLOOKUP(R54,'5. LNG- ISO_Expansion'!$W$14:$AB$43,5,FALSE)</f>
        <v>0</v>
      </c>
      <c r="S73" s="473">
        <f>VLOOKUP(S54,'5. LNG- ISO_Expansion'!$W$14:$AB$43,5,FALSE)</f>
        <v>0</v>
      </c>
      <c r="T73" s="473">
        <f>VLOOKUP(T54,'5. LNG- ISO_Expansion'!$W$14:$AB$43,5,FALSE)</f>
        <v>0</v>
      </c>
      <c r="U73" s="473">
        <f>VLOOKUP(U54,'5. LNG- ISO_Expansion'!$W$14:$AB$43,5,FALSE)</f>
        <v>0</v>
      </c>
      <c r="V73" s="473">
        <f>VLOOKUP(V54,'5. LNG- ISO_Expansion'!$W$14:$AB$43,5,FALSE)</f>
        <v>0</v>
      </c>
      <c r="W73" s="473">
        <f>VLOOKUP(W54,'5. LNG- ISO_Expansion'!$W$14:$AB$43,5,FALSE)</f>
        <v>0</v>
      </c>
      <c r="X73" s="473">
        <f>VLOOKUP(X54,'5. LNG- ISO_Expansion'!$W$14:$AB$43,5,FALSE)</f>
        <v>0</v>
      </c>
      <c r="Y73" s="473">
        <f>VLOOKUP(Y54,'5. LNG- ISO_Expansion'!$W$14:$AB$43,5,FALSE)</f>
        <v>0</v>
      </c>
      <c r="Z73" s="473">
        <f>VLOOKUP(Z54,'5. LNG- ISO_Expansion'!$W$14:$AB$43,5,FALSE)</f>
        <v>0</v>
      </c>
      <c r="AA73" s="473">
        <f>VLOOKUP(AA54,'5. LNG- ISO_Expansion'!$W$14:$AB$43,5,FALSE)</f>
        <v>0</v>
      </c>
      <c r="AB73" s="473">
        <f>VLOOKUP(AB54,'5. LNG- ISO_Expansion'!$W$14:$AB$43,5,FALSE)</f>
        <v>0</v>
      </c>
      <c r="AC73" s="473">
        <f>VLOOKUP(AC54,'5. LNG- ISO_Expansion'!$W$14:$AB$43,5,FALSE)</f>
        <v>0</v>
      </c>
      <c r="AD73" s="473">
        <f>VLOOKUP(AD54,'5. LNG- ISO_Expansion'!$W$14:$AB$43,5,FALSE)</f>
        <v>0</v>
      </c>
      <c r="AE73" s="473">
        <f>VLOOKUP(AE54,'5. LNG- ISO_Expansion'!$W$14:$AB$43,5,FALSE)</f>
        <v>0</v>
      </c>
      <c r="AF73" s="473">
        <f>VLOOKUP(AF54,'5. LNG- ISO_Expansion'!$W$14:$AB$43,5,FALSE)</f>
        <v>0</v>
      </c>
      <c r="AG73" s="473">
        <f>VLOOKUP(AG54,'5. LNG- ISO_Expansion'!$W$14:$AB$43,5,FALSE)</f>
        <v>0</v>
      </c>
      <c r="AH73" s="473">
        <f>VLOOKUP(AH54,'5. LNG- ISO_Expansion'!$W$14:$AB$43,5,FALSE)</f>
        <v>0</v>
      </c>
      <c r="AI73" s="473">
        <f>VLOOKUP(AI54,'5. LNG- ISO_Expansion'!$W$14:$AB$43,5,FALSE)</f>
        <v>0</v>
      </c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</row>
    <row r="74" spans="1:51" x14ac:dyDescent="0.25">
      <c r="A74" s="1"/>
      <c r="B74" s="1"/>
      <c r="C74" s="1"/>
      <c r="D74" s="1"/>
      <c r="E74" s="139" t="str">
        <f>'5. LNG- ISO_Expansion'!$AB$12</f>
        <v>LNG ISO Exp 5</v>
      </c>
      <c r="F74" s="1" t="s">
        <v>388</v>
      </c>
      <c r="G74" s="473">
        <f>VLOOKUP(G54,'5. LNG- ISO_Expansion'!$W$14:$AB$43,6,FALSE)</f>
        <v>0</v>
      </c>
      <c r="H74" s="473">
        <f>VLOOKUP(H54,'5. LNG- ISO_Expansion'!$W$14:$AB$43,6,FALSE)</f>
        <v>0</v>
      </c>
      <c r="I74" s="473">
        <f>VLOOKUP(I54,'5. LNG- ISO_Expansion'!$W$14:$AB$43,6,FALSE)</f>
        <v>0</v>
      </c>
      <c r="J74" s="473">
        <f>VLOOKUP(J54,'5. LNG- ISO_Expansion'!$W$14:$AB$43,6,FALSE)</f>
        <v>0</v>
      </c>
      <c r="K74" s="473">
        <f>VLOOKUP(K54,'5. LNG- ISO_Expansion'!$W$14:$AB$43,6,FALSE)</f>
        <v>0</v>
      </c>
      <c r="L74" s="473">
        <f>VLOOKUP(L54,'5. LNG- ISO_Expansion'!$W$14:$AB$43,6,FALSE)</f>
        <v>0</v>
      </c>
      <c r="M74" s="473">
        <f>VLOOKUP(M54,'5. LNG- ISO_Expansion'!$W$14:$AB$43,6,FALSE)</f>
        <v>0</v>
      </c>
      <c r="N74" s="473">
        <f>VLOOKUP(N54,'5. LNG- ISO_Expansion'!$W$14:$AB$43,6,FALSE)</f>
        <v>0</v>
      </c>
      <c r="O74" s="473">
        <f>VLOOKUP(O54,'5. LNG- ISO_Expansion'!$W$14:$AB$43,6,FALSE)</f>
        <v>0</v>
      </c>
      <c r="P74" s="473">
        <f>VLOOKUP(P54,'5. LNG- ISO_Expansion'!$W$14:$AB$43,6,FALSE)</f>
        <v>0</v>
      </c>
      <c r="Q74" s="473">
        <f>VLOOKUP(Q54,'5. LNG- ISO_Expansion'!$W$14:$AB$43,6,FALSE)</f>
        <v>0</v>
      </c>
      <c r="R74" s="473">
        <f>VLOOKUP(R54,'5. LNG- ISO_Expansion'!$W$14:$AB$43,6,FALSE)</f>
        <v>0</v>
      </c>
      <c r="S74" s="473">
        <f>VLOOKUP(S54,'5. LNG- ISO_Expansion'!$W$14:$AB$43,6,FALSE)</f>
        <v>0</v>
      </c>
      <c r="T74" s="473">
        <f>VLOOKUP(T54,'5. LNG- ISO_Expansion'!$W$14:$AB$43,6,FALSE)</f>
        <v>0</v>
      </c>
      <c r="U74" s="473">
        <f>VLOOKUP(U54,'5. LNG- ISO_Expansion'!$W$14:$AB$43,6,FALSE)</f>
        <v>0</v>
      </c>
      <c r="V74" s="473">
        <f>VLOOKUP(V54,'5. LNG- ISO_Expansion'!$W$14:$AB$43,6,FALSE)</f>
        <v>0</v>
      </c>
      <c r="W74" s="473">
        <f>VLOOKUP(W54,'5. LNG- ISO_Expansion'!$W$14:$AB$43,6,FALSE)</f>
        <v>0</v>
      </c>
      <c r="X74" s="473">
        <f>VLOOKUP(X54,'5. LNG- ISO_Expansion'!$W$14:$AB$43,6,FALSE)</f>
        <v>0</v>
      </c>
      <c r="Y74" s="473">
        <f>VLOOKUP(Y54,'5. LNG- ISO_Expansion'!$W$14:$AB$43,6,FALSE)</f>
        <v>0</v>
      </c>
      <c r="Z74" s="473">
        <f>VLOOKUP(Z54,'5. LNG- ISO_Expansion'!$W$14:$AB$43,6,FALSE)</f>
        <v>0</v>
      </c>
      <c r="AA74" s="473">
        <f>VLOOKUP(AA54,'5. LNG- ISO_Expansion'!$W$14:$AB$43,6,FALSE)</f>
        <v>0</v>
      </c>
      <c r="AB74" s="473">
        <f>VLOOKUP(AB54,'5. LNG- ISO_Expansion'!$W$14:$AB$43,6,FALSE)</f>
        <v>0</v>
      </c>
      <c r="AC74" s="473">
        <f>VLOOKUP(AC54,'5. LNG- ISO_Expansion'!$W$14:$AB$43,6,FALSE)</f>
        <v>0</v>
      </c>
      <c r="AD74" s="473">
        <f>VLOOKUP(AD54,'5. LNG- ISO_Expansion'!$W$14:$AB$43,6,FALSE)</f>
        <v>0</v>
      </c>
      <c r="AE74" s="473">
        <f>VLOOKUP(AE54,'5. LNG- ISO_Expansion'!$W$14:$AB$43,6,FALSE)</f>
        <v>0</v>
      </c>
      <c r="AF74" s="473">
        <f>VLOOKUP(AF54,'5. LNG- ISO_Expansion'!$W$14:$AB$43,6,FALSE)</f>
        <v>0</v>
      </c>
      <c r="AG74" s="473">
        <f>VLOOKUP(AG54,'5. LNG- ISO_Expansion'!$W$14:$AB$43,6,FALSE)</f>
        <v>0</v>
      </c>
      <c r="AH74" s="473">
        <f>VLOOKUP(AH54,'5. LNG- ISO_Expansion'!$W$14:$AB$43,6,FALSE)</f>
        <v>0</v>
      </c>
      <c r="AI74" s="473">
        <f>VLOOKUP(AI54,'5. LNG- ISO_Expansion'!$W$14:$AB$43,6,FALSE)</f>
        <v>0</v>
      </c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</row>
    <row r="75" spans="1:51" x14ac:dyDescent="0.25">
      <c r="A75" s="1"/>
      <c r="B75" s="1"/>
      <c r="C75" s="1"/>
      <c r="D75" s="1"/>
      <c r="E75" s="139" t="s">
        <v>384</v>
      </c>
      <c r="F75" s="1" t="s">
        <v>388</v>
      </c>
      <c r="G75" s="473">
        <f>IF(G47=0,0,VLOOKUP(1,'7a. Green Hydrogen'!$Q$6:$W$41,6,FALSE))</f>
        <v>0</v>
      </c>
      <c r="H75" s="473">
        <f>IF(H47=0,0,VLOOKUP(1,'7a. Green Hydrogen'!$Q$6:$W$41,6,FALSE))</f>
        <v>0</v>
      </c>
      <c r="I75" s="473">
        <f>IF(I47=0,0,VLOOKUP(1,'7a. Green Hydrogen'!$Q$6:$W$41,6,FALSE))</f>
        <v>0</v>
      </c>
      <c r="J75" s="473">
        <f>IF(J47=0,0,VLOOKUP(1,'7a. Green Hydrogen'!$Q$6:$W$41,6,FALSE))</f>
        <v>0</v>
      </c>
      <c r="K75" s="473">
        <f>IF(K47=0,0,VLOOKUP(1,'7a. Green Hydrogen'!$Q$6:$W$41,6,FALSE))</f>
        <v>0</v>
      </c>
      <c r="L75" s="473">
        <f>IF(L47=0,0,VLOOKUP(1,'7a. Green Hydrogen'!$Q$6:$W$41,6,FALSE))</f>
        <v>0</v>
      </c>
      <c r="M75" s="473">
        <f>IF(M47=0,0,VLOOKUP(1,'7a. Green Hydrogen'!$Q$6:$W$41,6,FALSE))</f>
        <v>0</v>
      </c>
      <c r="N75" s="473">
        <f>IF(N47=0,0,VLOOKUP(1,'7a. Green Hydrogen'!$Q$6:$W$41,6,FALSE))</f>
        <v>0</v>
      </c>
      <c r="O75" s="473">
        <f>IF(O47=0,0,VLOOKUP(1,'7a. Green Hydrogen'!$Q$6:$W$41,6,FALSE))</f>
        <v>0</v>
      </c>
      <c r="P75" s="473">
        <f>IF(P47=0,0,VLOOKUP(1,'7a. Green Hydrogen'!$Q$6:$W$41,6,FALSE))</f>
        <v>0</v>
      </c>
      <c r="Q75" s="473">
        <f>IF(Q47=0,0,VLOOKUP(1,'7a. Green Hydrogen'!$Q$6:$W$41,6,FALSE))</f>
        <v>0</v>
      </c>
      <c r="R75" s="473">
        <f>IF(R47=0,0,VLOOKUP(1,'7a. Green Hydrogen'!$Q$6:$W$41,6,FALSE))</f>
        <v>0</v>
      </c>
      <c r="S75" s="473">
        <f>IF(S47=0,0,VLOOKUP(1,'7a. Green Hydrogen'!$Q$6:$W$41,6,FALSE))</f>
        <v>0</v>
      </c>
      <c r="T75" s="473">
        <f>IF(T47=0,0,VLOOKUP(1,'7a. Green Hydrogen'!$Q$6:$W$41,6,FALSE))</f>
        <v>0</v>
      </c>
      <c r="U75" s="473">
        <f>IF(U47=0,0,VLOOKUP(1,'7a. Green Hydrogen'!$Q$6:$W$41,6,FALSE))</f>
        <v>0</v>
      </c>
      <c r="V75" s="473">
        <f>IF(V47=0,0,VLOOKUP(1,'7a. Green Hydrogen'!$Q$6:$W$41,6,FALSE))</f>
        <v>0</v>
      </c>
      <c r="W75" s="473">
        <f>IF(W47=0,0,VLOOKUP(1,'7a. Green Hydrogen'!$Q$6:$W$41,6,FALSE))</f>
        <v>0</v>
      </c>
      <c r="X75" s="473">
        <f>IF(X47=0,0,VLOOKUP(1,'7a. Green Hydrogen'!$Q$6:$W$41,6,FALSE))</f>
        <v>0</v>
      </c>
      <c r="Y75" s="473">
        <f>IF(Y47=0,0,VLOOKUP(1,'7a. Green Hydrogen'!$Q$6:$W$41,6,FALSE))</f>
        <v>0</v>
      </c>
      <c r="Z75" s="473">
        <f>IF(Z47=0,0,VLOOKUP(1,'7a. Green Hydrogen'!$Q$6:$W$41,6,FALSE))</f>
        <v>0</v>
      </c>
      <c r="AA75" s="473">
        <f>IF(AA47=0,0,VLOOKUP(1,'7a. Green Hydrogen'!$Q$6:$W$41,6,FALSE))</f>
        <v>0</v>
      </c>
      <c r="AB75" s="473">
        <f>IF(AB47=0,0,VLOOKUP(1,'7a. Green Hydrogen'!$Q$6:$W$41,6,FALSE))</f>
        <v>0</v>
      </c>
      <c r="AC75" s="473">
        <f>IF(AC47=0,0,VLOOKUP(1,'7a. Green Hydrogen'!$Q$6:$W$41,6,FALSE))</f>
        <v>0</v>
      </c>
      <c r="AD75" s="473">
        <f>IF(AD47=0,0,VLOOKUP(1,'7a. Green Hydrogen'!$Q$6:$W$41,6,FALSE))</f>
        <v>0</v>
      </c>
      <c r="AE75" s="473">
        <f>IF(AE47=0,0,VLOOKUP(1,'7a. Green Hydrogen'!$Q$6:$W$41,6,FALSE))</f>
        <v>0</v>
      </c>
      <c r="AF75" s="473">
        <f>IF(AF47=0,0,VLOOKUP(1,'7a. Green Hydrogen'!$Q$6:$W$41,6,FALSE))</f>
        <v>0</v>
      </c>
      <c r="AG75" s="473">
        <f>IF(AG47=0,0,VLOOKUP(1,'7a. Green Hydrogen'!$Q$6:$W$41,6,FALSE))</f>
        <v>0</v>
      </c>
      <c r="AH75" s="473">
        <f>IF(AH47=0,0,VLOOKUP(1,'7a. Green Hydrogen'!$Q$6:$W$41,6,FALSE))</f>
        <v>0</v>
      </c>
      <c r="AI75" s="473">
        <f>IF(AI47=0,0,VLOOKUP(1,'7a. Green Hydrogen'!$Q$6:$W$41,6,FALSE))</f>
        <v>0</v>
      </c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</row>
    <row r="76" spans="1:51" x14ac:dyDescent="0.25">
      <c r="A76" s="1"/>
      <c r="B76" s="1"/>
      <c r="C76" s="1"/>
      <c r="D76" s="1"/>
      <c r="E76" s="1"/>
      <c r="F76" s="110" t="s">
        <v>389</v>
      </c>
      <c r="G76" s="474">
        <f>(SUMPRODUCT(G8:G13,G56:G61)/SUM(G8:G13))*(SUM(G8:G13)/(SUM(G8:G13)+SUM(G34:G47)))+IF(SUM(G34:G47)=0,0,SUMPRODUCT(G34:G47,G62:G75)/SUM(G34:G47))*(SUM(G34:G47)/(SUM(G8:G13)+SUM(G34:G47)))+(G129/G100)</f>
        <v>2.866395486343015</v>
      </c>
      <c r="H76" s="474">
        <f t="shared" ref="H76:AI76" si="9">(SUMPRODUCT(H8:H13,H56:H61)/SUM(H8:H13))*(SUM(H8:H13)/(SUM(H8:H13)+SUM(H34:H47)))+IF(SUM(H34:H47)=0,0,SUMPRODUCT(H34:H47,H62:H75)/SUM(H34:H47))*(SUM(H34:H47)/(SUM(H8:H13)+SUM(H34:H47)))+(H129/H100)</f>
        <v>2.5688336671134255</v>
      </c>
      <c r="I76" s="474">
        <f t="shared" si="9"/>
        <v>2.1122061440888533</v>
      </c>
      <c r="J76" s="474">
        <f t="shared" si="9"/>
        <v>2.1992082929211691</v>
      </c>
      <c r="K76" s="474">
        <f t="shared" si="9"/>
        <v>2.2275158954645495</v>
      </c>
      <c r="L76" s="474">
        <f t="shared" si="9"/>
        <v>2.2724134571940438</v>
      </c>
      <c r="M76" s="474">
        <f t="shared" si="9"/>
        <v>2.3069957145856441</v>
      </c>
      <c r="N76" s="474">
        <f t="shared" si="9"/>
        <v>2.3324832211813211</v>
      </c>
      <c r="O76" s="474">
        <f t="shared" si="9"/>
        <v>2.3834296842647058</v>
      </c>
      <c r="P76" s="474">
        <f t="shared" si="9"/>
        <v>2.417623622846925</v>
      </c>
      <c r="Q76" s="474">
        <f t="shared" si="9"/>
        <v>2.4439044897677324</v>
      </c>
      <c r="R76" s="474">
        <f t="shared" si="9"/>
        <v>2.4624544245713564</v>
      </c>
      <c r="S76" s="474">
        <f>(SUMPRODUCT(S8:S13,S56:S61)/SUM(S8:S13))*(SUM(S8:S13)/(SUM(S8:S13)+SUM(S34:S47)))+IF(SUM(S34:S47)=0,0,SUMPRODUCT(S34:S47,S62:S75)/SUM(S34:S47))*(SUM(S34:S47)/(SUM(S8:S13)+SUM(S34:S47)))+(S129/S100)</f>
        <v>2.4711537184280541</v>
      </c>
      <c r="T76" s="474">
        <f t="shared" si="9"/>
        <v>2.5392164550816676</v>
      </c>
      <c r="U76" s="474">
        <f t="shared" si="9"/>
        <v>2.5631401833794909</v>
      </c>
      <c r="V76" s="474">
        <f t="shared" si="9"/>
        <v>2.5806222561009</v>
      </c>
      <c r="W76" s="474">
        <f t="shared" si="9"/>
        <v>2.6013569497739559</v>
      </c>
      <c r="X76" s="474">
        <f t="shared" si="9"/>
        <v>2.6056286410345071</v>
      </c>
      <c r="Y76" s="474">
        <f t="shared" si="9"/>
        <v>2.7970599816523833</v>
      </c>
      <c r="Z76" s="474">
        <f t="shared" si="9"/>
        <v>2.809845651654967</v>
      </c>
      <c r="AA76" s="474">
        <f t="shared" si="9"/>
        <v>2.8137896313043176</v>
      </c>
      <c r="AB76" s="474">
        <f t="shared" si="9"/>
        <v>2.8351977155153363</v>
      </c>
      <c r="AC76" s="474">
        <f t="shared" si="9"/>
        <v>2.8606866336161625</v>
      </c>
      <c r="AD76" s="474">
        <f t="shared" si="9"/>
        <v>2.8665413961349269</v>
      </c>
      <c r="AE76" s="474">
        <f t="shared" si="9"/>
        <v>2.8862725277852217</v>
      </c>
      <c r="AF76" s="474">
        <f t="shared" si="9"/>
        <v>2.8848457386756308</v>
      </c>
      <c r="AG76" s="474">
        <f t="shared" si="9"/>
        <v>2.8867386612663166</v>
      </c>
      <c r="AH76" s="474">
        <f t="shared" si="9"/>
        <v>2.8909639768918103</v>
      </c>
      <c r="AI76" s="474">
        <f t="shared" si="9"/>
        <v>2.8858716078271764</v>
      </c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</row>
    <row r="77" spans="1:51" x14ac:dyDescent="0.25">
      <c r="A77" s="1"/>
      <c r="B77" s="1"/>
      <c r="C77" s="1"/>
      <c r="D77" s="1"/>
      <c r="E77" s="1"/>
      <c r="F77" s="110"/>
      <c r="G77" s="474"/>
      <c r="H77" s="474"/>
      <c r="I77" s="474"/>
      <c r="J77" s="474"/>
      <c r="K77" s="474"/>
      <c r="L77" s="474"/>
      <c r="M77" s="474"/>
      <c r="N77" s="474"/>
      <c r="O77" s="474"/>
      <c r="P77" s="474"/>
      <c r="Q77" s="474"/>
      <c r="R77" s="474"/>
      <c r="S77" s="474"/>
      <c r="T77" s="474"/>
      <c r="U77" s="474"/>
      <c r="V77" s="474"/>
      <c r="W77" s="474"/>
      <c r="X77" s="474"/>
      <c r="Y77" s="474"/>
      <c r="Z77" s="474"/>
      <c r="AA77" s="474"/>
      <c r="AB77" s="474"/>
      <c r="AC77" s="474"/>
      <c r="AD77" s="474"/>
      <c r="AE77" s="474"/>
      <c r="AF77" s="474"/>
      <c r="AG77" s="474"/>
      <c r="AH77" s="474"/>
      <c r="AI77" s="474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</row>
    <row r="78" spans="1:51" x14ac:dyDescent="0.25">
      <c r="A78" s="1"/>
      <c r="B78" s="1"/>
      <c r="C78" s="1"/>
      <c r="D78" s="1"/>
      <c r="E78" s="1"/>
      <c r="F78" s="455" t="s">
        <v>390</v>
      </c>
      <c r="G78" s="110">
        <v>2022</v>
      </c>
      <c r="H78" s="110">
        <v>2023</v>
      </c>
      <c r="I78" s="110">
        <v>2024</v>
      </c>
      <c r="J78" s="110">
        <v>2025</v>
      </c>
      <c r="K78" s="110">
        <v>2026</v>
      </c>
      <c r="L78" s="110">
        <v>2027</v>
      </c>
      <c r="M78" s="110">
        <v>2028</v>
      </c>
      <c r="N78" s="110">
        <v>2029</v>
      </c>
      <c r="O78" s="110">
        <v>2030</v>
      </c>
      <c r="P78" s="110">
        <v>2031</v>
      </c>
      <c r="Q78" s="110">
        <v>2032</v>
      </c>
      <c r="R78" s="110">
        <v>2033</v>
      </c>
      <c r="S78" s="110">
        <v>2034</v>
      </c>
      <c r="T78" s="110">
        <v>2035</v>
      </c>
      <c r="U78" s="110">
        <v>2036</v>
      </c>
      <c r="V78" s="110">
        <v>2037</v>
      </c>
      <c r="W78" s="110">
        <v>2038</v>
      </c>
      <c r="X78" s="110">
        <v>2039</v>
      </c>
      <c r="Y78" s="110">
        <v>2040</v>
      </c>
      <c r="Z78" s="110">
        <v>2041</v>
      </c>
      <c r="AA78" s="110">
        <v>2042</v>
      </c>
      <c r="AB78" s="110">
        <v>2043</v>
      </c>
      <c r="AC78" s="110">
        <v>2044</v>
      </c>
      <c r="AD78" s="110">
        <v>2045</v>
      </c>
      <c r="AE78" s="110">
        <v>2046</v>
      </c>
      <c r="AF78" s="110">
        <v>2047</v>
      </c>
      <c r="AG78" s="110">
        <v>2048</v>
      </c>
      <c r="AH78" s="110">
        <v>2049</v>
      </c>
      <c r="AI78" s="110">
        <v>2050</v>
      </c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</row>
    <row r="79" spans="1:51" x14ac:dyDescent="0.25">
      <c r="A79" s="1"/>
      <c r="B79" s="1"/>
      <c r="C79" s="1"/>
      <c r="D79" s="1"/>
      <c r="E79" s="1"/>
      <c r="F79" s="455"/>
      <c r="G79" s="1"/>
      <c r="H79" s="1"/>
      <c r="I79" s="1"/>
      <c r="J79" s="1"/>
      <c r="K79" s="1"/>
      <c r="L79" s="1"/>
      <c r="M79" s="1"/>
      <c r="N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</row>
    <row r="80" spans="1:51" x14ac:dyDescent="0.25">
      <c r="A80" s="1"/>
      <c r="B80" s="1"/>
      <c r="C80" s="1"/>
      <c r="D80" s="1"/>
      <c r="E80" s="114" t="s">
        <v>344</v>
      </c>
      <c r="F80" s="1" t="s">
        <v>391</v>
      </c>
      <c r="G80" s="475">
        <f t="shared" ref="G80:AI80" si="10">G8*G56*365/1000</f>
        <v>70510.446315540597</v>
      </c>
      <c r="H80" s="475">
        <f t="shared" si="10"/>
        <v>60198.60666771156</v>
      </c>
      <c r="I80" s="475">
        <f t="shared" si="10"/>
        <v>45258.101211647263</v>
      </c>
      <c r="J80" s="475">
        <f t="shared" si="10"/>
        <v>38984.500993024085</v>
      </c>
      <c r="K80" s="475">
        <f t="shared" si="10"/>
        <v>39989.162576056719</v>
      </c>
      <c r="L80" s="475">
        <f t="shared" si="10"/>
        <v>41337.342318694195</v>
      </c>
      <c r="M80" s="475">
        <f t="shared" si="10"/>
        <v>42439.22766118931</v>
      </c>
      <c r="N80" s="475">
        <f t="shared" si="10"/>
        <v>43375.435178498752</v>
      </c>
      <c r="O80" s="475">
        <f t="shared" si="10"/>
        <v>41623.584894440275</v>
      </c>
      <c r="P80" s="475">
        <f t="shared" si="10"/>
        <v>42805.568211044818</v>
      </c>
      <c r="Q80" s="475">
        <f t="shared" si="10"/>
        <v>43852.376336786772</v>
      </c>
      <c r="R80" s="475">
        <f t="shared" si="10"/>
        <v>44730.167319502136</v>
      </c>
      <c r="S80" s="475">
        <f t="shared" si="10"/>
        <v>45429.791893958398</v>
      </c>
      <c r="T80" s="475">
        <f t="shared" si="10"/>
        <v>42557.189924328319</v>
      </c>
      <c r="U80" s="475">
        <f t="shared" si="10"/>
        <v>43750.510177118471</v>
      </c>
      <c r="V80" s="475">
        <f t="shared" si="10"/>
        <v>44813.896437197305</v>
      </c>
      <c r="W80" s="475">
        <f t="shared" si="10"/>
        <v>45968.531306322089</v>
      </c>
      <c r="X80" s="475">
        <f t="shared" si="10"/>
        <v>46773.01610043212</v>
      </c>
      <c r="Y80" s="475">
        <f t="shared" si="10"/>
        <v>33279.755143867318</v>
      </c>
      <c r="Z80" s="475">
        <f t="shared" si="10"/>
        <v>34292.280200504378</v>
      </c>
      <c r="AA80" s="475">
        <f t="shared" si="10"/>
        <v>35157.891294330002</v>
      </c>
      <c r="AB80" s="475">
        <f t="shared" si="10"/>
        <v>36386.533897347865</v>
      </c>
      <c r="AC80" s="475">
        <f t="shared" si="10"/>
        <v>37745.775541377756</v>
      </c>
      <c r="AD80" s="475">
        <f t="shared" si="10"/>
        <v>38722.37982171731</v>
      </c>
      <c r="AE80" s="475">
        <f t="shared" si="10"/>
        <v>39329.201366324698</v>
      </c>
      <c r="AF80" s="475">
        <f t="shared" si="10"/>
        <v>39370.466743727193</v>
      </c>
      <c r="AG80" s="475">
        <f t="shared" si="10"/>
        <v>39483.795390114981</v>
      </c>
      <c r="AH80" s="475">
        <f t="shared" si="10"/>
        <v>39676.133018360764</v>
      </c>
      <c r="AI80" s="475">
        <f t="shared" si="10"/>
        <v>39611.792073588564</v>
      </c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</row>
    <row r="81" spans="1:51" x14ac:dyDescent="0.25">
      <c r="A81" s="1"/>
      <c r="B81" s="1"/>
      <c r="C81" s="1"/>
      <c r="D81" s="1"/>
      <c r="E81" s="114" t="s">
        <v>323</v>
      </c>
      <c r="F81" s="1" t="s">
        <v>391</v>
      </c>
      <c r="G81" s="475">
        <f t="shared" ref="G81:AI81" si="11">G9*G57*365/1000</f>
        <v>11145.625454146557</v>
      </c>
      <c r="H81" s="475">
        <f t="shared" si="11"/>
        <v>9838.3857138489839</v>
      </c>
      <c r="I81" s="475">
        <f t="shared" si="11"/>
        <v>7983.7546167230958</v>
      </c>
      <c r="J81" s="475">
        <f t="shared" si="11"/>
        <v>8069.8035811826867</v>
      </c>
      <c r="K81" s="475">
        <f t="shared" si="11"/>
        <v>8212.1374620991883</v>
      </c>
      <c r="L81" s="475">
        <f t="shared" si="11"/>
        <v>8424.6220418879693</v>
      </c>
      <c r="M81" s="475">
        <f t="shared" si="11"/>
        <v>8579.9735151807017</v>
      </c>
      <c r="N81" s="475">
        <f t="shared" si="11"/>
        <v>8695.2874723413879</v>
      </c>
      <c r="O81" s="475">
        <f t="shared" si="11"/>
        <v>8817.6830514280427</v>
      </c>
      <c r="P81" s="475">
        <f t="shared" si="11"/>
        <v>8986.8198508999685</v>
      </c>
      <c r="Q81" s="475">
        <f t="shared" si="11"/>
        <v>9119.4560357096616</v>
      </c>
      <c r="R81" s="475">
        <f t="shared" si="11"/>
        <v>9209.1395823089151</v>
      </c>
      <c r="S81" s="475">
        <f t="shared" si="11"/>
        <v>9254.8518694202467</v>
      </c>
      <c r="T81" s="475">
        <f t="shared" si="11"/>
        <v>9335.8094272721555</v>
      </c>
      <c r="U81" s="475">
        <f t="shared" si="11"/>
        <v>9473.3969568474004</v>
      </c>
      <c r="V81" s="475">
        <f t="shared" si="11"/>
        <v>9574.1217053789733</v>
      </c>
      <c r="W81" s="475">
        <f t="shared" si="11"/>
        <v>9690.963311159252</v>
      </c>
      <c r="X81" s="475">
        <f t="shared" si="11"/>
        <v>9720.2025805284939</v>
      </c>
      <c r="Y81" s="475">
        <f t="shared" si="11"/>
        <v>9891.1782016123234</v>
      </c>
      <c r="Z81" s="475">
        <f t="shared" si="11"/>
        <v>9995.7708553684697</v>
      </c>
      <c r="AA81" s="475">
        <f t="shared" si="11"/>
        <v>10039.907220118512</v>
      </c>
      <c r="AB81" s="475">
        <f t="shared" si="11"/>
        <v>10201.396144407872</v>
      </c>
      <c r="AC81" s="475">
        <f t="shared" si="11"/>
        <v>10395.79076274468</v>
      </c>
      <c r="AD81" s="475">
        <f t="shared" si="11"/>
        <v>10448.934826387325</v>
      </c>
      <c r="AE81" s="475">
        <f t="shared" si="11"/>
        <v>10589.846558340409</v>
      </c>
      <c r="AF81" s="475">
        <f t="shared" si="11"/>
        <v>10584.101529802765</v>
      </c>
      <c r="AG81" s="475">
        <f t="shared" si="11"/>
        <v>10597.723450499469</v>
      </c>
      <c r="AH81" s="475">
        <f t="shared" si="11"/>
        <v>10632.397255325895</v>
      </c>
      <c r="AI81" s="475">
        <f t="shared" si="11"/>
        <v>10601.212758139432</v>
      </c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</row>
    <row r="82" spans="1:51" x14ac:dyDescent="0.25">
      <c r="A82" s="1"/>
      <c r="B82" s="1"/>
      <c r="C82" s="1"/>
      <c r="D82" s="1"/>
      <c r="E82" s="114" t="s">
        <v>324</v>
      </c>
      <c r="F82" s="1" t="s">
        <v>391</v>
      </c>
      <c r="G82" s="475">
        <f t="shared" ref="G82:AI82" si="12">G10*G58*365/1000</f>
        <v>0</v>
      </c>
      <c r="H82" s="475">
        <f t="shared" si="12"/>
        <v>0</v>
      </c>
      <c r="I82" s="475">
        <f t="shared" si="12"/>
        <v>0</v>
      </c>
      <c r="J82" s="475">
        <f t="shared" si="12"/>
        <v>0</v>
      </c>
      <c r="K82" s="475">
        <f t="shared" si="12"/>
        <v>0</v>
      </c>
      <c r="L82" s="475">
        <f t="shared" si="12"/>
        <v>0</v>
      </c>
      <c r="M82" s="475">
        <f t="shared" si="12"/>
        <v>0</v>
      </c>
      <c r="N82" s="475">
        <f t="shared" si="12"/>
        <v>0</v>
      </c>
      <c r="O82" s="475">
        <f t="shared" si="12"/>
        <v>0</v>
      </c>
      <c r="P82" s="475">
        <f t="shared" si="12"/>
        <v>0</v>
      </c>
      <c r="Q82" s="475">
        <f t="shared" si="12"/>
        <v>0</v>
      </c>
      <c r="R82" s="475">
        <f t="shared" si="12"/>
        <v>0</v>
      </c>
      <c r="S82" s="475">
        <f t="shared" si="12"/>
        <v>0</v>
      </c>
      <c r="T82" s="475">
        <f t="shared" si="12"/>
        <v>0</v>
      </c>
      <c r="U82" s="475">
        <f t="shared" si="12"/>
        <v>0</v>
      </c>
      <c r="V82" s="475">
        <f t="shared" si="12"/>
        <v>0</v>
      </c>
      <c r="W82" s="475">
        <f t="shared" si="12"/>
        <v>0</v>
      </c>
      <c r="X82" s="475">
        <f t="shared" si="12"/>
        <v>0</v>
      </c>
      <c r="Y82" s="475">
        <f t="shared" si="12"/>
        <v>0</v>
      </c>
      <c r="Z82" s="475">
        <f t="shared" si="12"/>
        <v>0</v>
      </c>
      <c r="AA82" s="475">
        <f t="shared" si="12"/>
        <v>0</v>
      </c>
      <c r="AB82" s="475">
        <f t="shared" si="12"/>
        <v>0</v>
      </c>
      <c r="AC82" s="475">
        <f t="shared" si="12"/>
        <v>0</v>
      </c>
      <c r="AD82" s="475">
        <f t="shared" si="12"/>
        <v>0</v>
      </c>
      <c r="AE82" s="475">
        <f t="shared" si="12"/>
        <v>0</v>
      </c>
      <c r="AF82" s="475">
        <f t="shared" si="12"/>
        <v>0</v>
      </c>
      <c r="AG82" s="475">
        <f t="shared" si="12"/>
        <v>0</v>
      </c>
      <c r="AH82" s="475">
        <f t="shared" si="12"/>
        <v>0</v>
      </c>
      <c r="AI82" s="475">
        <f t="shared" si="12"/>
        <v>0</v>
      </c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</row>
    <row r="83" spans="1:51" x14ac:dyDescent="0.25">
      <c r="A83" s="1"/>
      <c r="B83" s="1"/>
      <c r="C83" s="1"/>
      <c r="D83" s="1"/>
      <c r="E83" s="114" t="s">
        <v>348</v>
      </c>
      <c r="F83" s="1" t="s">
        <v>391</v>
      </c>
      <c r="G83" s="475">
        <f t="shared" ref="G83:AI83" si="13">G11*G59*365/1000</f>
        <v>0</v>
      </c>
      <c r="H83" s="475">
        <f t="shared" si="13"/>
        <v>3754.8944335088122</v>
      </c>
      <c r="I83" s="475">
        <f t="shared" si="13"/>
        <v>7166.9801578052075</v>
      </c>
      <c r="J83" s="475">
        <f t="shared" si="13"/>
        <v>14241.772394820413</v>
      </c>
      <c r="K83" s="475">
        <f t="shared" si="13"/>
        <v>14229.742976013413</v>
      </c>
      <c r="L83" s="475">
        <f t="shared" si="13"/>
        <v>14281.360157069412</v>
      </c>
      <c r="M83" s="475">
        <f t="shared" si="13"/>
        <v>14372.108320540416</v>
      </c>
      <c r="N83" s="475">
        <f t="shared" si="13"/>
        <v>14434.582236212413</v>
      </c>
      <c r="O83" s="475">
        <f t="shared" si="13"/>
        <v>14484.902734839416</v>
      </c>
      <c r="P83" s="475">
        <f t="shared" si="13"/>
        <v>14529.514545355414</v>
      </c>
      <c r="Q83" s="475">
        <f t="shared" si="13"/>
        <v>14547.289215856412</v>
      </c>
      <c r="R83" s="475">
        <f t="shared" si="13"/>
        <v>14583.534854656415</v>
      </c>
      <c r="S83" s="475">
        <f t="shared" si="13"/>
        <v>14580.518624012417</v>
      </c>
      <c r="T83" s="475">
        <f t="shared" si="13"/>
        <v>14579.359717403413</v>
      </c>
      <c r="U83" s="475">
        <f t="shared" si="13"/>
        <v>14584.599437819414</v>
      </c>
      <c r="V83" s="475">
        <f t="shared" si="13"/>
        <v>14593.743513011415</v>
      </c>
      <c r="W83" s="475">
        <f t="shared" si="13"/>
        <v>14603.737559031411</v>
      </c>
      <c r="X83" s="475">
        <f t="shared" si="13"/>
        <v>14604.327875429413</v>
      </c>
      <c r="Y83" s="475">
        <f t="shared" si="13"/>
        <v>14623.148052441415</v>
      </c>
      <c r="Z83" s="475">
        <f t="shared" si="13"/>
        <v>14626.356639326412</v>
      </c>
      <c r="AA83" s="475">
        <f t="shared" si="13"/>
        <v>14614.294366285414</v>
      </c>
      <c r="AB83" s="475">
        <f t="shared" si="13"/>
        <v>14616.169707158415</v>
      </c>
      <c r="AC83" s="475">
        <f t="shared" si="13"/>
        <v>14583.195714176416</v>
      </c>
      <c r="AD83" s="475">
        <f t="shared" si="13"/>
        <v>14566.974730999413</v>
      </c>
      <c r="AE83" s="475">
        <f t="shared" si="13"/>
        <v>14560.894578081414</v>
      </c>
      <c r="AF83" s="475">
        <f t="shared" si="13"/>
        <v>14557.607035053414</v>
      </c>
      <c r="AG83" s="475">
        <f t="shared" si="13"/>
        <v>14570.456749896415</v>
      </c>
      <c r="AH83" s="475">
        <f t="shared" si="13"/>
        <v>14557.994397070415</v>
      </c>
      <c r="AI83" s="475">
        <f t="shared" si="13"/>
        <v>14554.162639553415</v>
      </c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</row>
    <row r="84" spans="1:51" x14ac:dyDescent="0.25">
      <c r="A84" s="1"/>
      <c r="B84" s="1"/>
      <c r="C84" s="1"/>
      <c r="D84" s="1"/>
      <c r="E84" s="114" t="s">
        <v>349</v>
      </c>
      <c r="F84" s="1" t="s">
        <v>391</v>
      </c>
      <c r="G84" s="475">
        <f t="shared" ref="G84:AI85" si="14">G12*G60*365/1000</f>
        <v>0</v>
      </c>
      <c r="H84" s="475">
        <f t="shared" si="14"/>
        <v>0</v>
      </c>
      <c r="I84" s="475">
        <f t="shared" si="14"/>
        <v>0</v>
      </c>
      <c r="J84" s="475">
        <f t="shared" si="14"/>
        <v>0</v>
      </c>
      <c r="K84" s="475">
        <f t="shared" si="14"/>
        <v>0</v>
      </c>
      <c r="L84" s="475">
        <f t="shared" si="14"/>
        <v>0</v>
      </c>
      <c r="M84" s="475">
        <f t="shared" si="14"/>
        <v>0</v>
      </c>
      <c r="N84" s="475">
        <f t="shared" si="14"/>
        <v>0</v>
      </c>
      <c r="O84" s="475">
        <f t="shared" si="14"/>
        <v>0</v>
      </c>
      <c r="P84" s="475">
        <f t="shared" si="14"/>
        <v>0</v>
      </c>
      <c r="Q84" s="475">
        <f t="shared" si="14"/>
        <v>0</v>
      </c>
      <c r="R84" s="475">
        <f t="shared" si="14"/>
        <v>0</v>
      </c>
      <c r="S84" s="475">
        <f t="shared" si="14"/>
        <v>0</v>
      </c>
      <c r="T84" s="475">
        <f t="shared" si="14"/>
        <v>0</v>
      </c>
      <c r="U84" s="475">
        <f t="shared" si="14"/>
        <v>0</v>
      </c>
      <c r="V84" s="475">
        <f t="shared" si="14"/>
        <v>0</v>
      </c>
      <c r="W84" s="475">
        <f t="shared" si="14"/>
        <v>0</v>
      </c>
      <c r="X84" s="475">
        <f t="shared" si="14"/>
        <v>0</v>
      </c>
      <c r="Y84" s="475">
        <f t="shared" si="14"/>
        <v>0</v>
      </c>
      <c r="Z84" s="475">
        <f t="shared" si="14"/>
        <v>0</v>
      </c>
      <c r="AA84" s="475">
        <f t="shared" si="14"/>
        <v>0</v>
      </c>
      <c r="AB84" s="475">
        <f t="shared" si="14"/>
        <v>0</v>
      </c>
      <c r="AC84" s="475">
        <f t="shared" si="14"/>
        <v>0</v>
      </c>
      <c r="AD84" s="475">
        <f t="shared" si="14"/>
        <v>0</v>
      </c>
      <c r="AE84" s="475">
        <f t="shared" si="14"/>
        <v>0</v>
      </c>
      <c r="AF84" s="475">
        <f t="shared" si="14"/>
        <v>0</v>
      </c>
      <c r="AG84" s="475">
        <f t="shared" si="14"/>
        <v>0</v>
      </c>
      <c r="AH84" s="475">
        <f t="shared" si="14"/>
        <v>0</v>
      </c>
      <c r="AI84" s="475">
        <f t="shared" si="14"/>
        <v>0</v>
      </c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</row>
    <row r="85" spans="1:51" x14ac:dyDescent="0.25">
      <c r="A85" s="1"/>
      <c r="B85" s="1"/>
      <c r="C85" s="1"/>
      <c r="D85" s="1"/>
      <c r="E85" s="114" t="s">
        <v>351</v>
      </c>
      <c r="F85" s="1" t="s">
        <v>391</v>
      </c>
      <c r="G85" s="475">
        <f t="shared" si="14"/>
        <v>2024.6611358972111</v>
      </c>
      <c r="H85" s="475">
        <f t="shared" si="14"/>
        <v>2024.6611358972111</v>
      </c>
      <c r="I85" s="475">
        <f t="shared" si="14"/>
        <v>2024.6611358972111</v>
      </c>
      <c r="J85" s="475">
        <f t="shared" si="14"/>
        <v>2024.6611358972111</v>
      </c>
      <c r="K85" s="475">
        <f t="shared" si="14"/>
        <v>2024.6611358972111</v>
      </c>
      <c r="L85" s="475">
        <f t="shared" si="14"/>
        <v>2024.6611358972111</v>
      </c>
      <c r="M85" s="475">
        <f t="shared" si="14"/>
        <v>2024.6611358972111</v>
      </c>
      <c r="N85" s="475">
        <f t="shared" si="14"/>
        <v>2024.6611358972111</v>
      </c>
      <c r="O85" s="475">
        <f t="shared" si="14"/>
        <v>2024.6611358972111</v>
      </c>
      <c r="P85" s="475">
        <f t="shared" si="14"/>
        <v>2024.6611358972111</v>
      </c>
      <c r="Q85" s="475">
        <f t="shared" si="14"/>
        <v>2024.6611358972111</v>
      </c>
      <c r="R85" s="475">
        <f t="shared" si="14"/>
        <v>2024.6611358972111</v>
      </c>
      <c r="S85" s="475">
        <f t="shared" si="14"/>
        <v>2024.6611358972111</v>
      </c>
      <c r="T85" s="475">
        <f t="shared" si="14"/>
        <v>2024.6611358972111</v>
      </c>
      <c r="U85" s="475">
        <f t="shared" si="14"/>
        <v>2024.6611358972111</v>
      </c>
      <c r="V85" s="475">
        <f t="shared" si="14"/>
        <v>2024.6611358972111</v>
      </c>
      <c r="W85" s="475">
        <f t="shared" si="14"/>
        <v>2024.6611358972111</v>
      </c>
      <c r="X85" s="475">
        <f t="shared" si="14"/>
        <v>2024.6611358972111</v>
      </c>
      <c r="Y85" s="475">
        <f t="shared" si="14"/>
        <v>2024.6611358972111</v>
      </c>
      <c r="Z85" s="475">
        <f t="shared" si="14"/>
        <v>2024.6611358972111</v>
      </c>
      <c r="AA85" s="475">
        <f t="shared" si="14"/>
        <v>2024.6611358972111</v>
      </c>
      <c r="AB85" s="475">
        <f t="shared" si="14"/>
        <v>2024.6611358972111</v>
      </c>
      <c r="AC85" s="475">
        <f t="shared" si="14"/>
        <v>2024.6611358972111</v>
      </c>
      <c r="AD85" s="475">
        <f t="shared" si="14"/>
        <v>2024.6611358972111</v>
      </c>
      <c r="AE85" s="475">
        <f t="shared" si="14"/>
        <v>2024.6611358972111</v>
      </c>
      <c r="AF85" s="475">
        <f t="shared" si="14"/>
        <v>2024.6611358972111</v>
      </c>
      <c r="AG85" s="475">
        <f t="shared" si="14"/>
        <v>2024.6611358972111</v>
      </c>
      <c r="AH85" s="475">
        <f t="shared" si="14"/>
        <v>2024.6611358972111</v>
      </c>
      <c r="AI85" s="475">
        <f t="shared" si="14"/>
        <v>2024.6611358972111</v>
      </c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</row>
    <row r="86" spans="1:51" x14ac:dyDescent="0.25">
      <c r="A86" s="1"/>
      <c r="B86" s="1"/>
      <c r="C86" s="1"/>
      <c r="D86" s="1"/>
      <c r="E86" s="139" t="s">
        <v>760</v>
      </c>
      <c r="F86" s="1" t="s">
        <v>391</v>
      </c>
      <c r="G86" s="475">
        <f t="shared" ref="G86:AI86" si="15">G34*G62</f>
        <v>0</v>
      </c>
      <c r="H86" s="475">
        <f t="shared" si="15"/>
        <v>0</v>
      </c>
      <c r="I86" s="475">
        <f t="shared" si="15"/>
        <v>0</v>
      </c>
      <c r="J86" s="475">
        <f t="shared" si="15"/>
        <v>5460.182298511877</v>
      </c>
      <c r="K86" s="475">
        <f t="shared" si="15"/>
        <v>5460.182298511877</v>
      </c>
      <c r="L86" s="475">
        <f t="shared" si="15"/>
        <v>5460.182298511877</v>
      </c>
      <c r="M86" s="475">
        <f t="shared" si="15"/>
        <v>5460.182298511877</v>
      </c>
      <c r="N86" s="475">
        <f t="shared" si="15"/>
        <v>5460.182298511877</v>
      </c>
      <c r="O86" s="475">
        <f t="shared" si="15"/>
        <v>5460.182298511877</v>
      </c>
      <c r="P86" s="475">
        <f t="shared" si="15"/>
        <v>5460.182298511877</v>
      </c>
      <c r="Q86" s="475">
        <f t="shared" si="15"/>
        <v>5460.182298511877</v>
      </c>
      <c r="R86" s="475">
        <f t="shared" si="15"/>
        <v>5460.182298511877</v>
      </c>
      <c r="S86" s="475">
        <f t="shared" si="15"/>
        <v>5460.182298511877</v>
      </c>
      <c r="T86" s="475">
        <f t="shared" si="15"/>
        <v>5460.182298511877</v>
      </c>
      <c r="U86" s="475">
        <f t="shared" si="15"/>
        <v>5460.182298511877</v>
      </c>
      <c r="V86" s="475">
        <f t="shared" si="15"/>
        <v>5460.182298511877</v>
      </c>
      <c r="W86" s="475">
        <f t="shared" si="15"/>
        <v>5460.182298511877</v>
      </c>
      <c r="X86" s="475">
        <f t="shared" si="15"/>
        <v>5460.182298511877</v>
      </c>
      <c r="Y86" s="475">
        <f t="shared" si="15"/>
        <v>5460.182298511877</v>
      </c>
      <c r="Z86" s="475">
        <f t="shared" si="15"/>
        <v>5460.182298511877</v>
      </c>
      <c r="AA86" s="475">
        <f t="shared" si="15"/>
        <v>5460.182298511877</v>
      </c>
      <c r="AB86" s="475">
        <f t="shared" si="15"/>
        <v>5460.182298511877</v>
      </c>
      <c r="AC86" s="475">
        <f t="shared" si="15"/>
        <v>5460.182298511877</v>
      </c>
      <c r="AD86" s="475">
        <f t="shared" si="15"/>
        <v>5460.182298511877</v>
      </c>
      <c r="AE86" s="475">
        <f t="shared" si="15"/>
        <v>5460.182298511877</v>
      </c>
      <c r="AF86" s="475">
        <f t="shared" si="15"/>
        <v>5460.182298511877</v>
      </c>
      <c r="AG86" s="475">
        <f t="shared" si="15"/>
        <v>5460.182298511877</v>
      </c>
      <c r="AH86" s="475">
        <f t="shared" si="15"/>
        <v>5460.182298511877</v>
      </c>
      <c r="AI86" s="475">
        <f t="shared" si="15"/>
        <v>5460.182298511877</v>
      </c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</row>
    <row r="87" spans="1:51" x14ac:dyDescent="0.25">
      <c r="A87" s="1"/>
      <c r="B87" s="1"/>
      <c r="C87" s="1"/>
      <c r="D87" s="1"/>
      <c r="E87" s="139" t="s">
        <v>771</v>
      </c>
      <c r="F87" s="1" t="s">
        <v>391</v>
      </c>
      <c r="G87" s="475">
        <f t="shared" ref="G87:AI87" si="16">G35*G63</f>
        <v>0</v>
      </c>
      <c r="H87" s="475">
        <f t="shared" si="16"/>
        <v>0</v>
      </c>
      <c r="I87" s="475">
        <f t="shared" si="16"/>
        <v>0</v>
      </c>
      <c r="J87" s="475">
        <f t="shared" si="16"/>
        <v>0</v>
      </c>
      <c r="K87" s="475">
        <f t="shared" si="16"/>
        <v>0</v>
      </c>
      <c r="L87" s="475">
        <f t="shared" si="16"/>
        <v>0</v>
      </c>
      <c r="M87" s="475">
        <f t="shared" si="16"/>
        <v>0</v>
      </c>
      <c r="N87" s="475">
        <f t="shared" si="16"/>
        <v>0</v>
      </c>
      <c r="O87" s="475">
        <f t="shared" si="16"/>
        <v>9547.4809742388024</v>
      </c>
      <c r="P87" s="475">
        <f t="shared" si="16"/>
        <v>9547.4809742388024</v>
      </c>
      <c r="Q87" s="475">
        <f t="shared" si="16"/>
        <v>9547.4809742388024</v>
      </c>
      <c r="R87" s="475">
        <f t="shared" si="16"/>
        <v>9547.4809742388024</v>
      </c>
      <c r="S87" s="475">
        <f t="shared" si="16"/>
        <v>9547.4809742388024</v>
      </c>
      <c r="T87" s="475">
        <f t="shared" si="16"/>
        <v>9547.4809742388024</v>
      </c>
      <c r="U87" s="475">
        <f t="shared" si="16"/>
        <v>9547.4809742388024</v>
      </c>
      <c r="V87" s="475">
        <f t="shared" si="16"/>
        <v>9547.4809742388024</v>
      </c>
      <c r="W87" s="475">
        <f t="shared" si="16"/>
        <v>9547.4809742388024</v>
      </c>
      <c r="X87" s="475">
        <f t="shared" si="16"/>
        <v>9547.4809742388024</v>
      </c>
      <c r="Y87" s="475">
        <f t="shared" si="16"/>
        <v>9547.4809742388024</v>
      </c>
      <c r="Z87" s="475">
        <f t="shared" si="16"/>
        <v>9547.4809742388024</v>
      </c>
      <c r="AA87" s="475">
        <f t="shared" si="16"/>
        <v>9547.4809742388024</v>
      </c>
      <c r="AB87" s="475">
        <f t="shared" si="16"/>
        <v>9547.4809742388024</v>
      </c>
      <c r="AC87" s="475">
        <f t="shared" si="16"/>
        <v>9547.4809742388024</v>
      </c>
      <c r="AD87" s="475">
        <f t="shared" si="16"/>
        <v>9547.4809742388024</v>
      </c>
      <c r="AE87" s="475">
        <f t="shared" si="16"/>
        <v>9547.4809742388024</v>
      </c>
      <c r="AF87" s="475">
        <f t="shared" si="16"/>
        <v>9547.4809742388024</v>
      </c>
      <c r="AG87" s="475">
        <f t="shared" si="16"/>
        <v>9547.4809742388024</v>
      </c>
      <c r="AH87" s="475">
        <f t="shared" si="16"/>
        <v>9547.4809742388024</v>
      </c>
      <c r="AI87" s="475">
        <f t="shared" si="16"/>
        <v>9547.4809742388024</v>
      </c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</row>
    <row r="88" spans="1:51" x14ac:dyDescent="0.25">
      <c r="A88" s="1"/>
      <c r="B88" s="1"/>
      <c r="C88" s="1"/>
      <c r="D88" s="1"/>
      <c r="E88" s="115" t="s">
        <v>373</v>
      </c>
      <c r="F88" s="1" t="s">
        <v>391</v>
      </c>
      <c r="G88" s="475">
        <f t="shared" ref="G88:AI88" si="17">G36*G64</f>
        <v>0</v>
      </c>
      <c r="H88" s="475">
        <f t="shared" si="17"/>
        <v>0</v>
      </c>
      <c r="I88" s="475">
        <f t="shared" si="17"/>
        <v>0</v>
      </c>
      <c r="J88" s="475">
        <f t="shared" si="17"/>
        <v>0</v>
      </c>
      <c r="K88" s="475">
        <f t="shared" si="17"/>
        <v>0</v>
      </c>
      <c r="L88" s="475">
        <f t="shared" si="17"/>
        <v>0</v>
      </c>
      <c r="M88" s="475">
        <f t="shared" si="17"/>
        <v>0</v>
      </c>
      <c r="N88" s="475">
        <f t="shared" si="17"/>
        <v>0</v>
      </c>
      <c r="O88" s="475">
        <f t="shared" si="17"/>
        <v>0</v>
      </c>
      <c r="P88" s="475">
        <f t="shared" si="17"/>
        <v>0</v>
      </c>
      <c r="Q88" s="475">
        <f t="shared" si="17"/>
        <v>0</v>
      </c>
      <c r="R88" s="475">
        <f t="shared" si="17"/>
        <v>0</v>
      </c>
      <c r="S88" s="475">
        <f t="shared" si="17"/>
        <v>0</v>
      </c>
      <c r="T88" s="475">
        <f t="shared" si="17"/>
        <v>14760.467110113954</v>
      </c>
      <c r="U88" s="475">
        <f t="shared" si="17"/>
        <v>14416.626713179669</v>
      </c>
      <c r="V88" s="475">
        <f t="shared" si="17"/>
        <v>14086.634998408843</v>
      </c>
      <c r="W88" s="475">
        <f t="shared" si="17"/>
        <v>13769.934189579206</v>
      </c>
      <c r="X88" s="475">
        <f t="shared" si="17"/>
        <v>13465.988975733446</v>
      </c>
      <c r="Y88" s="475">
        <f t="shared" si="17"/>
        <v>13174.285606357333</v>
      </c>
      <c r="Z88" s="475">
        <f t="shared" si="17"/>
        <v>12894.331023000894</v>
      </c>
      <c r="AA88" s="475">
        <f t="shared" si="17"/>
        <v>12625.652025874791</v>
      </c>
      <c r="AB88" s="475">
        <f t="shared" si="17"/>
        <v>12367.794474013319</v>
      </c>
      <c r="AC88" s="475">
        <f t="shared" si="17"/>
        <v>12120.322517652019</v>
      </c>
      <c r="AD88" s="475">
        <f t="shared" si="17"/>
        <v>11882.817861522373</v>
      </c>
      <c r="AE88" s="475">
        <f t="shared" si="17"/>
        <v>11654.879057818456</v>
      </c>
      <c r="AF88" s="475">
        <f t="shared" si="17"/>
        <v>11436.1208276404</v>
      </c>
      <c r="AG88" s="475">
        <f t="shared" si="17"/>
        <v>11226.173409767662</v>
      </c>
      <c r="AH88" s="475">
        <f t="shared" si="17"/>
        <v>11024.681935661511</v>
      </c>
      <c r="AI88" s="475">
        <f t="shared" si="17"/>
        <v>10831.305829640149</v>
      </c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</row>
    <row r="89" spans="1:51" x14ac:dyDescent="0.25">
      <c r="A89" s="1"/>
      <c r="B89" s="1"/>
      <c r="C89" s="1"/>
      <c r="D89" s="1"/>
      <c r="E89" s="139" t="str">
        <f>'8a. RNG'!$P$12</f>
        <v>CDW Exp. 1</v>
      </c>
      <c r="F89" s="1" t="s">
        <v>391</v>
      </c>
      <c r="G89" s="475">
        <f t="shared" ref="G89:AI89" si="18">G37*G65</f>
        <v>0</v>
      </c>
      <c r="H89" s="475">
        <f t="shared" si="18"/>
        <v>0</v>
      </c>
      <c r="I89" s="475">
        <f t="shared" si="18"/>
        <v>0</v>
      </c>
      <c r="J89" s="475">
        <f t="shared" si="18"/>
        <v>0</v>
      </c>
      <c r="K89" s="475">
        <f t="shared" si="18"/>
        <v>0</v>
      </c>
      <c r="L89" s="475">
        <f t="shared" si="18"/>
        <v>0</v>
      </c>
      <c r="M89" s="475">
        <f t="shared" si="18"/>
        <v>0</v>
      </c>
      <c r="N89" s="475">
        <f t="shared" si="18"/>
        <v>0</v>
      </c>
      <c r="O89" s="475">
        <f t="shared" si="18"/>
        <v>0</v>
      </c>
      <c r="P89" s="475">
        <f t="shared" si="18"/>
        <v>0</v>
      </c>
      <c r="Q89" s="475">
        <f t="shared" si="18"/>
        <v>0</v>
      </c>
      <c r="R89" s="475">
        <f t="shared" si="18"/>
        <v>0</v>
      </c>
      <c r="S89" s="475">
        <f t="shared" si="18"/>
        <v>0</v>
      </c>
      <c r="T89" s="475">
        <f t="shared" si="18"/>
        <v>0</v>
      </c>
      <c r="U89" s="475">
        <f t="shared" si="18"/>
        <v>0</v>
      </c>
      <c r="V89" s="475">
        <f t="shared" si="18"/>
        <v>0</v>
      </c>
      <c r="W89" s="475">
        <f t="shared" si="18"/>
        <v>0</v>
      </c>
      <c r="X89" s="475">
        <f t="shared" si="18"/>
        <v>0</v>
      </c>
      <c r="Y89" s="475">
        <f t="shared" si="18"/>
        <v>55020.601570565152</v>
      </c>
      <c r="Z89" s="475">
        <f t="shared" si="18"/>
        <v>55020.601570565152</v>
      </c>
      <c r="AA89" s="475">
        <f t="shared" si="18"/>
        <v>55020.601570565152</v>
      </c>
      <c r="AB89" s="475">
        <f t="shared" si="18"/>
        <v>55020.601570565152</v>
      </c>
      <c r="AC89" s="475">
        <f t="shared" si="18"/>
        <v>55020.601570565152</v>
      </c>
      <c r="AD89" s="475">
        <f t="shared" si="18"/>
        <v>55020.601570565152</v>
      </c>
      <c r="AE89" s="475">
        <f t="shared" si="18"/>
        <v>55020.601570565152</v>
      </c>
      <c r="AF89" s="475">
        <f t="shared" si="18"/>
        <v>55020.601570565152</v>
      </c>
      <c r="AG89" s="475">
        <f t="shared" si="18"/>
        <v>55020.601570565152</v>
      </c>
      <c r="AH89" s="475">
        <f t="shared" si="18"/>
        <v>55020.601570565152</v>
      </c>
      <c r="AI89" s="475">
        <f t="shared" si="18"/>
        <v>55020.601570565152</v>
      </c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</row>
    <row r="90" spans="1:51" x14ac:dyDescent="0.25">
      <c r="A90" s="1"/>
      <c r="B90" s="1"/>
      <c r="C90" s="1"/>
      <c r="D90" s="1"/>
      <c r="E90" s="139" t="str">
        <f>'8a. RNG'!$Q$12</f>
        <v>CDW Exp. 2</v>
      </c>
      <c r="F90" s="1" t="s">
        <v>391</v>
      </c>
      <c r="G90" s="475">
        <f t="shared" ref="G90:AI90" si="19">G38*G66</f>
        <v>0</v>
      </c>
      <c r="H90" s="475">
        <f t="shared" si="19"/>
        <v>0</v>
      </c>
      <c r="I90" s="475">
        <f t="shared" si="19"/>
        <v>0</v>
      </c>
      <c r="J90" s="475">
        <f t="shared" si="19"/>
        <v>0</v>
      </c>
      <c r="K90" s="475">
        <f t="shared" si="19"/>
        <v>0</v>
      </c>
      <c r="L90" s="475">
        <f t="shared" si="19"/>
        <v>0</v>
      </c>
      <c r="M90" s="475">
        <f t="shared" si="19"/>
        <v>0</v>
      </c>
      <c r="N90" s="475">
        <f t="shared" si="19"/>
        <v>0</v>
      </c>
      <c r="O90" s="475">
        <f t="shared" si="19"/>
        <v>0</v>
      </c>
      <c r="P90" s="475">
        <f t="shared" si="19"/>
        <v>0</v>
      </c>
      <c r="Q90" s="475">
        <f t="shared" si="19"/>
        <v>0</v>
      </c>
      <c r="R90" s="475">
        <f t="shared" si="19"/>
        <v>0</v>
      </c>
      <c r="S90" s="475">
        <f t="shared" si="19"/>
        <v>0</v>
      </c>
      <c r="T90" s="475">
        <f t="shared" si="19"/>
        <v>0</v>
      </c>
      <c r="U90" s="475">
        <f t="shared" si="19"/>
        <v>0</v>
      </c>
      <c r="V90" s="475">
        <f t="shared" si="19"/>
        <v>0</v>
      </c>
      <c r="W90" s="475">
        <f t="shared" si="19"/>
        <v>0</v>
      </c>
      <c r="X90" s="475">
        <f t="shared" si="19"/>
        <v>0</v>
      </c>
      <c r="Y90" s="475">
        <f t="shared" si="19"/>
        <v>0</v>
      </c>
      <c r="Z90" s="475">
        <f t="shared" si="19"/>
        <v>0</v>
      </c>
      <c r="AA90" s="475">
        <f t="shared" si="19"/>
        <v>0</v>
      </c>
      <c r="AB90" s="475">
        <f t="shared" si="19"/>
        <v>0</v>
      </c>
      <c r="AC90" s="475">
        <f t="shared" si="19"/>
        <v>0</v>
      </c>
      <c r="AD90" s="475">
        <f t="shared" si="19"/>
        <v>0</v>
      </c>
      <c r="AE90" s="475">
        <f t="shared" si="19"/>
        <v>0</v>
      </c>
      <c r="AF90" s="475">
        <f t="shared" si="19"/>
        <v>0</v>
      </c>
      <c r="AG90" s="475">
        <f t="shared" si="19"/>
        <v>0</v>
      </c>
      <c r="AH90" s="475">
        <f t="shared" si="19"/>
        <v>0</v>
      </c>
      <c r="AI90" s="475">
        <f t="shared" si="19"/>
        <v>0</v>
      </c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</row>
    <row r="91" spans="1:51" x14ac:dyDescent="0.25">
      <c r="A91" s="1"/>
      <c r="B91" s="1"/>
      <c r="C91" s="1"/>
      <c r="D91" s="1"/>
      <c r="E91" s="139" t="str">
        <f>'8a. RNG'!$R$12</f>
        <v>CDW Exp. 3</v>
      </c>
      <c r="F91" s="1" t="s">
        <v>391</v>
      </c>
      <c r="G91" s="475">
        <f t="shared" ref="G91:AI91" si="20">G39*G67</f>
        <v>0</v>
      </c>
      <c r="H91" s="475">
        <f t="shared" si="20"/>
        <v>0</v>
      </c>
      <c r="I91" s="475">
        <f t="shared" si="20"/>
        <v>0</v>
      </c>
      <c r="J91" s="475">
        <f t="shared" si="20"/>
        <v>0</v>
      </c>
      <c r="K91" s="475">
        <f t="shared" si="20"/>
        <v>0</v>
      </c>
      <c r="L91" s="475">
        <f t="shared" si="20"/>
        <v>0</v>
      </c>
      <c r="M91" s="475">
        <f t="shared" si="20"/>
        <v>0</v>
      </c>
      <c r="N91" s="475">
        <f t="shared" si="20"/>
        <v>0</v>
      </c>
      <c r="O91" s="475">
        <f t="shared" si="20"/>
        <v>0</v>
      </c>
      <c r="P91" s="475">
        <f t="shared" si="20"/>
        <v>0</v>
      </c>
      <c r="Q91" s="475">
        <f t="shared" si="20"/>
        <v>0</v>
      </c>
      <c r="R91" s="475">
        <f t="shared" si="20"/>
        <v>0</v>
      </c>
      <c r="S91" s="475">
        <f t="shared" si="20"/>
        <v>0</v>
      </c>
      <c r="T91" s="475">
        <f t="shared" si="20"/>
        <v>0</v>
      </c>
      <c r="U91" s="475">
        <f t="shared" si="20"/>
        <v>0</v>
      </c>
      <c r="V91" s="475">
        <f t="shared" si="20"/>
        <v>0</v>
      </c>
      <c r="W91" s="475">
        <f t="shared" si="20"/>
        <v>0</v>
      </c>
      <c r="X91" s="475">
        <f t="shared" si="20"/>
        <v>0</v>
      </c>
      <c r="Y91" s="475">
        <f t="shared" si="20"/>
        <v>0</v>
      </c>
      <c r="Z91" s="475">
        <f t="shared" si="20"/>
        <v>0</v>
      </c>
      <c r="AA91" s="475">
        <f t="shared" si="20"/>
        <v>0</v>
      </c>
      <c r="AB91" s="475">
        <f t="shared" si="20"/>
        <v>0</v>
      </c>
      <c r="AC91" s="475">
        <f t="shared" si="20"/>
        <v>0</v>
      </c>
      <c r="AD91" s="475">
        <f t="shared" si="20"/>
        <v>0</v>
      </c>
      <c r="AE91" s="475">
        <f t="shared" si="20"/>
        <v>0</v>
      </c>
      <c r="AF91" s="475">
        <f t="shared" si="20"/>
        <v>0</v>
      </c>
      <c r="AG91" s="475">
        <f t="shared" si="20"/>
        <v>0</v>
      </c>
      <c r="AH91" s="475">
        <f t="shared" si="20"/>
        <v>0</v>
      </c>
      <c r="AI91" s="475">
        <f t="shared" si="20"/>
        <v>0</v>
      </c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</row>
    <row r="92" spans="1:51" x14ac:dyDescent="0.25">
      <c r="A92" s="1"/>
      <c r="B92" s="1"/>
      <c r="C92" s="1"/>
      <c r="D92" s="1"/>
      <c r="E92" s="139" t="str">
        <f>'8a. RNG'!$S$12</f>
        <v>CDW Exp. 4</v>
      </c>
      <c r="F92" s="1" t="s">
        <v>391</v>
      </c>
      <c r="G92" s="475">
        <f t="shared" ref="G92:AI92" si="21">G40*G68</f>
        <v>0</v>
      </c>
      <c r="H92" s="475">
        <f t="shared" si="21"/>
        <v>0</v>
      </c>
      <c r="I92" s="475">
        <f t="shared" si="21"/>
        <v>0</v>
      </c>
      <c r="J92" s="475">
        <f t="shared" si="21"/>
        <v>0</v>
      </c>
      <c r="K92" s="475">
        <f t="shared" si="21"/>
        <v>0</v>
      </c>
      <c r="L92" s="475">
        <f t="shared" si="21"/>
        <v>0</v>
      </c>
      <c r="M92" s="475">
        <f t="shared" si="21"/>
        <v>0</v>
      </c>
      <c r="N92" s="475">
        <f t="shared" si="21"/>
        <v>0</v>
      </c>
      <c r="O92" s="475">
        <f t="shared" si="21"/>
        <v>0</v>
      </c>
      <c r="P92" s="475">
        <f t="shared" si="21"/>
        <v>0</v>
      </c>
      <c r="Q92" s="475">
        <f t="shared" si="21"/>
        <v>0</v>
      </c>
      <c r="R92" s="475">
        <f t="shared" si="21"/>
        <v>0</v>
      </c>
      <c r="S92" s="475">
        <f t="shared" si="21"/>
        <v>0</v>
      </c>
      <c r="T92" s="475">
        <f t="shared" si="21"/>
        <v>0</v>
      </c>
      <c r="U92" s="475">
        <f t="shared" si="21"/>
        <v>0</v>
      </c>
      <c r="V92" s="475">
        <f t="shared" si="21"/>
        <v>0</v>
      </c>
      <c r="W92" s="475">
        <f t="shared" si="21"/>
        <v>0</v>
      </c>
      <c r="X92" s="475">
        <f t="shared" si="21"/>
        <v>0</v>
      </c>
      <c r="Y92" s="475">
        <f t="shared" si="21"/>
        <v>0</v>
      </c>
      <c r="Z92" s="475">
        <f t="shared" si="21"/>
        <v>0</v>
      </c>
      <c r="AA92" s="475">
        <f t="shared" si="21"/>
        <v>0</v>
      </c>
      <c r="AB92" s="475">
        <f t="shared" si="21"/>
        <v>0</v>
      </c>
      <c r="AC92" s="475">
        <f t="shared" si="21"/>
        <v>0</v>
      </c>
      <c r="AD92" s="475">
        <f t="shared" si="21"/>
        <v>0</v>
      </c>
      <c r="AE92" s="475">
        <f t="shared" si="21"/>
        <v>0</v>
      </c>
      <c r="AF92" s="475">
        <f t="shared" si="21"/>
        <v>0</v>
      </c>
      <c r="AG92" s="475">
        <f t="shared" si="21"/>
        <v>0</v>
      </c>
      <c r="AH92" s="475">
        <f t="shared" si="21"/>
        <v>0</v>
      </c>
      <c r="AI92" s="475">
        <f t="shared" si="21"/>
        <v>0</v>
      </c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</row>
    <row r="93" spans="1:51" x14ac:dyDescent="0.25">
      <c r="A93" s="1"/>
      <c r="B93" s="1"/>
      <c r="C93" s="1"/>
      <c r="D93" s="1"/>
      <c r="E93" s="139" t="str">
        <f>'8a. RNG'!$T$12</f>
        <v>CDW Exp. 5</v>
      </c>
      <c r="F93" s="1" t="s">
        <v>391</v>
      </c>
      <c r="G93" s="475">
        <f t="shared" ref="G93:AI93" si="22">G41*G69</f>
        <v>0</v>
      </c>
      <c r="H93" s="475">
        <f t="shared" si="22"/>
        <v>0</v>
      </c>
      <c r="I93" s="475">
        <f t="shared" si="22"/>
        <v>0</v>
      </c>
      <c r="J93" s="475">
        <f t="shared" si="22"/>
        <v>0</v>
      </c>
      <c r="K93" s="475">
        <f t="shared" si="22"/>
        <v>0</v>
      </c>
      <c r="L93" s="475">
        <f t="shared" si="22"/>
        <v>0</v>
      </c>
      <c r="M93" s="475">
        <f t="shared" si="22"/>
        <v>0</v>
      </c>
      <c r="N93" s="475">
        <f t="shared" si="22"/>
        <v>0</v>
      </c>
      <c r="O93" s="475">
        <f t="shared" si="22"/>
        <v>0</v>
      </c>
      <c r="P93" s="475">
        <f t="shared" si="22"/>
        <v>0</v>
      </c>
      <c r="Q93" s="475">
        <f t="shared" si="22"/>
        <v>0</v>
      </c>
      <c r="R93" s="475">
        <f t="shared" si="22"/>
        <v>0</v>
      </c>
      <c r="S93" s="475">
        <f t="shared" si="22"/>
        <v>0</v>
      </c>
      <c r="T93" s="475">
        <f t="shared" si="22"/>
        <v>0</v>
      </c>
      <c r="U93" s="475">
        <f t="shared" si="22"/>
        <v>0</v>
      </c>
      <c r="V93" s="475">
        <f t="shared" si="22"/>
        <v>0</v>
      </c>
      <c r="W93" s="475">
        <f t="shared" si="22"/>
        <v>0</v>
      </c>
      <c r="X93" s="475">
        <f t="shared" si="22"/>
        <v>0</v>
      </c>
      <c r="Y93" s="475">
        <f t="shared" si="22"/>
        <v>0</v>
      </c>
      <c r="Z93" s="475">
        <f t="shared" si="22"/>
        <v>0</v>
      </c>
      <c r="AA93" s="475">
        <f t="shared" si="22"/>
        <v>0</v>
      </c>
      <c r="AB93" s="475">
        <f t="shared" si="22"/>
        <v>0</v>
      </c>
      <c r="AC93" s="475">
        <f t="shared" si="22"/>
        <v>0</v>
      </c>
      <c r="AD93" s="475">
        <f t="shared" si="22"/>
        <v>0</v>
      </c>
      <c r="AE93" s="475">
        <f t="shared" si="22"/>
        <v>0</v>
      </c>
      <c r="AF93" s="475">
        <f t="shared" si="22"/>
        <v>0</v>
      </c>
      <c r="AG93" s="475">
        <f t="shared" si="22"/>
        <v>0</v>
      </c>
      <c r="AH93" s="475">
        <f t="shared" si="22"/>
        <v>0</v>
      </c>
      <c r="AI93" s="475">
        <f t="shared" si="22"/>
        <v>0</v>
      </c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</row>
    <row r="94" spans="1:51" x14ac:dyDescent="0.25">
      <c r="A94" s="1"/>
      <c r="B94" s="1"/>
      <c r="C94" s="1"/>
      <c r="D94" s="1"/>
      <c r="E94" s="139" t="str">
        <f>'5. LNG- ISO_Expansion'!$X$12</f>
        <v>LNG ISO Exp 1</v>
      </c>
      <c r="F94" s="1" t="s">
        <v>391</v>
      </c>
      <c r="G94" s="475">
        <f t="shared" ref="G94:AI94" si="23">G42*G70</f>
        <v>0</v>
      </c>
      <c r="H94" s="475">
        <f t="shared" si="23"/>
        <v>0</v>
      </c>
      <c r="I94" s="475">
        <f t="shared" si="23"/>
        <v>0</v>
      </c>
      <c r="J94" s="475">
        <f t="shared" si="23"/>
        <v>0</v>
      </c>
      <c r="K94" s="475">
        <f t="shared" si="23"/>
        <v>0</v>
      </c>
      <c r="L94" s="475">
        <f t="shared" si="23"/>
        <v>0</v>
      </c>
      <c r="M94" s="475">
        <f t="shared" si="23"/>
        <v>0</v>
      </c>
      <c r="N94" s="475">
        <f t="shared" si="23"/>
        <v>0</v>
      </c>
      <c r="O94" s="475">
        <f t="shared" si="23"/>
        <v>0</v>
      </c>
      <c r="P94" s="475">
        <f t="shared" si="23"/>
        <v>0</v>
      </c>
      <c r="Q94" s="475">
        <f t="shared" si="23"/>
        <v>0</v>
      </c>
      <c r="R94" s="475">
        <f t="shared" si="23"/>
        <v>0</v>
      </c>
      <c r="S94" s="475">
        <f t="shared" si="23"/>
        <v>0</v>
      </c>
      <c r="T94" s="475">
        <f t="shared" si="23"/>
        <v>0</v>
      </c>
      <c r="U94" s="475">
        <f t="shared" si="23"/>
        <v>0</v>
      </c>
      <c r="V94" s="475">
        <f t="shared" si="23"/>
        <v>0</v>
      </c>
      <c r="W94" s="475">
        <f t="shared" si="23"/>
        <v>0</v>
      </c>
      <c r="X94" s="475">
        <f t="shared" si="23"/>
        <v>0</v>
      </c>
      <c r="Y94" s="475">
        <f t="shared" si="23"/>
        <v>0</v>
      </c>
      <c r="Z94" s="475">
        <f t="shared" si="23"/>
        <v>0</v>
      </c>
      <c r="AA94" s="475">
        <f t="shared" si="23"/>
        <v>0</v>
      </c>
      <c r="AB94" s="475">
        <f t="shared" si="23"/>
        <v>0</v>
      </c>
      <c r="AC94" s="475">
        <f t="shared" si="23"/>
        <v>0</v>
      </c>
      <c r="AD94" s="475">
        <f t="shared" si="23"/>
        <v>0</v>
      </c>
      <c r="AE94" s="475">
        <f t="shared" si="23"/>
        <v>0</v>
      </c>
      <c r="AF94" s="475">
        <f t="shared" si="23"/>
        <v>0</v>
      </c>
      <c r="AG94" s="475">
        <f t="shared" si="23"/>
        <v>0</v>
      </c>
      <c r="AH94" s="475">
        <f t="shared" si="23"/>
        <v>0</v>
      </c>
      <c r="AI94" s="475">
        <f t="shared" si="23"/>
        <v>0</v>
      </c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</row>
    <row r="95" spans="1:51" x14ac:dyDescent="0.25">
      <c r="A95" s="1"/>
      <c r="B95" s="1"/>
      <c r="C95" s="1"/>
      <c r="D95" s="1"/>
      <c r="E95" s="139" t="str">
        <f>'5. LNG- ISO_Expansion'!$Y$12</f>
        <v>LNG ISO Exp 2</v>
      </c>
      <c r="F95" s="1" t="s">
        <v>391</v>
      </c>
      <c r="G95" s="475">
        <f t="shared" ref="G95:AI95" si="24">G43*G71</f>
        <v>0</v>
      </c>
      <c r="H95" s="475">
        <f t="shared" si="24"/>
        <v>0</v>
      </c>
      <c r="I95" s="475">
        <f t="shared" si="24"/>
        <v>0</v>
      </c>
      <c r="J95" s="475">
        <f t="shared" si="24"/>
        <v>0</v>
      </c>
      <c r="K95" s="475">
        <f t="shared" si="24"/>
        <v>0</v>
      </c>
      <c r="L95" s="475">
        <f t="shared" si="24"/>
        <v>0</v>
      </c>
      <c r="M95" s="475">
        <f t="shared" si="24"/>
        <v>0</v>
      </c>
      <c r="N95" s="475">
        <f t="shared" si="24"/>
        <v>0</v>
      </c>
      <c r="O95" s="475">
        <f t="shared" si="24"/>
        <v>0</v>
      </c>
      <c r="P95" s="475">
        <f t="shared" si="24"/>
        <v>0</v>
      </c>
      <c r="Q95" s="475">
        <f t="shared" si="24"/>
        <v>0</v>
      </c>
      <c r="R95" s="475">
        <f t="shared" si="24"/>
        <v>0</v>
      </c>
      <c r="S95" s="475">
        <f t="shared" si="24"/>
        <v>0</v>
      </c>
      <c r="T95" s="475">
        <f t="shared" si="24"/>
        <v>0</v>
      </c>
      <c r="U95" s="475">
        <f t="shared" si="24"/>
        <v>0</v>
      </c>
      <c r="V95" s="475">
        <f t="shared" si="24"/>
        <v>0</v>
      </c>
      <c r="W95" s="475">
        <f t="shared" si="24"/>
        <v>0</v>
      </c>
      <c r="X95" s="475">
        <f t="shared" si="24"/>
        <v>0</v>
      </c>
      <c r="Y95" s="475">
        <f t="shared" si="24"/>
        <v>0</v>
      </c>
      <c r="Z95" s="475">
        <f t="shared" si="24"/>
        <v>0</v>
      </c>
      <c r="AA95" s="475">
        <f t="shared" si="24"/>
        <v>0</v>
      </c>
      <c r="AB95" s="475">
        <f t="shared" si="24"/>
        <v>0</v>
      </c>
      <c r="AC95" s="475">
        <f t="shared" si="24"/>
        <v>0</v>
      </c>
      <c r="AD95" s="475">
        <f t="shared" si="24"/>
        <v>0</v>
      </c>
      <c r="AE95" s="475">
        <f t="shared" si="24"/>
        <v>0</v>
      </c>
      <c r="AF95" s="475">
        <f t="shared" si="24"/>
        <v>0</v>
      </c>
      <c r="AG95" s="475">
        <f t="shared" si="24"/>
        <v>0</v>
      </c>
      <c r="AH95" s="475">
        <f t="shared" si="24"/>
        <v>0</v>
      </c>
      <c r="AI95" s="475">
        <f t="shared" si="24"/>
        <v>0</v>
      </c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</row>
    <row r="96" spans="1:51" x14ac:dyDescent="0.25">
      <c r="A96" s="1"/>
      <c r="B96" s="1"/>
      <c r="C96" s="1"/>
      <c r="D96" s="1"/>
      <c r="E96" s="139" t="str">
        <f>'5. LNG- ISO_Expansion'!$Z$12</f>
        <v>LNG ISO Exp 3</v>
      </c>
      <c r="F96" s="1" t="s">
        <v>391</v>
      </c>
      <c r="G96" s="475">
        <f t="shared" ref="G96:AI96" si="25">G44*G72</f>
        <v>0</v>
      </c>
      <c r="H96" s="475">
        <f t="shared" si="25"/>
        <v>0</v>
      </c>
      <c r="I96" s="475">
        <f t="shared" si="25"/>
        <v>0</v>
      </c>
      <c r="J96" s="475">
        <f t="shared" si="25"/>
        <v>0</v>
      </c>
      <c r="K96" s="475">
        <f t="shared" si="25"/>
        <v>0</v>
      </c>
      <c r="L96" s="475">
        <f t="shared" si="25"/>
        <v>0</v>
      </c>
      <c r="M96" s="475">
        <f t="shared" si="25"/>
        <v>0</v>
      </c>
      <c r="N96" s="475">
        <f t="shared" si="25"/>
        <v>0</v>
      </c>
      <c r="O96" s="475">
        <f t="shared" si="25"/>
        <v>0</v>
      </c>
      <c r="P96" s="475">
        <f t="shared" si="25"/>
        <v>0</v>
      </c>
      <c r="Q96" s="475">
        <f t="shared" si="25"/>
        <v>0</v>
      </c>
      <c r="R96" s="475">
        <f t="shared" si="25"/>
        <v>0</v>
      </c>
      <c r="S96" s="475">
        <f t="shared" si="25"/>
        <v>0</v>
      </c>
      <c r="T96" s="475">
        <f t="shared" si="25"/>
        <v>0</v>
      </c>
      <c r="U96" s="475">
        <f t="shared" si="25"/>
        <v>0</v>
      </c>
      <c r="V96" s="475">
        <f t="shared" si="25"/>
        <v>0</v>
      </c>
      <c r="W96" s="475">
        <f t="shared" si="25"/>
        <v>0</v>
      </c>
      <c r="X96" s="475">
        <f t="shared" si="25"/>
        <v>0</v>
      </c>
      <c r="Y96" s="475">
        <f t="shared" si="25"/>
        <v>0</v>
      </c>
      <c r="Z96" s="475">
        <f t="shared" si="25"/>
        <v>0</v>
      </c>
      <c r="AA96" s="475">
        <f t="shared" si="25"/>
        <v>0</v>
      </c>
      <c r="AB96" s="475">
        <f t="shared" si="25"/>
        <v>0</v>
      </c>
      <c r="AC96" s="475">
        <f t="shared" si="25"/>
        <v>0</v>
      </c>
      <c r="AD96" s="475">
        <f t="shared" si="25"/>
        <v>0</v>
      </c>
      <c r="AE96" s="475">
        <f t="shared" si="25"/>
        <v>0</v>
      </c>
      <c r="AF96" s="475">
        <f t="shared" si="25"/>
        <v>0</v>
      </c>
      <c r="AG96" s="475">
        <f t="shared" si="25"/>
        <v>0</v>
      </c>
      <c r="AH96" s="475">
        <f t="shared" si="25"/>
        <v>0</v>
      </c>
      <c r="AI96" s="475">
        <f t="shared" si="25"/>
        <v>0</v>
      </c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</row>
    <row r="97" spans="1:51" x14ac:dyDescent="0.25">
      <c r="A97" s="1"/>
      <c r="B97" s="1"/>
      <c r="C97" s="1"/>
      <c r="D97" s="1"/>
      <c r="E97" s="139" t="str">
        <f>'5. LNG- ISO_Expansion'!$AA$12</f>
        <v>LNG ISO Exp 4</v>
      </c>
      <c r="F97" s="1" t="s">
        <v>391</v>
      </c>
      <c r="G97" s="475">
        <f t="shared" ref="G97:AI97" si="26">G45*G73</f>
        <v>0</v>
      </c>
      <c r="H97" s="475">
        <f t="shared" si="26"/>
        <v>0</v>
      </c>
      <c r="I97" s="475">
        <f t="shared" si="26"/>
        <v>0</v>
      </c>
      <c r="J97" s="475">
        <f t="shared" si="26"/>
        <v>0</v>
      </c>
      <c r="K97" s="475">
        <f t="shared" si="26"/>
        <v>0</v>
      </c>
      <c r="L97" s="475">
        <f t="shared" si="26"/>
        <v>0</v>
      </c>
      <c r="M97" s="475">
        <f t="shared" si="26"/>
        <v>0</v>
      </c>
      <c r="N97" s="475">
        <f t="shared" si="26"/>
        <v>0</v>
      </c>
      <c r="O97" s="475">
        <f t="shared" si="26"/>
        <v>0</v>
      </c>
      <c r="P97" s="475">
        <f t="shared" si="26"/>
        <v>0</v>
      </c>
      <c r="Q97" s="475">
        <f t="shared" si="26"/>
        <v>0</v>
      </c>
      <c r="R97" s="475">
        <f t="shared" si="26"/>
        <v>0</v>
      </c>
      <c r="S97" s="475">
        <f t="shared" si="26"/>
        <v>0</v>
      </c>
      <c r="T97" s="475">
        <f t="shared" si="26"/>
        <v>0</v>
      </c>
      <c r="U97" s="475">
        <f t="shared" si="26"/>
        <v>0</v>
      </c>
      <c r="V97" s="475">
        <f t="shared" si="26"/>
        <v>0</v>
      </c>
      <c r="W97" s="475">
        <f t="shared" si="26"/>
        <v>0</v>
      </c>
      <c r="X97" s="475">
        <f t="shared" si="26"/>
        <v>0</v>
      </c>
      <c r="Y97" s="475">
        <f t="shared" si="26"/>
        <v>0</v>
      </c>
      <c r="Z97" s="475">
        <f t="shared" si="26"/>
        <v>0</v>
      </c>
      <c r="AA97" s="475">
        <f t="shared" si="26"/>
        <v>0</v>
      </c>
      <c r="AB97" s="475">
        <f t="shared" si="26"/>
        <v>0</v>
      </c>
      <c r="AC97" s="475">
        <f t="shared" si="26"/>
        <v>0</v>
      </c>
      <c r="AD97" s="475">
        <f t="shared" si="26"/>
        <v>0</v>
      </c>
      <c r="AE97" s="475">
        <f t="shared" si="26"/>
        <v>0</v>
      </c>
      <c r="AF97" s="475">
        <f t="shared" si="26"/>
        <v>0</v>
      </c>
      <c r="AG97" s="475">
        <f t="shared" si="26"/>
        <v>0</v>
      </c>
      <c r="AH97" s="475">
        <f t="shared" si="26"/>
        <v>0</v>
      </c>
      <c r="AI97" s="475">
        <f t="shared" si="26"/>
        <v>0</v>
      </c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</row>
    <row r="98" spans="1:51" x14ac:dyDescent="0.25">
      <c r="A98" s="1"/>
      <c r="B98" s="1"/>
      <c r="C98" s="1"/>
      <c r="D98" s="1"/>
      <c r="E98" s="139" t="str">
        <f>'5. LNG- ISO_Expansion'!$AB$12</f>
        <v>LNG ISO Exp 5</v>
      </c>
      <c r="F98" s="1" t="s">
        <v>391</v>
      </c>
      <c r="G98" s="475">
        <f t="shared" ref="G98:AI98" si="27">G46*G74</f>
        <v>0</v>
      </c>
      <c r="H98" s="475">
        <f t="shared" si="27"/>
        <v>0</v>
      </c>
      <c r="I98" s="475">
        <f t="shared" si="27"/>
        <v>0</v>
      </c>
      <c r="J98" s="475">
        <f t="shared" si="27"/>
        <v>0</v>
      </c>
      <c r="K98" s="475">
        <f t="shared" si="27"/>
        <v>0</v>
      </c>
      <c r="L98" s="475">
        <f t="shared" si="27"/>
        <v>0</v>
      </c>
      <c r="M98" s="475">
        <f t="shared" si="27"/>
        <v>0</v>
      </c>
      <c r="N98" s="475">
        <f t="shared" si="27"/>
        <v>0</v>
      </c>
      <c r="O98" s="475">
        <f t="shared" si="27"/>
        <v>0</v>
      </c>
      <c r="P98" s="475">
        <f t="shared" si="27"/>
        <v>0</v>
      </c>
      <c r="Q98" s="475">
        <f t="shared" si="27"/>
        <v>0</v>
      </c>
      <c r="R98" s="475">
        <f t="shared" si="27"/>
        <v>0</v>
      </c>
      <c r="S98" s="475">
        <f t="shared" si="27"/>
        <v>0</v>
      </c>
      <c r="T98" s="475">
        <f t="shared" si="27"/>
        <v>0</v>
      </c>
      <c r="U98" s="475">
        <f t="shared" si="27"/>
        <v>0</v>
      </c>
      <c r="V98" s="475">
        <f t="shared" si="27"/>
        <v>0</v>
      </c>
      <c r="W98" s="475">
        <f t="shared" si="27"/>
        <v>0</v>
      </c>
      <c r="X98" s="475">
        <f t="shared" si="27"/>
        <v>0</v>
      </c>
      <c r="Y98" s="475">
        <f t="shared" si="27"/>
        <v>0</v>
      </c>
      <c r="Z98" s="475">
        <f t="shared" si="27"/>
        <v>0</v>
      </c>
      <c r="AA98" s="475">
        <f t="shared" si="27"/>
        <v>0</v>
      </c>
      <c r="AB98" s="475">
        <f t="shared" si="27"/>
        <v>0</v>
      </c>
      <c r="AC98" s="475">
        <f t="shared" si="27"/>
        <v>0</v>
      </c>
      <c r="AD98" s="475">
        <f t="shared" si="27"/>
        <v>0</v>
      </c>
      <c r="AE98" s="475">
        <f t="shared" si="27"/>
        <v>0</v>
      </c>
      <c r="AF98" s="475">
        <f t="shared" si="27"/>
        <v>0</v>
      </c>
      <c r="AG98" s="475">
        <f t="shared" si="27"/>
        <v>0</v>
      </c>
      <c r="AH98" s="475">
        <f t="shared" si="27"/>
        <v>0</v>
      </c>
      <c r="AI98" s="475">
        <f t="shared" si="27"/>
        <v>0</v>
      </c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</row>
    <row r="99" spans="1:51" x14ac:dyDescent="0.25">
      <c r="A99" s="1"/>
      <c r="B99" s="1"/>
      <c r="C99" s="1"/>
      <c r="D99" s="1"/>
      <c r="E99" s="139" t="s">
        <v>384</v>
      </c>
      <c r="F99" s="1" t="s">
        <v>391</v>
      </c>
      <c r="G99" s="475">
        <f t="shared" ref="G99:AI99" si="28">G47*G75</f>
        <v>0</v>
      </c>
      <c r="H99" s="475">
        <f t="shared" si="28"/>
        <v>0</v>
      </c>
      <c r="I99" s="475">
        <f t="shared" si="28"/>
        <v>0</v>
      </c>
      <c r="J99" s="475">
        <f t="shared" si="28"/>
        <v>0</v>
      </c>
      <c r="K99" s="475">
        <f t="shared" si="28"/>
        <v>0</v>
      </c>
      <c r="L99" s="475">
        <f t="shared" si="28"/>
        <v>0</v>
      </c>
      <c r="M99" s="475">
        <f t="shared" si="28"/>
        <v>0</v>
      </c>
      <c r="N99" s="475">
        <f t="shared" si="28"/>
        <v>0</v>
      </c>
      <c r="O99" s="475">
        <f t="shared" si="28"/>
        <v>0</v>
      </c>
      <c r="P99" s="475">
        <f t="shared" si="28"/>
        <v>0</v>
      </c>
      <c r="Q99" s="475">
        <f t="shared" si="28"/>
        <v>0</v>
      </c>
      <c r="R99" s="475">
        <f t="shared" si="28"/>
        <v>0</v>
      </c>
      <c r="S99" s="475">
        <f t="shared" si="28"/>
        <v>0</v>
      </c>
      <c r="T99" s="475">
        <f t="shared" si="28"/>
        <v>0</v>
      </c>
      <c r="U99" s="475">
        <f t="shared" si="28"/>
        <v>0</v>
      </c>
      <c r="V99" s="475">
        <f t="shared" si="28"/>
        <v>0</v>
      </c>
      <c r="W99" s="475">
        <f t="shared" si="28"/>
        <v>0</v>
      </c>
      <c r="X99" s="475">
        <f t="shared" si="28"/>
        <v>0</v>
      </c>
      <c r="Y99" s="475">
        <f t="shared" si="28"/>
        <v>0</v>
      </c>
      <c r="Z99" s="475">
        <f t="shared" si="28"/>
        <v>0</v>
      </c>
      <c r="AA99" s="475">
        <f t="shared" si="28"/>
        <v>0</v>
      </c>
      <c r="AB99" s="475">
        <f t="shared" si="28"/>
        <v>0</v>
      </c>
      <c r="AC99" s="475">
        <f t="shared" si="28"/>
        <v>0</v>
      </c>
      <c r="AD99" s="475">
        <f t="shared" si="28"/>
        <v>0</v>
      </c>
      <c r="AE99" s="475">
        <f t="shared" si="28"/>
        <v>0</v>
      </c>
      <c r="AF99" s="475">
        <f t="shared" si="28"/>
        <v>0</v>
      </c>
      <c r="AG99" s="475">
        <f t="shared" si="28"/>
        <v>0</v>
      </c>
      <c r="AH99" s="475">
        <f t="shared" si="28"/>
        <v>0</v>
      </c>
      <c r="AI99" s="475">
        <f t="shared" si="28"/>
        <v>0</v>
      </c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</row>
    <row r="100" spans="1:51" x14ac:dyDescent="0.25">
      <c r="A100" s="1"/>
      <c r="B100" s="1"/>
      <c r="C100" s="1"/>
      <c r="D100" s="1"/>
      <c r="E100" s="1"/>
      <c r="F100" s="110" t="s">
        <v>772</v>
      </c>
      <c r="G100" s="456">
        <f>SUM(G80:G99)</f>
        <v>83680.732905584373</v>
      </c>
      <c r="H100" s="456">
        <f t="shared" ref="H100:AI100" si="29">SUM(H80:H99)</f>
        <v>75816.547950966575</v>
      </c>
      <c r="I100" s="456">
        <f t="shared" si="29"/>
        <v>62433.497122072775</v>
      </c>
      <c r="J100" s="456">
        <f t="shared" si="29"/>
        <v>68780.920403436263</v>
      </c>
      <c r="K100" s="456">
        <f t="shared" si="29"/>
        <v>69915.8864485784</v>
      </c>
      <c r="L100" s="456">
        <f t="shared" si="29"/>
        <v>71528.16795206067</v>
      </c>
      <c r="M100" s="456">
        <f t="shared" si="29"/>
        <v>72876.152931319521</v>
      </c>
      <c r="N100" s="456">
        <f t="shared" si="29"/>
        <v>73990.148321461646</v>
      </c>
      <c r="O100" s="456">
        <f t="shared" si="29"/>
        <v>81958.495089355623</v>
      </c>
      <c r="P100" s="456">
        <f t="shared" si="29"/>
        <v>83354.227015948098</v>
      </c>
      <c r="Q100" s="456">
        <f t="shared" si="29"/>
        <v>84551.445997000745</v>
      </c>
      <c r="R100" s="456">
        <f t="shared" si="29"/>
        <v>85555.16616511537</v>
      </c>
      <c r="S100" s="456">
        <f t="shared" si="29"/>
        <v>86297.486796038953</v>
      </c>
      <c r="T100" s="456">
        <f t="shared" si="29"/>
        <v>98265.150587765733</v>
      </c>
      <c r="U100" s="456">
        <f t="shared" si="29"/>
        <v>99257.457693612843</v>
      </c>
      <c r="V100" s="456">
        <f t="shared" si="29"/>
        <v>100100.72106264443</v>
      </c>
      <c r="W100" s="456">
        <f t="shared" si="29"/>
        <v>101065.49077473984</v>
      </c>
      <c r="X100" s="456">
        <f t="shared" si="29"/>
        <v>101595.85994077136</v>
      </c>
      <c r="Y100" s="456">
        <f t="shared" si="29"/>
        <v>143021.29298349144</v>
      </c>
      <c r="Z100" s="456">
        <f t="shared" si="29"/>
        <v>143861.66469741319</v>
      </c>
      <c r="AA100" s="456">
        <f t="shared" si="29"/>
        <v>144490.67088582175</v>
      </c>
      <c r="AB100" s="456">
        <f t="shared" si="29"/>
        <v>145624.82020214052</v>
      </c>
      <c r="AC100" s="456">
        <f t="shared" si="29"/>
        <v>146898.01051516389</v>
      </c>
      <c r="AD100" s="456">
        <f t="shared" si="29"/>
        <v>147674.03321983945</v>
      </c>
      <c r="AE100" s="456">
        <f t="shared" si="29"/>
        <v>148187.74753977801</v>
      </c>
      <c r="AF100" s="456">
        <f t="shared" si="29"/>
        <v>148001.2221154368</v>
      </c>
      <c r="AG100" s="456">
        <f t="shared" si="29"/>
        <v>147931.07497949159</v>
      </c>
      <c r="AH100" s="456">
        <f t="shared" si="29"/>
        <v>147944.13258563163</v>
      </c>
      <c r="AI100" s="456">
        <f t="shared" si="29"/>
        <v>147651.39928013459</v>
      </c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</row>
    <row r="101" spans="1:51" x14ac:dyDescent="0.25">
      <c r="A101" s="1"/>
      <c r="B101" s="1"/>
      <c r="C101" s="1"/>
      <c r="D101" s="1"/>
      <c r="E101" s="1"/>
      <c r="F101" s="110"/>
      <c r="G101" s="474"/>
      <c r="H101" s="474"/>
      <c r="I101" s="474"/>
      <c r="J101" s="474"/>
      <c r="K101" s="474"/>
      <c r="L101" s="474"/>
      <c r="M101" s="474"/>
      <c r="N101" s="474"/>
      <c r="O101" s="474"/>
      <c r="P101" s="474"/>
      <c r="Q101" s="474"/>
      <c r="R101" s="474"/>
      <c r="S101" s="474"/>
      <c r="T101" s="474"/>
      <c r="U101" s="474"/>
      <c r="V101" s="474"/>
      <c r="W101" s="474"/>
      <c r="X101" s="474"/>
      <c r="Y101" s="474"/>
      <c r="Z101" s="474"/>
      <c r="AA101" s="474"/>
      <c r="AB101" s="474"/>
      <c r="AC101" s="474"/>
      <c r="AD101" s="474"/>
      <c r="AE101" s="474"/>
      <c r="AF101" s="474"/>
      <c r="AG101" s="474"/>
      <c r="AH101" s="474"/>
      <c r="AI101" s="474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</row>
    <row r="102" spans="1:51" x14ac:dyDescent="0.25">
      <c r="A102" s="1"/>
      <c r="B102" s="1"/>
      <c r="C102" s="1"/>
      <c r="D102" s="1"/>
      <c r="E102" s="1"/>
      <c r="F102" s="455" t="s">
        <v>392</v>
      </c>
      <c r="G102" s="110">
        <v>2022</v>
      </c>
      <c r="H102" s="110">
        <v>2023</v>
      </c>
      <c r="I102" s="110">
        <v>2024</v>
      </c>
      <c r="J102" s="110">
        <v>2025</v>
      </c>
      <c r="K102" s="110">
        <v>2026</v>
      </c>
      <c r="L102" s="110">
        <v>2027</v>
      </c>
      <c r="M102" s="110">
        <v>2028</v>
      </c>
      <c r="N102" s="110">
        <v>2029</v>
      </c>
      <c r="O102" s="110">
        <v>2030</v>
      </c>
      <c r="P102" s="110">
        <v>2031</v>
      </c>
      <c r="Q102" s="110">
        <v>2032</v>
      </c>
      <c r="R102" s="110">
        <v>2033</v>
      </c>
      <c r="S102" s="110">
        <v>2034</v>
      </c>
      <c r="T102" s="110">
        <v>2035</v>
      </c>
      <c r="U102" s="110">
        <v>2036</v>
      </c>
      <c r="V102" s="110">
        <v>2037</v>
      </c>
      <c r="W102" s="110">
        <v>2038</v>
      </c>
      <c r="X102" s="110">
        <v>2039</v>
      </c>
      <c r="Y102" s="110">
        <v>2040</v>
      </c>
      <c r="Z102" s="110">
        <v>2041</v>
      </c>
      <c r="AA102" s="110">
        <v>2042</v>
      </c>
      <c r="AB102" s="110">
        <v>2043</v>
      </c>
      <c r="AC102" s="110">
        <v>2044</v>
      </c>
      <c r="AD102" s="110">
        <v>2045</v>
      </c>
      <c r="AE102" s="110">
        <v>2046</v>
      </c>
      <c r="AF102" s="110">
        <v>2047</v>
      </c>
      <c r="AG102" s="110">
        <v>2048</v>
      </c>
      <c r="AH102" s="110">
        <v>2049</v>
      </c>
      <c r="AI102" s="110">
        <v>2050</v>
      </c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</row>
    <row r="103" spans="1:5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</row>
    <row r="104" spans="1:51" x14ac:dyDescent="0.25">
      <c r="A104" s="1"/>
      <c r="B104" s="1"/>
      <c r="C104" s="1"/>
      <c r="D104" s="1"/>
      <c r="E104" s="115" t="s">
        <v>322</v>
      </c>
      <c r="F104" s="1" t="s">
        <v>393</v>
      </c>
      <c r="G104" s="469">
        <f>(VLOOKUP($E104,'15. Emissions'!$B$4:$F$24,5,FALSE)/10)*G8*365/1000000</f>
        <v>157791.93062989996</v>
      </c>
      <c r="H104" s="469">
        <f>(VLOOKUP($E104,'15. Emissions'!$B$4:$F$24,5,FALSE)/10)*H8*365/1000000</f>
        <v>151741.4050613523</v>
      </c>
      <c r="I104" s="469">
        <f>(VLOOKUP($E104,'15. Emissions'!$B$4:$F$24,5,FALSE)/10)*I8*365/1000000</f>
        <v>143268.38890229308</v>
      </c>
      <c r="J104" s="469">
        <f>(VLOOKUP($E104,'15. Emissions'!$B$4:$F$24,5,FALSE)/10)*J8*365/1000000</f>
        <v>122031.60185910905</v>
      </c>
      <c r="K104" s="469">
        <f>(VLOOKUP($E104,'15. Emissions'!$B$4:$F$24,5,FALSE)/10)*K8*365/1000000</f>
        <v>122907.72188999174</v>
      </c>
      <c r="L104" s="469">
        <f>(VLOOKUP($E104,'15. Emissions'!$B$4:$F$24,5,FALSE)/10)*L8*365/1000000</f>
        <v>123704.31992306391</v>
      </c>
      <c r="M104" s="469">
        <f>(VLOOKUP($E104,'15. Emissions'!$B$4:$F$24,5,FALSE)/10)*M8*365/1000000</f>
        <v>124601.84987471475</v>
      </c>
      <c r="N104" s="469">
        <f>(VLOOKUP($E104,'15. Emissions'!$B$4:$F$24,5,FALSE)/10)*N8*365/1000000</f>
        <v>125588.96789404683</v>
      </c>
      <c r="O104" s="469">
        <f>(VLOOKUP($E104,'15. Emissions'!$B$4:$F$24,5,FALSE)/10)*O8*365/1000000</f>
        <v>118772.83479619813</v>
      </c>
      <c r="P104" s="469">
        <f>(VLOOKUP($E104,'15. Emissions'!$B$4:$F$24,5,FALSE)/10)*P8*365/1000000</f>
        <v>119751.14515369671</v>
      </c>
      <c r="Q104" s="469">
        <f>(VLOOKUP($E104,'15. Emissions'!$B$4:$F$24,5,FALSE)/10)*Q8*365/1000000</f>
        <v>120822.26125568383</v>
      </c>
      <c r="R104" s="469">
        <f>(VLOOKUP($E104,'15. Emissions'!$B$4:$F$24,5,FALSE)/10)*R8*365/1000000</f>
        <v>121991.89740175668</v>
      </c>
      <c r="S104" s="469">
        <f>(VLOOKUP($E104,'15. Emissions'!$B$4:$F$24,5,FALSE)/10)*S8*365/1000000</f>
        <v>123263.30549996582</v>
      </c>
      <c r="T104" s="469">
        <f>(VLOOKUP($E104,'15. Emissions'!$B$4:$F$24,5,FALSE)/10)*T8*365/1000000</f>
        <v>114427.80842138267</v>
      </c>
      <c r="U104" s="469">
        <f>(VLOOKUP($E104,'15. Emissions'!$B$4:$F$24,5,FALSE)/10)*U8*365/1000000</f>
        <v>115860.63008677401</v>
      </c>
      <c r="V104" s="469">
        <f>(VLOOKUP($E104,'15. Emissions'!$B$4:$F$24,5,FALSE)/10)*V8*365/1000000</f>
        <v>117379.53327410946</v>
      </c>
      <c r="W104" s="469">
        <f>(VLOOKUP($E104,'15. Emissions'!$B$4:$F$24,5,FALSE)/10)*W8*365/1000000</f>
        <v>118896.31725929734</v>
      </c>
      <c r="X104" s="469">
        <f>(VLOOKUP($E104,'15. Emissions'!$B$4:$F$24,5,FALSE)/10)*X8*365/1000000</f>
        <v>120599.23184215378</v>
      </c>
      <c r="Y104" s="469">
        <f>(VLOOKUP($E104,'15. Emissions'!$B$4:$F$24,5,FALSE)/10)*Y8*365/1000000</f>
        <v>84269.195750323357</v>
      </c>
      <c r="Z104" s="469">
        <f>(VLOOKUP($E104,'15. Emissions'!$B$4:$F$24,5,FALSE)/10)*Z8*365/1000000</f>
        <v>85890.622931868071</v>
      </c>
      <c r="AA104" s="469">
        <f>(VLOOKUP($E104,'15. Emissions'!$B$4:$F$24,5,FALSE)/10)*AA8*365/1000000</f>
        <v>87657.221305769912</v>
      </c>
      <c r="AB104" s="469">
        <f>(VLOOKUP($E104,'15. Emissions'!$B$4:$F$24,5,FALSE)/10)*AB8*365/1000000</f>
        <v>89232.04523142062</v>
      </c>
      <c r="AC104" s="469">
        <f>(VLOOKUP($E104,'15. Emissions'!$B$4:$F$24,5,FALSE)/10)*AC8*365/1000000</f>
        <v>90772.554005851591</v>
      </c>
      <c r="AD104" s="469">
        <f>(VLOOKUP($E104,'15. Emissions'!$B$4:$F$24,5,FALSE)/10)*AD8*365/1000000</f>
        <v>92630.662743886875</v>
      </c>
      <c r="AE104" s="469">
        <f>(VLOOKUP($E104,'15. Emissions'!$B$4:$F$24,5,FALSE)/10)*AE8*365/1000000</f>
        <v>92786.479714416302</v>
      </c>
      <c r="AF104" s="469">
        <f>(VLOOKUP($E104,'15. Emissions'!$B$4:$F$24,5,FALSE)/10)*AF8*365/1000000</f>
        <v>92936.020925262565</v>
      </c>
      <c r="AG104" s="469">
        <f>(VLOOKUP($E104,'15. Emissions'!$B$4:$F$24,5,FALSE)/10)*AG8*365/1000000</f>
        <v>93079.539141958579</v>
      </c>
      <c r="AH104" s="469">
        <f>(VLOOKUP($E104,'15. Emissions'!$B$4:$F$24,5,FALSE)/10)*AH8*365/1000000</f>
        <v>93217.276949530482</v>
      </c>
      <c r="AI104" s="469">
        <f>(VLOOKUP($E104,'15. Emissions'!$B$4:$F$24,5,FALSE)/10)*AI8*365/1000000</f>
        <v>93349.467162532412</v>
      </c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</row>
    <row r="105" spans="1:51" x14ac:dyDescent="0.25">
      <c r="A105" s="1"/>
      <c r="B105" s="1"/>
      <c r="C105" s="1"/>
      <c r="D105" s="1"/>
      <c r="E105" s="114" t="s">
        <v>323</v>
      </c>
      <c r="F105" s="1" t="s">
        <v>393</v>
      </c>
      <c r="G105" s="469">
        <f>(VLOOKUP($E105,'15. Emissions'!$B$4:$F$24,5,FALSE)/10)*G9*365/1000000</f>
        <v>30515.073675239997</v>
      </c>
      <c r="H105" s="469">
        <f>(VLOOKUP($E105,'15. Emissions'!$B$4:$F$24,5,FALSE)/10)*H9*365/1000000</f>
        <v>30217.330214819995</v>
      </c>
      <c r="I105" s="469">
        <f>(VLOOKUP($E105,'15. Emissions'!$B$4:$F$24,5,FALSE)/10)*I9*365/1000000</f>
        <v>30512.652996699991</v>
      </c>
      <c r="J105" s="469">
        <f>(VLOOKUP($E105,'15. Emissions'!$B$4:$F$24,5,FALSE)/10)*J9*365/1000000</f>
        <v>30512.652996699991</v>
      </c>
      <c r="K105" s="469">
        <f>(VLOOKUP($E105,'15. Emissions'!$B$4:$F$24,5,FALSE)/10)*K9*365/1000000</f>
        <v>30512.652996699991</v>
      </c>
      <c r="L105" s="469">
        <f>(VLOOKUP($E105,'15. Emissions'!$B$4:$F$24,5,FALSE)/10)*L9*365/1000000</f>
        <v>30512.652996699991</v>
      </c>
      <c r="M105" s="469">
        <f>(VLOOKUP($E105,'15. Emissions'!$B$4:$F$24,5,FALSE)/10)*M9*365/1000000</f>
        <v>30512.652996699991</v>
      </c>
      <c r="N105" s="469">
        <f>(VLOOKUP($E105,'15. Emissions'!$B$4:$F$24,5,FALSE)/10)*N9*365/1000000</f>
        <v>30512.652996699991</v>
      </c>
      <c r="O105" s="469">
        <f>(VLOOKUP($E105,'15. Emissions'!$B$4:$F$24,5,FALSE)/10)*O9*365/1000000</f>
        <v>30512.652996699991</v>
      </c>
      <c r="P105" s="469">
        <f>(VLOOKUP($E105,'15. Emissions'!$B$4:$F$24,5,FALSE)/10)*P9*365/1000000</f>
        <v>30512.652996699991</v>
      </c>
      <c r="Q105" s="469">
        <f>(VLOOKUP($E105,'15. Emissions'!$B$4:$F$24,5,FALSE)/10)*Q9*365/1000000</f>
        <v>30512.652996699991</v>
      </c>
      <c r="R105" s="469">
        <f>(VLOOKUP($E105,'15. Emissions'!$B$4:$F$24,5,FALSE)/10)*R9*365/1000000</f>
        <v>30512.652996699991</v>
      </c>
      <c r="S105" s="469">
        <f>(VLOOKUP($E105,'15. Emissions'!$B$4:$F$24,5,FALSE)/10)*S9*365/1000000</f>
        <v>30512.652996699991</v>
      </c>
      <c r="T105" s="469">
        <f>(VLOOKUP($E105,'15. Emissions'!$B$4:$F$24,5,FALSE)/10)*T9*365/1000000</f>
        <v>30512.652996699991</v>
      </c>
      <c r="U105" s="469">
        <f>(VLOOKUP($E105,'15. Emissions'!$B$4:$F$24,5,FALSE)/10)*U9*365/1000000</f>
        <v>30512.652996699991</v>
      </c>
      <c r="V105" s="469">
        <f>(VLOOKUP($E105,'15. Emissions'!$B$4:$F$24,5,FALSE)/10)*V9*365/1000000</f>
        <v>30512.652996699991</v>
      </c>
      <c r="W105" s="469">
        <f>(VLOOKUP($E105,'15. Emissions'!$B$4:$F$24,5,FALSE)/10)*W9*365/1000000</f>
        <v>30512.652996699991</v>
      </c>
      <c r="X105" s="469">
        <f>(VLOOKUP($E105,'15. Emissions'!$B$4:$F$24,5,FALSE)/10)*X9*365/1000000</f>
        <v>30512.652996699991</v>
      </c>
      <c r="Y105" s="469">
        <f>(VLOOKUP($E105,'15. Emissions'!$B$4:$F$24,5,FALSE)/10)*Y9*365/1000000</f>
        <v>30512.652996699991</v>
      </c>
      <c r="Z105" s="469">
        <f>(VLOOKUP($E105,'15. Emissions'!$B$4:$F$24,5,FALSE)/10)*Z9*365/1000000</f>
        <v>30512.652996699991</v>
      </c>
      <c r="AA105" s="469">
        <f>(VLOOKUP($E105,'15. Emissions'!$B$4:$F$24,5,FALSE)/10)*AA9*365/1000000</f>
        <v>30512.652996699991</v>
      </c>
      <c r="AB105" s="469">
        <f>(VLOOKUP($E105,'15. Emissions'!$B$4:$F$24,5,FALSE)/10)*AB9*365/1000000</f>
        <v>30512.652996699991</v>
      </c>
      <c r="AC105" s="469">
        <f>(VLOOKUP($E105,'15. Emissions'!$B$4:$F$24,5,FALSE)/10)*AC9*365/1000000</f>
        <v>30512.652996699991</v>
      </c>
      <c r="AD105" s="469">
        <f>(VLOOKUP($E105,'15. Emissions'!$B$4:$F$24,5,FALSE)/10)*AD9*365/1000000</f>
        <v>30512.652996699991</v>
      </c>
      <c r="AE105" s="469">
        <f>(VLOOKUP($E105,'15. Emissions'!$B$4:$F$24,5,FALSE)/10)*AE9*365/1000000</f>
        <v>30512.652996699991</v>
      </c>
      <c r="AF105" s="469">
        <f>(VLOOKUP($E105,'15. Emissions'!$B$4:$F$24,5,FALSE)/10)*AF9*365/1000000</f>
        <v>30512.652996699991</v>
      </c>
      <c r="AG105" s="469">
        <f>(VLOOKUP($E105,'15. Emissions'!$B$4:$F$24,5,FALSE)/10)*AG9*365/1000000</f>
        <v>30512.652996699991</v>
      </c>
      <c r="AH105" s="469">
        <f>(VLOOKUP($E105,'15. Emissions'!$B$4:$F$24,5,FALSE)/10)*AH9*365/1000000</f>
        <v>30512.652996699991</v>
      </c>
      <c r="AI105" s="469">
        <f>(VLOOKUP($E105,'15. Emissions'!$B$4:$F$24,5,FALSE)/10)*AI9*365/1000000</f>
        <v>30512.652996699991</v>
      </c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</row>
    <row r="106" spans="1:51" x14ac:dyDescent="0.25">
      <c r="A106" s="1"/>
      <c r="B106" s="1"/>
      <c r="C106" s="1"/>
      <c r="D106" s="1"/>
      <c r="E106" s="114" t="s">
        <v>324</v>
      </c>
      <c r="F106" s="1" t="s">
        <v>393</v>
      </c>
      <c r="G106" s="469">
        <f>(VLOOKUP($E106,'15. Emissions'!$B$4:$F$24,5,FALSE)/10)*G10*365/1000000</f>
        <v>0</v>
      </c>
      <c r="H106" s="469">
        <f>(VLOOKUP($E106,'15. Emissions'!$B$4:$F$24,5,FALSE)/10)*H10*365/1000000</f>
        <v>0</v>
      </c>
      <c r="I106" s="469">
        <f>(VLOOKUP($E106,'15. Emissions'!$B$4:$F$24,5,FALSE)/10)*I10*365/1000000</f>
        <v>0</v>
      </c>
      <c r="J106" s="469">
        <f>(VLOOKUP($E106,'15. Emissions'!$B$4:$F$24,5,FALSE)/10)*J10*365/1000000</f>
        <v>0</v>
      </c>
      <c r="K106" s="469">
        <f>(VLOOKUP($E106,'15. Emissions'!$B$4:$F$24,5,FALSE)/10)*K10*365/1000000</f>
        <v>0</v>
      </c>
      <c r="L106" s="469">
        <f>(VLOOKUP($E106,'15. Emissions'!$B$4:$F$24,5,FALSE)/10)*L10*365/1000000</f>
        <v>0</v>
      </c>
      <c r="M106" s="469">
        <f>(VLOOKUP($E106,'15. Emissions'!$B$4:$F$24,5,FALSE)/10)*M10*365/1000000</f>
        <v>0</v>
      </c>
      <c r="N106" s="469">
        <f>(VLOOKUP($E106,'15. Emissions'!$B$4:$F$24,5,FALSE)/10)*N10*365/1000000</f>
        <v>0</v>
      </c>
      <c r="O106" s="469">
        <f>(VLOOKUP($E106,'15. Emissions'!$B$4:$F$24,5,FALSE)/10)*O10*365/1000000</f>
        <v>0</v>
      </c>
      <c r="P106" s="469">
        <f>(VLOOKUP($E106,'15. Emissions'!$B$4:$F$24,5,FALSE)/10)*P10*365/1000000</f>
        <v>0</v>
      </c>
      <c r="Q106" s="469">
        <f>(VLOOKUP($E106,'15. Emissions'!$B$4:$F$24,5,FALSE)/10)*Q10*365/1000000</f>
        <v>0</v>
      </c>
      <c r="R106" s="469">
        <f>(VLOOKUP($E106,'15. Emissions'!$B$4:$F$24,5,FALSE)/10)*R10*365/1000000</f>
        <v>0</v>
      </c>
      <c r="S106" s="469">
        <f>(VLOOKUP($E106,'15. Emissions'!$B$4:$F$24,5,FALSE)/10)*S10*365/1000000</f>
        <v>0</v>
      </c>
      <c r="T106" s="469">
        <f>(VLOOKUP($E106,'15. Emissions'!$B$4:$F$24,5,FALSE)/10)*T10*365/1000000</f>
        <v>0</v>
      </c>
      <c r="U106" s="469">
        <f>(VLOOKUP($E106,'15. Emissions'!$B$4:$F$24,5,FALSE)/10)*U10*365/1000000</f>
        <v>0</v>
      </c>
      <c r="V106" s="469">
        <f>(VLOOKUP($E106,'15. Emissions'!$B$4:$F$24,5,FALSE)/10)*V10*365/1000000</f>
        <v>0</v>
      </c>
      <c r="W106" s="469">
        <f>(VLOOKUP($E106,'15. Emissions'!$B$4:$F$24,5,FALSE)/10)*W10*365/1000000</f>
        <v>0</v>
      </c>
      <c r="X106" s="469">
        <f>(VLOOKUP($E106,'15. Emissions'!$B$4:$F$24,5,FALSE)/10)*X10*365/1000000</f>
        <v>0</v>
      </c>
      <c r="Y106" s="469">
        <f>(VLOOKUP($E106,'15. Emissions'!$B$4:$F$24,5,FALSE)/10)*Y10*365/1000000</f>
        <v>0</v>
      </c>
      <c r="Z106" s="469">
        <f>(VLOOKUP($E106,'15. Emissions'!$B$4:$F$24,5,FALSE)/10)*Z10*365/1000000</f>
        <v>0</v>
      </c>
      <c r="AA106" s="469">
        <f>(VLOOKUP($E106,'15. Emissions'!$B$4:$F$24,5,FALSE)/10)*AA10*365/1000000</f>
        <v>0</v>
      </c>
      <c r="AB106" s="469">
        <f>(VLOOKUP($E106,'15. Emissions'!$B$4:$F$24,5,FALSE)/10)*AB10*365/1000000</f>
        <v>0</v>
      </c>
      <c r="AC106" s="469">
        <f>(VLOOKUP($E106,'15. Emissions'!$B$4:$F$24,5,FALSE)/10)*AC10*365/1000000</f>
        <v>0</v>
      </c>
      <c r="AD106" s="469">
        <f>(VLOOKUP($E106,'15. Emissions'!$B$4:$F$24,5,FALSE)/10)*AD10*365/1000000</f>
        <v>0</v>
      </c>
      <c r="AE106" s="469">
        <f>(VLOOKUP($E106,'15. Emissions'!$B$4:$F$24,5,FALSE)/10)*AE10*365/1000000</f>
        <v>0</v>
      </c>
      <c r="AF106" s="469">
        <f>(VLOOKUP($E106,'15. Emissions'!$B$4:$F$24,5,FALSE)/10)*AF10*365/1000000</f>
        <v>0</v>
      </c>
      <c r="AG106" s="469">
        <f>(VLOOKUP($E106,'15. Emissions'!$B$4:$F$24,5,FALSE)/10)*AG10*365/1000000</f>
        <v>0</v>
      </c>
      <c r="AH106" s="469">
        <f>(VLOOKUP($E106,'15. Emissions'!$B$4:$F$24,5,FALSE)/10)*AH10*365/1000000</f>
        <v>0</v>
      </c>
      <c r="AI106" s="469">
        <f>(VLOOKUP($E106,'15. Emissions'!$B$4:$F$24,5,FALSE)/10)*AI10*365/1000000</f>
        <v>0</v>
      </c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</row>
    <row r="107" spans="1:51" x14ac:dyDescent="0.25">
      <c r="A107" s="1"/>
      <c r="B107" s="1"/>
      <c r="C107" s="1"/>
      <c r="D107" s="1"/>
      <c r="E107" s="114" t="s">
        <v>325</v>
      </c>
      <c r="F107" s="1" t="s">
        <v>393</v>
      </c>
      <c r="G107" s="469">
        <f>(VLOOKUP($E107,'15. Emissions'!$B$4:$F$24,5,FALSE)/10)*G11*365/1000000</f>
        <v>0</v>
      </c>
      <c r="H107" s="469">
        <f>(VLOOKUP($E107,'15. Emissions'!$B$4:$F$24,5,FALSE)/10)*H11*365/1000000</f>
        <v>9327.4107499999991</v>
      </c>
      <c r="I107" s="469">
        <f>(VLOOKUP($E107,'15. Emissions'!$B$4:$F$24,5,FALSE)/10)*I11*365/1000000</f>
        <v>18654.821499999998</v>
      </c>
      <c r="J107" s="469">
        <f>(VLOOKUP($E107,'15. Emissions'!$B$4:$F$24,5,FALSE)/10)*J11*365/1000000</f>
        <v>37309.642999999996</v>
      </c>
      <c r="K107" s="469">
        <f>(VLOOKUP($E107,'15. Emissions'!$B$4:$F$24,5,FALSE)/10)*K11*365/1000000</f>
        <v>37309.642999999996</v>
      </c>
      <c r="L107" s="469">
        <f>(VLOOKUP($E107,'15. Emissions'!$B$4:$F$24,5,FALSE)/10)*L11*365/1000000</f>
        <v>37309.642999999996</v>
      </c>
      <c r="M107" s="469">
        <f>(VLOOKUP($E107,'15. Emissions'!$B$4:$F$24,5,FALSE)/10)*M11*365/1000000</f>
        <v>37309.642999999996</v>
      </c>
      <c r="N107" s="469">
        <f>(VLOOKUP($E107,'15. Emissions'!$B$4:$F$24,5,FALSE)/10)*N11*365/1000000</f>
        <v>37309.642999999996</v>
      </c>
      <c r="O107" s="469">
        <f>(VLOOKUP($E107,'15. Emissions'!$B$4:$F$24,5,FALSE)/10)*O11*365/1000000</f>
        <v>37309.642999999996</v>
      </c>
      <c r="P107" s="469">
        <f>(VLOOKUP($E107,'15. Emissions'!$B$4:$F$24,5,FALSE)/10)*P11*365/1000000</f>
        <v>37309.642999999996</v>
      </c>
      <c r="Q107" s="469">
        <f>(VLOOKUP($E107,'15. Emissions'!$B$4:$F$24,5,FALSE)/10)*Q11*365/1000000</f>
        <v>37309.642999999996</v>
      </c>
      <c r="R107" s="469">
        <f>(VLOOKUP($E107,'15. Emissions'!$B$4:$F$24,5,FALSE)/10)*R11*365/1000000</f>
        <v>37309.642999999996</v>
      </c>
      <c r="S107" s="469">
        <f>(VLOOKUP($E107,'15. Emissions'!$B$4:$F$24,5,FALSE)/10)*S11*365/1000000</f>
        <v>37309.642999999996</v>
      </c>
      <c r="T107" s="469">
        <f>(VLOOKUP($E107,'15. Emissions'!$B$4:$F$24,5,FALSE)/10)*T11*365/1000000</f>
        <v>37309.642999999996</v>
      </c>
      <c r="U107" s="469">
        <f>(VLOOKUP($E107,'15. Emissions'!$B$4:$F$24,5,FALSE)/10)*U11*365/1000000</f>
        <v>37309.642999999996</v>
      </c>
      <c r="V107" s="469">
        <f>(VLOOKUP($E107,'15. Emissions'!$B$4:$F$24,5,FALSE)/10)*V11*365/1000000</f>
        <v>37309.642999999996</v>
      </c>
      <c r="W107" s="469">
        <f>(VLOOKUP($E107,'15. Emissions'!$B$4:$F$24,5,FALSE)/10)*W11*365/1000000</f>
        <v>37309.642999999996</v>
      </c>
      <c r="X107" s="469">
        <f>(VLOOKUP($E107,'15. Emissions'!$B$4:$F$24,5,FALSE)/10)*X11*365/1000000</f>
        <v>37309.642999999996</v>
      </c>
      <c r="Y107" s="469">
        <f>(VLOOKUP($E107,'15. Emissions'!$B$4:$F$24,5,FALSE)/10)*Y11*365/1000000</f>
        <v>37309.642999999996</v>
      </c>
      <c r="Z107" s="469">
        <f>(VLOOKUP($E107,'15. Emissions'!$B$4:$F$24,5,FALSE)/10)*Z11*365/1000000</f>
        <v>37309.642999999996</v>
      </c>
      <c r="AA107" s="469">
        <f>(VLOOKUP($E107,'15. Emissions'!$B$4:$F$24,5,FALSE)/10)*AA11*365/1000000</f>
        <v>37309.642999999996</v>
      </c>
      <c r="AB107" s="469">
        <f>(VLOOKUP($E107,'15. Emissions'!$B$4:$F$24,5,FALSE)/10)*AB11*365/1000000</f>
        <v>37309.642999999996</v>
      </c>
      <c r="AC107" s="469">
        <f>(VLOOKUP($E107,'15. Emissions'!$B$4:$F$24,5,FALSE)/10)*AC11*365/1000000</f>
        <v>37309.642999999996</v>
      </c>
      <c r="AD107" s="469">
        <f>(VLOOKUP($E107,'15. Emissions'!$B$4:$F$24,5,FALSE)/10)*AD11*365/1000000</f>
        <v>37309.642999999996</v>
      </c>
      <c r="AE107" s="469">
        <f>(VLOOKUP($E107,'15. Emissions'!$B$4:$F$24,5,FALSE)/10)*AE11*365/1000000</f>
        <v>37309.642999999996</v>
      </c>
      <c r="AF107" s="469">
        <f>(VLOOKUP($E107,'15. Emissions'!$B$4:$F$24,5,FALSE)/10)*AF11*365/1000000</f>
        <v>37309.642999999996</v>
      </c>
      <c r="AG107" s="469">
        <f>(VLOOKUP($E107,'15. Emissions'!$B$4:$F$24,5,FALSE)/10)*AG11*365/1000000</f>
        <v>37309.642999999996</v>
      </c>
      <c r="AH107" s="469">
        <f>(VLOOKUP($E107,'15. Emissions'!$B$4:$F$24,5,FALSE)/10)*AH11*365/1000000</f>
        <v>37309.642999999996</v>
      </c>
      <c r="AI107" s="469">
        <f>(VLOOKUP($E107,'15. Emissions'!$B$4:$F$24,5,FALSE)/10)*AI11*365/1000000</f>
        <v>37309.642999999996</v>
      </c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</row>
    <row r="108" spans="1:51" x14ac:dyDescent="0.25">
      <c r="A108" s="1"/>
      <c r="B108" s="1"/>
      <c r="C108" s="1"/>
      <c r="D108" s="1"/>
      <c r="E108" s="114" t="str">
        <f>'15. Emissions'!B25</f>
        <v>Propane Air</v>
      </c>
      <c r="F108" s="1" t="s">
        <v>393</v>
      </c>
      <c r="G108" s="469">
        <f>(VLOOKUP($E108,'15. Emissions'!$B$4:$F$25,5,FALSE)/10)*G12*365/1000000</f>
        <v>0</v>
      </c>
      <c r="H108" s="469">
        <f>(VLOOKUP($E108,'15. Emissions'!$B$4:$F$25,5,FALSE)/10)*H12*365/1000000</f>
        <v>0</v>
      </c>
      <c r="I108" s="469">
        <f>(VLOOKUP($E108,'15. Emissions'!$B$4:$F$25,5,FALSE)/10)*I12*365/1000000</f>
        <v>0</v>
      </c>
      <c r="J108" s="469">
        <f>(VLOOKUP($E108,'15. Emissions'!$B$4:$F$25,5,FALSE)/10)*J12*365/1000000</f>
        <v>0</v>
      </c>
      <c r="K108" s="469">
        <f>(VLOOKUP($E108,'15. Emissions'!$B$4:$F$25,5,FALSE)/10)*K12*365/1000000</f>
        <v>0</v>
      </c>
      <c r="L108" s="469">
        <f>(VLOOKUP($E108,'15. Emissions'!$B$4:$F$25,5,FALSE)/10)*L12*365/1000000</f>
        <v>0</v>
      </c>
      <c r="M108" s="469">
        <f>(VLOOKUP($E108,'15. Emissions'!$B$4:$F$25,5,FALSE)/10)*M12*365/1000000</f>
        <v>0</v>
      </c>
      <c r="N108" s="469">
        <f>(VLOOKUP($E108,'15. Emissions'!$B$4:$F$25,5,FALSE)/10)*N12*365/1000000</f>
        <v>0</v>
      </c>
      <c r="O108" s="469">
        <f>(VLOOKUP($E108,'15. Emissions'!$B$4:$F$25,5,FALSE)/10)*O12*365/1000000</f>
        <v>0</v>
      </c>
      <c r="P108" s="469">
        <f>(VLOOKUP($E108,'15. Emissions'!$B$4:$F$25,5,FALSE)/10)*P12*365/1000000</f>
        <v>0</v>
      </c>
      <c r="Q108" s="469">
        <f>(VLOOKUP($E108,'15. Emissions'!$B$4:$F$25,5,FALSE)/10)*Q12*365/1000000</f>
        <v>0</v>
      </c>
      <c r="R108" s="469">
        <f>(VLOOKUP($E108,'15. Emissions'!$B$4:$F$25,5,FALSE)/10)*R12*365/1000000</f>
        <v>0</v>
      </c>
      <c r="S108" s="469">
        <f>(VLOOKUP($E108,'15. Emissions'!$B$4:$F$25,5,FALSE)/10)*S12*365/1000000</f>
        <v>0</v>
      </c>
      <c r="T108" s="469">
        <f>(VLOOKUP($E108,'15. Emissions'!$B$4:$F$25,5,FALSE)/10)*T12*365/1000000</f>
        <v>0</v>
      </c>
      <c r="U108" s="469">
        <f>(VLOOKUP($E108,'15. Emissions'!$B$4:$F$25,5,FALSE)/10)*U12*365/1000000</f>
        <v>0</v>
      </c>
      <c r="V108" s="469">
        <f>(VLOOKUP($E108,'15. Emissions'!$B$4:$F$25,5,FALSE)/10)*V12*365/1000000</f>
        <v>0</v>
      </c>
      <c r="W108" s="469">
        <f>(VLOOKUP($E108,'15. Emissions'!$B$4:$F$25,5,FALSE)/10)*W12*365/1000000</f>
        <v>0</v>
      </c>
      <c r="X108" s="469">
        <f>(VLOOKUP($E108,'15. Emissions'!$B$4:$F$25,5,FALSE)/10)*X12*365/1000000</f>
        <v>0</v>
      </c>
      <c r="Y108" s="469">
        <f>(VLOOKUP($E108,'15. Emissions'!$B$4:$F$25,5,FALSE)/10)*Y12*365/1000000</f>
        <v>0</v>
      </c>
      <c r="Z108" s="469">
        <f>(VLOOKUP($E108,'15. Emissions'!$B$4:$F$25,5,FALSE)/10)*Z12*365/1000000</f>
        <v>0</v>
      </c>
      <c r="AA108" s="469">
        <f>(VLOOKUP($E108,'15. Emissions'!$B$4:$F$25,5,FALSE)/10)*AA12*365/1000000</f>
        <v>0</v>
      </c>
      <c r="AB108" s="469">
        <f>(VLOOKUP($E108,'15. Emissions'!$B$4:$F$25,5,FALSE)/10)*AB12*365/1000000</f>
        <v>0</v>
      </c>
      <c r="AC108" s="469">
        <f>(VLOOKUP($E108,'15. Emissions'!$B$4:$F$25,5,FALSE)/10)*AC12*365/1000000</f>
        <v>0</v>
      </c>
      <c r="AD108" s="469">
        <f>(VLOOKUP($E108,'15. Emissions'!$B$4:$F$25,5,FALSE)/10)*AD12*365/1000000</f>
        <v>0</v>
      </c>
      <c r="AE108" s="469">
        <f>(VLOOKUP($E108,'15. Emissions'!$B$4:$F$25,5,FALSE)/10)*AE12*365/1000000</f>
        <v>0</v>
      </c>
      <c r="AF108" s="469">
        <f>(VLOOKUP($E108,'15. Emissions'!$B$4:$F$25,5,FALSE)/10)*AF12*365/1000000</f>
        <v>0</v>
      </c>
      <c r="AG108" s="469">
        <f>(VLOOKUP($E108,'15. Emissions'!$B$4:$F$25,5,FALSE)/10)*AG12*365/1000000</f>
        <v>0</v>
      </c>
      <c r="AH108" s="469">
        <f>(VLOOKUP($E108,'15. Emissions'!$B$4:$F$25,5,FALSE)/10)*AH12*365/1000000</f>
        <v>0</v>
      </c>
      <c r="AI108" s="469">
        <f>(VLOOKUP($E108,'15. Emissions'!$B$4:$F$25,5,FALSE)/10)*AI12*365/1000000</f>
        <v>0</v>
      </c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</row>
    <row r="109" spans="1:51" x14ac:dyDescent="0.25">
      <c r="A109" s="1"/>
      <c r="B109" s="1"/>
      <c r="C109" s="1"/>
      <c r="D109" s="1"/>
      <c r="E109" s="114" t="s">
        <v>351</v>
      </c>
      <c r="F109" s="1" t="s">
        <v>393</v>
      </c>
      <c r="G109" s="469">
        <f>(VLOOKUP($E109,'15. Emissions'!$B$4:$F$24,5,FALSE)/10)*G13*365/1000000</f>
        <v>-960.56</v>
      </c>
      <c r="H109" s="469">
        <f>(VLOOKUP($E109,'15. Emissions'!$B$4:$F$24,5,FALSE)/10)*H13*365/1000000</f>
        <v>-960.56</v>
      </c>
      <c r="I109" s="469">
        <f>(VLOOKUP($E109,'15. Emissions'!$B$4:$F$24,5,FALSE)/10)*I13*365/1000000</f>
        <v>-960.56</v>
      </c>
      <c r="J109" s="469">
        <f>(VLOOKUP($E109,'15. Emissions'!$B$4:$F$24,5,FALSE)/10)*J13*365/1000000</f>
        <v>-960.56</v>
      </c>
      <c r="K109" s="469">
        <f>(VLOOKUP($E109,'15. Emissions'!$B$4:$F$24,5,FALSE)/10)*K13*365/1000000</f>
        <v>-960.56</v>
      </c>
      <c r="L109" s="469">
        <f>(VLOOKUP($E109,'15. Emissions'!$B$4:$F$24,5,FALSE)/10)*L13*365/1000000</f>
        <v>-960.56</v>
      </c>
      <c r="M109" s="469">
        <f>(VLOOKUP($E109,'15. Emissions'!$B$4:$F$24,5,FALSE)/10)*M13*365/1000000</f>
        <v>-960.56</v>
      </c>
      <c r="N109" s="469">
        <f>(VLOOKUP($E109,'15. Emissions'!$B$4:$F$24,5,FALSE)/10)*N13*365/1000000</f>
        <v>-960.56</v>
      </c>
      <c r="O109" s="469">
        <f>(VLOOKUP($E109,'15. Emissions'!$B$4:$F$24,5,FALSE)/10)*O13*365/1000000</f>
        <v>-960.56</v>
      </c>
      <c r="P109" s="469">
        <f>(VLOOKUP($E109,'15. Emissions'!$B$4:$F$24,5,FALSE)/10)*P13*365/1000000</f>
        <v>-960.56</v>
      </c>
      <c r="Q109" s="469">
        <f>(VLOOKUP($E109,'15. Emissions'!$B$4:$F$24,5,FALSE)/10)*Q13*365/1000000</f>
        <v>-960.56</v>
      </c>
      <c r="R109" s="469">
        <f>(VLOOKUP($E109,'15. Emissions'!$B$4:$F$24,5,FALSE)/10)*R13*365/1000000</f>
        <v>-960.56</v>
      </c>
      <c r="S109" s="469">
        <f>(VLOOKUP($E109,'15. Emissions'!$B$4:$F$24,5,FALSE)/10)*S13*365/1000000</f>
        <v>-960.56</v>
      </c>
      <c r="T109" s="469">
        <f>(VLOOKUP($E109,'15. Emissions'!$B$4:$F$24,5,FALSE)/10)*T13*365/1000000</f>
        <v>-960.56</v>
      </c>
      <c r="U109" s="469">
        <f>(VLOOKUP($E109,'15. Emissions'!$B$4:$F$24,5,FALSE)/10)*U13*365/1000000</f>
        <v>-960.56</v>
      </c>
      <c r="V109" s="469">
        <f>(VLOOKUP($E109,'15. Emissions'!$B$4:$F$24,5,FALSE)/10)*V13*365/1000000</f>
        <v>-960.56</v>
      </c>
      <c r="W109" s="469">
        <f>(VLOOKUP($E109,'15. Emissions'!$B$4:$F$24,5,FALSE)/10)*W13*365/1000000</f>
        <v>-960.56</v>
      </c>
      <c r="X109" s="469">
        <f>(VLOOKUP($E109,'15. Emissions'!$B$4:$F$24,5,FALSE)/10)*X13*365/1000000</f>
        <v>-960.56</v>
      </c>
      <c r="Y109" s="469">
        <f>(VLOOKUP($E109,'15. Emissions'!$B$4:$F$24,5,FALSE)/10)*Y13*365/1000000</f>
        <v>-960.56</v>
      </c>
      <c r="Z109" s="469">
        <f>(VLOOKUP($E109,'15. Emissions'!$B$4:$F$24,5,FALSE)/10)*Z13*365/1000000</f>
        <v>-960.56</v>
      </c>
      <c r="AA109" s="469">
        <f>(VLOOKUP($E109,'15. Emissions'!$B$4:$F$24,5,FALSE)/10)*AA13*365/1000000</f>
        <v>-960.56</v>
      </c>
      <c r="AB109" s="469">
        <f>(VLOOKUP($E109,'15. Emissions'!$B$4:$F$24,5,FALSE)/10)*AB13*365/1000000</f>
        <v>-960.56</v>
      </c>
      <c r="AC109" s="469">
        <f>(VLOOKUP($E109,'15. Emissions'!$B$4:$F$24,5,FALSE)/10)*AC13*365/1000000</f>
        <v>-960.56</v>
      </c>
      <c r="AD109" s="469">
        <f>(VLOOKUP($E109,'15. Emissions'!$B$4:$F$24,5,FALSE)/10)*AD13*365/1000000</f>
        <v>-960.56</v>
      </c>
      <c r="AE109" s="469">
        <f>(VLOOKUP($E109,'15. Emissions'!$B$4:$F$24,5,FALSE)/10)*AE13*365/1000000</f>
        <v>-960.56</v>
      </c>
      <c r="AF109" s="469">
        <f>(VLOOKUP($E109,'15. Emissions'!$B$4:$F$24,5,FALSE)/10)*AF13*365/1000000</f>
        <v>-960.56</v>
      </c>
      <c r="AG109" s="469">
        <f>(VLOOKUP($E109,'15. Emissions'!$B$4:$F$24,5,FALSE)/10)*AG13*365/1000000</f>
        <v>-960.56</v>
      </c>
      <c r="AH109" s="469">
        <f>(VLOOKUP($E109,'15. Emissions'!$B$4:$F$24,5,FALSE)/10)*AH13*365/1000000</f>
        <v>-960.56</v>
      </c>
      <c r="AI109" s="469">
        <f>(VLOOKUP($E109,'15. Emissions'!$B$4:$F$24,5,FALSE)/10)*AI13*365/1000000</f>
        <v>-960.56</v>
      </c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</row>
    <row r="110" spans="1:51" x14ac:dyDescent="0.25">
      <c r="A110" s="1"/>
      <c r="B110" s="1"/>
      <c r="C110" s="1"/>
      <c r="D110" s="1"/>
      <c r="E110" s="139" t="s">
        <v>760</v>
      </c>
      <c r="F110" s="1" t="s">
        <v>393</v>
      </c>
      <c r="G110" s="469">
        <f>(VLOOKUP($E110,'15. Emissions'!$B$4:$F$24,5,FALSE)/10)*G34*365/1000000</f>
        <v>0</v>
      </c>
      <c r="H110" s="469">
        <f>(VLOOKUP($E110,'15. Emissions'!$B$4:$F$24,5,FALSE)/10)*H34*365/1000000</f>
        <v>0</v>
      </c>
      <c r="I110" s="469">
        <f>(VLOOKUP($E110,'15. Emissions'!$B$4:$F$24,5,FALSE)/10)*I34*365/1000000</f>
        <v>0</v>
      </c>
      <c r="J110" s="469">
        <f>(VLOOKUP($E110,'15. Emissions'!$B$4:$F$24,5,FALSE)/10)*J34*365/1000000</f>
        <v>-945.5231321028167</v>
      </c>
      <c r="K110" s="469">
        <f>(VLOOKUP($E110,'15. Emissions'!$B$4:$F$24,5,FALSE)/10)*K34*365/1000000</f>
        <v>-945.5231321028167</v>
      </c>
      <c r="L110" s="469">
        <f>(VLOOKUP($E110,'15. Emissions'!$B$4:$F$24,5,FALSE)/10)*L34*365/1000000</f>
        <v>-945.5231321028167</v>
      </c>
      <c r="M110" s="469">
        <f>(VLOOKUP($E110,'15. Emissions'!$B$4:$F$24,5,FALSE)/10)*M34*365/1000000</f>
        <v>-945.5231321028167</v>
      </c>
      <c r="N110" s="469">
        <f>(VLOOKUP($E110,'15. Emissions'!$B$4:$F$24,5,FALSE)/10)*N34*365/1000000</f>
        <v>-945.5231321028167</v>
      </c>
      <c r="O110" s="469">
        <f>(VLOOKUP($E110,'15. Emissions'!$B$4:$F$24,5,FALSE)/10)*O34*365/1000000</f>
        <v>-945.5231321028167</v>
      </c>
      <c r="P110" s="469">
        <f>(VLOOKUP($E110,'15. Emissions'!$B$4:$F$24,5,FALSE)/10)*P34*365/1000000</f>
        <v>-945.5231321028167</v>
      </c>
      <c r="Q110" s="469">
        <f>(VLOOKUP($E110,'15. Emissions'!$B$4:$F$24,5,FALSE)/10)*Q34*365/1000000</f>
        <v>-945.5231321028167</v>
      </c>
      <c r="R110" s="469">
        <f>(VLOOKUP($E110,'15. Emissions'!$B$4:$F$24,5,FALSE)/10)*R34*365/1000000</f>
        <v>-945.5231321028167</v>
      </c>
      <c r="S110" s="469">
        <f>(VLOOKUP($E110,'15. Emissions'!$B$4:$F$24,5,FALSE)/10)*S34*365/1000000</f>
        <v>-945.5231321028167</v>
      </c>
      <c r="T110" s="469">
        <f>(VLOOKUP($E110,'15. Emissions'!$B$4:$F$24,5,FALSE)/10)*T34*365/1000000</f>
        <v>-945.5231321028167</v>
      </c>
      <c r="U110" s="469">
        <f>(VLOOKUP($E110,'15. Emissions'!$B$4:$F$24,5,FALSE)/10)*U34*365/1000000</f>
        <v>-945.5231321028167</v>
      </c>
      <c r="V110" s="469">
        <f>(VLOOKUP($E110,'15. Emissions'!$B$4:$F$24,5,FALSE)/10)*V34*365/1000000</f>
        <v>-945.5231321028167</v>
      </c>
      <c r="W110" s="469">
        <f>(VLOOKUP($E110,'15. Emissions'!$B$4:$F$24,5,FALSE)/10)*W34*365/1000000</f>
        <v>-945.5231321028167</v>
      </c>
      <c r="X110" s="469">
        <f>(VLOOKUP($E110,'15. Emissions'!$B$4:$F$24,5,FALSE)/10)*X34*365/1000000</f>
        <v>-945.5231321028167</v>
      </c>
      <c r="Y110" s="469">
        <f>(VLOOKUP($E110,'15. Emissions'!$B$4:$F$24,5,FALSE)/10)*Y34*365/1000000</f>
        <v>-945.5231321028167</v>
      </c>
      <c r="Z110" s="469">
        <f>(VLOOKUP($E110,'15. Emissions'!$B$4:$F$24,5,FALSE)/10)*Z34*365/1000000</f>
        <v>-945.5231321028167</v>
      </c>
      <c r="AA110" s="469">
        <f>(VLOOKUP($E110,'15. Emissions'!$B$4:$F$24,5,FALSE)/10)*AA34*365/1000000</f>
        <v>-945.5231321028167</v>
      </c>
      <c r="AB110" s="469">
        <f>(VLOOKUP($E110,'15. Emissions'!$B$4:$F$24,5,FALSE)/10)*AB34*365/1000000</f>
        <v>-945.5231321028167</v>
      </c>
      <c r="AC110" s="469">
        <f>(VLOOKUP($E110,'15. Emissions'!$B$4:$F$24,5,FALSE)/10)*AC34*365/1000000</f>
        <v>-945.5231321028167</v>
      </c>
      <c r="AD110" s="469">
        <f>(VLOOKUP($E110,'15. Emissions'!$B$4:$F$24,5,FALSE)/10)*AD34*365/1000000</f>
        <v>-945.5231321028167</v>
      </c>
      <c r="AE110" s="469">
        <f>(VLOOKUP($E110,'15. Emissions'!$B$4:$F$24,5,FALSE)/10)*AE34*365/1000000</f>
        <v>-945.5231321028167</v>
      </c>
      <c r="AF110" s="469">
        <f>(VLOOKUP($E110,'15. Emissions'!$B$4:$F$24,5,FALSE)/10)*AF34*365/1000000</f>
        <v>-945.5231321028167</v>
      </c>
      <c r="AG110" s="469">
        <f>(VLOOKUP($E110,'15. Emissions'!$B$4:$F$24,5,FALSE)/10)*AG34*365/1000000</f>
        <v>-945.5231321028167</v>
      </c>
      <c r="AH110" s="469">
        <f>(VLOOKUP($E110,'15. Emissions'!$B$4:$F$24,5,FALSE)/10)*AH34*365/1000000</f>
        <v>-945.5231321028167</v>
      </c>
      <c r="AI110" s="469">
        <f>(VLOOKUP($E110,'15. Emissions'!$B$4:$F$24,5,FALSE)/10)*AI34*365/1000000</f>
        <v>-945.5231321028167</v>
      </c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</row>
    <row r="111" spans="1:51" x14ac:dyDescent="0.25">
      <c r="A111" s="1"/>
      <c r="B111" s="1"/>
      <c r="C111" s="1"/>
      <c r="D111" s="1"/>
      <c r="E111" s="139" t="s">
        <v>771</v>
      </c>
      <c r="F111" s="1" t="s">
        <v>393</v>
      </c>
      <c r="G111" s="469">
        <f>(VLOOKUP($E111,'15. Emissions'!$B$4:$F$24,5,FALSE)/10)*G35*365/1000000</f>
        <v>0</v>
      </c>
      <c r="H111" s="469">
        <f>(VLOOKUP($E111,'15. Emissions'!$B$4:$F$24,5,FALSE)/10)*H35*365/1000000</f>
        <v>0</v>
      </c>
      <c r="I111" s="469">
        <f>(VLOOKUP($E111,'15. Emissions'!$B$4:$F$24,5,FALSE)/10)*I35*365/1000000</f>
        <v>0</v>
      </c>
      <c r="J111" s="469">
        <f>(VLOOKUP($E111,'15. Emissions'!$B$4:$F$24,5,FALSE)/10)*J35*365/1000000</f>
        <v>0</v>
      </c>
      <c r="K111" s="469">
        <f>(VLOOKUP($E111,'15. Emissions'!$B$4:$F$24,5,FALSE)/10)*K35*365/1000000</f>
        <v>0</v>
      </c>
      <c r="L111" s="469">
        <f>(VLOOKUP($E111,'15. Emissions'!$B$4:$F$24,5,FALSE)/10)*L35*365/1000000</f>
        <v>0</v>
      </c>
      <c r="M111" s="469">
        <f>(VLOOKUP($E111,'15. Emissions'!$B$4:$F$24,5,FALSE)/10)*M35*365/1000000</f>
        <v>0</v>
      </c>
      <c r="N111" s="469">
        <f>(VLOOKUP($E111,'15. Emissions'!$B$4:$F$24,5,FALSE)/10)*N35*365/1000000</f>
        <v>0</v>
      </c>
      <c r="O111" s="469">
        <f>(VLOOKUP($E111,'15. Emissions'!$B$4:$F$24,5,FALSE)/10)*O35*365/1000000</f>
        <v>6495.7272718055874</v>
      </c>
      <c r="P111" s="469">
        <f>(VLOOKUP($E111,'15. Emissions'!$B$4:$F$24,5,FALSE)/10)*P35*365/1000000</f>
        <v>6495.7272718055874</v>
      </c>
      <c r="Q111" s="469">
        <f>(VLOOKUP($E111,'15. Emissions'!$B$4:$F$24,5,FALSE)/10)*Q35*365/1000000</f>
        <v>6495.7272718055874</v>
      </c>
      <c r="R111" s="469">
        <f>(VLOOKUP($E111,'15. Emissions'!$B$4:$F$24,5,FALSE)/10)*R35*365/1000000</f>
        <v>6495.7272718055874</v>
      </c>
      <c r="S111" s="469">
        <f>(VLOOKUP($E111,'15. Emissions'!$B$4:$F$24,5,FALSE)/10)*S35*365/1000000</f>
        <v>6495.7272718055874</v>
      </c>
      <c r="T111" s="469">
        <f>(VLOOKUP($E111,'15. Emissions'!$B$4:$F$24,5,FALSE)/10)*T35*365/1000000</f>
        <v>6495.7272718055874</v>
      </c>
      <c r="U111" s="469">
        <f>(VLOOKUP($E111,'15. Emissions'!$B$4:$F$24,5,FALSE)/10)*U35*365/1000000</f>
        <v>6495.7272718055874</v>
      </c>
      <c r="V111" s="469">
        <f>(VLOOKUP($E111,'15. Emissions'!$B$4:$F$24,5,FALSE)/10)*V35*365/1000000</f>
        <v>6495.7272718055874</v>
      </c>
      <c r="W111" s="469">
        <f>(VLOOKUP($E111,'15. Emissions'!$B$4:$F$24,5,FALSE)/10)*W35*365/1000000</f>
        <v>6495.7272718055874</v>
      </c>
      <c r="X111" s="469">
        <f>(VLOOKUP($E111,'15. Emissions'!$B$4:$F$24,5,FALSE)/10)*X35*365/1000000</f>
        <v>6495.7272718055874</v>
      </c>
      <c r="Y111" s="469">
        <f>(VLOOKUP($E111,'15. Emissions'!$B$4:$F$24,5,FALSE)/10)*Y35*365/1000000</f>
        <v>6495.7272718055874</v>
      </c>
      <c r="Z111" s="469">
        <f>(VLOOKUP($E111,'15. Emissions'!$B$4:$F$24,5,FALSE)/10)*Z35*365/1000000</f>
        <v>6495.7272718055874</v>
      </c>
      <c r="AA111" s="469">
        <f>(VLOOKUP($E111,'15. Emissions'!$B$4:$F$24,5,FALSE)/10)*AA35*365/1000000</f>
        <v>6495.7272718055874</v>
      </c>
      <c r="AB111" s="469">
        <f>(VLOOKUP($E111,'15. Emissions'!$B$4:$F$24,5,FALSE)/10)*AB35*365/1000000</f>
        <v>6495.7272718055874</v>
      </c>
      <c r="AC111" s="469">
        <f>(VLOOKUP($E111,'15. Emissions'!$B$4:$F$24,5,FALSE)/10)*AC35*365/1000000</f>
        <v>6495.7272718055874</v>
      </c>
      <c r="AD111" s="469">
        <f>(VLOOKUP($E111,'15. Emissions'!$B$4:$F$24,5,FALSE)/10)*AD35*365/1000000</f>
        <v>6495.7272718055874</v>
      </c>
      <c r="AE111" s="469">
        <f>(VLOOKUP($E111,'15. Emissions'!$B$4:$F$24,5,FALSE)/10)*AE35*365/1000000</f>
        <v>6495.7272718055874</v>
      </c>
      <c r="AF111" s="469">
        <f>(VLOOKUP($E111,'15. Emissions'!$B$4:$F$24,5,FALSE)/10)*AF35*365/1000000</f>
        <v>6495.7272718055874</v>
      </c>
      <c r="AG111" s="469">
        <f>(VLOOKUP($E111,'15. Emissions'!$B$4:$F$24,5,FALSE)/10)*AG35*365/1000000</f>
        <v>6495.7272718055874</v>
      </c>
      <c r="AH111" s="469">
        <f>(VLOOKUP($E111,'15. Emissions'!$B$4:$F$24,5,FALSE)/10)*AH35*365/1000000</f>
        <v>6495.7272718055874</v>
      </c>
      <c r="AI111" s="469">
        <f>(VLOOKUP($E111,'15. Emissions'!$B$4:$F$24,5,FALSE)/10)*AI35*365/1000000</f>
        <v>6495.7272718055874</v>
      </c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</row>
    <row r="112" spans="1:51" x14ac:dyDescent="0.25">
      <c r="A112" s="1"/>
      <c r="B112" s="1"/>
      <c r="C112" s="1"/>
      <c r="D112" s="1"/>
      <c r="E112" s="115" t="s">
        <v>373</v>
      </c>
      <c r="F112" s="1" t="s">
        <v>393</v>
      </c>
      <c r="G112" s="469">
        <f>(VLOOKUP($E112,'15. Emissions'!$B$4:$F$24,5,FALSE)/10)*G36*365/1000000</f>
        <v>0</v>
      </c>
      <c r="H112" s="469">
        <f>(VLOOKUP($E112,'15. Emissions'!$B$4:$F$24,5,FALSE)/10)*H36*365/1000000</f>
        <v>0</v>
      </c>
      <c r="I112" s="469">
        <f>(VLOOKUP($E112,'15. Emissions'!$B$4:$F$24,5,FALSE)/10)*I36*365/1000000</f>
        <v>0</v>
      </c>
      <c r="J112" s="469">
        <f>(VLOOKUP($E112,'15. Emissions'!$B$4:$F$24,5,FALSE)/10)*J36*365/1000000</f>
        <v>0</v>
      </c>
      <c r="K112" s="469">
        <f>(VLOOKUP($E112,'15. Emissions'!$B$4:$F$24,5,FALSE)/10)*K36*365/1000000</f>
        <v>0</v>
      </c>
      <c r="L112" s="469">
        <f>(VLOOKUP($E112,'15. Emissions'!$B$4:$F$24,5,FALSE)/10)*L36*365/1000000</f>
        <v>0</v>
      </c>
      <c r="M112" s="469">
        <f>(VLOOKUP($E112,'15. Emissions'!$B$4:$F$24,5,FALSE)/10)*M36*365/1000000</f>
        <v>0</v>
      </c>
      <c r="N112" s="469">
        <f>(VLOOKUP($E112,'15. Emissions'!$B$4:$F$24,5,FALSE)/10)*N36*365/1000000</f>
        <v>0</v>
      </c>
      <c r="O112" s="469">
        <f>(VLOOKUP($E112,'15. Emissions'!$B$4:$F$24,5,FALSE)/10)*O36*365/1000000</f>
        <v>0</v>
      </c>
      <c r="P112" s="469">
        <f>(VLOOKUP($E112,'15. Emissions'!$B$4:$F$24,5,FALSE)/10)*P36*365/1000000</f>
        <v>0</v>
      </c>
      <c r="Q112" s="469">
        <f>(VLOOKUP($E112,'15. Emissions'!$B$4:$F$24,5,FALSE)/10)*Q36*365/1000000</f>
        <v>0</v>
      </c>
      <c r="R112" s="469">
        <f>(VLOOKUP($E112,'15. Emissions'!$B$4:$F$24,5,FALSE)/10)*R36*365/1000000</f>
        <v>0</v>
      </c>
      <c r="S112" s="469">
        <f>(VLOOKUP($E112,'15. Emissions'!$B$4:$F$24,5,FALSE)/10)*S36*365/1000000</f>
        <v>0</v>
      </c>
      <c r="T112" s="469">
        <f>(VLOOKUP($E112,'15. Emissions'!$B$4:$F$24,5,FALSE)/10)*T36*365/1000000</f>
        <v>9047.7996075451665</v>
      </c>
      <c r="U112" s="469">
        <f>(VLOOKUP($E112,'15. Emissions'!$B$4:$F$24,5,FALSE)/10)*U36*365/1000000</f>
        <v>8837.0339871056531</v>
      </c>
      <c r="V112" s="469">
        <f>(VLOOKUP($E112,'15. Emissions'!$B$4:$F$24,5,FALSE)/10)*V36*365/1000000</f>
        <v>8634.7572647551242</v>
      </c>
      <c r="W112" s="469">
        <f>(VLOOKUP($E112,'15. Emissions'!$B$4:$F$24,5,FALSE)/10)*W36*365/1000000</f>
        <v>8440.6275375275472</v>
      </c>
      <c r="X112" s="469">
        <f>(VLOOKUP($E112,'15. Emissions'!$B$4:$F$24,5,FALSE)/10)*X36*365/1000000</f>
        <v>8254.3166731061519</v>
      </c>
      <c r="Y112" s="469">
        <f>(VLOOKUP($E112,'15. Emissions'!$B$4:$F$24,5,FALSE)/10)*Y36*365/1000000</f>
        <v>8075.5097551900981</v>
      </c>
      <c r="Z112" s="469">
        <f>(VLOOKUP($E112,'15. Emissions'!$B$4:$F$24,5,FALSE)/10)*Z36*365/1000000</f>
        <v>7903.9045511998211</v>
      </c>
      <c r="AA112" s="469">
        <f>(VLOOKUP($E112,'15. Emissions'!$B$4:$F$24,5,FALSE)/10)*AA36*365/1000000</f>
        <v>7739.2110014213413</v>
      </c>
      <c r="AB112" s="469">
        <f>(VLOOKUP($E112,'15. Emissions'!$B$4:$F$24,5,FALSE)/10)*AB36*365/1000000</f>
        <v>7581.1507287260301</v>
      </c>
      <c r="AC112" s="469">
        <f>(VLOOKUP($E112,'15. Emissions'!$B$4:$F$24,5,FALSE)/10)*AC36*365/1000000</f>
        <v>7429.4565680371743</v>
      </c>
      <c r="AD112" s="469">
        <f>(VLOOKUP($E112,'15. Emissions'!$B$4:$F$24,5,FALSE)/10)*AD36*365/1000000</f>
        <v>7283.8721147479182</v>
      </c>
      <c r="AE112" s="469">
        <f>(VLOOKUP($E112,'15. Emissions'!$B$4:$F$24,5,FALSE)/10)*AE36*365/1000000</f>
        <v>7144.1512913274</v>
      </c>
      <c r="AF112" s="469">
        <f>(VLOOKUP($E112,'15. Emissions'!$B$4:$F$24,5,FALSE)/10)*AF36*365/1000000</f>
        <v>7010.0579313824364</v>
      </c>
      <c r="AG112" s="469">
        <f>(VLOOKUP($E112,'15. Emissions'!$B$4:$F$24,5,FALSE)/10)*AG36*365/1000000</f>
        <v>6881.3653804717351</v>
      </c>
      <c r="AH112" s="469">
        <f>(VLOOKUP($E112,'15. Emissions'!$B$4:$F$24,5,FALSE)/10)*AH36*365/1000000</f>
        <v>6757.8561129979325</v>
      </c>
      <c r="AI112" s="469">
        <f>(VLOOKUP($E112,'15. Emissions'!$B$4:$F$24,5,FALSE)/10)*AI36*365/1000000</f>
        <v>6639.3213645298538</v>
      </c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</row>
    <row r="113" spans="1:51" x14ac:dyDescent="0.25">
      <c r="A113" s="1"/>
      <c r="B113" s="1"/>
      <c r="C113" s="1"/>
      <c r="D113" s="1"/>
      <c r="E113" s="139" t="str">
        <f>'8a. RNG'!$P$12</f>
        <v>CDW Exp. 1</v>
      </c>
      <c r="F113" s="1" t="s">
        <v>393</v>
      </c>
      <c r="G113" s="469">
        <f>(VLOOKUP($E113,'15. Emissions'!$B$4:$F$24,5,FALSE)/10)*G37*365/1000000</f>
        <v>0</v>
      </c>
      <c r="H113" s="469">
        <f>(VLOOKUP($E113,'15. Emissions'!$B$4:$F$24,5,FALSE)/10)*H37*365/1000000</f>
        <v>0</v>
      </c>
      <c r="I113" s="469">
        <f>(VLOOKUP($E113,'15. Emissions'!$B$4:$F$24,5,FALSE)/10)*I37*365/1000000</f>
        <v>0</v>
      </c>
      <c r="J113" s="469">
        <f>(VLOOKUP($E113,'15. Emissions'!$B$4:$F$24,5,FALSE)/10)*J37*365/1000000</f>
        <v>0</v>
      </c>
      <c r="K113" s="469">
        <f>(VLOOKUP($E113,'15. Emissions'!$B$4:$F$24,5,FALSE)/10)*K37*365/1000000</f>
        <v>0</v>
      </c>
      <c r="L113" s="469">
        <f>(VLOOKUP($E113,'15. Emissions'!$B$4:$F$24,5,FALSE)/10)*L37*365/1000000</f>
        <v>0</v>
      </c>
      <c r="M113" s="469">
        <f>(VLOOKUP($E113,'15. Emissions'!$B$4:$F$24,5,FALSE)/10)*M37*365/1000000</f>
        <v>0</v>
      </c>
      <c r="N113" s="469">
        <f>(VLOOKUP($E113,'15. Emissions'!$B$4:$F$24,5,FALSE)/10)*N37*365/1000000</f>
        <v>0</v>
      </c>
      <c r="O113" s="469">
        <f>(VLOOKUP($E113,'15. Emissions'!$B$4:$F$24,5,FALSE)/10)*O37*365/1000000</f>
        <v>0</v>
      </c>
      <c r="P113" s="469">
        <f>(VLOOKUP($E113,'15. Emissions'!$B$4:$F$24,5,FALSE)/10)*P37*365/1000000</f>
        <v>0</v>
      </c>
      <c r="Q113" s="469">
        <f>(VLOOKUP($E113,'15. Emissions'!$B$4:$F$24,5,FALSE)/10)*Q37*365/1000000</f>
        <v>0</v>
      </c>
      <c r="R113" s="469">
        <f>(VLOOKUP($E113,'15. Emissions'!$B$4:$F$24,5,FALSE)/10)*R37*365/1000000</f>
        <v>0</v>
      </c>
      <c r="S113" s="469">
        <f>(VLOOKUP($E113,'15. Emissions'!$B$4:$F$24,5,FALSE)/10)*S37*365/1000000</f>
        <v>0</v>
      </c>
      <c r="T113" s="469">
        <f>(VLOOKUP($E113,'15. Emissions'!$B$4:$F$24,5,FALSE)/10)*T37*365/1000000</f>
        <v>0</v>
      </c>
      <c r="U113" s="469">
        <f>(VLOOKUP($E113,'15. Emissions'!$B$4:$F$24,5,FALSE)/10)*U37*365/1000000</f>
        <v>0</v>
      </c>
      <c r="V113" s="469">
        <f>(VLOOKUP($E113,'15. Emissions'!$B$4:$F$24,5,FALSE)/10)*V37*365/1000000</f>
        <v>0</v>
      </c>
      <c r="W113" s="469">
        <f>(VLOOKUP($E113,'15. Emissions'!$B$4:$F$24,5,FALSE)/10)*W37*365/1000000</f>
        <v>0</v>
      </c>
      <c r="X113" s="469">
        <f>(VLOOKUP($E113,'15. Emissions'!$B$4:$F$24,5,FALSE)/10)*X37*365/1000000</f>
        <v>0</v>
      </c>
      <c r="Y113" s="469">
        <f>(VLOOKUP($E113,'15. Emissions'!$B$4:$F$24,5,FALSE)/10)*Y37*365/1000000</f>
        <v>33897.33</v>
      </c>
      <c r="Z113" s="469">
        <f>(VLOOKUP($E113,'15. Emissions'!$B$4:$F$24,5,FALSE)/10)*Z37*365/1000000</f>
        <v>33897.33</v>
      </c>
      <c r="AA113" s="469">
        <f>(VLOOKUP($E113,'15. Emissions'!$B$4:$F$24,5,FALSE)/10)*AA37*365/1000000</f>
        <v>33897.33</v>
      </c>
      <c r="AB113" s="469">
        <f>(VLOOKUP($E113,'15. Emissions'!$B$4:$F$24,5,FALSE)/10)*AB37*365/1000000</f>
        <v>33897.33</v>
      </c>
      <c r="AC113" s="469">
        <f>(VLOOKUP($E113,'15. Emissions'!$B$4:$F$24,5,FALSE)/10)*AC37*365/1000000</f>
        <v>33897.33</v>
      </c>
      <c r="AD113" s="469">
        <f>(VLOOKUP($E113,'15. Emissions'!$B$4:$F$24,5,FALSE)/10)*AD37*365/1000000</f>
        <v>33897.33</v>
      </c>
      <c r="AE113" s="469">
        <f>(VLOOKUP($E113,'15. Emissions'!$B$4:$F$24,5,FALSE)/10)*AE37*365/1000000</f>
        <v>33897.33</v>
      </c>
      <c r="AF113" s="469">
        <f>(VLOOKUP($E113,'15. Emissions'!$B$4:$F$24,5,FALSE)/10)*AF37*365/1000000</f>
        <v>33897.33</v>
      </c>
      <c r="AG113" s="469">
        <f>(VLOOKUP($E113,'15. Emissions'!$B$4:$F$24,5,FALSE)/10)*AG37*365/1000000</f>
        <v>33897.33</v>
      </c>
      <c r="AH113" s="469">
        <f>(VLOOKUP($E113,'15. Emissions'!$B$4:$F$24,5,FALSE)/10)*AH37*365/1000000</f>
        <v>33897.33</v>
      </c>
      <c r="AI113" s="469">
        <f>(VLOOKUP($E113,'15. Emissions'!$B$4:$F$24,5,FALSE)/10)*AI37*365/1000000</f>
        <v>33897.33</v>
      </c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</row>
    <row r="114" spans="1:51" x14ac:dyDescent="0.25">
      <c r="A114" s="1"/>
      <c r="B114" s="1"/>
      <c r="C114" s="1"/>
      <c r="D114" s="1"/>
      <c r="E114" s="139" t="str">
        <f>'8a. RNG'!$Q$12</f>
        <v>CDW Exp. 2</v>
      </c>
      <c r="F114" s="1" t="s">
        <v>393</v>
      </c>
      <c r="G114" s="469">
        <f>(VLOOKUP($E114,'15. Emissions'!$B$4:$F$24,5,FALSE)/10)*G38*365/1000000</f>
        <v>0</v>
      </c>
      <c r="H114" s="469">
        <f>(VLOOKUP($E114,'15. Emissions'!$B$4:$F$24,5,FALSE)/10)*H38*365/1000000</f>
        <v>0</v>
      </c>
      <c r="I114" s="469">
        <f>(VLOOKUP($E114,'15. Emissions'!$B$4:$F$24,5,FALSE)/10)*I38*365/1000000</f>
        <v>0</v>
      </c>
      <c r="J114" s="469">
        <f>(VLOOKUP($E114,'15. Emissions'!$B$4:$F$24,5,FALSE)/10)*J38*365/1000000</f>
        <v>0</v>
      </c>
      <c r="K114" s="469">
        <f>(VLOOKUP($E114,'15. Emissions'!$B$4:$F$24,5,FALSE)/10)*K38*365/1000000</f>
        <v>0</v>
      </c>
      <c r="L114" s="469">
        <f>(VLOOKUP($E114,'15. Emissions'!$B$4:$F$24,5,FALSE)/10)*L38*365/1000000</f>
        <v>0</v>
      </c>
      <c r="M114" s="469">
        <f>(VLOOKUP($E114,'15. Emissions'!$B$4:$F$24,5,FALSE)/10)*M38*365/1000000</f>
        <v>0</v>
      </c>
      <c r="N114" s="469">
        <f>(VLOOKUP($E114,'15. Emissions'!$B$4:$F$24,5,FALSE)/10)*N38*365/1000000</f>
        <v>0</v>
      </c>
      <c r="O114" s="469">
        <f>(VLOOKUP($E114,'15. Emissions'!$B$4:$F$24,5,FALSE)/10)*O38*365/1000000</f>
        <v>0</v>
      </c>
      <c r="P114" s="469">
        <f>(VLOOKUP($E114,'15. Emissions'!$B$4:$F$24,5,FALSE)/10)*P38*365/1000000</f>
        <v>0</v>
      </c>
      <c r="Q114" s="469">
        <f>(VLOOKUP($E114,'15. Emissions'!$B$4:$F$24,5,FALSE)/10)*Q38*365/1000000</f>
        <v>0</v>
      </c>
      <c r="R114" s="469">
        <f>(VLOOKUP($E114,'15. Emissions'!$B$4:$F$24,5,FALSE)/10)*R38*365/1000000</f>
        <v>0</v>
      </c>
      <c r="S114" s="469">
        <f>(VLOOKUP($E114,'15. Emissions'!$B$4:$F$24,5,FALSE)/10)*S38*365/1000000</f>
        <v>0</v>
      </c>
      <c r="T114" s="469">
        <f>(VLOOKUP($E114,'15. Emissions'!$B$4:$F$24,5,FALSE)/10)*T38*365/1000000</f>
        <v>0</v>
      </c>
      <c r="U114" s="469">
        <f>(VLOOKUP($E114,'15. Emissions'!$B$4:$F$24,5,FALSE)/10)*U38*365/1000000</f>
        <v>0</v>
      </c>
      <c r="V114" s="469">
        <f>(VLOOKUP($E114,'15. Emissions'!$B$4:$F$24,5,FALSE)/10)*V38*365/1000000</f>
        <v>0</v>
      </c>
      <c r="W114" s="469">
        <f>(VLOOKUP($E114,'15. Emissions'!$B$4:$F$24,5,FALSE)/10)*W38*365/1000000</f>
        <v>0</v>
      </c>
      <c r="X114" s="469">
        <f>(VLOOKUP($E114,'15. Emissions'!$B$4:$F$24,5,FALSE)/10)*X38*365/1000000</f>
        <v>0</v>
      </c>
      <c r="Y114" s="469">
        <f>(VLOOKUP($E114,'15. Emissions'!$B$4:$F$24,5,FALSE)/10)*Y38*365/1000000</f>
        <v>0</v>
      </c>
      <c r="Z114" s="469">
        <f>(VLOOKUP($E114,'15. Emissions'!$B$4:$F$24,5,FALSE)/10)*Z38*365/1000000</f>
        <v>0</v>
      </c>
      <c r="AA114" s="469">
        <f>(VLOOKUP($E114,'15. Emissions'!$B$4:$F$24,5,FALSE)/10)*AA38*365/1000000</f>
        <v>0</v>
      </c>
      <c r="AB114" s="469">
        <f>(VLOOKUP($E114,'15. Emissions'!$B$4:$F$24,5,FALSE)/10)*AB38*365/1000000</f>
        <v>0</v>
      </c>
      <c r="AC114" s="469">
        <f>(VLOOKUP($E114,'15. Emissions'!$B$4:$F$24,5,FALSE)/10)*AC38*365/1000000</f>
        <v>0</v>
      </c>
      <c r="AD114" s="469">
        <f>(VLOOKUP($E114,'15. Emissions'!$B$4:$F$24,5,FALSE)/10)*AD38*365/1000000</f>
        <v>0</v>
      </c>
      <c r="AE114" s="469">
        <f>(VLOOKUP($E114,'15. Emissions'!$B$4:$F$24,5,FALSE)/10)*AE38*365/1000000</f>
        <v>0</v>
      </c>
      <c r="AF114" s="469">
        <f>(VLOOKUP($E114,'15. Emissions'!$B$4:$F$24,5,FALSE)/10)*AF38*365/1000000</f>
        <v>0</v>
      </c>
      <c r="AG114" s="469">
        <f>(VLOOKUP($E114,'15. Emissions'!$B$4:$F$24,5,FALSE)/10)*AG38*365/1000000</f>
        <v>0</v>
      </c>
      <c r="AH114" s="469">
        <f>(VLOOKUP($E114,'15. Emissions'!$B$4:$F$24,5,FALSE)/10)*AH38*365/1000000</f>
        <v>0</v>
      </c>
      <c r="AI114" s="469">
        <f>(VLOOKUP($E114,'15. Emissions'!$B$4:$F$24,5,FALSE)/10)*AI38*365/1000000</f>
        <v>0</v>
      </c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</row>
    <row r="115" spans="1:51" x14ac:dyDescent="0.25">
      <c r="A115" s="1"/>
      <c r="B115" s="1"/>
      <c r="C115" s="1"/>
      <c r="D115" s="1"/>
      <c r="E115" s="139" t="str">
        <f>'8a. RNG'!$R$12</f>
        <v>CDW Exp. 3</v>
      </c>
      <c r="F115" s="1" t="s">
        <v>393</v>
      </c>
      <c r="G115" s="469">
        <f>(VLOOKUP($E115,'15. Emissions'!$B$4:$F$24,5,FALSE)/10)*G39*365/1000000</f>
        <v>0</v>
      </c>
      <c r="H115" s="469">
        <f>(VLOOKUP($E115,'15. Emissions'!$B$4:$F$24,5,FALSE)/10)*H39*365/1000000</f>
        <v>0</v>
      </c>
      <c r="I115" s="469">
        <f>(VLOOKUP($E115,'15. Emissions'!$B$4:$F$24,5,FALSE)/10)*I39*365/1000000</f>
        <v>0</v>
      </c>
      <c r="J115" s="469">
        <f>(VLOOKUP($E115,'15. Emissions'!$B$4:$F$24,5,FALSE)/10)*J39*365/1000000</f>
        <v>0</v>
      </c>
      <c r="K115" s="469">
        <f>(VLOOKUP($E115,'15. Emissions'!$B$4:$F$24,5,FALSE)/10)*K39*365/1000000</f>
        <v>0</v>
      </c>
      <c r="L115" s="469">
        <f>(VLOOKUP($E115,'15. Emissions'!$B$4:$F$24,5,FALSE)/10)*L39*365/1000000</f>
        <v>0</v>
      </c>
      <c r="M115" s="469">
        <f>(VLOOKUP($E115,'15. Emissions'!$B$4:$F$24,5,FALSE)/10)*M39*365/1000000</f>
        <v>0</v>
      </c>
      <c r="N115" s="469">
        <f>(VLOOKUP($E115,'15. Emissions'!$B$4:$F$24,5,FALSE)/10)*N39*365/1000000</f>
        <v>0</v>
      </c>
      <c r="O115" s="469">
        <f>(VLOOKUP($E115,'15. Emissions'!$B$4:$F$24,5,FALSE)/10)*O39*365/1000000</f>
        <v>0</v>
      </c>
      <c r="P115" s="469">
        <f>(VLOOKUP($E115,'15. Emissions'!$B$4:$F$24,5,FALSE)/10)*P39*365/1000000</f>
        <v>0</v>
      </c>
      <c r="Q115" s="469">
        <f>(VLOOKUP($E115,'15. Emissions'!$B$4:$F$24,5,FALSE)/10)*Q39*365/1000000</f>
        <v>0</v>
      </c>
      <c r="R115" s="469">
        <f>(VLOOKUP($E115,'15. Emissions'!$B$4:$F$24,5,FALSE)/10)*R39*365/1000000</f>
        <v>0</v>
      </c>
      <c r="S115" s="469">
        <f>(VLOOKUP($E115,'15. Emissions'!$B$4:$F$24,5,FALSE)/10)*S39*365/1000000</f>
        <v>0</v>
      </c>
      <c r="T115" s="469">
        <f>(VLOOKUP($E115,'15. Emissions'!$B$4:$F$24,5,FALSE)/10)*T39*365/1000000</f>
        <v>0</v>
      </c>
      <c r="U115" s="469">
        <f>(VLOOKUP($E115,'15. Emissions'!$B$4:$F$24,5,FALSE)/10)*U39*365/1000000</f>
        <v>0</v>
      </c>
      <c r="V115" s="469">
        <f>(VLOOKUP($E115,'15. Emissions'!$B$4:$F$24,5,FALSE)/10)*V39*365/1000000</f>
        <v>0</v>
      </c>
      <c r="W115" s="469">
        <f>(VLOOKUP($E115,'15. Emissions'!$B$4:$F$24,5,FALSE)/10)*W39*365/1000000</f>
        <v>0</v>
      </c>
      <c r="X115" s="469">
        <f>(VLOOKUP($E115,'15. Emissions'!$B$4:$F$24,5,FALSE)/10)*X39*365/1000000</f>
        <v>0</v>
      </c>
      <c r="Y115" s="469">
        <f>(VLOOKUP($E115,'15. Emissions'!$B$4:$F$24,5,FALSE)/10)*Y39*365/1000000</f>
        <v>0</v>
      </c>
      <c r="Z115" s="469">
        <f>(VLOOKUP($E115,'15. Emissions'!$B$4:$F$24,5,FALSE)/10)*Z39*365/1000000</f>
        <v>0</v>
      </c>
      <c r="AA115" s="469">
        <f>(VLOOKUP($E115,'15. Emissions'!$B$4:$F$24,5,FALSE)/10)*AA39*365/1000000</f>
        <v>0</v>
      </c>
      <c r="AB115" s="469">
        <f>(VLOOKUP($E115,'15. Emissions'!$B$4:$F$24,5,FALSE)/10)*AB39*365/1000000</f>
        <v>0</v>
      </c>
      <c r="AC115" s="469">
        <f>(VLOOKUP($E115,'15. Emissions'!$B$4:$F$24,5,FALSE)/10)*AC39*365/1000000</f>
        <v>0</v>
      </c>
      <c r="AD115" s="469">
        <f>(VLOOKUP($E115,'15. Emissions'!$B$4:$F$24,5,FALSE)/10)*AD39*365/1000000</f>
        <v>0</v>
      </c>
      <c r="AE115" s="469">
        <f>(VLOOKUP($E115,'15. Emissions'!$B$4:$F$24,5,FALSE)/10)*AE39*365/1000000</f>
        <v>0</v>
      </c>
      <c r="AF115" s="469">
        <f>(VLOOKUP($E115,'15. Emissions'!$B$4:$F$24,5,FALSE)/10)*AF39*365/1000000</f>
        <v>0</v>
      </c>
      <c r="AG115" s="469">
        <f>(VLOOKUP($E115,'15. Emissions'!$B$4:$F$24,5,FALSE)/10)*AG39*365/1000000</f>
        <v>0</v>
      </c>
      <c r="AH115" s="469">
        <f>(VLOOKUP($E115,'15. Emissions'!$B$4:$F$24,5,FALSE)/10)*AH39*365/1000000</f>
        <v>0</v>
      </c>
      <c r="AI115" s="469">
        <f>(VLOOKUP($E115,'15. Emissions'!$B$4:$F$24,5,FALSE)/10)*AI39*365/1000000</f>
        <v>0</v>
      </c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</row>
    <row r="116" spans="1:51" x14ac:dyDescent="0.25">
      <c r="A116" s="1"/>
      <c r="B116" s="1"/>
      <c r="C116" s="1"/>
      <c r="D116" s="1"/>
      <c r="E116" s="139" t="str">
        <f>'8a. RNG'!$S$12</f>
        <v>CDW Exp. 4</v>
      </c>
      <c r="F116" s="1" t="s">
        <v>393</v>
      </c>
      <c r="G116" s="469">
        <f>(VLOOKUP($E116,'15. Emissions'!$B$4:$F$24,5,FALSE)/10)*G40*365/1000000</f>
        <v>0</v>
      </c>
      <c r="H116" s="469">
        <f>(VLOOKUP($E116,'15. Emissions'!$B$4:$F$24,5,FALSE)/10)*H40*365/1000000</f>
        <v>0</v>
      </c>
      <c r="I116" s="469">
        <f>(VLOOKUP($E116,'15. Emissions'!$B$4:$F$24,5,FALSE)/10)*I40*365/1000000</f>
        <v>0</v>
      </c>
      <c r="J116" s="469">
        <f>(VLOOKUP($E116,'15. Emissions'!$B$4:$F$24,5,FALSE)/10)*J40*365/1000000</f>
        <v>0</v>
      </c>
      <c r="K116" s="469">
        <f>(VLOOKUP($E116,'15. Emissions'!$B$4:$F$24,5,FALSE)/10)*K40*365/1000000</f>
        <v>0</v>
      </c>
      <c r="L116" s="469">
        <f>(VLOOKUP($E116,'15. Emissions'!$B$4:$F$24,5,FALSE)/10)*L40*365/1000000</f>
        <v>0</v>
      </c>
      <c r="M116" s="469">
        <f>(VLOOKUP($E116,'15. Emissions'!$B$4:$F$24,5,FALSE)/10)*M40*365/1000000</f>
        <v>0</v>
      </c>
      <c r="N116" s="469">
        <f>(VLOOKUP($E116,'15. Emissions'!$B$4:$F$24,5,FALSE)/10)*N40*365/1000000</f>
        <v>0</v>
      </c>
      <c r="O116" s="469">
        <f>(VLOOKUP($E116,'15. Emissions'!$B$4:$F$24,5,FALSE)/10)*O40*365/1000000</f>
        <v>0</v>
      </c>
      <c r="P116" s="469">
        <f>(VLOOKUP($E116,'15. Emissions'!$B$4:$F$24,5,FALSE)/10)*P40*365/1000000</f>
        <v>0</v>
      </c>
      <c r="Q116" s="469">
        <f>(VLOOKUP($E116,'15. Emissions'!$B$4:$F$24,5,FALSE)/10)*Q40*365/1000000</f>
        <v>0</v>
      </c>
      <c r="R116" s="469">
        <f>(VLOOKUP($E116,'15. Emissions'!$B$4:$F$24,5,FALSE)/10)*R40*365/1000000</f>
        <v>0</v>
      </c>
      <c r="S116" s="469">
        <f>(VLOOKUP($E116,'15. Emissions'!$B$4:$F$24,5,FALSE)/10)*S40*365/1000000</f>
        <v>0</v>
      </c>
      <c r="T116" s="469">
        <f>(VLOOKUP($E116,'15. Emissions'!$B$4:$F$24,5,FALSE)/10)*T40*365/1000000</f>
        <v>0</v>
      </c>
      <c r="U116" s="469">
        <f>(VLOOKUP($E116,'15. Emissions'!$B$4:$F$24,5,FALSE)/10)*U40*365/1000000</f>
        <v>0</v>
      </c>
      <c r="V116" s="469">
        <f>(VLOOKUP($E116,'15. Emissions'!$B$4:$F$24,5,FALSE)/10)*V40*365/1000000</f>
        <v>0</v>
      </c>
      <c r="W116" s="469">
        <f>(VLOOKUP($E116,'15. Emissions'!$B$4:$F$24,5,FALSE)/10)*W40*365/1000000</f>
        <v>0</v>
      </c>
      <c r="X116" s="469">
        <f>(VLOOKUP($E116,'15. Emissions'!$B$4:$F$24,5,FALSE)/10)*X40*365/1000000</f>
        <v>0</v>
      </c>
      <c r="Y116" s="469">
        <f>(VLOOKUP($E116,'15. Emissions'!$B$4:$F$24,5,FALSE)/10)*Y40*365/1000000</f>
        <v>0</v>
      </c>
      <c r="Z116" s="469">
        <f>(VLOOKUP($E116,'15. Emissions'!$B$4:$F$24,5,FALSE)/10)*Z40*365/1000000</f>
        <v>0</v>
      </c>
      <c r="AA116" s="469">
        <f>(VLOOKUP($E116,'15. Emissions'!$B$4:$F$24,5,FALSE)/10)*AA40*365/1000000</f>
        <v>0</v>
      </c>
      <c r="AB116" s="469">
        <f>(VLOOKUP($E116,'15. Emissions'!$B$4:$F$24,5,FALSE)/10)*AB40*365/1000000</f>
        <v>0</v>
      </c>
      <c r="AC116" s="469">
        <f>(VLOOKUP($E116,'15. Emissions'!$B$4:$F$24,5,FALSE)/10)*AC40*365/1000000</f>
        <v>0</v>
      </c>
      <c r="AD116" s="469">
        <f>(VLOOKUP($E116,'15. Emissions'!$B$4:$F$24,5,FALSE)/10)*AD40*365/1000000</f>
        <v>0</v>
      </c>
      <c r="AE116" s="469">
        <f>(VLOOKUP($E116,'15. Emissions'!$B$4:$F$24,5,FALSE)/10)*AE40*365/1000000</f>
        <v>0</v>
      </c>
      <c r="AF116" s="469">
        <f>(VLOOKUP($E116,'15. Emissions'!$B$4:$F$24,5,FALSE)/10)*AF40*365/1000000</f>
        <v>0</v>
      </c>
      <c r="AG116" s="469">
        <f>(VLOOKUP($E116,'15. Emissions'!$B$4:$F$24,5,FALSE)/10)*AG40*365/1000000</f>
        <v>0</v>
      </c>
      <c r="AH116" s="469">
        <f>(VLOOKUP($E116,'15. Emissions'!$B$4:$F$24,5,FALSE)/10)*AH40*365/1000000</f>
        <v>0</v>
      </c>
      <c r="AI116" s="469">
        <f>(VLOOKUP($E116,'15. Emissions'!$B$4:$F$24,5,FALSE)/10)*AI40*365/1000000</f>
        <v>0</v>
      </c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</row>
    <row r="117" spans="1:51" x14ac:dyDescent="0.25">
      <c r="A117" s="1"/>
      <c r="B117" s="1"/>
      <c r="C117" s="1"/>
      <c r="D117" s="1"/>
      <c r="E117" s="139" t="str">
        <f>'8a. RNG'!$T$12</f>
        <v>CDW Exp. 5</v>
      </c>
      <c r="F117" s="1" t="s">
        <v>393</v>
      </c>
      <c r="G117" s="469">
        <f>(VLOOKUP($E117,'15. Emissions'!$B$4:$F$24,5,FALSE)/10)*G41*365/1000000</f>
        <v>0</v>
      </c>
      <c r="H117" s="469">
        <f>(VLOOKUP($E117,'15. Emissions'!$B$4:$F$24,5,FALSE)/10)*H41*365/1000000</f>
        <v>0</v>
      </c>
      <c r="I117" s="469">
        <f>(VLOOKUP($E117,'15. Emissions'!$B$4:$F$24,5,FALSE)/10)*I41*365/1000000</f>
        <v>0</v>
      </c>
      <c r="J117" s="469">
        <f>(VLOOKUP($E117,'15. Emissions'!$B$4:$F$24,5,FALSE)/10)*J41*365/1000000</f>
        <v>0</v>
      </c>
      <c r="K117" s="469">
        <f>(VLOOKUP($E117,'15. Emissions'!$B$4:$F$24,5,FALSE)/10)*K41*365/1000000</f>
        <v>0</v>
      </c>
      <c r="L117" s="469">
        <f>(VLOOKUP($E117,'15. Emissions'!$B$4:$F$24,5,FALSE)/10)*L41*365/1000000</f>
        <v>0</v>
      </c>
      <c r="M117" s="469">
        <f>(VLOOKUP($E117,'15. Emissions'!$B$4:$F$24,5,FALSE)/10)*M41*365/1000000</f>
        <v>0</v>
      </c>
      <c r="N117" s="469">
        <f>(VLOOKUP($E117,'15. Emissions'!$B$4:$F$24,5,FALSE)/10)*N41*365/1000000</f>
        <v>0</v>
      </c>
      <c r="O117" s="469">
        <f>(VLOOKUP($E117,'15. Emissions'!$B$4:$F$24,5,FALSE)/10)*O41*365/1000000</f>
        <v>0</v>
      </c>
      <c r="P117" s="469">
        <f>(VLOOKUP($E117,'15. Emissions'!$B$4:$F$24,5,FALSE)/10)*P41*365/1000000</f>
        <v>0</v>
      </c>
      <c r="Q117" s="469">
        <f>(VLOOKUP($E117,'15. Emissions'!$B$4:$F$24,5,FALSE)/10)*Q41*365/1000000</f>
        <v>0</v>
      </c>
      <c r="R117" s="469">
        <f>(VLOOKUP($E117,'15. Emissions'!$B$4:$F$24,5,FALSE)/10)*R41*365/1000000</f>
        <v>0</v>
      </c>
      <c r="S117" s="469">
        <f>(VLOOKUP($E117,'15. Emissions'!$B$4:$F$24,5,FALSE)/10)*S41*365/1000000</f>
        <v>0</v>
      </c>
      <c r="T117" s="469">
        <f>(VLOOKUP($E117,'15. Emissions'!$B$4:$F$24,5,FALSE)/10)*T41*365/1000000</f>
        <v>0</v>
      </c>
      <c r="U117" s="469">
        <f>(VLOOKUP($E117,'15. Emissions'!$B$4:$F$24,5,FALSE)/10)*U41*365/1000000</f>
        <v>0</v>
      </c>
      <c r="V117" s="469">
        <f>(VLOOKUP($E117,'15. Emissions'!$B$4:$F$24,5,FALSE)/10)*V41*365/1000000</f>
        <v>0</v>
      </c>
      <c r="W117" s="469">
        <f>(VLOOKUP($E117,'15. Emissions'!$B$4:$F$24,5,FALSE)/10)*W41*365/1000000</f>
        <v>0</v>
      </c>
      <c r="X117" s="469">
        <f>(VLOOKUP($E117,'15. Emissions'!$B$4:$F$24,5,FALSE)/10)*X41*365/1000000</f>
        <v>0</v>
      </c>
      <c r="Y117" s="469">
        <f>(VLOOKUP($E117,'15. Emissions'!$B$4:$F$24,5,FALSE)/10)*Y41*365/1000000</f>
        <v>0</v>
      </c>
      <c r="Z117" s="469">
        <f>(VLOOKUP($E117,'15. Emissions'!$B$4:$F$24,5,FALSE)/10)*Z41*365/1000000</f>
        <v>0</v>
      </c>
      <c r="AA117" s="469">
        <f>(VLOOKUP($E117,'15. Emissions'!$B$4:$F$24,5,FALSE)/10)*AA41*365/1000000</f>
        <v>0</v>
      </c>
      <c r="AB117" s="469">
        <f>(VLOOKUP($E117,'15. Emissions'!$B$4:$F$24,5,FALSE)/10)*AB41*365/1000000</f>
        <v>0</v>
      </c>
      <c r="AC117" s="469">
        <f>(VLOOKUP($E117,'15. Emissions'!$B$4:$F$24,5,FALSE)/10)*AC41*365/1000000</f>
        <v>0</v>
      </c>
      <c r="AD117" s="469">
        <f>(VLOOKUP($E117,'15. Emissions'!$B$4:$F$24,5,FALSE)/10)*AD41*365/1000000</f>
        <v>0</v>
      </c>
      <c r="AE117" s="469">
        <f>(VLOOKUP($E117,'15. Emissions'!$B$4:$F$24,5,FALSE)/10)*AE41*365/1000000</f>
        <v>0</v>
      </c>
      <c r="AF117" s="469">
        <f>(VLOOKUP($E117,'15. Emissions'!$B$4:$F$24,5,FALSE)/10)*AF41*365/1000000</f>
        <v>0</v>
      </c>
      <c r="AG117" s="469">
        <f>(VLOOKUP($E117,'15. Emissions'!$B$4:$F$24,5,FALSE)/10)*AG41*365/1000000</f>
        <v>0</v>
      </c>
      <c r="AH117" s="469">
        <f>(VLOOKUP($E117,'15. Emissions'!$B$4:$F$24,5,FALSE)/10)*AH41*365/1000000</f>
        <v>0</v>
      </c>
      <c r="AI117" s="469">
        <f>(VLOOKUP($E117,'15. Emissions'!$B$4:$F$24,5,FALSE)/10)*AI41*365/1000000</f>
        <v>0</v>
      </c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</row>
    <row r="118" spans="1:51" x14ac:dyDescent="0.25">
      <c r="A118" s="1"/>
      <c r="B118" s="1"/>
      <c r="C118" s="1"/>
      <c r="D118" s="1"/>
      <c r="E118" s="139" t="str">
        <f>'5. LNG- ISO_Expansion'!$X$12</f>
        <v>LNG ISO Exp 1</v>
      </c>
      <c r="F118" s="1" t="s">
        <v>393</v>
      </c>
      <c r="G118" s="469">
        <f>(VLOOKUP($E118,'15. Emissions'!$B$4:$F$24,5,FALSE)/10)*G42*365/1000000</f>
        <v>0</v>
      </c>
      <c r="H118" s="469">
        <f>(VLOOKUP($E118,'15. Emissions'!$B$4:$F$24,5,FALSE)/10)*H42*365/1000000</f>
        <v>0</v>
      </c>
      <c r="I118" s="469">
        <f>(VLOOKUP($E118,'15. Emissions'!$B$4:$F$24,5,FALSE)/10)*I42*365/1000000</f>
        <v>0</v>
      </c>
      <c r="J118" s="469">
        <f>(VLOOKUP($E118,'15. Emissions'!$B$4:$F$24,5,FALSE)/10)*J42*365/1000000</f>
        <v>0</v>
      </c>
      <c r="K118" s="469">
        <f>(VLOOKUP($E118,'15. Emissions'!$B$4:$F$24,5,FALSE)/10)*K42*365/1000000</f>
        <v>0</v>
      </c>
      <c r="L118" s="469">
        <f>(VLOOKUP($E118,'15. Emissions'!$B$4:$F$24,5,FALSE)/10)*L42*365/1000000</f>
        <v>0</v>
      </c>
      <c r="M118" s="469">
        <f>(VLOOKUP($E118,'15. Emissions'!$B$4:$F$24,5,FALSE)/10)*M42*365/1000000</f>
        <v>0</v>
      </c>
      <c r="N118" s="469">
        <f>(VLOOKUP($E118,'15. Emissions'!$B$4:$F$24,5,FALSE)/10)*N42*365/1000000</f>
        <v>0</v>
      </c>
      <c r="O118" s="469">
        <f>(VLOOKUP($E118,'15. Emissions'!$B$4:$F$24,5,FALSE)/10)*O42*365/1000000</f>
        <v>0</v>
      </c>
      <c r="P118" s="469">
        <f>(VLOOKUP($E118,'15. Emissions'!$B$4:$F$24,5,FALSE)/10)*P42*365/1000000</f>
        <v>0</v>
      </c>
      <c r="Q118" s="469">
        <f>(VLOOKUP($E118,'15. Emissions'!$B$4:$F$24,5,FALSE)/10)*Q42*365/1000000</f>
        <v>0</v>
      </c>
      <c r="R118" s="469">
        <f>(VLOOKUP($E118,'15. Emissions'!$B$4:$F$24,5,FALSE)/10)*R42*365/1000000</f>
        <v>0</v>
      </c>
      <c r="S118" s="469">
        <f>(VLOOKUP($E118,'15. Emissions'!$B$4:$F$24,5,FALSE)/10)*S42*365/1000000</f>
        <v>0</v>
      </c>
      <c r="T118" s="469">
        <f>(VLOOKUP($E118,'15. Emissions'!$B$4:$F$24,5,FALSE)/10)*T42*365/1000000</f>
        <v>0</v>
      </c>
      <c r="U118" s="469">
        <f>(VLOOKUP($E118,'15. Emissions'!$B$4:$F$24,5,FALSE)/10)*U42*365/1000000</f>
        <v>0</v>
      </c>
      <c r="V118" s="469">
        <f>(VLOOKUP($E118,'15. Emissions'!$B$4:$F$24,5,FALSE)/10)*V42*365/1000000</f>
        <v>0</v>
      </c>
      <c r="W118" s="469">
        <f>(VLOOKUP($E118,'15. Emissions'!$B$4:$F$24,5,FALSE)/10)*W42*365/1000000</f>
        <v>0</v>
      </c>
      <c r="X118" s="469">
        <f>(VLOOKUP($E118,'15. Emissions'!$B$4:$F$24,5,FALSE)/10)*X42*365/1000000</f>
        <v>0</v>
      </c>
      <c r="Y118" s="469">
        <f>(VLOOKUP($E118,'15. Emissions'!$B$4:$F$24,5,FALSE)/10)*Y42*365/1000000</f>
        <v>0</v>
      </c>
      <c r="Z118" s="469">
        <f>(VLOOKUP($E118,'15. Emissions'!$B$4:$F$24,5,FALSE)/10)*Z42*365/1000000</f>
        <v>0</v>
      </c>
      <c r="AA118" s="469">
        <f>(VLOOKUP($E118,'15. Emissions'!$B$4:$F$24,5,FALSE)/10)*AA42*365/1000000</f>
        <v>0</v>
      </c>
      <c r="AB118" s="469">
        <f>(VLOOKUP($E118,'15. Emissions'!$B$4:$F$24,5,FALSE)/10)*AB42*365/1000000</f>
        <v>0</v>
      </c>
      <c r="AC118" s="469">
        <f>(VLOOKUP($E118,'15. Emissions'!$B$4:$F$24,5,FALSE)/10)*AC42*365/1000000</f>
        <v>0</v>
      </c>
      <c r="AD118" s="469">
        <f>(VLOOKUP($E118,'15. Emissions'!$B$4:$F$24,5,FALSE)/10)*AD42*365/1000000</f>
        <v>0</v>
      </c>
      <c r="AE118" s="469">
        <f>(VLOOKUP($E118,'15. Emissions'!$B$4:$F$24,5,FALSE)/10)*AE42*365/1000000</f>
        <v>0</v>
      </c>
      <c r="AF118" s="469">
        <f>(VLOOKUP($E118,'15. Emissions'!$B$4:$F$24,5,FALSE)/10)*AF42*365/1000000</f>
        <v>0</v>
      </c>
      <c r="AG118" s="469">
        <f>(VLOOKUP($E118,'15. Emissions'!$B$4:$F$24,5,FALSE)/10)*AG42*365/1000000</f>
        <v>0</v>
      </c>
      <c r="AH118" s="469">
        <f>(VLOOKUP($E118,'15. Emissions'!$B$4:$F$24,5,FALSE)/10)*AH42*365/1000000</f>
        <v>0</v>
      </c>
      <c r="AI118" s="469">
        <f>(VLOOKUP($E118,'15. Emissions'!$B$4:$F$24,5,FALSE)/10)*AI42*365/1000000</f>
        <v>0</v>
      </c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</row>
    <row r="119" spans="1:51" x14ac:dyDescent="0.25">
      <c r="A119" s="1"/>
      <c r="B119" s="1"/>
      <c r="C119" s="1"/>
      <c r="D119" s="1"/>
      <c r="E119" s="139" t="str">
        <f>'5. LNG- ISO_Expansion'!$Y$12</f>
        <v>LNG ISO Exp 2</v>
      </c>
      <c r="F119" s="1" t="s">
        <v>393</v>
      </c>
      <c r="G119" s="469">
        <f>(VLOOKUP($E119,'15. Emissions'!$B$4:$F$24,5,FALSE)/10)*G43*365/1000000</f>
        <v>0</v>
      </c>
      <c r="H119" s="469">
        <f>(VLOOKUP($E119,'15. Emissions'!$B$4:$F$24,5,FALSE)/10)*H43*365/1000000</f>
        <v>0</v>
      </c>
      <c r="I119" s="469">
        <f>(VLOOKUP($E119,'15. Emissions'!$B$4:$F$24,5,FALSE)/10)*I43*365/1000000</f>
        <v>0</v>
      </c>
      <c r="J119" s="469">
        <f>(VLOOKUP($E119,'15. Emissions'!$B$4:$F$24,5,FALSE)/10)*J43*365/1000000</f>
        <v>0</v>
      </c>
      <c r="K119" s="469">
        <f>(VLOOKUP($E119,'15. Emissions'!$B$4:$F$24,5,FALSE)/10)*K43*365/1000000</f>
        <v>0</v>
      </c>
      <c r="L119" s="469">
        <f>(VLOOKUP($E119,'15. Emissions'!$B$4:$F$24,5,FALSE)/10)*L43*365/1000000</f>
        <v>0</v>
      </c>
      <c r="M119" s="469">
        <f>(VLOOKUP($E119,'15. Emissions'!$B$4:$F$24,5,FALSE)/10)*M43*365/1000000</f>
        <v>0</v>
      </c>
      <c r="N119" s="469">
        <f>(VLOOKUP($E119,'15. Emissions'!$B$4:$F$24,5,FALSE)/10)*N43*365/1000000</f>
        <v>0</v>
      </c>
      <c r="O119" s="469">
        <f>(VLOOKUP($E119,'15. Emissions'!$B$4:$F$24,5,FALSE)/10)*O43*365/1000000</f>
        <v>0</v>
      </c>
      <c r="P119" s="469">
        <f>(VLOOKUP($E119,'15. Emissions'!$B$4:$F$24,5,FALSE)/10)*P43*365/1000000</f>
        <v>0</v>
      </c>
      <c r="Q119" s="469">
        <f>(VLOOKUP($E119,'15. Emissions'!$B$4:$F$24,5,FALSE)/10)*Q43*365/1000000</f>
        <v>0</v>
      </c>
      <c r="R119" s="469">
        <f>(VLOOKUP($E119,'15. Emissions'!$B$4:$F$24,5,FALSE)/10)*R43*365/1000000</f>
        <v>0</v>
      </c>
      <c r="S119" s="469">
        <f>(VLOOKUP($E119,'15. Emissions'!$B$4:$F$24,5,FALSE)/10)*S43*365/1000000</f>
        <v>0</v>
      </c>
      <c r="T119" s="469">
        <f>(VLOOKUP($E119,'15. Emissions'!$B$4:$F$24,5,FALSE)/10)*T43*365/1000000</f>
        <v>0</v>
      </c>
      <c r="U119" s="469">
        <f>(VLOOKUP($E119,'15. Emissions'!$B$4:$F$24,5,FALSE)/10)*U43*365/1000000</f>
        <v>0</v>
      </c>
      <c r="V119" s="469">
        <f>(VLOOKUP($E119,'15. Emissions'!$B$4:$F$24,5,FALSE)/10)*V43*365/1000000</f>
        <v>0</v>
      </c>
      <c r="W119" s="469">
        <f>(VLOOKUP($E119,'15. Emissions'!$B$4:$F$24,5,FALSE)/10)*W43*365/1000000</f>
        <v>0</v>
      </c>
      <c r="X119" s="469">
        <f>(VLOOKUP($E119,'15. Emissions'!$B$4:$F$24,5,FALSE)/10)*X43*365/1000000</f>
        <v>0</v>
      </c>
      <c r="Y119" s="469">
        <f>(VLOOKUP($E119,'15. Emissions'!$B$4:$F$24,5,FALSE)/10)*Y43*365/1000000</f>
        <v>0</v>
      </c>
      <c r="Z119" s="469">
        <f>(VLOOKUP($E119,'15. Emissions'!$B$4:$F$24,5,FALSE)/10)*Z43*365/1000000</f>
        <v>0</v>
      </c>
      <c r="AA119" s="469">
        <f>(VLOOKUP($E119,'15. Emissions'!$B$4:$F$24,5,FALSE)/10)*AA43*365/1000000</f>
        <v>0</v>
      </c>
      <c r="AB119" s="469">
        <f>(VLOOKUP($E119,'15. Emissions'!$B$4:$F$24,5,FALSE)/10)*AB43*365/1000000</f>
        <v>0</v>
      </c>
      <c r="AC119" s="469">
        <f>(VLOOKUP($E119,'15. Emissions'!$B$4:$F$24,5,FALSE)/10)*AC43*365/1000000</f>
        <v>0</v>
      </c>
      <c r="AD119" s="469">
        <f>(VLOOKUP($E119,'15. Emissions'!$B$4:$F$24,5,FALSE)/10)*AD43*365/1000000</f>
        <v>0</v>
      </c>
      <c r="AE119" s="469">
        <f>(VLOOKUP($E119,'15. Emissions'!$B$4:$F$24,5,FALSE)/10)*AE43*365/1000000</f>
        <v>0</v>
      </c>
      <c r="AF119" s="469">
        <f>(VLOOKUP($E119,'15. Emissions'!$B$4:$F$24,5,FALSE)/10)*AF43*365/1000000</f>
        <v>0</v>
      </c>
      <c r="AG119" s="469">
        <f>(VLOOKUP($E119,'15. Emissions'!$B$4:$F$24,5,FALSE)/10)*AG43*365/1000000</f>
        <v>0</v>
      </c>
      <c r="AH119" s="469">
        <f>(VLOOKUP($E119,'15. Emissions'!$B$4:$F$24,5,FALSE)/10)*AH43*365/1000000</f>
        <v>0</v>
      </c>
      <c r="AI119" s="469">
        <f>(VLOOKUP($E119,'15. Emissions'!$B$4:$F$24,5,FALSE)/10)*AI43*365/1000000</f>
        <v>0</v>
      </c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</row>
    <row r="120" spans="1:51" x14ac:dyDescent="0.25">
      <c r="A120" s="1"/>
      <c r="B120" s="1"/>
      <c r="C120" s="1"/>
      <c r="D120" s="1"/>
      <c r="E120" s="139" t="str">
        <f>'5. LNG- ISO_Expansion'!$Z$12</f>
        <v>LNG ISO Exp 3</v>
      </c>
      <c r="F120" s="1" t="s">
        <v>393</v>
      </c>
      <c r="G120" s="469">
        <f>(VLOOKUP($E120,'15. Emissions'!$B$4:$F$24,5,FALSE)/10)*G44*365/1000000</f>
        <v>0</v>
      </c>
      <c r="H120" s="469">
        <f>(VLOOKUP($E120,'15. Emissions'!$B$4:$F$24,5,FALSE)/10)*H44*365/1000000</f>
        <v>0</v>
      </c>
      <c r="I120" s="469">
        <f>(VLOOKUP($E120,'15. Emissions'!$B$4:$F$24,5,FALSE)/10)*I44*365/1000000</f>
        <v>0</v>
      </c>
      <c r="J120" s="469">
        <f>(VLOOKUP($E120,'15. Emissions'!$B$4:$F$24,5,FALSE)/10)*J44*365/1000000</f>
        <v>0</v>
      </c>
      <c r="K120" s="469">
        <f>(VLOOKUP($E120,'15. Emissions'!$B$4:$F$24,5,FALSE)/10)*K44*365/1000000</f>
        <v>0</v>
      </c>
      <c r="L120" s="469">
        <f>(VLOOKUP($E120,'15. Emissions'!$B$4:$F$24,5,FALSE)/10)*L44*365/1000000</f>
        <v>0</v>
      </c>
      <c r="M120" s="469">
        <f>(VLOOKUP($E120,'15. Emissions'!$B$4:$F$24,5,FALSE)/10)*M44*365/1000000</f>
        <v>0</v>
      </c>
      <c r="N120" s="469">
        <f>(VLOOKUP($E120,'15. Emissions'!$B$4:$F$24,5,FALSE)/10)*N44*365/1000000</f>
        <v>0</v>
      </c>
      <c r="O120" s="469">
        <f>(VLOOKUP($E120,'15. Emissions'!$B$4:$F$24,5,FALSE)/10)*O44*365/1000000</f>
        <v>0</v>
      </c>
      <c r="P120" s="469">
        <f>(VLOOKUP($E120,'15. Emissions'!$B$4:$F$24,5,FALSE)/10)*P44*365/1000000</f>
        <v>0</v>
      </c>
      <c r="Q120" s="469">
        <f>(VLOOKUP($E120,'15. Emissions'!$B$4:$F$24,5,FALSE)/10)*Q44*365/1000000</f>
        <v>0</v>
      </c>
      <c r="R120" s="469">
        <f>(VLOOKUP($E120,'15. Emissions'!$B$4:$F$24,5,FALSE)/10)*R44*365/1000000</f>
        <v>0</v>
      </c>
      <c r="S120" s="469">
        <f>(VLOOKUP($E120,'15. Emissions'!$B$4:$F$24,5,FALSE)/10)*S44*365/1000000</f>
        <v>0</v>
      </c>
      <c r="T120" s="469">
        <f>(VLOOKUP($E120,'15. Emissions'!$B$4:$F$24,5,FALSE)/10)*T44*365/1000000</f>
        <v>0</v>
      </c>
      <c r="U120" s="469">
        <f>(VLOOKUP($E120,'15. Emissions'!$B$4:$F$24,5,FALSE)/10)*U44*365/1000000</f>
        <v>0</v>
      </c>
      <c r="V120" s="469">
        <f>(VLOOKUP($E120,'15. Emissions'!$B$4:$F$24,5,FALSE)/10)*V44*365/1000000</f>
        <v>0</v>
      </c>
      <c r="W120" s="469">
        <f>(VLOOKUP($E120,'15. Emissions'!$B$4:$F$24,5,FALSE)/10)*W44*365/1000000</f>
        <v>0</v>
      </c>
      <c r="X120" s="469">
        <f>(VLOOKUP($E120,'15. Emissions'!$B$4:$F$24,5,FALSE)/10)*X44*365/1000000</f>
        <v>0</v>
      </c>
      <c r="Y120" s="469">
        <f>(VLOOKUP($E120,'15. Emissions'!$B$4:$F$24,5,FALSE)/10)*Y44*365/1000000</f>
        <v>0</v>
      </c>
      <c r="Z120" s="469">
        <f>(VLOOKUP($E120,'15. Emissions'!$B$4:$F$24,5,FALSE)/10)*Z44*365/1000000</f>
        <v>0</v>
      </c>
      <c r="AA120" s="469">
        <f>(VLOOKUP($E120,'15. Emissions'!$B$4:$F$24,5,FALSE)/10)*AA44*365/1000000</f>
        <v>0</v>
      </c>
      <c r="AB120" s="469">
        <f>(VLOOKUP($E120,'15. Emissions'!$B$4:$F$24,5,FALSE)/10)*AB44*365/1000000</f>
        <v>0</v>
      </c>
      <c r="AC120" s="469">
        <f>(VLOOKUP($E120,'15. Emissions'!$B$4:$F$24,5,FALSE)/10)*AC44*365/1000000</f>
        <v>0</v>
      </c>
      <c r="AD120" s="469">
        <f>(VLOOKUP($E120,'15. Emissions'!$B$4:$F$24,5,FALSE)/10)*AD44*365/1000000</f>
        <v>0</v>
      </c>
      <c r="AE120" s="469">
        <f>(VLOOKUP($E120,'15. Emissions'!$B$4:$F$24,5,FALSE)/10)*AE44*365/1000000</f>
        <v>0</v>
      </c>
      <c r="AF120" s="469">
        <f>(VLOOKUP($E120,'15. Emissions'!$B$4:$F$24,5,FALSE)/10)*AF44*365/1000000</f>
        <v>0</v>
      </c>
      <c r="AG120" s="469">
        <f>(VLOOKUP($E120,'15. Emissions'!$B$4:$F$24,5,FALSE)/10)*AG44*365/1000000</f>
        <v>0</v>
      </c>
      <c r="AH120" s="469">
        <f>(VLOOKUP($E120,'15. Emissions'!$B$4:$F$24,5,FALSE)/10)*AH44*365/1000000</f>
        <v>0</v>
      </c>
      <c r="AI120" s="469">
        <f>(VLOOKUP($E120,'15. Emissions'!$B$4:$F$24,5,FALSE)/10)*AI44*365/1000000</f>
        <v>0</v>
      </c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</row>
    <row r="121" spans="1:51" x14ac:dyDescent="0.25">
      <c r="A121" s="1"/>
      <c r="B121" s="1"/>
      <c r="C121" s="1"/>
      <c r="D121" s="1"/>
      <c r="E121" s="139" t="str">
        <f>'5. LNG- ISO_Expansion'!$AA$12</f>
        <v>LNG ISO Exp 4</v>
      </c>
      <c r="F121" s="1" t="s">
        <v>393</v>
      </c>
      <c r="G121" s="469">
        <f>(VLOOKUP($E121,'15. Emissions'!$B$4:$F$24,5,FALSE)/10)*G45*365/1000000</f>
        <v>0</v>
      </c>
      <c r="H121" s="469">
        <f>(VLOOKUP($E121,'15. Emissions'!$B$4:$F$24,5,FALSE)/10)*H45*365/1000000</f>
        <v>0</v>
      </c>
      <c r="I121" s="469">
        <f>(VLOOKUP($E121,'15. Emissions'!$B$4:$F$24,5,FALSE)/10)*I45*365/1000000</f>
        <v>0</v>
      </c>
      <c r="J121" s="469">
        <f>(VLOOKUP($E121,'15. Emissions'!$B$4:$F$24,5,FALSE)/10)*J45*365/1000000</f>
        <v>0</v>
      </c>
      <c r="K121" s="469">
        <f>(VLOOKUP($E121,'15. Emissions'!$B$4:$F$24,5,FALSE)/10)*K45*365/1000000</f>
        <v>0</v>
      </c>
      <c r="L121" s="469">
        <f>(VLOOKUP($E121,'15. Emissions'!$B$4:$F$24,5,FALSE)/10)*L45*365/1000000</f>
        <v>0</v>
      </c>
      <c r="M121" s="469">
        <f>(VLOOKUP($E121,'15. Emissions'!$B$4:$F$24,5,FALSE)/10)*M45*365/1000000</f>
        <v>0</v>
      </c>
      <c r="N121" s="469">
        <f>(VLOOKUP($E121,'15. Emissions'!$B$4:$F$24,5,FALSE)/10)*N45*365/1000000</f>
        <v>0</v>
      </c>
      <c r="O121" s="469">
        <f>(VLOOKUP($E121,'15. Emissions'!$B$4:$F$24,5,FALSE)/10)*O45*365/1000000</f>
        <v>0</v>
      </c>
      <c r="P121" s="469">
        <f>(VLOOKUP($E121,'15. Emissions'!$B$4:$F$24,5,FALSE)/10)*P45*365/1000000</f>
        <v>0</v>
      </c>
      <c r="Q121" s="469">
        <f>(VLOOKUP($E121,'15. Emissions'!$B$4:$F$24,5,FALSE)/10)*Q45*365/1000000</f>
        <v>0</v>
      </c>
      <c r="R121" s="469">
        <f>(VLOOKUP($E121,'15. Emissions'!$B$4:$F$24,5,FALSE)/10)*R45*365/1000000</f>
        <v>0</v>
      </c>
      <c r="S121" s="469">
        <f>(VLOOKUP($E121,'15. Emissions'!$B$4:$F$24,5,FALSE)/10)*S45*365/1000000</f>
        <v>0</v>
      </c>
      <c r="T121" s="469">
        <f>(VLOOKUP($E121,'15. Emissions'!$B$4:$F$24,5,FALSE)/10)*T45*365/1000000</f>
        <v>0</v>
      </c>
      <c r="U121" s="469">
        <f>(VLOOKUP($E121,'15. Emissions'!$B$4:$F$24,5,FALSE)/10)*U45*365/1000000</f>
        <v>0</v>
      </c>
      <c r="V121" s="469">
        <f>(VLOOKUP($E121,'15. Emissions'!$B$4:$F$24,5,FALSE)/10)*V45*365/1000000</f>
        <v>0</v>
      </c>
      <c r="W121" s="469">
        <f>(VLOOKUP($E121,'15. Emissions'!$B$4:$F$24,5,FALSE)/10)*W45*365/1000000</f>
        <v>0</v>
      </c>
      <c r="X121" s="469">
        <f>(VLOOKUP($E121,'15. Emissions'!$B$4:$F$24,5,FALSE)/10)*X45*365/1000000</f>
        <v>0</v>
      </c>
      <c r="Y121" s="469">
        <f>(VLOOKUP($E121,'15. Emissions'!$B$4:$F$24,5,FALSE)/10)*Y45*365/1000000</f>
        <v>0</v>
      </c>
      <c r="Z121" s="469">
        <f>(VLOOKUP($E121,'15. Emissions'!$B$4:$F$24,5,FALSE)/10)*Z45*365/1000000</f>
        <v>0</v>
      </c>
      <c r="AA121" s="469">
        <f>(VLOOKUP($E121,'15. Emissions'!$B$4:$F$24,5,FALSE)/10)*AA45*365/1000000</f>
        <v>0</v>
      </c>
      <c r="AB121" s="469">
        <f>(VLOOKUP($E121,'15. Emissions'!$B$4:$F$24,5,FALSE)/10)*AB45*365/1000000</f>
        <v>0</v>
      </c>
      <c r="AC121" s="469">
        <f>(VLOOKUP($E121,'15. Emissions'!$B$4:$F$24,5,FALSE)/10)*AC45*365/1000000</f>
        <v>0</v>
      </c>
      <c r="AD121" s="469">
        <f>(VLOOKUP($E121,'15. Emissions'!$B$4:$F$24,5,FALSE)/10)*AD45*365/1000000</f>
        <v>0</v>
      </c>
      <c r="AE121" s="469">
        <f>(VLOOKUP($E121,'15. Emissions'!$B$4:$F$24,5,FALSE)/10)*AE45*365/1000000</f>
        <v>0</v>
      </c>
      <c r="AF121" s="469">
        <f>(VLOOKUP($E121,'15. Emissions'!$B$4:$F$24,5,FALSE)/10)*AF45*365/1000000</f>
        <v>0</v>
      </c>
      <c r="AG121" s="469">
        <f>(VLOOKUP($E121,'15. Emissions'!$B$4:$F$24,5,FALSE)/10)*AG45*365/1000000</f>
        <v>0</v>
      </c>
      <c r="AH121" s="469">
        <f>(VLOOKUP($E121,'15. Emissions'!$B$4:$F$24,5,FALSE)/10)*AH45*365/1000000</f>
        <v>0</v>
      </c>
      <c r="AI121" s="469">
        <f>(VLOOKUP($E121,'15. Emissions'!$B$4:$F$24,5,FALSE)/10)*AI45*365/1000000</f>
        <v>0</v>
      </c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</row>
    <row r="122" spans="1:51" x14ac:dyDescent="0.25">
      <c r="A122" s="1"/>
      <c r="B122" s="1"/>
      <c r="C122" s="1"/>
      <c r="D122" s="1"/>
      <c r="E122" s="139" t="str">
        <f>'5. LNG- ISO_Expansion'!$AB$12</f>
        <v>LNG ISO Exp 5</v>
      </c>
      <c r="F122" s="1" t="s">
        <v>393</v>
      </c>
      <c r="G122" s="469">
        <f>(VLOOKUP($E122,'15. Emissions'!$B$4:$F$24,5,FALSE)/10)*G46*365/1000000</f>
        <v>0</v>
      </c>
      <c r="H122" s="469">
        <f>(VLOOKUP($E122,'15. Emissions'!$B$4:$F$24,5,FALSE)/10)*H46*365/1000000</f>
        <v>0</v>
      </c>
      <c r="I122" s="469">
        <f>(VLOOKUP($E122,'15. Emissions'!$B$4:$F$24,5,FALSE)/10)*I46*365/1000000</f>
        <v>0</v>
      </c>
      <c r="J122" s="469">
        <f>(VLOOKUP($E122,'15. Emissions'!$B$4:$F$24,5,FALSE)/10)*J46*365/1000000</f>
        <v>0</v>
      </c>
      <c r="K122" s="469">
        <f>(VLOOKUP($E122,'15. Emissions'!$B$4:$F$24,5,FALSE)/10)*K46*365/1000000</f>
        <v>0</v>
      </c>
      <c r="L122" s="469">
        <f>(VLOOKUP($E122,'15. Emissions'!$B$4:$F$24,5,FALSE)/10)*L46*365/1000000</f>
        <v>0</v>
      </c>
      <c r="M122" s="469">
        <f>(VLOOKUP($E122,'15. Emissions'!$B$4:$F$24,5,FALSE)/10)*M46*365/1000000</f>
        <v>0</v>
      </c>
      <c r="N122" s="469">
        <f>(VLOOKUP($E122,'15. Emissions'!$B$4:$F$24,5,FALSE)/10)*N46*365/1000000</f>
        <v>0</v>
      </c>
      <c r="O122" s="469">
        <f>(VLOOKUP($E122,'15. Emissions'!$B$4:$F$24,5,FALSE)/10)*O46*365/1000000</f>
        <v>0</v>
      </c>
      <c r="P122" s="469">
        <f>(VLOOKUP($E122,'15. Emissions'!$B$4:$F$24,5,FALSE)/10)*P46*365/1000000</f>
        <v>0</v>
      </c>
      <c r="Q122" s="469">
        <f>(VLOOKUP($E122,'15. Emissions'!$B$4:$F$24,5,FALSE)/10)*Q46*365/1000000</f>
        <v>0</v>
      </c>
      <c r="R122" s="469">
        <f>(VLOOKUP($E122,'15. Emissions'!$B$4:$F$24,5,FALSE)/10)*R46*365/1000000</f>
        <v>0</v>
      </c>
      <c r="S122" s="469">
        <f>(VLOOKUP($E122,'15. Emissions'!$B$4:$F$24,5,FALSE)/10)*S46*365/1000000</f>
        <v>0</v>
      </c>
      <c r="T122" s="469">
        <f>(VLOOKUP($E122,'15. Emissions'!$B$4:$F$24,5,FALSE)/10)*T46*365/1000000</f>
        <v>0</v>
      </c>
      <c r="U122" s="469">
        <f>(VLOOKUP($E122,'15. Emissions'!$B$4:$F$24,5,FALSE)/10)*U46*365/1000000</f>
        <v>0</v>
      </c>
      <c r="V122" s="469">
        <f>(VLOOKUP($E122,'15. Emissions'!$B$4:$F$24,5,FALSE)/10)*V46*365/1000000</f>
        <v>0</v>
      </c>
      <c r="W122" s="469">
        <f>(VLOOKUP($E122,'15. Emissions'!$B$4:$F$24,5,FALSE)/10)*W46*365/1000000</f>
        <v>0</v>
      </c>
      <c r="X122" s="469">
        <f>(VLOOKUP($E122,'15. Emissions'!$B$4:$F$24,5,FALSE)/10)*X46*365/1000000</f>
        <v>0</v>
      </c>
      <c r="Y122" s="469">
        <f>(VLOOKUP($E122,'15. Emissions'!$B$4:$F$24,5,FALSE)/10)*Y46*365/1000000</f>
        <v>0</v>
      </c>
      <c r="Z122" s="469">
        <f>(VLOOKUP($E122,'15. Emissions'!$B$4:$F$24,5,FALSE)/10)*Z46*365/1000000</f>
        <v>0</v>
      </c>
      <c r="AA122" s="469">
        <f>(VLOOKUP($E122,'15. Emissions'!$B$4:$F$24,5,FALSE)/10)*AA46*365/1000000</f>
        <v>0</v>
      </c>
      <c r="AB122" s="469">
        <f>(VLOOKUP($E122,'15. Emissions'!$B$4:$F$24,5,FALSE)/10)*AB46*365/1000000</f>
        <v>0</v>
      </c>
      <c r="AC122" s="469">
        <f>(VLOOKUP($E122,'15. Emissions'!$B$4:$F$24,5,FALSE)/10)*AC46*365/1000000</f>
        <v>0</v>
      </c>
      <c r="AD122" s="469">
        <f>(VLOOKUP($E122,'15. Emissions'!$B$4:$F$24,5,FALSE)/10)*AD46*365/1000000</f>
        <v>0</v>
      </c>
      <c r="AE122" s="469">
        <f>(VLOOKUP($E122,'15. Emissions'!$B$4:$F$24,5,FALSE)/10)*AE46*365/1000000</f>
        <v>0</v>
      </c>
      <c r="AF122" s="469">
        <f>(VLOOKUP($E122,'15. Emissions'!$B$4:$F$24,5,FALSE)/10)*AF46*365/1000000</f>
        <v>0</v>
      </c>
      <c r="AG122" s="469">
        <f>(VLOOKUP($E122,'15. Emissions'!$B$4:$F$24,5,FALSE)/10)*AG46*365/1000000</f>
        <v>0</v>
      </c>
      <c r="AH122" s="469">
        <f>(VLOOKUP($E122,'15. Emissions'!$B$4:$F$24,5,FALSE)/10)*AH46*365/1000000</f>
        <v>0</v>
      </c>
      <c r="AI122" s="469">
        <f>(VLOOKUP($E122,'15. Emissions'!$B$4:$F$24,5,FALSE)/10)*AI46*365/1000000</f>
        <v>0</v>
      </c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</row>
    <row r="123" spans="1:51" x14ac:dyDescent="0.25">
      <c r="A123" s="1"/>
      <c r="B123" s="1"/>
      <c r="C123" s="1"/>
      <c r="D123" s="1"/>
      <c r="E123" s="139" t="s">
        <v>384</v>
      </c>
      <c r="F123" s="1" t="s">
        <v>393</v>
      </c>
      <c r="G123" s="469">
        <f>(VLOOKUP($E123,'15. Emissions'!$B$4:$F$24,5,FALSE)/10)*G47*365/1000000</f>
        <v>0</v>
      </c>
      <c r="H123" s="469">
        <f>(VLOOKUP($E123,'15. Emissions'!$B$4:$F$24,5,FALSE)/10)*H47*365/1000000</f>
        <v>0</v>
      </c>
      <c r="I123" s="469">
        <f>(VLOOKUP($E123,'15. Emissions'!$B$4:$F$24,5,FALSE)/10)*I47*365/1000000</f>
        <v>0</v>
      </c>
      <c r="J123" s="469">
        <f>(VLOOKUP($E123,'15. Emissions'!$B$4:$F$24,5,FALSE)/10)*J47*365/1000000</f>
        <v>0</v>
      </c>
      <c r="K123" s="469">
        <f>(VLOOKUP($E123,'15. Emissions'!$B$4:$F$24,5,FALSE)/10)*K47*365/1000000</f>
        <v>0</v>
      </c>
      <c r="L123" s="469">
        <f>(VLOOKUP($E123,'15. Emissions'!$B$4:$F$24,5,FALSE)/10)*L47*365/1000000</f>
        <v>0</v>
      </c>
      <c r="M123" s="469">
        <f>(VLOOKUP($E123,'15. Emissions'!$B$4:$F$24,5,FALSE)/10)*M47*365/1000000</f>
        <v>0</v>
      </c>
      <c r="N123" s="469">
        <f>(VLOOKUP($E123,'15. Emissions'!$B$4:$F$24,5,FALSE)/10)*N47*365/1000000</f>
        <v>0</v>
      </c>
      <c r="O123" s="469">
        <f>(VLOOKUP($E123,'15. Emissions'!$B$4:$F$24,5,FALSE)/10)*O47*365/1000000</f>
        <v>0</v>
      </c>
      <c r="P123" s="469">
        <f>(VLOOKUP($E123,'15. Emissions'!$B$4:$F$24,5,FALSE)/10)*P47*365/1000000</f>
        <v>0</v>
      </c>
      <c r="Q123" s="469">
        <f>(VLOOKUP($E123,'15. Emissions'!$B$4:$F$24,5,FALSE)/10)*Q47*365/1000000</f>
        <v>0</v>
      </c>
      <c r="R123" s="469">
        <f>(VLOOKUP($E123,'15. Emissions'!$B$4:$F$24,5,FALSE)/10)*R47*365/1000000</f>
        <v>0</v>
      </c>
      <c r="S123" s="469">
        <f>(VLOOKUP($E123,'15. Emissions'!$B$4:$F$24,5,FALSE)/10)*S47*365/1000000</f>
        <v>0</v>
      </c>
      <c r="T123" s="469">
        <f>(VLOOKUP($E123,'15. Emissions'!$B$4:$F$24,5,FALSE)/10)*T47*365/1000000</f>
        <v>0</v>
      </c>
      <c r="U123" s="469">
        <f>(VLOOKUP($E123,'15. Emissions'!$B$4:$F$24,5,FALSE)/10)*U47*365/1000000</f>
        <v>0</v>
      </c>
      <c r="V123" s="469">
        <f>(VLOOKUP($E123,'15. Emissions'!$B$4:$F$24,5,FALSE)/10)*V47*365/1000000</f>
        <v>0</v>
      </c>
      <c r="W123" s="469">
        <f>(VLOOKUP($E123,'15. Emissions'!$B$4:$F$24,5,FALSE)/10)*W47*365/1000000</f>
        <v>0</v>
      </c>
      <c r="X123" s="469">
        <f>(VLOOKUP($E123,'15. Emissions'!$B$4:$F$24,5,FALSE)/10)*X47*365/1000000</f>
        <v>0</v>
      </c>
      <c r="Y123" s="469">
        <f>(VLOOKUP($E123,'15. Emissions'!$B$4:$F$24,5,FALSE)/10)*Y47*365/1000000</f>
        <v>0</v>
      </c>
      <c r="Z123" s="469">
        <f>(VLOOKUP($E123,'15. Emissions'!$B$4:$F$24,5,FALSE)/10)*Z47*365/1000000</f>
        <v>0</v>
      </c>
      <c r="AA123" s="469">
        <f>(VLOOKUP($E123,'15. Emissions'!$B$4:$F$24,5,FALSE)/10)*AA47*365/1000000</f>
        <v>0</v>
      </c>
      <c r="AB123" s="469">
        <f>(VLOOKUP($E123,'15. Emissions'!$B$4:$F$24,5,FALSE)/10)*AB47*365/1000000</f>
        <v>0</v>
      </c>
      <c r="AC123" s="469">
        <f>(VLOOKUP($E123,'15. Emissions'!$B$4:$F$24,5,FALSE)/10)*AC47*365/1000000</f>
        <v>0</v>
      </c>
      <c r="AD123" s="469">
        <f>(VLOOKUP($E123,'15. Emissions'!$B$4:$F$24,5,FALSE)/10)*AD47*365/1000000</f>
        <v>0</v>
      </c>
      <c r="AE123" s="469">
        <f>(VLOOKUP($E123,'15. Emissions'!$B$4:$F$24,5,FALSE)/10)*AE47*365/1000000</f>
        <v>0</v>
      </c>
      <c r="AF123" s="469">
        <f>(VLOOKUP($E123,'15. Emissions'!$B$4:$F$24,5,FALSE)/10)*AF47*365/1000000</f>
        <v>0</v>
      </c>
      <c r="AG123" s="469">
        <f>(VLOOKUP($E123,'15. Emissions'!$B$4:$F$24,5,FALSE)/10)*AG47*365/1000000</f>
        <v>0</v>
      </c>
      <c r="AH123" s="469">
        <f>(VLOOKUP($E123,'15. Emissions'!$B$4:$F$24,5,FALSE)/10)*AH47*365/1000000</f>
        <v>0</v>
      </c>
      <c r="AI123" s="469">
        <f>(VLOOKUP($E123,'15. Emissions'!$B$4:$F$24,5,FALSE)/10)*AI47*365/1000000</f>
        <v>0</v>
      </c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</row>
    <row r="124" spans="1:51" x14ac:dyDescent="0.25">
      <c r="A124" s="1"/>
      <c r="B124" s="1"/>
      <c r="C124" s="1"/>
      <c r="D124" s="1"/>
      <c r="E124" s="1"/>
      <c r="F124" s="110" t="s">
        <v>352</v>
      </c>
      <c r="G124" s="456">
        <f t="shared" ref="G124:AI124" si="30">SUM(G104:G123)</f>
        <v>187346.44430513994</v>
      </c>
      <c r="H124" s="456">
        <f t="shared" si="30"/>
        <v>190325.5860261723</v>
      </c>
      <c r="I124" s="456">
        <f t="shared" si="30"/>
        <v>191475.30339899307</v>
      </c>
      <c r="J124" s="456">
        <f t="shared" si="30"/>
        <v>187947.81472370619</v>
      </c>
      <c r="K124" s="456">
        <f t="shared" si="30"/>
        <v>188823.9347545889</v>
      </c>
      <c r="L124" s="456">
        <f t="shared" si="30"/>
        <v>189620.5327876611</v>
      </c>
      <c r="M124" s="456">
        <f t="shared" si="30"/>
        <v>190518.06273931192</v>
      </c>
      <c r="N124" s="456">
        <f t="shared" si="30"/>
        <v>191505.18075864398</v>
      </c>
      <c r="O124" s="456">
        <f t="shared" si="30"/>
        <v>191184.77493260088</v>
      </c>
      <c r="P124" s="456">
        <f t="shared" si="30"/>
        <v>192163.08529009947</v>
      </c>
      <c r="Q124" s="456">
        <f t="shared" si="30"/>
        <v>193234.20139208654</v>
      </c>
      <c r="R124" s="456">
        <f t="shared" si="30"/>
        <v>194403.83753815942</v>
      </c>
      <c r="S124" s="456">
        <f t="shared" si="30"/>
        <v>195675.24563636855</v>
      </c>
      <c r="T124" s="456">
        <f>SUM(T104:T123)</f>
        <v>195887.54816533055</v>
      </c>
      <c r="U124" s="456">
        <f t="shared" si="30"/>
        <v>197109.60421028241</v>
      </c>
      <c r="V124" s="456">
        <f t="shared" si="30"/>
        <v>198426.23067526729</v>
      </c>
      <c r="W124" s="456">
        <f t="shared" si="30"/>
        <v>199748.88493322761</v>
      </c>
      <c r="X124" s="456">
        <f t="shared" si="30"/>
        <v>201265.48865166269</v>
      </c>
      <c r="Y124" s="456">
        <f t="shared" si="30"/>
        <v>198653.97564191621</v>
      </c>
      <c r="Z124" s="456">
        <f t="shared" si="30"/>
        <v>200103.79761947063</v>
      </c>
      <c r="AA124" s="456">
        <f t="shared" si="30"/>
        <v>201705.702443594</v>
      </c>
      <c r="AB124" s="456">
        <f t="shared" si="30"/>
        <v>203122.46609654941</v>
      </c>
      <c r="AC124" s="456">
        <f t="shared" si="30"/>
        <v>204511.28071029152</v>
      </c>
      <c r="AD124" s="456">
        <f t="shared" si="30"/>
        <v>206223.80499503756</v>
      </c>
      <c r="AE124" s="456">
        <f t="shared" si="30"/>
        <v>206239.90114214644</v>
      </c>
      <c r="AF124" s="456">
        <f t="shared" si="30"/>
        <v>206255.34899304772</v>
      </c>
      <c r="AG124" s="456">
        <f t="shared" si="30"/>
        <v>206270.17465883307</v>
      </c>
      <c r="AH124" s="456">
        <f t="shared" si="30"/>
        <v>206284.40319893113</v>
      </c>
      <c r="AI124" s="456">
        <f t="shared" si="30"/>
        <v>206298.05866346502</v>
      </c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</row>
    <row r="125" spans="1:51" x14ac:dyDescent="0.25">
      <c r="A125" s="1"/>
      <c r="B125" s="1"/>
      <c r="C125" s="1"/>
      <c r="D125" s="1"/>
      <c r="F125" s="110"/>
      <c r="G125" s="456"/>
      <c r="H125" s="456"/>
      <c r="I125" s="456"/>
      <c r="J125" s="456"/>
      <c r="K125" s="456"/>
      <c r="L125" s="456"/>
      <c r="M125" s="456"/>
      <c r="N125" s="456"/>
      <c r="O125" s="530"/>
      <c r="P125" s="456"/>
      <c r="Q125" s="456"/>
      <c r="R125" s="456"/>
      <c r="S125" s="456"/>
      <c r="T125" s="530"/>
      <c r="U125" s="456"/>
      <c r="V125" s="456"/>
      <c r="W125" s="456"/>
      <c r="X125" s="456"/>
      <c r="Y125" s="530"/>
      <c r="Z125" s="456"/>
      <c r="AA125" s="456"/>
      <c r="AB125" s="456"/>
      <c r="AC125" s="456"/>
      <c r="AD125" s="530"/>
      <c r="AE125" s="456"/>
      <c r="AF125" s="456"/>
      <c r="AG125" s="456"/>
      <c r="AH125" s="456"/>
      <c r="AI125" s="456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</row>
    <row r="126" spans="1:51" x14ac:dyDescent="0.25">
      <c r="A126" s="1"/>
      <c r="B126" s="1"/>
      <c r="C126" s="1"/>
      <c r="D126" s="1"/>
      <c r="E126" s="11" t="s">
        <v>734</v>
      </c>
      <c r="F126" s="1" t="s">
        <v>393</v>
      </c>
      <c r="G126" s="469"/>
      <c r="H126" s="469"/>
      <c r="I126" s="469"/>
      <c r="J126" s="469"/>
      <c r="K126" s="469"/>
      <c r="L126" s="469"/>
      <c r="M126" s="469"/>
      <c r="N126" s="469"/>
      <c r="O126" s="469"/>
      <c r="P126" s="469"/>
      <c r="Q126" s="469"/>
      <c r="R126" s="469"/>
      <c r="S126" s="469"/>
      <c r="T126" s="469">
        <f>-'Supply Porfolio (Status Quo)'!T124+'Supply Porfolio (Live)'!T124</f>
        <v>-8547.3252030194853</v>
      </c>
      <c r="U126" s="469">
        <f>-'Supply Porfolio (Status Quo)'!U124+'Supply Porfolio (Live)'!U124</f>
        <v>-8523.0445385555213</v>
      </c>
      <c r="V126" s="469">
        <f>-'Supply Porfolio (Status Quo)'!V124+'Supply Porfolio (Live)'!V124</f>
        <v>-8499.7418138796347</v>
      </c>
      <c r="W126" s="469">
        <f>-'Supply Porfolio (Status Quo)'!W124+'Supply Porfolio (Live)'!W124</f>
        <v>-8477.3776410156279</v>
      </c>
      <c r="X126" s="469">
        <f>-'Supply Porfolio (Status Quo)'!X124+'Supply Porfolio (Live)'!X124</f>
        <v>-8455.9142183968506</v>
      </c>
      <c r="Y126" s="469">
        <f>-'Supply Porfolio (Status Quo)'!Y124+'Supply Porfolio (Live)'!Y124</f>
        <v>-12340.362466970633</v>
      </c>
      <c r="Z126" s="469">
        <f>-'Supply Porfolio (Status Quo)'!Z124+'Supply Porfolio (Live)'!Z124</f>
        <v>-12320.593168877007</v>
      </c>
      <c r="AA126" s="469">
        <f>-'Supply Porfolio (Status Quo)'!AA124+'Supply Porfolio (Live)'!AA124</f>
        <v>-12301.620108597039</v>
      </c>
      <c r="AB126" s="469">
        <f>-'Supply Porfolio (Status Quo)'!AB124+'Supply Porfolio (Live)'!AB124</f>
        <v>-12283.411216471286</v>
      </c>
      <c r="AC126" s="469">
        <f>-'Supply Porfolio (Status Quo)'!AC124+'Supply Porfolio (Live)'!AC124</f>
        <v>-12265.935714493564</v>
      </c>
      <c r="AD126" s="469">
        <f>-'Supply Porfolio (Status Quo)'!AD124+'Supply Porfolio (Live)'!AD124</f>
        <v>-12249.164064287383</v>
      </c>
      <c r="AE126" s="469"/>
      <c r="AF126" s="469"/>
      <c r="AG126" s="469"/>
      <c r="AH126" s="469"/>
      <c r="AI126" s="469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</row>
    <row r="127" spans="1:51" x14ac:dyDescent="0.25">
      <c r="A127" s="1"/>
      <c r="B127" s="1"/>
      <c r="C127" s="1"/>
      <c r="D127" s="1"/>
      <c r="E127" s="11" t="s">
        <v>735</v>
      </c>
      <c r="F127" s="1" t="s">
        <v>393</v>
      </c>
      <c r="G127" s="469"/>
      <c r="H127" s="469"/>
      <c r="I127" s="469"/>
      <c r="J127" s="469"/>
      <c r="K127" s="469"/>
      <c r="L127" s="469"/>
      <c r="M127" s="469"/>
      <c r="N127" s="469"/>
      <c r="O127" s="469"/>
      <c r="P127" s="469"/>
      <c r="Q127" s="469"/>
      <c r="R127" s="469"/>
      <c r="S127" s="469"/>
      <c r="T127" s="469"/>
      <c r="U127" s="469"/>
      <c r="V127" s="469"/>
      <c r="W127" s="469"/>
      <c r="X127" s="469"/>
      <c r="Y127" s="469">
        <f>Y124</f>
        <v>198653.97564191621</v>
      </c>
      <c r="Z127" s="469">
        <f t="shared" ref="Z127:AD127" si="31">Z124</f>
        <v>200103.79761947063</v>
      </c>
      <c r="AA127" s="469">
        <f t="shared" si="31"/>
        <v>201705.702443594</v>
      </c>
      <c r="AB127" s="469">
        <f t="shared" si="31"/>
        <v>203122.46609654941</v>
      </c>
      <c r="AC127" s="469">
        <f t="shared" si="31"/>
        <v>204511.28071029152</v>
      </c>
      <c r="AD127" s="469">
        <f t="shared" si="31"/>
        <v>206223.80499503756</v>
      </c>
      <c r="AE127" s="469"/>
      <c r="AF127" s="469"/>
      <c r="AG127" s="469"/>
      <c r="AH127" s="469"/>
      <c r="AI127" s="469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</row>
    <row r="128" spans="1:51" x14ac:dyDescent="0.25">
      <c r="A128" s="1"/>
      <c r="B128" s="1"/>
      <c r="C128" s="1"/>
      <c r="D128" s="1"/>
      <c r="E128" s="11" t="s">
        <v>749</v>
      </c>
      <c r="F128" s="1"/>
      <c r="G128" s="469"/>
      <c r="H128" s="469"/>
      <c r="I128" s="469"/>
      <c r="J128" s="469"/>
      <c r="K128" s="469"/>
      <c r="L128" s="469"/>
      <c r="M128" s="469"/>
      <c r="N128" s="469"/>
      <c r="O128" s="469"/>
      <c r="P128" s="469"/>
      <c r="Q128" s="469"/>
      <c r="R128" s="469"/>
      <c r="S128" s="469"/>
      <c r="T128" s="521">
        <f>IF('Summary Dashboard'!$F$9="Yes",'Summary Dashboard'!$C$9,0)</f>
        <v>0</v>
      </c>
      <c r="U128" s="521">
        <f>IF('Summary Dashboard'!$F$9="Yes",'Summary Dashboard'!$C$9,0)</f>
        <v>0</v>
      </c>
      <c r="V128" s="521">
        <f>IF('Summary Dashboard'!$F$9="Yes",'Summary Dashboard'!$C$9,0)</f>
        <v>0</v>
      </c>
      <c r="W128" s="521">
        <f>IF('Summary Dashboard'!$F$9="Yes",'Summary Dashboard'!$C$9,0)</f>
        <v>0</v>
      </c>
      <c r="X128" s="521">
        <f>IF('Summary Dashboard'!$F$9="Yes",'Summary Dashboard'!$C$9,0)</f>
        <v>0</v>
      </c>
      <c r="Y128" s="521">
        <f>IF('Summary Dashboard'!$F$9="Yes",'Summary Dashboard'!$C$9,0)</f>
        <v>0</v>
      </c>
      <c r="Z128" s="521">
        <f>IF('Summary Dashboard'!$F$9="Yes",'Summary Dashboard'!$C$9,0)</f>
        <v>0</v>
      </c>
      <c r="AA128" s="521">
        <f>IF('Summary Dashboard'!$F$9="Yes",'Summary Dashboard'!$C$9,0)</f>
        <v>0</v>
      </c>
      <c r="AB128" s="521">
        <f>IF('Summary Dashboard'!$F$9="Yes",'Summary Dashboard'!$C$9,0)</f>
        <v>0</v>
      </c>
      <c r="AC128" s="521">
        <f>IF('Summary Dashboard'!$F$9="Yes",'Summary Dashboard'!$C$9,0)</f>
        <v>0</v>
      </c>
      <c r="AD128" s="521">
        <f>IF('Summary Dashboard'!$F$9="Yes",'Summary Dashboard'!$C$9,0)</f>
        <v>0</v>
      </c>
      <c r="AE128" s="469"/>
      <c r="AF128" s="469"/>
      <c r="AG128" s="469"/>
      <c r="AH128" s="469"/>
      <c r="AI128" s="469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</row>
    <row r="129" spans="1:51" x14ac:dyDescent="0.25">
      <c r="A129" s="1"/>
      <c r="B129" s="1"/>
      <c r="C129" s="1"/>
      <c r="D129" s="1"/>
      <c r="E129" s="11" t="s">
        <v>738</v>
      </c>
      <c r="F129" s="1" t="s">
        <v>391</v>
      </c>
      <c r="G129" s="475"/>
      <c r="H129" s="475"/>
      <c r="I129" s="475"/>
      <c r="J129" s="475"/>
      <c r="K129" s="475"/>
      <c r="L129" s="475"/>
      <c r="M129" s="475"/>
      <c r="N129" s="475"/>
      <c r="O129" s="475"/>
      <c r="P129" s="475"/>
      <c r="Q129" s="475"/>
      <c r="R129" s="475"/>
      <c r="S129" s="475"/>
      <c r="T129" s="475">
        <f>T128*T127/1000</f>
        <v>0</v>
      </c>
      <c r="U129" s="475">
        <f t="shared" ref="U129:AD129" si="32">U128*U127/1000</f>
        <v>0</v>
      </c>
      <c r="V129" s="475">
        <f t="shared" si="32"/>
        <v>0</v>
      </c>
      <c r="W129" s="475">
        <f t="shared" si="32"/>
        <v>0</v>
      </c>
      <c r="X129" s="475">
        <f t="shared" si="32"/>
        <v>0</v>
      </c>
      <c r="Y129" s="475">
        <f t="shared" si="32"/>
        <v>0</v>
      </c>
      <c r="Z129" s="475">
        <f t="shared" si="32"/>
        <v>0</v>
      </c>
      <c r="AA129" s="475">
        <f t="shared" si="32"/>
        <v>0</v>
      </c>
      <c r="AB129" s="475">
        <f t="shared" si="32"/>
        <v>0</v>
      </c>
      <c r="AC129" s="475">
        <f t="shared" si="32"/>
        <v>0</v>
      </c>
      <c r="AD129" s="475">
        <f t="shared" si="32"/>
        <v>0</v>
      </c>
      <c r="AE129" s="475"/>
      <c r="AF129" s="475"/>
      <c r="AG129" s="475"/>
      <c r="AH129" s="475"/>
      <c r="AI129" s="475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</row>
    <row r="130" spans="1:51" x14ac:dyDescent="0.25">
      <c r="A130" s="1"/>
      <c r="B130" s="1"/>
      <c r="C130" s="1"/>
      <c r="D130" s="1"/>
      <c r="E130" s="1"/>
      <c r="F130" s="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</row>
    <row r="131" spans="1:51" x14ac:dyDescent="0.25">
      <c r="A131" s="1"/>
      <c r="B131" s="1"/>
      <c r="C131" s="1"/>
      <c r="D131" s="1"/>
      <c r="E131" s="11" t="s">
        <v>736</v>
      </c>
      <c r="F131" s="1"/>
      <c r="G131" s="515">
        <f>SUM(G8:G12)/G17</f>
        <v>0.97260184758874757</v>
      </c>
      <c r="H131" s="515">
        <f t="shared" ref="H131:AI131" si="33">SUM(H8:H12)/H17</f>
        <v>0.9728942165103609</v>
      </c>
      <c r="I131" s="515">
        <f t="shared" si="33"/>
        <v>0.97293496290993953</v>
      </c>
      <c r="J131" s="515">
        <f t="shared" si="33"/>
        <v>0.94654733362373467</v>
      </c>
      <c r="K131" s="515">
        <f t="shared" si="33"/>
        <v>0.94678404724138643</v>
      </c>
      <c r="L131" s="515">
        <f t="shared" si="33"/>
        <v>0.94699746283457065</v>
      </c>
      <c r="M131" s="515">
        <f t="shared" si="33"/>
        <v>0.94723587737989123</v>
      </c>
      <c r="N131" s="515">
        <f t="shared" si="33"/>
        <v>0.94749562507956886</v>
      </c>
      <c r="O131" s="515">
        <f t="shared" si="33"/>
        <v>0.90889558654431768</v>
      </c>
      <c r="P131" s="515">
        <f t="shared" si="33"/>
        <v>0.90933569610929055</v>
      </c>
      <c r="Q131" s="515">
        <f t="shared" si="33"/>
        <v>0.90981270519120361</v>
      </c>
      <c r="R131" s="515">
        <f t="shared" si="33"/>
        <v>0.91032788869048586</v>
      </c>
      <c r="S131" s="515">
        <f t="shared" si="33"/>
        <v>0.91088126402119463</v>
      </c>
      <c r="T131" s="515">
        <f t="shared" si="33"/>
        <v>0.86274216499491574</v>
      </c>
      <c r="U131" s="515">
        <f t="shared" si="33"/>
        <v>0.86465819005192179</v>
      </c>
      <c r="V131" s="515">
        <f t="shared" si="33"/>
        <v>0.86656797901285976</v>
      </c>
      <c r="W131" s="515">
        <f t="shared" si="33"/>
        <v>0.86841566001354686</v>
      </c>
      <c r="X131" s="515">
        <f t="shared" si="33"/>
        <v>0.87031863904592366</v>
      </c>
      <c r="Y131" s="515">
        <f t="shared" si="33"/>
        <v>0.69524459385605997</v>
      </c>
      <c r="Z131" s="515">
        <f t="shared" si="33"/>
        <v>0.69815809601489831</v>
      </c>
      <c r="AA131" s="515">
        <f t="shared" si="33"/>
        <v>0.70120836842483392</v>
      </c>
      <c r="AB131" s="515">
        <f t="shared" si="33"/>
        <v>0.70393066155972672</v>
      </c>
      <c r="AC131" s="515">
        <f t="shared" si="33"/>
        <v>0.7065496064082637</v>
      </c>
      <c r="AD131" s="515">
        <f t="shared" si="33"/>
        <v>0.7095316162400499</v>
      </c>
      <c r="AE131" s="515">
        <f t="shared" si="33"/>
        <v>0.71023565422552293</v>
      </c>
      <c r="AF131" s="515">
        <f t="shared" si="33"/>
        <v>0.71091133603650702</v>
      </c>
      <c r="AG131" s="515">
        <f t="shared" si="33"/>
        <v>0.7115598037600035</v>
      </c>
      <c r="AH131" s="515">
        <f t="shared" si="33"/>
        <v>0.71218215348376535</v>
      </c>
      <c r="AI131" s="515">
        <f t="shared" si="33"/>
        <v>0.71277943714898417</v>
      </c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</row>
    <row r="132" spans="1:51" x14ac:dyDescent="0.25">
      <c r="A132" s="1"/>
      <c r="B132" s="1"/>
      <c r="C132" s="1"/>
      <c r="D132" s="1"/>
      <c r="E132" s="11" t="s">
        <v>737</v>
      </c>
      <c r="F132" s="1"/>
      <c r="G132" s="515">
        <f>SUM(G13,G34:G41,G47)/G17</f>
        <v>2.7403299570732398E-2</v>
      </c>
      <c r="H132" s="515">
        <f t="shared" ref="H132:AI132" si="34">SUM(H13,H34:H41,H47)/H17</f>
        <v>2.7105783489639095E-2</v>
      </c>
      <c r="I132" s="515">
        <f t="shared" si="34"/>
        <v>2.7065037090060463E-2</v>
      </c>
      <c r="J132" s="515">
        <f t="shared" si="34"/>
        <v>5.3452666376265383E-2</v>
      </c>
      <c r="K132" s="515">
        <f t="shared" si="34"/>
        <v>5.321595275861371E-2</v>
      </c>
      <c r="L132" s="515">
        <f t="shared" si="34"/>
        <v>5.3002537165429311E-2</v>
      </c>
      <c r="M132" s="515">
        <f t="shared" si="34"/>
        <v>5.2764122620108642E-2</v>
      </c>
      <c r="N132" s="515">
        <f t="shared" si="34"/>
        <v>5.2504374920431203E-2</v>
      </c>
      <c r="O132" s="515">
        <f t="shared" si="34"/>
        <v>9.1104413455682334E-2</v>
      </c>
      <c r="P132" s="515">
        <f t="shared" si="34"/>
        <v>9.0664303890709508E-2</v>
      </c>
      <c r="Q132" s="515">
        <f t="shared" si="34"/>
        <v>9.0187294808796281E-2</v>
      </c>
      <c r="R132" s="515">
        <f t="shared" si="34"/>
        <v>8.9672111309514177E-2</v>
      </c>
      <c r="S132" s="515">
        <f t="shared" si="34"/>
        <v>8.9118735978805222E-2</v>
      </c>
      <c r="T132" s="515">
        <f t="shared" si="34"/>
        <v>0.13725783500508412</v>
      </c>
      <c r="U132" s="515">
        <f t="shared" si="34"/>
        <v>0.13534180994807815</v>
      </c>
      <c r="V132" s="515">
        <f t="shared" si="34"/>
        <v>0.13343202098714024</v>
      </c>
      <c r="W132" s="515">
        <f t="shared" si="34"/>
        <v>0.13158433998645316</v>
      </c>
      <c r="X132" s="515">
        <f t="shared" si="34"/>
        <v>0.1296813609540764</v>
      </c>
      <c r="Y132" s="515">
        <f t="shared" si="34"/>
        <v>0.30475540614393987</v>
      </c>
      <c r="Z132" s="515">
        <f t="shared" si="34"/>
        <v>0.30184190398510158</v>
      </c>
      <c r="AA132" s="515">
        <f t="shared" si="34"/>
        <v>0.29879163157516603</v>
      </c>
      <c r="AB132" s="515">
        <f t="shared" si="34"/>
        <v>0.29606933844027322</v>
      </c>
      <c r="AC132" s="515">
        <f t="shared" si="34"/>
        <v>0.29345039359173614</v>
      </c>
      <c r="AD132" s="515">
        <f t="shared" si="34"/>
        <v>0.29046838375995004</v>
      </c>
      <c r="AE132" s="515">
        <f t="shared" si="34"/>
        <v>0.28976434577447702</v>
      </c>
      <c r="AF132" s="515">
        <f t="shared" si="34"/>
        <v>0.28908866396349292</v>
      </c>
      <c r="AG132" s="515">
        <f t="shared" si="34"/>
        <v>0.28844019623999639</v>
      </c>
      <c r="AH132" s="515">
        <f t="shared" si="34"/>
        <v>0.28781784651623477</v>
      </c>
      <c r="AI132" s="515">
        <f t="shared" si="34"/>
        <v>0.28722056285101577</v>
      </c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</row>
    <row r="133" spans="1:51" x14ac:dyDescent="0.25">
      <c r="A133" s="1"/>
      <c r="B133" s="1"/>
      <c r="C133" s="1"/>
      <c r="D133" s="1"/>
      <c r="E133" s="1"/>
      <c r="F133" s="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</row>
    <row r="134" spans="1:51" x14ac:dyDescent="0.25">
      <c r="A134" s="1"/>
      <c r="B134" s="1"/>
      <c r="C134" s="1"/>
      <c r="D134" s="1"/>
      <c r="E134" s="1"/>
      <c r="F134" s="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</row>
    <row r="135" spans="1:51" x14ac:dyDescent="0.25">
      <c r="A135" s="1"/>
      <c r="B135" s="1"/>
      <c r="C135" s="1"/>
      <c r="D135" s="1"/>
      <c r="E135" s="11" t="s">
        <v>733</v>
      </c>
      <c r="F135" s="1"/>
      <c r="G135" s="1"/>
      <c r="H135" s="1"/>
      <c r="I135" s="1"/>
      <c r="J135" s="1"/>
      <c r="K135" s="1"/>
      <c r="L135" s="1"/>
      <c r="M135" s="1"/>
      <c r="N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</row>
    <row r="136" spans="1:51" x14ac:dyDescent="0.25">
      <c r="A136" s="1"/>
      <c r="B136" s="1"/>
      <c r="C136" s="1"/>
      <c r="D136" s="1"/>
      <c r="E136" s="1"/>
      <c r="F136" s="1"/>
      <c r="G136" s="110">
        <v>2022</v>
      </c>
      <c r="H136" s="110">
        <v>2023</v>
      </c>
      <c r="I136" s="110">
        <v>2024</v>
      </c>
      <c r="J136" s="110">
        <v>2025</v>
      </c>
      <c r="K136" s="110">
        <v>2026</v>
      </c>
      <c r="L136" s="110">
        <v>2027</v>
      </c>
      <c r="M136" s="110">
        <v>2028</v>
      </c>
      <c r="N136" s="110">
        <v>2029</v>
      </c>
      <c r="O136" s="110">
        <v>2030</v>
      </c>
      <c r="P136" s="110">
        <v>2031</v>
      </c>
      <c r="Q136" s="110">
        <v>2032</v>
      </c>
      <c r="R136" s="110">
        <v>2033</v>
      </c>
      <c r="S136" s="110">
        <v>2034</v>
      </c>
      <c r="T136" s="110">
        <v>2035</v>
      </c>
      <c r="U136" s="110">
        <v>2036</v>
      </c>
      <c r="V136" s="110">
        <v>2037</v>
      </c>
      <c r="W136" s="110">
        <v>2038</v>
      </c>
      <c r="X136" s="110">
        <v>2039</v>
      </c>
      <c r="Y136" s="110">
        <v>2040</v>
      </c>
      <c r="Z136" s="110">
        <v>2041</v>
      </c>
      <c r="AA136" s="110">
        <v>2042</v>
      </c>
      <c r="AB136" s="110">
        <v>2043</v>
      </c>
      <c r="AC136" s="110">
        <v>2044</v>
      </c>
      <c r="AD136" s="110">
        <v>2045</v>
      </c>
      <c r="AE136" s="110"/>
      <c r="AF136" s="110"/>
      <c r="AG136" s="110"/>
      <c r="AH136" s="110"/>
      <c r="AI136" s="110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</row>
    <row r="137" spans="1:51" x14ac:dyDescent="0.25">
      <c r="A137" s="1"/>
      <c r="B137" s="1"/>
      <c r="C137" s="1"/>
      <c r="D137" s="1"/>
      <c r="E137" s="1" t="s">
        <v>38</v>
      </c>
      <c r="F137" s="1"/>
      <c r="G137" s="495">
        <f>'Oahu COS and Allocation'!E450</f>
        <v>72.493925282380985</v>
      </c>
      <c r="H137" s="495">
        <f>'Oahu COS and Allocation'!F450</f>
        <v>69.735326759921975</v>
      </c>
      <c r="I137" s="495">
        <f>'Oahu COS and Allocation'!G450</f>
        <v>65.544236554220049</v>
      </c>
      <c r="J137" s="495">
        <f>'Oahu COS and Allocation'!H450</f>
        <v>66.799283221116525</v>
      </c>
      <c r="K137" s="495">
        <f>'Oahu COS and Allocation'!I450</f>
        <v>67.580856951810333</v>
      </c>
      <c r="L137" s="495">
        <f>'Oahu COS and Allocation'!J450</f>
        <v>68.219712276034358</v>
      </c>
      <c r="M137" s="495">
        <f>'Oahu COS and Allocation'!K450</f>
        <v>68.930275526519068</v>
      </c>
      <c r="N137" s="495">
        <f>'Oahu COS and Allocation'!L450</f>
        <v>69.524981331655894</v>
      </c>
      <c r="O137" s="495">
        <f>'Oahu COS and Allocation'!M450</f>
        <v>70.528452891169849</v>
      </c>
      <c r="P137" s="495">
        <f>'Oahu COS and Allocation'!N450</f>
        <v>71.477808366725483</v>
      </c>
      <c r="Q137" s="495">
        <f>'Oahu COS and Allocation'!O450</f>
        <v>72.03313734222165</v>
      </c>
      <c r="R137" s="495">
        <f>'Oahu COS and Allocation'!P450</f>
        <v>72.485924125118316</v>
      </c>
      <c r="S137" s="495">
        <f>'Oahu COS and Allocation'!Q450</f>
        <v>72.813689434978812</v>
      </c>
      <c r="T137" s="495">
        <f>'Oahu COS and Allocation'!R450</f>
        <v>73.950553668677358</v>
      </c>
      <c r="U137" s="495">
        <f>'Oahu COS and Allocation'!S450</f>
        <v>74.697474207690036</v>
      </c>
      <c r="V137" s="495">
        <f>'Oahu COS and Allocation'!T450</f>
        <v>75.074334604549449</v>
      </c>
      <c r="W137" s="495">
        <f>'Oahu COS and Allocation'!U450</f>
        <v>75.475643156925642</v>
      </c>
      <c r="X137" s="495">
        <f>'Oahu COS and Allocation'!V450</f>
        <v>75.672323006289716</v>
      </c>
      <c r="Y137" s="495">
        <f>'Oahu COS and Allocation'!W450</f>
        <v>78.556853370768536</v>
      </c>
      <c r="Z137" s="495">
        <f>'Oahu COS and Allocation'!X450</f>
        <v>79.096437069330122</v>
      </c>
      <c r="AA137" s="495">
        <f>'Oahu COS and Allocation'!Y450</f>
        <v>79.243776607634146</v>
      </c>
      <c r="AB137" s="495">
        <f>'Oahu COS and Allocation'!Z450</f>
        <v>79.589676726383857</v>
      </c>
      <c r="AC137" s="495">
        <f>'Oahu COS and Allocation'!AA450</f>
        <v>79.973826517134697</v>
      </c>
      <c r="AD137" s="495">
        <f>'Oahu COS and Allocation'!AB450</f>
        <v>80.104901781773791</v>
      </c>
      <c r="AE137" s="495"/>
      <c r="AF137" s="495"/>
      <c r="AG137" s="495"/>
      <c r="AH137" s="495"/>
      <c r="AI137" s="495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</row>
    <row r="138" spans="1:51" x14ac:dyDescent="0.25">
      <c r="A138" s="1"/>
      <c r="B138" s="1"/>
      <c r="C138" s="1"/>
      <c r="D138" s="1"/>
      <c r="E138" s="1" t="s">
        <v>39</v>
      </c>
      <c r="F138" s="1"/>
      <c r="G138" s="495">
        <f>'Oahu COS and Allocation'!E451</f>
        <v>2046.371686727008</v>
      </c>
      <c r="H138" s="495">
        <f>'Oahu COS and Allocation'!F451</f>
        <v>1925.885433023793</v>
      </c>
      <c r="I138" s="495">
        <f>'Oahu COS and Allocation'!G451</f>
        <v>1736.5453190331089</v>
      </c>
      <c r="J138" s="495">
        <f>'Oahu COS and Allocation'!H451</f>
        <v>1780.812444391913</v>
      </c>
      <c r="K138" s="495">
        <f>'Oahu COS and Allocation'!I451</f>
        <v>1803.2175537233018</v>
      </c>
      <c r="L138" s="495">
        <f>'Oahu COS and Allocation'!J451</f>
        <v>1825.568022333418</v>
      </c>
      <c r="M138" s="495">
        <f>'Oahu COS and Allocation'!K451</f>
        <v>1848.9612142289177</v>
      </c>
      <c r="N138" s="495">
        <f>'Oahu COS and Allocation'!L451</f>
        <v>1867.7037847236109</v>
      </c>
      <c r="O138" s="495">
        <f>'Oahu COS and Allocation'!M451</f>
        <v>1899.7138770759618</v>
      </c>
      <c r="P138" s="495">
        <f>'Oahu COS and Allocation'!N451</f>
        <v>1928.7959773008781</v>
      </c>
      <c r="Q138" s="495">
        <f>'Oahu COS and Allocation'!O451</f>
        <v>1946.4528940390805</v>
      </c>
      <c r="R138" s="495">
        <f>'Oahu COS and Allocation'!P451</f>
        <v>1960.0546712301752</v>
      </c>
      <c r="S138" s="495">
        <f>'Oahu COS and Allocation'!Q451</f>
        <v>1968.6494149683645</v>
      </c>
      <c r="T138" s="495">
        <f>'Oahu COS and Allocation'!R451</f>
        <v>2006.4006233555558</v>
      </c>
      <c r="U138" s="495">
        <f>'Oahu COS and Allocation'!S451</f>
        <v>2028.1987268864036</v>
      </c>
      <c r="V138" s="495">
        <f>'Oahu COS and Allocation'!T451</f>
        <v>2039.4532298246818</v>
      </c>
      <c r="W138" s="495">
        <f>'Oahu COS and Allocation'!U451</f>
        <v>2051.8413217009147</v>
      </c>
      <c r="X138" s="495">
        <f>'Oahu COS and Allocation'!V451</f>
        <v>2056.0455651859938</v>
      </c>
      <c r="Y138" s="495">
        <f>'Oahu COS and Allocation'!W451</f>
        <v>2154.7727362472629</v>
      </c>
      <c r="Z138" s="495">
        <f>'Oahu COS and Allocation'!X451</f>
        <v>2169.0299528840792</v>
      </c>
      <c r="AA138" s="495">
        <f>'Oahu COS and Allocation'!Y451</f>
        <v>2171.7809274786373</v>
      </c>
      <c r="AB138" s="495">
        <f>'Oahu COS and Allocation'!Z451</f>
        <v>2182.5864436593292</v>
      </c>
      <c r="AC138" s="495">
        <f>'Oahu COS and Allocation'!AA451</f>
        <v>2195.0183895634132</v>
      </c>
      <c r="AD138" s="495">
        <f>'Oahu COS and Allocation'!AB451</f>
        <v>2197.5403149436938</v>
      </c>
      <c r="AE138" s="495"/>
      <c r="AF138" s="495"/>
      <c r="AG138" s="495"/>
      <c r="AH138" s="495"/>
      <c r="AI138" s="495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</row>
    <row r="139" spans="1:51" x14ac:dyDescent="0.25">
      <c r="A139" s="1"/>
      <c r="B139" s="1"/>
      <c r="C139" s="1"/>
      <c r="D139" s="1"/>
      <c r="E139" s="1" t="s">
        <v>99</v>
      </c>
      <c r="F139" s="1"/>
      <c r="G139" s="495">
        <f>'Oahu COS and Allocation'!E452</f>
        <v>2151.7716907156255</v>
      </c>
      <c r="H139" s="495">
        <f>'Oahu COS and Allocation'!F452</f>
        <v>2025.0023190623556</v>
      </c>
      <c r="I139" s="495">
        <f>'Oahu COS and Allocation'!G452</f>
        <v>1825.7060172313923</v>
      </c>
      <c r="J139" s="495">
        <f>'Oahu COS and Allocation'!H452</f>
        <v>1872.1517569352188</v>
      </c>
      <c r="K139" s="495">
        <f>'Oahu COS and Allocation'!I452</f>
        <v>1895.5839834135904</v>
      </c>
      <c r="L139" s="495">
        <f>'Oahu COS and Allocation'!J452</f>
        <v>1919.0431160217101</v>
      </c>
      <c r="M139" s="495">
        <f>'Oahu COS and Allocation'!K452</f>
        <v>1943.5710894196129</v>
      </c>
      <c r="N139" s="495">
        <f>'Oahu COS and Allocation'!L452</f>
        <v>1963.2109588236926</v>
      </c>
      <c r="O139" s="495">
        <f>'Oahu COS and Allocation'!M452</f>
        <v>1996.7403744456763</v>
      </c>
      <c r="P139" s="495">
        <f>'Oahu COS and Allocation'!N452</f>
        <v>2027.1904869977757</v>
      </c>
      <c r="Q139" s="495">
        <f>'Oahu COS and Allocation'!O452</f>
        <v>2045.6971095013303</v>
      </c>
      <c r="R139" s="495">
        <f>'Oahu COS and Allocation'!P452</f>
        <v>2059.9423251980134</v>
      </c>
      <c r="S139" s="495">
        <f>'Oahu COS and Allocation'!Q452</f>
        <v>2068.9248978855258</v>
      </c>
      <c r="T139" s="495">
        <f>'Oahu COS and Allocation'!R452</f>
        <v>2108.4921494655491</v>
      </c>
      <c r="U139" s="495">
        <f>'Oahu COS and Allocation'!S452</f>
        <v>2131.2995524677294</v>
      </c>
      <c r="V139" s="495">
        <f>'Oahu COS and Allocation'!T452</f>
        <v>2143.0887826257135</v>
      </c>
      <c r="W139" s="495">
        <f>'Oahu COS and Allocation'!U452</f>
        <v>2156.0718896198464</v>
      </c>
      <c r="X139" s="495">
        <f>'Oahu COS and Allocation'!V452</f>
        <v>2160.4531778053547</v>
      </c>
      <c r="Y139" s="495">
        <f>'Oahu COS and Allocation'!W452</f>
        <v>2263.9451398025603</v>
      </c>
      <c r="Z139" s="495">
        <f>'Oahu COS and Allocation'!X452</f>
        <v>2278.8386426656739</v>
      </c>
      <c r="AA139" s="495">
        <f>'Oahu COS and Allocation'!Y452</f>
        <v>2281.7008268311206</v>
      </c>
      <c r="AB139" s="495">
        <f>'Oahu COS and Allocation'!Z452</f>
        <v>2293.0309822183203</v>
      </c>
      <c r="AC139" s="495">
        <f>'Oahu COS and Allocation'!AA452</f>
        <v>2306.0722726615481</v>
      </c>
      <c r="AD139" s="495">
        <f>'Oahu COS and Allocation'!AB452</f>
        <v>2308.7000205043591</v>
      </c>
      <c r="AE139" s="495"/>
      <c r="AF139" s="495"/>
      <c r="AG139" s="495"/>
      <c r="AH139" s="495"/>
      <c r="AI139" s="495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</row>
    <row r="140" spans="1:5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</row>
    <row r="141" spans="1:51" x14ac:dyDescent="0.25">
      <c r="A141" s="1"/>
      <c r="B141" s="1"/>
      <c r="C141" s="1"/>
      <c r="D141" s="1"/>
      <c r="E141" s="11" t="s">
        <v>748</v>
      </c>
      <c r="F141" s="1"/>
      <c r="G141" s="110">
        <v>2022</v>
      </c>
      <c r="H141" s="110">
        <v>2023</v>
      </c>
      <c r="I141" s="110">
        <v>2024</v>
      </c>
      <c r="J141" s="110">
        <v>2025</v>
      </c>
      <c r="K141" s="110">
        <v>2026</v>
      </c>
      <c r="L141" s="110">
        <v>2027</v>
      </c>
      <c r="M141" s="110">
        <v>2028</v>
      </c>
      <c r="N141" s="110">
        <v>2029</v>
      </c>
      <c r="O141" s="110">
        <v>2030</v>
      </c>
      <c r="P141" s="110">
        <v>2031</v>
      </c>
      <c r="Q141" s="110">
        <v>2032</v>
      </c>
      <c r="R141" s="110">
        <v>2033</v>
      </c>
      <c r="S141" s="110">
        <v>2034</v>
      </c>
      <c r="T141" s="110">
        <v>2035</v>
      </c>
      <c r="U141" s="110">
        <v>2036</v>
      </c>
      <c r="V141" s="110">
        <v>2037</v>
      </c>
      <c r="W141" s="110">
        <v>2038</v>
      </c>
      <c r="X141" s="110">
        <v>2039</v>
      </c>
      <c r="Y141" s="110">
        <v>2040</v>
      </c>
      <c r="Z141" s="110">
        <v>2041</v>
      </c>
      <c r="AA141" s="110">
        <v>2042</v>
      </c>
      <c r="AB141" s="110">
        <v>2043</v>
      </c>
      <c r="AC141" s="110">
        <v>2044</v>
      </c>
      <c r="AD141" s="110">
        <v>2045</v>
      </c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</row>
    <row r="142" spans="1:51" x14ac:dyDescent="0.25">
      <c r="A142" s="1"/>
      <c r="B142" s="1"/>
      <c r="C142" s="1"/>
      <c r="D142" s="1"/>
      <c r="E142" s="1" t="s">
        <v>739</v>
      </c>
      <c r="F142" s="1"/>
      <c r="G142" s="502">
        <f>'Oahu COS and Allocation'!J23</f>
        <v>40635163.308916375</v>
      </c>
      <c r="H142" s="502">
        <f>'Oahu COS and Allocation'!K23</f>
        <v>41155551.337437518</v>
      </c>
      <c r="I142" s="502">
        <f>'Oahu COS and Allocation'!L23</f>
        <v>41905849.820213951</v>
      </c>
      <c r="J142" s="502">
        <f>'Oahu COS and Allocation'!M23</f>
        <v>42580421.601347968</v>
      </c>
      <c r="K142" s="502">
        <f>'Oahu COS and Allocation'!N23</f>
        <v>43587189.47687611</v>
      </c>
      <c r="L142" s="502">
        <f>'Oahu COS and Allocation'!O23</f>
        <v>43952107.425779328</v>
      </c>
      <c r="M142" s="502">
        <f>'Oahu COS and Allocation'!P23</f>
        <v>44549176.257660255</v>
      </c>
      <c r="N142" s="502">
        <f>'Oahu COS and Allocation'!Q23</f>
        <v>45141693.150897801</v>
      </c>
      <c r="O142" s="502">
        <f>'Oahu COS and Allocation'!R23</f>
        <v>45913671.638609812</v>
      </c>
      <c r="P142" s="502">
        <f>'Oahu COS and Allocation'!S23</f>
        <v>47008062.324869886</v>
      </c>
      <c r="Q142" s="502">
        <f>'Oahu COS and Allocation'!T23</f>
        <v>47564304.377384901</v>
      </c>
      <c r="R142" s="502">
        <f>'Oahu COS and Allocation'!U23</f>
        <v>48116945.3650406</v>
      </c>
      <c r="S142" s="502">
        <f>'Oahu COS and Allocation'!V23</f>
        <v>48666334.603582695</v>
      </c>
      <c r="T142" s="502">
        <f>'Oahu COS and Allocation'!W23</f>
        <v>49446424.680379681</v>
      </c>
      <c r="U142" s="502">
        <f>'Oahu COS and Allocation'!X23</f>
        <v>50487649.067643918</v>
      </c>
      <c r="V142" s="502">
        <f>'Oahu COS and Allocation'!Y23</f>
        <v>50991500.159168959</v>
      </c>
      <c r="W142" s="502">
        <f>'Oahu COS and Allocation'!Z23</f>
        <v>51485329.160002671</v>
      </c>
      <c r="X142" s="502">
        <f>'Oahu COS and Allocation'!AA23</f>
        <v>51983322.247913986</v>
      </c>
      <c r="Y142" s="502">
        <f>'Oahu COS and Allocation'!AB23</f>
        <v>53364634.831128687</v>
      </c>
      <c r="Z142" s="502">
        <f>'Oahu COS and Allocation'!AC23</f>
        <v>54361596.868772835</v>
      </c>
      <c r="AA142" s="502">
        <f>'Oahu COS and Allocation'!AD23</f>
        <v>54826972.639066994</v>
      </c>
      <c r="AB142" s="502">
        <f>'Oahu COS and Allocation'!AE23</f>
        <v>55268222.100661784</v>
      </c>
      <c r="AC142" s="502">
        <f>'Oahu COS and Allocation'!AF23</f>
        <v>55696134.491505675</v>
      </c>
      <c r="AD142" s="502">
        <f>'Oahu COS and Allocation'!AG23</f>
        <v>56138627.077188201</v>
      </c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</row>
    <row r="143" spans="1:51" x14ac:dyDescent="0.25">
      <c r="A143" s="1"/>
      <c r="B143" s="1"/>
      <c r="C143" s="1"/>
      <c r="D143" s="1"/>
      <c r="E143" s="1" t="s">
        <v>31</v>
      </c>
      <c r="F143" s="1"/>
      <c r="G143" s="502">
        <f>'SNG Plant'!J24</f>
        <v>15704657.261667445</v>
      </c>
      <c r="H143" s="502">
        <f>'SNG Plant'!K24</f>
        <v>16582488.152137702</v>
      </c>
      <c r="I143" s="502">
        <f>'SNG Plant'!L24</f>
        <v>16941648.27739979</v>
      </c>
      <c r="J143" s="502">
        <f>'SNG Plant'!M24</f>
        <v>16979529.647946808</v>
      </c>
      <c r="K143" s="502">
        <f>'SNG Plant'!N24</f>
        <v>16980647.83563837</v>
      </c>
      <c r="L143" s="502">
        <f>'SNG Plant'!O24</f>
        <v>17053566.275524013</v>
      </c>
      <c r="M143" s="502">
        <f>'SNG Plant'!P24</f>
        <v>17305624.204126336</v>
      </c>
      <c r="N143" s="502">
        <f>'SNG Plant'!Q24</f>
        <v>17554995.176602304</v>
      </c>
      <c r="O143" s="502">
        <f>'SNG Plant'!R24</f>
        <v>17798655.351806428</v>
      </c>
      <c r="P143" s="502">
        <f>'SNG Plant'!S24</f>
        <v>18033203.548085857</v>
      </c>
      <c r="Q143" s="502">
        <f>'SNG Plant'!T24</f>
        <v>18265316.953006368</v>
      </c>
      <c r="R143" s="502">
        <f>'SNG Plant'!U24</f>
        <v>18495316.366022997</v>
      </c>
      <c r="S143" s="502">
        <f>'SNG Plant'!V24</f>
        <v>18723398.324574862</v>
      </c>
      <c r="T143" s="502">
        <f>'SNG Plant'!W24</f>
        <v>18943580.887654342</v>
      </c>
      <c r="U143" s="502">
        <f>'SNG Plant'!X24</f>
        <v>19153863.970620126</v>
      </c>
      <c r="V143" s="502">
        <f>'SNG Plant'!Y24</f>
        <v>19362012.661854565</v>
      </c>
      <c r="W143" s="502">
        <f>'SNG Plant'!Z24</f>
        <v>19563567.479454681</v>
      </c>
      <c r="X143" s="502">
        <f>'SNG Plant'!AA24</f>
        <v>19768094.987311859</v>
      </c>
      <c r="Y143" s="502">
        <f>'SNG Plant'!AB24</f>
        <v>19954473.510374613</v>
      </c>
      <c r="Z143" s="502">
        <f>'SNG Plant'!AC24</f>
        <v>20141982.952531327</v>
      </c>
      <c r="AA143" s="502">
        <f>'SNG Plant'!AD24</f>
        <v>20330445.691216819</v>
      </c>
      <c r="AB143" s="502">
        <f>'SNG Plant'!AE24</f>
        <v>20502790.68423697</v>
      </c>
      <c r="AC143" s="502">
        <f>'SNG Plant'!AF24</f>
        <v>20667029.861938592</v>
      </c>
      <c r="AD143" s="502">
        <f>'SNG Plant'!AG24</f>
        <v>20841041.489349321</v>
      </c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</row>
    <row r="144" spans="1:51" x14ac:dyDescent="0.25">
      <c r="A144" s="1"/>
      <c r="B144" s="1"/>
      <c r="C144" s="1"/>
      <c r="D144" s="1"/>
      <c r="E144" s="1"/>
      <c r="F144" s="1"/>
      <c r="G144" s="502"/>
      <c r="H144" s="502"/>
      <c r="I144" s="502"/>
      <c r="J144" s="502"/>
      <c r="K144" s="502"/>
      <c r="L144" s="502"/>
      <c r="M144" s="502"/>
      <c r="N144" s="502"/>
      <c r="O144" s="502"/>
      <c r="P144" s="502"/>
      <c r="Q144" s="502"/>
      <c r="R144" s="502"/>
      <c r="S144" s="502"/>
      <c r="T144" s="502"/>
      <c r="U144" s="502"/>
      <c r="V144" s="502"/>
      <c r="W144" s="502"/>
      <c r="X144" s="502"/>
      <c r="Y144" s="502"/>
      <c r="Z144" s="502"/>
      <c r="AA144" s="502"/>
      <c r="AB144" s="502"/>
      <c r="AC144" s="502"/>
      <c r="AD144" s="502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</row>
    <row r="145" spans="1:5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</row>
    <row r="146" spans="1:51" x14ac:dyDescent="0.25">
      <c r="A146" s="1"/>
      <c r="B146" s="1"/>
      <c r="C146" s="1"/>
      <c r="D146" s="1"/>
      <c r="E146" s="11" t="s">
        <v>742</v>
      </c>
      <c r="F146" s="1"/>
      <c r="G146" s="110">
        <v>2022</v>
      </c>
      <c r="H146" s="110">
        <v>2023</v>
      </c>
      <c r="I146" s="110">
        <v>2024</v>
      </c>
      <c r="J146" s="110">
        <v>2025</v>
      </c>
      <c r="K146" s="110">
        <v>2026</v>
      </c>
      <c r="L146" s="110">
        <v>2027</v>
      </c>
      <c r="M146" s="110">
        <v>2028</v>
      </c>
      <c r="N146" s="110">
        <v>2029</v>
      </c>
      <c r="O146" s="110">
        <v>2030</v>
      </c>
      <c r="P146" s="110">
        <v>2031</v>
      </c>
      <c r="Q146" s="110">
        <v>2032</v>
      </c>
      <c r="R146" s="110">
        <v>2033</v>
      </c>
      <c r="S146" s="110">
        <v>2034</v>
      </c>
      <c r="T146" s="110">
        <v>2035</v>
      </c>
      <c r="U146" s="110">
        <v>2036</v>
      </c>
      <c r="V146" s="110">
        <v>2037</v>
      </c>
      <c r="W146" s="110">
        <v>2038</v>
      </c>
      <c r="X146" s="110">
        <v>2039</v>
      </c>
      <c r="Y146" s="110">
        <v>2040</v>
      </c>
      <c r="Z146" s="110">
        <v>2041</v>
      </c>
      <c r="AA146" s="110">
        <v>2042</v>
      </c>
      <c r="AB146" s="110">
        <v>2043</v>
      </c>
      <c r="AC146" s="110">
        <v>2044</v>
      </c>
      <c r="AD146" s="110">
        <v>2045</v>
      </c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</row>
    <row r="147" spans="1:51" s="519" customFormat="1" x14ac:dyDescent="0.25">
      <c r="A147" s="517"/>
      <c r="B147" s="517"/>
      <c r="C147" s="517"/>
      <c r="D147" s="517"/>
      <c r="E147" s="517" t="s">
        <v>747</v>
      </c>
      <c r="F147" s="517"/>
      <c r="G147" s="518">
        <f>G137*12-('Oahu COS and Allocation'!J435*'Oahu COS and Allocation'!$C$450*12)</f>
        <v>510.09298209496018</v>
      </c>
      <c r="H147" s="518">
        <f>H137*12-('Oahu COS and Allocation'!K435*'Oahu COS and Allocation'!$C$450*12)</f>
        <v>514.34434362904028</v>
      </c>
      <c r="I147" s="518">
        <f>I137*12-('Oahu COS and Allocation'!L435*'Oahu COS and Allocation'!$C$450*12)</f>
        <v>521.37418267960629</v>
      </c>
      <c r="J147" s="518">
        <f>J137*12-('Oahu COS and Allocation'!M435*'Oahu COS and Allocation'!$C$450*12)</f>
        <v>525.51289260100157</v>
      </c>
      <c r="K147" s="518">
        <f>K137*12-('Oahu COS and Allocation'!N435*'Oahu COS and Allocation'!$C$450*12)</f>
        <v>531.3381709895873</v>
      </c>
      <c r="L147" s="518">
        <f>L137*12-('Oahu COS and Allocation'!O435*'Oahu COS and Allocation'!$C$450*12)</f>
        <v>533.36820123766347</v>
      </c>
      <c r="M147" s="518">
        <f>M137*12-('Oahu COS and Allocation'!P435*'Oahu COS and Allocation'!$C$450*12)</f>
        <v>537.55366251951102</v>
      </c>
      <c r="N147" s="518">
        <f>N137*12-('Oahu COS and Allocation'!Q435*'Oahu COS and Allocation'!$C$450*12)</f>
        <v>541.4905476913234</v>
      </c>
      <c r="O147" s="518">
        <f>O137*12-('Oahu COS and Allocation'!R435*'Oahu COS and Allocation'!$C$450*12)</f>
        <v>547.13662147522859</v>
      </c>
      <c r="P147" s="518">
        <f>P137*12-('Oahu COS and Allocation'!S435*'Oahu COS and Allocation'!$C$450*12)</f>
        <v>554.23633721734188</v>
      </c>
      <c r="Q147" s="518">
        <f>Q137*12-('Oahu COS and Allocation'!T435*'Oahu COS and Allocation'!$C$450*12)</f>
        <v>557.60110562290265</v>
      </c>
      <c r="R147" s="518">
        <f>R137*12-('Oahu COS and Allocation'!U435*'Oahu COS and Allocation'!$C$450*12)</f>
        <v>560.70587341978739</v>
      </c>
      <c r="S147" s="518">
        <f>S137*12-('Oahu COS and Allocation'!V435*'Oahu COS and Allocation'!$C$450*12)</f>
        <v>563.54698775141708</v>
      </c>
      <c r="T147" s="518">
        <f>T137*12-('Oahu COS and Allocation'!W435*'Oahu COS and Allocation'!$C$450*12)</f>
        <v>568.64507527274236</v>
      </c>
      <c r="U147" s="518">
        <f>U137*12-('Oahu COS and Allocation'!X435*'Oahu COS and Allocation'!$C$450*12)</f>
        <v>574.60484679466663</v>
      </c>
      <c r="V147" s="518">
        <f>V137*12-('Oahu COS and Allocation'!Y435*'Oahu COS and Allocation'!$C$450*12)</f>
        <v>576.93255245920636</v>
      </c>
      <c r="W147" s="518">
        <f>W137*12-('Oahu COS and Allocation'!Z435*'Oahu COS and Allocation'!$C$450*12)</f>
        <v>579.14531689803812</v>
      </c>
      <c r="X147" s="518">
        <f>X137*12-('Oahu COS and Allocation'!AA435*'Oahu COS and Allocation'!$C$450*12)</f>
        <v>580.96922659347001</v>
      </c>
      <c r="Y147" s="518">
        <f>Y137*12-('Oahu COS and Allocation'!AB435*'Oahu COS and Allocation'!$C$450*12)</f>
        <v>591.55217989100959</v>
      </c>
      <c r="Z147" s="518">
        <f>Z137*12-('Oahu COS and Allocation'!AC435*'Oahu COS and Allocation'!$C$450*12)</f>
        <v>596.42212999828303</v>
      </c>
      <c r="AA147" s="518">
        <f>AA137*12-('Oahu COS and Allocation'!AD435*'Oahu COS and Allocation'!$C$450*12)</f>
        <v>597.69509537117574</v>
      </c>
      <c r="AB147" s="518">
        <f>AB137*12-('Oahu COS and Allocation'!AE435*'Oahu COS and Allocation'!$C$450*12)</f>
        <v>599.15842425187247</v>
      </c>
      <c r="AC147" s="518">
        <f>AC137*12-('Oahu COS and Allocation'!AF435*'Oahu COS and Allocation'!$C$450*12)</f>
        <v>600.56846005718103</v>
      </c>
      <c r="AD147" s="518">
        <f>AD137*12-('Oahu COS and Allocation'!AG435*'Oahu COS and Allocation'!$C$450*12)</f>
        <v>601.40638324269878</v>
      </c>
      <c r="AE147" s="517"/>
      <c r="AF147" s="517"/>
      <c r="AG147" s="517"/>
      <c r="AH147" s="517"/>
      <c r="AI147" s="517"/>
      <c r="AJ147" s="517"/>
      <c r="AK147" s="517"/>
      <c r="AL147" s="517"/>
      <c r="AM147" s="517"/>
      <c r="AN147" s="517"/>
      <c r="AO147" s="517"/>
      <c r="AP147" s="517"/>
      <c r="AQ147" s="517"/>
      <c r="AR147" s="517"/>
      <c r="AS147" s="517"/>
      <c r="AT147" s="517"/>
      <c r="AU147" s="517"/>
      <c r="AV147" s="517"/>
      <c r="AW147" s="517"/>
      <c r="AX147" s="517"/>
      <c r="AY147" s="517"/>
    </row>
    <row r="148" spans="1:51" x14ac:dyDescent="0.25">
      <c r="A148" s="1"/>
      <c r="B148" s="1"/>
      <c r="C148" s="1"/>
      <c r="D148" s="1"/>
      <c r="E148" s="1" t="s">
        <v>743</v>
      </c>
      <c r="F148" s="1"/>
      <c r="G148" s="502">
        <f>('Oahu COS and Allocation'!J$365+'Oahu COS and Allocation'!J$379)/('Oahu COS and Allocation'!J$337*0.95)*12-(('Oahu COS and Allocation'!J$365+'Oahu COS and Allocation'!J$379)/('Oahu COS and Allocation'!J$337)*12)</f>
        <v>26.846999057629489</v>
      </c>
      <c r="H148" s="502">
        <f>('Oahu COS and Allocation'!K$365+'Oahu COS and Allocation'!K$379)/('Oahu COS and Allocation'!K$337*0.95)*12-(('Oahu COS and Allocation'!K$365+'Oahu COS and Allocation'!K$379)/('Oahu COS and Allocation'!K$337)*12)</f>
        <v>27.070754927844291</v>
      </c>
      <c r="I148" s="502">
        <f>('Oahu COS and Allocation'!L$365+'Oahu COS and Allocation'!L$379)/('Oahu COS and Allocation'!L$337*0.95)*12-(('Oahu COS and Allocation'!L$365+'Oahu COS and Allocation'!L$379)/('Oahu COS and Allocation'!L$337)*12)</f>
        <v>27.440746456821444</v>
      </c>
      <c r="J148" s="502">
        <f>('Oahu COS and Allocation'!M$365+'Oahu COS and Allocation'!M$379)/('Oahu COS and Allocation'!M$337*0.95)*12-(('Oahu COS and Allocation'!M$365+'Oahu COS and Allocation'!M$379)/('Oahu COS and Allocation'!M$337)*12)</f>
        <v>27.658573294789562</v>
      </c>
      <c r="K148" s="502">
        <f>('Oahu COS and Allocation'!N$365+'Oahu COS and Allocation'!N$379)/('Oahu COS and Allocation'!N$337*0.95)*12-(('Oahu COS and Allocation'!N$365+'Oahu COS and Allocation'!N$379)/('Oahu COS and Allocation'!N$337)*12)</f>
        <v>27.965166894188769</v>
      </c>
      <c r="L148" s="502">
        <f>('Oahu COS and Allocation'!O$365+'Oahu COS and Allocation'!O$379)/('Oahu COS and Allocation'!O$337*0.95)*12-(('Oahu COS and Allocation'!O$365+'Oahu COS and Allocation'!O$379)/('Oahu COS and Allocation'!O$337)*12)</f>
        <v>28.072010591455864</v>
      </c>
      <c r="M148" s="502">
        <f>('Oahu COS and Allocation'!P$365+'Oahu COS and Allocation'!P$379)/('Oahu COS and Allocation'!P$337*0.95)*12-(('Oahu COS and Allocation'!P$365+'Oahu COS and Allocation'!P$379)/('Oahu COS and Allocation'!P$337)*12)</f>
        <v>28.292298027342667</v>
      </c>
      <c r="N148" s="502">
        <f>('Oahu COS and Allocation'!Q$365+'Oahu COS and Allocation'!Q$379)/('Oahu COS and Allocation'!Q$337*0.95)*12-(('Oahu COS and Allocation'!Q$365+'Oahu COS and Allocation'!Q$379)/('Oahu COS and Allocation'!Q$337)*12)</f>
        <v>28.499502510069647</v>
      </c>
      <c r="O148" s="502">
        <f>('Oahu COS and Allocation'!R$365+'Oahu COS and Allocation'!R$379)/('Oahu COS and Allocation'!R$337*0.95)*12-(('Oahu COS and Allocation'!R$365+'Oahu COS and Allocation'!R$379)/('Oahu COS and Allocation'!R$337)*12)</f>
        <v>28.79666428816995</v>
      </c>
      <c r="P148" s="502">
        <f>('Oahu COS and Allocation'!S$365+'Oahu COS and Allocation'!S$379)/('Oahu COS and Allocation'!S$337*0.95)*12-(('Oahu COS and Allocation'!S$365+'Oahu COS and Allocation'!S$379)/('Oahu COS and Allocation'!S$337)*12)</f>
        <v>29.170333537754914</v>
      </c>
      <c r="Q148" s="502">
        <f>('Oahu COS and Allocation'!T$365+'Oahu COS and Allocation'!T$379)/('Oahu COS and Allocation'!T$337*0.95)*12-(('Oahu COS and Allocation'!T$365+'Oahu COS and Allocation'!T$379)/('Oahu COS and Allocation'!T$337)*12)</f>
        <v>29.347426611731635</v>
      </c>
      <c r="R148" s="502">
        <f>('Oahu COS and Allocation'!U$365+'Oahu COS and Allocation'!U$379)/('Oahu COS and Allocation'!U$337*0.95)*12-(('Oahu COS and Allocation'!U$365+'Oahu COS and Allocation'!U$379)/('Oahu COS and Allocation'!U$337)*12)</f>
        <v>29.510835443146675</v>
      </c>
      <c r="S148" s="502">
        <f>('Oahu COS and Allocation'!V$365+'Oahu COS and Allocation'!V$379)/('Oahu COS and Allocation'!V$337*0.95)*12-(('Oahu COS and Allocation'!V$365+'Oahu COS and Allocation'!V$379)/('Oahu COS and Allocation'!V$337)*12)</f>
        <v>29.660367776390558</v>
      </c>
      <c r="T148" s="502">
        <f>('Oahu COS and Allocation'!W$365+'Oahu COS and Allocation'!W$379)/('Oahu COS and Allocation'!W$337*0.95)*12-(('Oahu COS and Allocation'!W$365+'Oahu COS and Allocation'!W$379)/('Oahu COS and Allocation'!W$337)*12)</f>
        <v>29.928688172249622</v>
      </c>
      <c r="U148" s="502">
        <f>('Oahu COS and Allocation'!X$365+'Oahu COS and Allocation'!X$379)/('Oahu COS and Allocation'!X$337*0.95)*12-(('Oahu COS and Allocation'!X$365+'Oahu COS and Allocation'!X$379)/('Oahu COS and Allocation'!X$337)*12)</f>
        <v>30.242360357613961</v>
      </c>
      <c r="V148" s="502">
        <f>('Oahu COS and Allocation'!Y$365+'Oahu COS and Allocation'!Y$379)/('Oahu COS and Allocation'!Y$337*0.95)*12-(('Oahu COS and Allocation'!Y$365+'Oahu COS and Allocation'!Y$379)/('Oahu COS and Allocation'!Y$337)*12)</f>
        <v>30.364871182063553</v>
      </c>
      <c r="W148" s="502">
        <f>('Oahu COS and Allocation'!Z$365+'Oahu COS and Allocation'!Z$379)/('Oahu COS and Allocation'!Z$337*0.95)*12-(('Oahu COS and Allocation'!Z$365+'Oahu COS and Allocation'!Z$379)/('Oahu COS and Allocation'!Z$337)*12)</f>
        <v>30.481332468317987</v>
      </c>
      <c r="X148" s="502">
        <f>('Oahu COS and Allocation'!AA$365+'Oahu COS and Allocation'!AA$379)/('Oahu COS and Allocation'!AA$337*0.95)*12-(('Oahu COS and Allocation'!AA$365+'Oahu COS and Allocation'!AA$379)/('Oahu COS and Allocation'!AA$337)*12)</f>
        <v>30.57732771544579</v>
      </c>
      <c r="Y148" s="502">
        <f>('Oahu COS and Allocation'!AB$365+'Oahu COS and Allocation'!AB$379)/('Oahu COS and Allocation'!AB$337*0.95)*12-(('Oahu COS and Allocation'!AB$365+'Oahu COS and Allocation'!AB$379)/('Oahu COS and Allocation'!AB$337)*12)</f>
        <v>31.134325257421665</v>
      </c>
      <c r="Z148" s="502">
        <f>('Oahu COS and Allocation'!AC$365+'Oahu COS and Allocation'!AC$379)/('Oahu COS and Allocation'!AC$337*0.95)*12-(('Oahu COS and Allocation'!AC$365+'Oahu COS and Allocation'!AC$379)/('Oahu COS and Allocation'!AC$337)*12)</f>
        <v>31.390638420962205</v>
      </c>
      <c r="AA148" s="502">
        <f>('Oahu COS and Allocation'!AD$365+'Oahu COS and Allocation'!AD$379)/('Oahu COS and Allocation'!AD$337*0.95)*12-(('Oahu COS and Allocation'!AD$365+'Oahu COS and Allocation'!AD$379)/('Oahu COS and Allocation'!AD$337)*12)</f>
        <v>31.457636598483077</v>
      </c>
      <c r="AB148" s="502">
        <f>('Oahu COS and Allocation'!AE$365+'Oahu COS and Allocation'!AE$379)/('Oahu COS and Allocation'!AE$337*0.95)*12-(('Oahu COS and Allocation'!AE$365+'Oahu COS and Allocation'!AE$379)/('Oahu COS and Allocation'!AE$337)*12)</f>
        <v>31.534653907993288</v>
      </c>
      <c r="AC148" s="502">
        <f>('Oahu COS and Allocation'!AF$365+'Oahu COS and Allocation'!AF$379)/('Oahu COS and Allocation'!AF$337*0.95)*12-(('Oahu COS and Allocation'!AF$365+'Oahu COS and Allocation'!AF$379)/('Oahu COS and Allocation'!AF$337)*12)</f>
        <v>31.60886631879896</v>
      </c>
      <c r="AD148" s="502">
        <f>('Oahu COS and Allocation'!AG$365+'Oahu COS and Allocation'!AG$379)/('Oahu COS and Allocation'!AG$337*0.95)*12-(('Oahu COS and Allocation'!AG$365+'Oahu COS and Allocation'!AG$379)/('Oahu COS and Allocation'!AG$337)*12)</f>
        <v>31.652967539089445</v>
      </c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</row>
    <row r="149" spans="1:51" x14ac:dyDescent="0.25">
      <c r="A149" s="1"/>
      <c r="B149" s="1"/>
      <c r="C149" s="1"/>
      <c r="D149" s="1"/>
      <c r="E149" s="1" t="s">
        <v>744</v>
      </c>
      <c r="F149" s="1"/>
      <c r="G149" s="502">
        <f>('Oahu COS and Allocation'!J$365+'Oahu COS and Allocation'!J$379)/('Oahu COS and Allocation'!J$337*0.9)*12-(('Oahu COS and Allocation'!J$365+'Oahu COS and Allocation'!J$379)/('Oahu COS and Allocation'!J$337)*12)</f>
        <v>56.676998010551017</v>
      </c>
      <c r="H149" s="502">
        <f>('Oahu COS and Allocation'!K$365+'Oahu COS and Allocation'!K$379)/('Oahu COS and Allocation'!K$337*0.9)*12-(('Oahu COS and Allocation'!K$365+'Oahu COS and Allocation'!K$379)/('Oahu COS and Allocation'!K$337)*12)</f>
        <v>57.149371514337759</v>
      </c>
      <c r="I149" s="502">
        <f>('Oahu COS and Allocation'!L$365+'Oahu COS and Allocation'!L$379)/('Oahu COS and Allocation'!L$337*0.9)*12-(('Oahu COS and Allocation'!L$365+'Oahu COS and Allocation'!L$379)/('Oahu COS and Allocation'!L$337)*12)</f>
        <v>57.930464742178515</v>
      </c>
      <c r="J149" s="502">
        <f>('Oahu COS and Allocation'!M$365+'Oahu COS and Allocation'!M$379)/('Oahu COS and Allocation'!M$337*0.9)*12-(('Oahu COS and Allocation'!M$365+'Oahu COS and Allocation'!M$379)/('Oahu COS and Allocation'!M$337)*12)</f>
        <v>58.390321400111247</v>
      </c>
      <c r="K149" s="502">
        <f>('Oahu COS and Allocation'!N$365+'Oahu COS and Allocation'!N$379)/('Oahu COS and Allocation'!N$337*0.9)*12-(('Oahu COS and Allocation'!N$365+'Oahu COS and Allocation'!N$379)/('Oahu COS and Allocation'!N$337)*12)</f>
        <v>59.037574554398589</v>
      </c>
      <c r="L149" s="502">
        <f>('Oahu COS and Allocation'!O$365+'Oahu COS and Allocation'!O$379)/('Oahu COS and Allocation'!O$337*0.9)*12-(('Oahu COS and Allocation'!O$365+'Oahu COS and Allocation'!O$379)/('Oahu COS and Allocation'!O$337)*12)</f>
        <v>59.263133470851471</v>
      </c>
      <c r="M149" s="502">
        <f>('Oahu COS and Allocation'!P$365+'Oahu COS and Allocation'!P$379)/('Oahu COS and Allocation'!P$337*0.9)*12-(('Oahu COS and Allocation'!P$365+'Oahu COS and Allocation'!P$379)/('Oahu COS and Allocation'!P$337)*12)</f>
        <v>59.728184724390076</v>
      </c>
      <c r="N149" s="502">
        <f>('Oahu COS and Allocation'!Q$365+'Oahu COS and Allocation'!Q$379)/('Oahu COS and Allocation'!Q$337*0.9)*12-(('Oahu COS and Allocation'!Q$365+'Oahu COS and Allocation'!Q$379)/('Oahu COS and Allocation'!Q$337)*12)</f>
        <v>60.165616410146981</v>
      </c>
      <c r="O149" s="502">
        <f>('Oahu COS and Allocation'!R$365+'Oahu COS and Allocation'!R$379)/('Oahu COS and Allocation'!R$337*0.9)*12-(('Oahu COS and Allocation'!R$365+'Oahu COS and Allocation'!R$379)/('Oahu COS and Allocation'!R$337)*12)</f>
        <v>60.792957941692066</v>
      </c>
      <c r="P149" s="502">
        <f>('Oahu COS and Allocation'!S$365+'Oahu COS and Allocation'!S$379)/('Oahu COS and Allocation'!S$337*0.9)*12-(('Oahu COS and Allocation'!S$365+'Oahu COS and Allocation'!S$379)/('Oahu COS and Allocation'!S$337)*12)</f>
        <v>61.581815246371207</v>
      </c>
      <c r="Q149" s="502">
        <f>('Oahu COS and Allocation'!T$365+'Oahu COS and Allocation'!T$379)/('Oahu COS and Allocation'!T$337*0.9)*12-(('Oahu COS and Allocation'!T$365+'Oahu COS and Allocation'!T$379)/('Oahu COS and Allocation'!T$337)*12)</f>
        <v>61.955678402544663</v>
      </c>
      <c r="R149" s="502">
        <f>('Oahu COS and Allocation'!U$365+'Oahu COS and Allocation'!U$379)/('Oahu COS and Allocation'!U$337*0.9)*12-(('Oahu COS and Allocation'!U$365+'Oahu COS and Allocation'!U$379)/('Oahu COS and Allocation'!U$337)*12)</f>
        <v>62.300652602198625</v>
      </c>
      <c r="S149" s="502">
        <f>('Oahu COS and Allocation'!V$365+'Oahu COS and Allocation'!V$379)/('Oahu COS and Allocation'!V$337*0.9)*12-(('Oahu COS and Allocation'!V$365+'Oahu COS and Allocation'!V$379)/('Oahu COS and Allocation'!V$337)*12)</f>
        <v>62.616331972379612</v>
      </c>
      <c r="T149" s="502">
        <f>('Oahu COS and Allocation'!W$365+'Oahu COS and Allocation'!W$379)/('Oahu COS and Allocation'!W$337*0.9)*12-(('Oahu COS and Allocation'!W$365+'Oahu COS and Allocation'!W$379)/('Oahu COS and Allocation'!W$337)*12)</f>
        <v>63.182786141415818</v>
      </c>
      <c r="U149" s="502">
        <f>('Oahu COS and Allocation'!X$365+'Oahu COS and Allocation'!X$379)/('Oahu COS and Allocation'!X$337*0.9)*12-(('Oahu COS and Allocation'!X$365+'Oahu COS and Allocation'!X$379)/('Oahu COS and Allocation'!X$337)*12)</f>
        <v>63.844982977185282</v>
      </c>
      <c r="V149" s="502">
        <f>('Oahu COS and Allocation'!Y$365+'Oahu COS and Allocation'!Y$379)/('Oahu COS and Allocation'!Y$337*0.9)*12-(('Oahu COS and Allocation'!Y$365+'Oahu COS and Allocation'!Y$379)/('Oahu COS and Allocation'!Y$337)*12)</f>
        <v>64.103616939911831</v>
      </c>
      <c r="W149" s="502">
        <f>('Oahu COS and Allocation'!Z$365+'Oahu COS and Allocation'!Z$379)/('Oahu COS and Allocation'!Z$337*0.9)*12-(('Oahu COS and Allocation'!Z$365+'Oahu COS and Allocation'!Z$379)/('Oahu COS and Allocation'!Z$337)*12)</f>
        <v>64.349479655337632</v>
      </c>
      <c r="X149" s="502">
        <f>('Oahu COS and Allocation'!AA$365+'Oahu COS and Allocation'!AA$379)/('Oahu COS and Allocation'!AA$337*0.9)*12-(('Oahu COS and Allocation'!AA$365+'Oahu COS and Allocation'!AA$379)/('Oahu COS and Allocation'!AA$337)*12)</f>
        <v>64.552136288163297</v>
      </c>
      <c r="Y149" s="502">
        <f>('Oahu COS and Allocation'!AB$365+'Oahu COS and Allocation'!AB$379)/('Oahu COS and Allocation'!AB$337*0.9)*12-(('Oahu COS and Allocation'!AB$365+'Oahu COS and Allocation'!AB$379)/('Oahu COS and Allocation'!AB$337)*12)</f>
        <v>65.728019987890093</v>
      </c>
      <c r="Z149" s="502">
        <f>('Oahu COS and Allocation'!AC$365+'Oahu COS and Allocation'!AC$379)/('Oahu COS and Allocation'!AC$337*0.9)*12-(('Oahu COS and Allocation'!AC$365+'Oahu COS and Allocation'!AC$379)/('Oahu COS and Allocation'!AC$337)*12)</f>
        <v>66.269125555364781</v>
      </c>
      <c r="AA149" s="502">
        <f>('Oahu COS and Allocation'!AD$365+'Oahu COS and Allocation'!AD$379)/('Oahu COS and Allocation'!AD$337*0.9)*12-(('Oahu COS and Allocation'!AD$365+'Oahu COS and Allocation'!AD$379)/('Oahu COS and Allocation'!AD$337)*12)</f>
        <v>66.410566152352885</v>
      </c>
      <c r="AB149" s="502">
        <f>('Oahu COS and Allocation'!AE$365+'Oahu COS and Allocation'!AE$379)/('Oahu COS and Allocation'!AE$337*0.9)*12-(('Oahu COS and Allocation'!AE$365+'Oahu COS and Allocation'!AE$379)/('Oahu COS and Allocation'!AE$337)*12)</f>
        <v>66.573158250208053</v>
      </c>
      <c r="AC149" s="502">
        <f>('Oahu COS and Allocation'!AF$365+'Oahu COS and Allocation'!AF$379)/('Oahu COS and Allocation'!AF$337*0.9)*12-(('Oahu COS and Allocation'!AF$365+'Oahu COS and Allocation'!AF$379)/('Oahu COS and Allocation'!AF$337)*12)</f>
        <v>66.729828895242349</v>
      </c>
      <c r="AD149" s="502">
        <f>('Oahu COS and Allocation'!AG$365+'Oahu COS and Allocation'!AG$379)/('Oahu COS and Allocation'!AG$337*0.9)*12-(('Oahu COS and Allocation'!AG$365+'Oahu COS and Allocation'!AG$379)/('Oahu COS and Allocation'!AG$337)*12)</f>
        <v>66.822931471410925</v>
      </c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</row>
    <row r="150" spans="1:51" x14ac:dyDescent="0.25">
      <c r="A150" s="1"/>
      <c r="B150" s="1"/>
      <c r="C150" s="1"/>
      <c r="D150" s="1"/>
      <c r="E150" s="1" t="s">
        <v>745</v>
      </c>
      <c r="F150" s="1"/>
      <c r="G150" s="502">
        <f>('Oahu COS and Allocation'!J$365+'Oahu COS and Allocation'!J$379)/('Oahu COS and Allocation'!J$337*0.8)*12-(('Oahu COS and Allocation'!J$365+'Oahu COS and Allocation'!J$379)/('Oahu COS and Allocation'!J$337)*12)</f>
        <v>127.52324552374006</v>
      </c>
      <c r="H150" s="502">
        <f>('Oahu COS and Allocation'!K$365+'Oahu COS and Allocation'!K$379)/('Oahu COS and Allocation'!K$337*0.8)*12-(('Oahu COS and Allocation'!K$365+'Oahu COS and Allocation'!K$379)/('Oahu COS and Allocation'!K$337)*12)</f>
        <v>128.58608590725999</v>
      </c>
      <c r="I150" s="502">
        <f>('Oahu COS and Allocation'!L$365+'Oahu COS and Allocation'!L$379)/('Oahu COS and Allocation'!L$337*0.8)*12-(('Oahu COS and Allocation'!L$365+'Oahu COS and Allocation'!L$379)/('Oahu COS and Allocation'!L$337)*12)</f>
        <v>130.34354566990157</v>
      </c>
      <c r="J150" s="502">
        <f>('Oahu COS and Allocation'!M$365+'Oahu COS and Allocation'!M$379)/('Oahu COS and Allocation'!M$337*0.8)*12-(('Oahu COS and Allocation'!M$365+'Oahu COS and Allocation'!M$379)/('Oahu COS and Allocation'!M$337)*12)</f>
        <v>131.37822315025039</v>
      </c>
      <c r="K150" s="502">
        <f>('Oahu COS and Allocation'!N$365+'Oahu COS and Allocation'!N$379)/('Oahu COS and Allocation'!N$337*0.8)*12-(('Oahu COS and Allocation'!N$365+'Oahu COS and Allocation'!N$379)/('Oahu COS and Allocation'!N$337)*12)</f>
        <v>132.83454274739677</v>
      </c>
      <c r="L150" s="502">
        <f>('Oahu COS and Allocation'!O$365+'Oahu COS and Allocation'!O$379)/('Oahu COS and Allocation'!O$337*0.8)*12-(('Oahu COS and Allocation'!O$365+'Oahu COS and Allocation'!O$379)/('Oahu COS and Allocation'!O$337)*12)</f>
        <v>133.34205030941598</v>
      </c>
      <c r="M150" s="502">
        <f>('Oahu COS and Allocation'!P$365+'Oahu COS and Allocation'!P$379)/('Oahu COS and Allocation'!P$337*0.8)*12-(('Oahu COS and Allocation'!P$365+'Oahu COS and Allocation'!P$379)/('Oahu COS and Allocation'!P$337)*12)</f>
        <v>134.38841562987773</v>
      </c>
      <c r="N150" s="502">
        <f>('Oahu COS and Allocation'!Q$365+'Oahu COS and Allocation'!Q$379)/('Oahu COS and Allocation'!Q$337*0.8)*12-(('Oahu COS and Allocation'!Q$365+'Oahu COS and Allocation'!Q$379)/('Oahu COS and Allocation'!Q$337)*12)</f>
        <v>135.37263692283068</v>
      </c>
      <c r="O150" s="502">
        <f>('Oahu COS and Allocation'!R$365+'Oahu COS and Allocation'!R$379)/('Oahu COS and Allocation'!R$337*0.8)*12-(('Oahu COS and Allocation'!R$365+'Oahu COS and Allocation'!R$379)/('Oahu COS and Allocation'!R$337)*12)</f>
        <v>136.78415536880721</v>
      </c>
      <c r="P150" s="502">
        <f>('Oahu COS and Allocation'!S$365+'Oahu COS and Allocation'!S$379)/('Oahu COS and Allocation'!S$337*0.8)*12-(('Oahu COS and Allocation'!S$365+'Oahu COS and Allocation'!S$379)/('Oahu COS and Allocation'!S$337)*12)</f>
        <v>138.55908430433556</v>
      </c>
      <c r="Q150" s="502">
        <f>('Oahu COS and Allocation'!T$365+'Oahu COS and Allocation'!T$379)/('Oahu COS and Allocation'!T$337*0.8)*12-(('Oahu COS and Allocation'!T$365+'Oahu COS and Allocation'!T$379)/('Oahu COS and Allocation'!T$337)*12)</f>
        <v>139.40027640572555</v>
      </c>
      <c r="R150" s="502">
        <f>('Oahu COS and Allocation'!U$365+'Oahu COS and Allocation'!U$379)/('Oahu COS and Allocation'!U$337*0.8)*12-(('Oahu COS and Allocation'!U$365+'Oahu COS and Allocation'!U$379)/('Oahu COS and Allocation'!U$337)*12)</f>
        <v>140.17646835494691</v>
      </c>
      <c r="S150" s="502">
        <f>('Oahu COS and Allocation'!V$365+'Oahu COS and Allocation'!V$379)/('Oahu COS and Allocation'!V$337*0.8)*12-(('Oahu COS and Allocation'!V$365+'Oahu COS and Allocation'!V$379)/('Oahu COS and Allocation'!V$337)*12)</f>
        <v>140.88674693785435</v>
      </c>
      <c r="T150" s="502">
        <f>('Oahu COS and Allocation'!W$365+'Oahu COS and Allocation'!W$379)/('Oahu COS and Allocation'!W$337*0.8)*12-(('Oahu COS and Allocation'!W$365+'Oahu COS and Allocation'!W$379)/('Oahu COS and Allocation'!W$337)*12)</f>
        <v>142.1612688181857</v>
      </c>
      <c r="U150" s="502">
        <f>('Oahu COS and Allocation'!X$365+'Oahu COS and Allocation'!X$379)/('Oahu COS and Allocation'!X$337*0.8)*12-(('Oahu COS and Allocation'!X$365+'Oahu COS and Allocation'!X$379)/('Oahu COS and Allocation'!X$337)*12)</f>
        <v>143.65121169866666</v>
      </c>
      <c r="V150" s="502">
        <f>('Oahu COS and Allocation'!Y$365+'Oahu COS and Allocation'!Y$379)/('Oahu COS and Allocation'!Y$337*0.8)*12-(('Oahu COS and Allocation'!Y$365+'Oahu COS and Allocation'!Y$379)/('Oahu COS and Allocation'!Y$337)*12)</f>
        <v>144.23313811480148</v>
      </c>
      <c r="W150" s="502">
        <f>('Oahu COS and Allocation'!Z$365+'Oahu COS and Allocation'!Z$379)/('Oahu COS and Allocation'!Z$337*0.8)*12-(('Oahu COS and Allocation'!Z$365+'Oahu COS and Allocation'!Z$379)/('Oahu COS and Allocation'!Z$337)*12)</f>
        <v>144.78632922450959</v>
      </c>
      <c r="X150" s="502">
        <f>('Oahu COS and Allocation'!AA$365+'Oahu COS and Allocation'!AA$379)/('Oahu COS and Allocation'!AA$337*0.8)*12-(('Oahu COS and Allocation'!AA$365+'Oahu COS and Allocation'!AA$379)/('Oahu COS and Allocation'!AA$337)*12)</f>
        <v>145.2423066483675</v>
      </c>
      <c r="Y150" s="502">
        <f>('Oahu COS and Allocation'!AB$365+'Oahu COS and Allocation'!AB$379)/('Oahu COS and Allocation'!AB$337*0.8)*12-(('Oahu COS and Allocation'!AB$365+'Oahu COS and Allocation'!AB$379)/('Oahu COS and Allocation'!AB$337)*12)</f>
        <v>147.88804497275237</v>
      </c>
      <c r="Z150" s="502">
        <f>('Oahu COS and Allocation'!AC$365+'Oahu COS and Allocation'!AC$379)/('Oahu COS and Allocation'!AC$337*0.8)*12-(('Oahu COS and Allocation'!AC$365+'Oahu COS and Allocation'!AC$379)/('Oahu COS and Allocation'!AC$337)*12)</f>
        <v>149.1055324995707</v>
      </c>
      <c r="AA150" s="502">
        <f>('Oahu COS and Allocation'!AD$365+'Oahu COS and Allocation'!AD$379)/('Oahu COS and Allocation'!AD$337*0.8)*12-(('Oahu COS and Allocation'!AD$365+'Oahu COS and Allocation'!AD$379)/('Oahu COS and Allocation'!AD$337)*12)</f>
        <v>149.42377384279393</v>
      </c>
      <c r="AB150" s="502">
        <f>('Oahu COS and Allocation'!AE$365+'Oahu COS and Allocation'!AE$379)/('Oahu COS and Allocation'!AE$337*0.8)*12-(('Oahu COS and Allocation'!AE$365+'Oahu COS and Allocation'!AE$379)/('Oahu COS and Allocation'!AE$337)*12)</f>
        <v>149.78960606296801</v>
      </c>
      <c r="AC150" s="502">
        <f>('Oahu COS and Allocation'!AF$365+'Oahu COS and Allocation'!AF$379)/('Oahu COS and Allocation'!AF$337*0.8)*12-(('Oahu COS and Allocation'!AF$365+'Oahu COS and Allocation'!AF$379)/('Oahu COS and Allocation'!AF$337)*12)</f>
        <v>150.1421150142952</v>
      </c>
      <c r="AD150" s="502">
        <f>('Oahu COS and Allocation'!AG$365+'Oahu COS and Allocation'!AG$379)/('Oahu COS and Allocation'!AG$337*0.8)*12-(('Oahu COS and Allocation'!AG$365+'Oahu COS and Allocation'!AG$379)/('Oahu COS and Allocation'!AG$337)*12)</f>
        <v>150.35159581067455</v>
      </c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</row>
    <row r="151" spans="1:51" x14ac:dyDescent="0.25">
      <c r="A151" s="1"/>
      <c r="B151" s="1"/>
      <c r="C151" s="1"/>
      <c r="D151" s="1"/>
      <c r="E151" s="1" t="s">
        <v>746</v>
      </c>
      <c r="F151" s="1"/>
      <c r="G151" s="502">
        <f>('Oahu COS and Allocation'!J$365+'Oahu COS and Allocation'!J$379)/('Oahu COS and Allocation'!J$337*0.7)*12-(('Oahu COS and Allocation'!J$365+'Oahu COS and Allocation'!J$379)/('Oahu COS and Allocation'!J$337)*12)</f>
        <v>218.6112780406973</v>
      </c>
      <c r="H151" s="502">
        <f>('Oahu COS and Allocation'!K$365+'Oahu COS and Allocation'!K$379)/('Oahu COS and Allocation'!K$337*0.7)*12-(('Oahu COS and Allocation'!K$365+'Oahu COS and Allocation'!K$379)/('Oahu COS and Allocation'!K$337)*12)</f>
        <v>220.43329012673155</v>
      </c>
      <c r="I151" s="502">
        <f>('Oahu COS and Allocation'!L$365+'Oahu COS and Allocation'!L$379)/('Oahu COS and Allocation'!L$337*0.7)*12-(('Oahu COS and Allocation'!L$365+'Oahu COS and Allocation'!L$379)/('Oahu COS and Allocation'!L$337)*12)</f>
        <v>223.44607829125994</v>
      </c>
      <c r="J151" s="502">
        <f>('Oahu COS and Allocation'!M$365+'Oahu COS and Allocation'!M$379)/('Oahu COS and Allocation'!M$337*0.7)*12-(('Oahu COS and Allocation'!M$365+'Oahu COS and Allocation'!M$379)/('Oahu COS and Allocation'!M$337)*12)</f>
        <v>225.21981111471507</v>
      </c>
      <c r="K151" s="502">
        <f>('Oahu COS and Allocation'!N$365+'Oahu COS and Allocation'!N$379)/('Oahu COS and Allocation'!N$337*0.7)*12-(('Oahu COS and Allocation'!N$365+'Oahu COS and Allocation'!N$379)/('Oahu COS and Allocation'!N$337)*12)</f>
        <v>227.71635899553746</v>
      </c>
      <c r="L151" s="502">
        <f>('Oahu COS and Allocation'!O$365+'Oahu COS and Allocation'!O$379)/('Oahu COS and Allocation'!O$337*0.7)*12-(('Oahu COS and Allocation'!O$365+'Oahu COS and Allocation'!O$379)/('Oahu COS and Allocation'!O$337)*12)</f>
        <v>228.5863719589986</v>
      </c>
      <c r="M151" s="502">
        <f>('Oahu COS and Allocation'!P$365+'Oahu COS and Allocation'!P$379)/('Oahu COS and Allocation'!P$337*0.7)*12-(('Oahu COS and Allocation'!P$365+'Oahu COS and Allocation'!P$379)/('Oahu COS and Allocation'!P$337)*12)</f>
        <v>230.38014107979063</v>
      </c>
      <c r="N151" s="502">
        <f>('Oahu COS and Allocation'!Q$365+'Oahu COS and Allocation'!Q$379)/('Oahu COS and Allocation'!Q$337*0.7)*12-(('Oahu COS and Allocation'!Q$365+'Oahu COS and Allocation'!Q$379)/('Oahu COS and Allocation'!Q$337)*12)</f>
        <v>232.06737758199574</v>
      </c>
      <c r="O151" s="502">
        <f>('Oahu COS and Allocation'!R$365+'Oahu COS and Allocation'!R$379)/('Oahu COS and Allocation'!R$337*0.7)*12-(('Oahu COS and Allocation'!R$365+'Oahu COS and Allocation'!R$379)/('Oahu COS and Allocation'!R$337)*12)</f>
        <v>234.48712348938363</v>
      </c>
      <c r="P151" s="502">
        <f>('Oahu COS and Allocation'!S$365+'Oahu COS and Allocation'!S$379)/('Oahu COS and Allocation'!S$337*0.7)*12-(('Oahu COS and Allocation'!S$365+'Oahu COS and Allocation'!S$379)/('Oahu COS and Allocation'!S$337)*12)</f>
        <v>237.52985880743222</v>
      </c>
      <c r="Q151" s="502">
        <f>('Oahu COS and Allocation'!T$365+'Oahu COS and Allocation'!T$379)/('Oahu COS and Allocation'!T$337*0.7)*12-(('Oahu COS and Allocation'!T$365+'Oahu COS and Allocation'!T$379)/('Oahu COS and Allocation'!T$337)*12)</f>
        <v>238.97190240981547</v>
      </c>
      <c r="R151" s="502">
        <f>('Oahu COS and Allocation'!U$365+'Oahu COS and Allocation'!U$379)/('Oahu COS and Allocation'!U$337*0.7)*12-(('Oahu COS and Allocation'!U$365+'Oahu COS and Allocation'!U$379)/('Oahu COS and Allocation'!U$337)*12)</f>
        <v>240.30251717990905</v>
      </c>
      <c r="S151" s="502">
        <f>('Oahu COS and Allocation'!V$365+'Oahu COS and Allocation'!V$379)/('Oahu COS and Allocation'!V$337*0.7)*12-(('Oahu COS and Allocation'!V$365+'Oahu COS and Allocation'!V$379)/('Oahu COS and Allocation'!V$337)*12)</f>
        <v>241.52013760775026</v>
      </c>
      <c r="T151" s="502">
        <f>('Oahu COS and Allocation'!W$365+'Oahu COS and Allocation'!W$379)/('Oahu COS and Allocation'!W$337*0.7)*12-(('Oahu COS and Allocation'!W$365+'Oahu COS and Allocation'!W$379)/('Oahu COS and Allocation'!W$337)*12)</f>
        <v>243.70503225974687</v>
      </c>
      <c r="U151" s="502">
        <f>('Oahu COS and Allocation'!X$365+'Oahu COS and Allocation'!X$379)/('Oahu COS and Allocation'!X$337*0.7)*12-(('Oahu COS and Allocation'!X$365+'Oahu COS and Allocation'!X$379)/('Oahu COS and Allocation'!X$337)*12)</f>
        <v>246.25922005485745</v>
      </c>
      <c r="V151" s="502">
        <f>('Oahu COS and Allocation'!Y$365+'Oahu COS and Allocation'!Y$379)/('Oahu COS and Allocation'!Y$337*0.7)*12-(('Oahu COS and Allocation'!Y$365+'Oahu COS and Allocation'!Y$379)/('Oahu COS and Allocation'!Y$337)*12)</f>
        <v>247.25680819680292</v>
      </c>
      <c r="W151" s="502">
        <f>('Oahu COS and Allocation'!Z$365+'Oahu COS and Allocation'!Z$379)/('Oahu COS and Allocation'!Z$337*0.7)*12-(('Oahu COS and Allocation'!Z$365+'Oahu COS and Allocation'!Z$379)/('Oahu COS and Allocation'!Z$337)*12)</f>
        <v>248.20513581344517</v>
      </c>
      <c r="X151" s="502">
        <f>('Oahu COS and Allocation'!AA$365+'Oahu COS and Allocation'!AA$379)/('Oahu COS and Allocation'!AA$337*0.7)*12-(('Oahu COS and Allocation'!AA$365+'Oahu COS and Allocation'!AA$379)/('Oahu COS and Allocation'!AA$337)*12)</f>
        <v>248.98681139720156</v>
      </c>
      <c r="Y151" s="502">
        <f>('Oahu COS and Allocation'!AB$365+'Oahu COS and Allocation'!AB$379)/('Oahu COS and Allocation'!AB$337*0.7)*12-(('Oahu COS and Allocation'!AB$365+'Oahu COS and Allocation'!AB$379)/('Oahu COS and Allocation'!AB$337)*12)</f>
        <v>253.52236281043292</v>
      </c>
      <c r="Z151" s="502">
        <f>('Oahu COS and Allocation'!AC$365+'Oahu COS and Allocation'!AC$379)/('Oahu COS and Allocation'!AC$337*0.7)*12-(('Oahu COS and Allocation'!AC$365+'Oahu COS and Allocation'!AC$379)/('Oahu COS and Allocation'!AC$337)*12)</f>
        <v>255.60948428497863</v>
      </c>
      <c r="AA151" s="502">
        <f>('Oahu COS and Allocation'!AD$365+'Oahu COS and Allocation'!AD$379)/('Oahu COS and Allocation'!AD$337*0.7)*12-(('Oahu COS and Allocation'!AD$365+'Oahu COS and Allocation'!AD$379)/('Oahu COS and Allocation'!AD$337)*12)</f>
        <v>256.15504087336103</v>
      </c>
      <c r="AB151" s="502">
        <f>('Oahu COS and Allocation'!AE$365+'Oahu COS and Allocation'!AE$379)/('Oahu COS and Allocation'!AE$337*0.7)*12-(('Oahu COS and Allocation'!AE$365+'Oahu COS and Allocation'!AE$379)/('Oahu COS and Allocation'!AE$337)*12)</f>
        <v>256.78218182223122</v>
      </c>
      <c r="AC151" s="502">
        <f>('Oahu COS and Allocation'!AF$365+'Oahu COS and Allocation'!AF$379)/('Oahu COS and Allocation'!AF$337*0.7)*12-(('Oahu COS and Allocation'!AF$365+'Oahu COS and Allocation'!AF$379)/('Oahu COS and Allocation'!AF$337)*12)</f>
        <v>257.38648288164893</v>
      </c>
      <c r="AD151" s="502">
        <f>('Oahu COS and Allocation'!AG$365+'Oahu COS and Allocation'!AG$379)/('Oahu COS and Allocation'!AG$337*0.7)*12-(('Oahu COS and Allocation'!AG$365+'Oahu COS and Allocation'!AG$379)/('Oahu COS and Allocation'!AG$337)*12)</f>
        <v>257.74559281829931</v>
      </c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</row>
    <row r="152" spans="1:5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</row>
    <row r="153" spans="1:51" x14ac:dyDescent="0.25">
      <c r="A153" s="1"/>
      <c r="B153" s="1"/>
      <c r="C153" s="1"/>
      <c r="D153" s="1"/>
      <c r="E153" s="1" t="s">
        <v>743</v>
      </c>
      <c r="F153" s="1"/>
      <c r="G153" s="520">
        <f>G148/G147</f>
        <v>5.2631578947368432E-2</v>
      </c>
      <c r="H153" s="520">
        <f t="shared" ref="H153:AD153" si="35">H148/H147</f>
        <v>5.263157894736855E-2</v>
      </c>
      <c r="I153" s="520">
        <f t="shared" si="35"/>
        <v>5.2631578947368536E-2</v>
      </c>
      <c r="J153" s="520">
        <f t="shared" si="35"/>
        <v>5.2631578947368432E-2</v>
      </c>
      <c r="K153" s="520">
        <f t="shared" si="35"/>
        <v>5.2631578947368356E-2</v>
      </c>
      <c r="L153" s="520">
        <f t="shared" si="35"/>
        <v>5.2631578947368217E-2</v>
      </c>
      <c r="M153" s="520">
        <f t="shared" si="35"/>
        <v>5.263157894736839E-2</v>
      </c>
      <c r="N153" s="520">
        <f t="shared" si="35"/>
        <v>5.2631578947368411E-2</v>
      </c>
      <c r="O153" s="520">
        <f t="shared" si="35"/>
        <v>5.2631578947368467E-2</v>
      </c>
      <c r="P153" s="520">
        <f t="shared" si="35"/>
        <v>5.2631578947368564E-2</v>
      </c>
      <c r="Q153" s="520">
        <f t="shared" si="35"/>
        <v>5.2631578947368272E-2</v>
      </c>
      <c r="R153" s="520">
        <f t="shared" si="35"/>
        <v>5.263157894736837E-2</v>
      </c>
      <c r="S153" s="520">
        <f t="shared" si="35"/>
        <v>5.2631578947368751E-2</v>
      </c>
      <c r="T153" s="520">
        <f t="shared" si="35"/>
        <v>5.263157894736846E-2</v>
      </c>
      <c r="U153" s="520">
        <f t="shared" si="35"/>
        <v>5.2631578947368293E-2</v>
      </c>
      <c r="V153" s="520">
        <f t="shared" si="35"/>
        <v>5.2631578947368522E-2</v>
      </c>
      <c r="W153" s="520">
        <f t="shared" si="35"/>
        <v>5.2631578947368751E-2</v>
      </c>
      <c r="X153" s="520">
        <f t="shared" si="35"/>
        <v>5.2631578947368418E-2</v>
      </c>
      <c r="Y153" s="520">
        <f t="shared" si="35"/>
        <v>5.2631578947368605E-2</v>
      </c>
      <c r="Z153" s="520">
        <f t="shared" si="35"/>
        <v>5.2631578947368321E-2</v>
      </c>
      <c r="AA153" s="520">
        <f t="shared" si="35"/>
        <v>5.2631578947368661E-2</v>
      </c>
      <c r="AB153" s="520">
        <f t="shared" si="35"/>
        <v>5.2631578947368418E-2</v>
      </c>
      <c r="AC153" s="520">
        <f t="shared" si="35"/>
        <v>5.2631578947368349E-2</v>
      </c>
      <c r="AD153" s="520">
        <f t="shared" si="35"/>
        <v>5.2631578947368481E-2</v>
      </c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</row>
    <row r="154" spans="1:51" x14ac:dyDescent="0.25">
      <c r="A154" s="1"/>
      <c r="B154" s="1"/>
      <c r="C154" s="1"/>
      <c r="D154" s="1"/>
      <c r="E154" s="1" t="s">
        <v>744</v>
      </c>
      <c r="F154" s="1"/>
      <c r="G154" s="520">
        <f>G149/G147</f>
        <v>0.11111111111111088</v>
      </c>
      <c r="H154" s="520">
        <f t="shared" ref="H154:AD154" si="36">H149/H147</f>
        <v>0.11111111111111101</v>
      </c>
      <c r="I154" s="520">
        <f t="shared" si="36"/>
        <v>0.11111111111111119</v>
      </c>
      <c r="J154" s="520">
        <f t="shared" si="36"/>
        <v>0.11111111111111104</v>
      </c>
      <c r="K154" s="520">
        <f t="shared" si="36"/>
        <v>0.1111111111111111</v>
      </c>
      <c r="L154" s="520">
        <f t="shared" si="36"/>
        <v>0.11111111111111106</v>
      </c>
      <c r="M154" s="520">
        <f t="shared" si="36"/>
        <v>0.11111111111111104</v>
      </c>
      <c r="N154" s="520">
        <f t="shared" si="36"/>
        <v>0.11111111111111099</v>
      </c>
      <c r="O154" s="520">
        <f t="shared" si="36"/>
        <v>0.1111111111111111</v>
      </c>
      <c r="P154" s="520">
        <f t="shared" si="36"/>
        <v>0.11111111111111091</v>
      </c>
      <c r="Q154" s="520">
        <f t="shared" si="36"/>
        <v>0.11111111111111098</v>
      </c>
      <c r="R154" s="520">
        <f t="shared" si="36"/>
        <v>0.11111111111111116</v>
      </c>
      <c r="S154" s="520">
        <f t="shared" si="36"/>
        <v>0.11111111111111099</v>
      </c>
      <c r="T154" s="520">
        <f t="shared" si="36"/>
        <v>0.1111111111111111</v>
      </c>
      <c r="U154" s="520">
        <f t="shared" si="36"/>
        <v>0.11111111111111129</v>
      </c>
      <c r="V154" s="520">
        <f t="shared" si="36"/>
        <v>0.11111111111111113</v>
      </c>
      <c r="W154" s="520">
        <f t="shared" si="36"/>
        <v>0.11111111111111122</v>
      </c>
      <c r="X154" s="520">
        <f t="shared" si="36"/>
        <v>0.11111111111111105</v>
      </c>
      <c r="Y154" s="520">
        <f t="shared" si="36"/>
        <v>0.11111111111111134</v>
      </c>
      <c r="Z154" s="520">
        <f t="shared" si="36"/>
        <v>0.1111111111111111</v>
      </c>
      <c r="AA154" s="520">
        <f t="shared" si="36"/>
        <v>0.11111111111111115</v>
      </c>
      <c r="AB154" s="520">
        <f t="shared" si="36"/>
        <v>0.1111111111111111</v>
      </c>
      <c r="AC154" s="520">
        <f t="shared" si="36"/>
        <v>0.11111111111111113</v>
      </c>
      <c r="AD154" s="520">
        <f t="shared" si="36"/>
        <v>0.11111111111111102</v>
      </c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</row>
    <row r="155" spans="1:51" x14ac:dyDescent="0.25">
      <c r="A155" s="1"/>
      <c r="B155" s="1"/>
      <c r="C155" s="1"/>
      <c r="D155" s="1"/>
      <c r="E155" s="1" t="s">
        <v>745</v>
      </c>
      <c r="F155" s="1"/>
      <c r="G155" s="520">
        <f>G150/G147</f>
        <v>0.25000000000000006</v>
      </c>
      <c r="H155" s="520">
        <f t="shared" ref="H155:AD155" si="37">H150/H147</f>
        <v>0.24999999999999983</v>
      </c>
      <c r="I155" s="520">
        <f t="shared" si="37"/>
        <v>0.25</v>
      </c>
      <c r="J155" s="520">
        <f t="shared" si="37"/>
        <v>0.25</v>
      </c>
      <c r="K155" s="520">
        <f t="shared" si="37"/>
        <v>0.24999999999999989</v>
      </c>
      <c r="L155" s="520">
        <f t="shared" si="37"/>
        <v>0.25000000000000022</v>
      </c>
      <c r="M155" s="520">
        <f t="shared" si="37"/>
        <v>0.24999999999999994</v>
      </c>
      <c r="N155" s="520">
        <f t="shared" si="37"/>
        <v>0.24999999999999969</v>
      </c>
      <c r="O155" s="520">
        <f t="shared" si="37"/>
        <v>0.25000000000000011</v>
      </c>
      <c r="P155" s="520">
        <f t="shared" si="37"/>
        <v>0.25000000000000017</v>
      </c>
      <c r="Q155" s="520">
        <f t="shared" si="37"/>
        <v>0.24999999999999981</v>
      </c>
      <c r="R155" s="520">
        <f t="shared" si="37"/>
        <v>0.25000000000000011</v>
      </c>
      <c r="S155" s="520">
        <f t="shared" si="37"/>
        <v>0.25000000000000017</v>
      </c>
      <c r="T155" s="520">
        <f t="shared" si="37"/>
        <v>0.25000000000000022</v>
      </c>
      <c r="U155" s="520">
        <f t="shared" si="37"/>
        <v>0.25</v>
      </c>
      <c r="V155" s="520">
        <f t="shared" si="37"/>
        <v>0.24999999999999981</v>
      </c>
      <c r="W155" s="520">
        <f t="shared" si="37"/>
        <v>0.25000000000000011</v>
      </c>
      <c r="X155" s="520">
        <f t="shared" si="37"/>
        <v>0.25</v>
      </c>
      <c r="Y155" s="520">
        <f t="shared" si="37"/>
        <v>0.24999999999999994</v>
      </c>
      <c r="Z155" s="520">
        <f t="shared" si="37"/>
        <v>0.24999999999999992</v>
      </c>
      <c r="AA155" s="520">
        <f t="shared" si="37"/>
        <v>0.25</v>
      </c>
      <c r="AB155" s="520">
        <f t="shared" si="37"/>
        <v>0.24999999999999981</v>
      </c>
      <c r="AC155" s="520">
        <f t="shared" si="37"/>
        <v>0.24999999999999992</v>
      </c>
      <c r="AD155" s="520">
        <f t="shared" si="37"/>
        <v>0.24999999999999975</v>
      </c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</row>
    <row r="156" spans="1:51" x14ac:dyDescent="0.25">
      <c r="A156" s="1"/>
      <c r="B156" s="1"/>
      <c r="C156" s="1"/>
      <c r="D156" s="1"/>
      <c r="E156" s="1" t="s">
        <v>746</v>
      </c>
      <c r="F156" s="1"/>
      <c r="G156" s="520">
        <f>G151/G147</f>
        <v>0.42857142857142871</v>
      </c>
      <c r="H156" s="520">
        <f t="shared" ref="H156:AD156" si="38">H151/H147</f>
        <v>0.42857142857142855</v>
      </c>
      <c r="I156" s="520">
        <f t="shared" si="38"/>
        <v>0.42857142857142877</v>
      </c>
      <c r="J156" s="520">
        <f t="shared" si="38"/>
        <v>0.42857142857142877</v>
      </c>
      <c r="K156" s="520">
        <f t="shared" si="38"/>
        <v>0.42857142857142866</v>
      </c>
      <c r="L156" s="520">
        <f t="shared" si="38"/>
        <v>0.42857142857142849</v>
      </c>
      <c r="M156" s="520">
        <f t="shared" si="38"/>
        <v>0.42857142857142894</v>
      </c>
      <c r="N156" s="520">
        <f t="shared" si="38"/>
        <v>0.42857142857142855</v>
      </c>
      <c r="O156" s="520">
        <f t="shared" si="38"/>
        <v>0.42857142857142849</v>
      </c>
      <c r="P156" s="520">
        <f t="shared" si="38"/>
        <v>0.42857142857142855</v>
      </c>
      <c r="Q156" s="520">
        <f t="shared" si="38"/>
        <v>0.42857142857142866</v>
      </c>
      <c r="R156" s="520">
        <f t="shared" si="38"/>
        <v>0.42857142857142888</v>
      </c>
      <c r="S156" s="520">
        <f t="shared" si="38"/>
        <v>0.42857142857142871</v>
      </c>
      <c r="T156" s="520">
        <f t="shared" si="38"/>
        <v>0.42857142857142883</v>
      </c>
      <c r="U156" s="520">
        <f t="shared" si="38"/>
        <v>0.42857142857142916</v>
      </c>
      <c r="V156" s="520">
        <f t="shared" si="38"/>
        <v>0.42857142857142894</v>
      </c>
      <c r="W156" s="520">
        <f t="shared" si="38"/>
        <v>0.42857142857142905</v>
      </c>
      <c r="X156" s="520">
        <f t="shared" si="38"/>
        <v>0.42857142857142877</v>
      </c>
      <c r="Y156" s="520">
        <f t="shared" si="38"/>
        <v>0.42857142857142899</v>
      </c>
      <c r="Z156" s="520">
        <f t="shared" si="38"/>
        <v>0.42857142857142888</v>
      </c>
      <c r="AA156" s="520">
        <f t="shared" si="38"/>
        <v>0.42857142857142855</v>
      </c>
      <c r="AB156" s="520">
        <f t="shared" si="38"/>
        <v>0.42857142857142883</v>
      </c>
      <c r="AC156" s="520">
        <f t="shared" si="38"/>
        <v>0.42857142857142844</v>
      </c>
      <c r="AD156" s="520">
        <f t="shared" si="38"/>
        <v>0.42857142857142833</v>
      </c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</row>
    <row r="157" spans="1:5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</row>
    <row r="158" spans="1:5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</row>
    <row r="159" spans="1:5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</row>
    <row r="160" spans="1:5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</row>
    <row r="161" spans="1:5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</row>
    <row r="162" spans="1:5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</row>
    <row r="163" spans="1:5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</row>
    <row r="164" spans="1:5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</row>
    <row r="165" spans="1:5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</row>
    <row r="166" spans="1:5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P166" s="1"/>
      <c r="Q166" s="1"/>
      <c r="R166" s="1"/>
      <c r="S166" s="1"/>
      <c r="T166" s="1"/>
      <c r="U166" s="1"/>
      <c r="V166" s="1"/>
      <c r="W166" s="1"/>
      <c r="X166" s="1"/>
      <c r="Y166" s="532"/>
      <c r="Z166" s="532"/>
      <c r="AA166" s="532"/>
      <c r="AB166" s="532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</row>
    <row r="167" spans="1:5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</row>
    <row r="168" spans="1:5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</row>
    <row r="169" spans="1:5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</row>
    <row r="171" spans="1:51" s="1" customFormat="1" x14ac:dyDescent="0.25"/>
    <row r="172" spans="1:51" s="1" customFormat="1" x14ac:dyDescent="0.25"/>
    <row r="173" spans="1:51" s="1" customFormat="1" x14ac:dyDescent="0.25"/>
    <row r="174" spans="1:51" s="1" customFormat="1" x14ac:dyDescent="0.25"/>
    <row r="175" spans="1:51" s="1" customFormat="1" x14ac:dyDescent="0.25"/>
    <row r="176" spans="1:51" s="1" customFormat="1" x14ac:dyDescent="0.25"/>
    <row r="177" s="1" customFormat="1" x14ac:dyDescent="0.25"/>
    <row r="178" s="1" customFormat="1" x14ac:dyDescent="0.25"/>
    <row r="179" s="1" customFormat="1" x14ac:dyDescent="0.25"/>
    <row r="180" s="1" customFormat="1" x14ac:dyDescent="0.25"/>
    <row r="181" s="1" customFormat="1" x14ac:dyDescent="0.25"/>
    <row r="182" s="1" customFormat="1" x14ac:dyDescent="0.25"/>
    <row r="183" s="1" customFormat="1" x14ac:dyDescent="0.25"/>
    <row r="184" s="1" customFormat="1" x14ac:dyDescent="0.25"/>
    <row r="185" s="1" customFormat="1" x14ac:dyDescent="0.25"/>
    <row r="186" s="1" customFormat="1" x14ac:dyDescent="0.25"/>
    <row r="187" s="1" customFormat="1" x14ac:dyDescent="0.25"/>
    <row r="188" s="1" customFormat="1" x14ac:dyDescent="0.25"/>
    <row r="189" s="1" customFormat="1" x14ac:dyDescent="0.25"/>
    <row r="190" s="1" customFormat="1" x14ac:dyDescent="0.25"/>
    <row r="191" s="1" customFormat="1" x14ac:dyDescent="0.25"/>
    <row r="192" s="1" customFormat="1" x14ac:dyDescent="0.25"/>
    <row r="193" s="1" customFormat="1" x14ac:dyDescent="0.25"/>
    <row r="194" s="1" customFormat="1" x14ac:dyDescent="0.25"/>
    <row r="195" s="1" customFormat="1" x14ac:dyDescent="0.25"/>
    <row r="196" s="1" customFormat="1" x14ac:dyDescent="0.25"/>
    <row r="197" s="1" customFormat="1" x14ac:dyDescent="0.25"/>
    <row r="198" s="1" customFormat="1" x14ac:dyDescent="0.25"/>
    <row r="199" s="1" customFormat="1" x14ac:dyDescent="0.25"/>
    <row r="200" s="1" customFormat="1" x14ac:dyDescent="0.25"/>
    <row r="201" s="1" customFormat="1" x14ac:dyDescent="0.25"/>
    <row r="202" s="1" customFormat="1" x14ac:dyDescent="0.25"/>
    <row r="203" s="1" customFormat="1" x14ac:dyDescent="0.25"/>
    <row r="204" s="1" customFormat="1" x14ac:dyDescent="0.25"/>
    <row r="205" s="1" customFormat="1" x14ac:dyDescent="0.25"/>
    <row r="206" s="1" customFormat="1" x14ac:dyDescent="0.25"/>
    <row r="207" s="1" customFormat="1" x14ac:dyDescent="0.25"/>
    <row r="208" s="1" customFormat="1" x14ac:dyDescent="0.25"/>
    <row r="209" s="1" customFormat="1" x14ac:dyDescent="0.25"/>
    <row r="210" s="1" customFormat="1" x14ac:dyDescent="0.25"/>
    <row r="211" s="1" customFormat="1" x14ac:dyDescent="0.25"/>
    <row r="212" s="1" customFormat="1" x14ac:dyDescent="0.25"/>
    <row r="213" s="1" customFormat="1" x14ac:dyDescent="0.25"/>
    <row r="214" s="1" customFormat="1" x14ac:dyDescent="0.25"/>
    <row r="215" s="1" customFormat="1" x14ac:dyDescent="0.25"/>
    <row r="216" s="1" customFormat="1" x14ac:dyDescent="0.25"/>
    <row r="217" s="1" customFormat="1" x14ac:dyDescent="0.25"/>
    <row r="218" s="1" customFormat="1" x14ac:dyDescent="0.25"/>
    <row r="219" s="1" customFormat="1" x14ac:dyDescent="0.25"/>
    <row r="220" s="1" customFormat="1" x14ac:dyDescent="0.25"/>
    <row r="221" s="1" customFormat="1" x14ac:dyDescent="0.25"/>
    <row r="222" s="1" customFormat="1" x14ac:dyDescent="0.25"/>
    <row r="223" s="1" customFormat="1" x14ac:dyDescent="0.25"/>
    <row r="224" s="1" customFormat="1" x14ac:dyDescent="0.25"/>
    <row r="225" s="1" customFormat="1" x14ac:dyDescent="0.25"/>
    <row r="226" s="1" customFormat="1" x14ac:dyDescent="0.25"/>
    <row r="227" s="1" customFormat="1" x14ac:dyDescent="0.25"/>
    <row r="228" s="1" customFormat="1" x14ac:dyDescent="0.25"/>
    <row r="229" s="1" customFormat="1" x14ac:dyDescent="0.25"/>
    <row r="230" s="1" customFormat="1" x14ac:dyDescent="0.25"/>
    <row r="231" s="1" customFormat="1" x14ac:dyDescent="0.25"/>
    <row r="232" s="1" customFormat="1" x14ac:dyDescent="0.25"/>
    <row r="233" s="1" customFormat="1" x14ac:dyDescent="0.25"/>
    <row r="234" s="1" customFormat="1" x14ac:dyDescent="0.25"/>
    <row r="235" s="1" customFormat="1" x14ac:dyDescent="0.25"/>
    <row r="236" s="1" customFormat="1" x14ac:dyDescent="0.25"/>
    <row r="237" s="1" customFormat="1" x14ac:dyDescent="0.25"/>
    <row r="238" s="1" customFormat="1" x14ac:dyDescent="0.25"/>
    <row r="239" s="1" customFormat="1" x14ac:dyDescent="0.25"/>
    <row r="240" s="1" customFormat="1" x14ac:dyDescent="0.25"/>
    <row r="241" s="1" customFormat="1" x14ac:dyDescent="0.25"/>
    <row r="242" s="1" customFormat="1" x14ac:dyDescent="0.25"/>
    <row r="243" s="1" customFormat="1" x14ac:dyDescent="0.25"/>
    <row r="244" s="1" customFormat="1" x14ac:dyDescent="0.25"/>
    <row r="245" s="1" customFormat="1" x14ac:dyDescent="0.25"/>
    <row r="246" s="1" customFormat="1" x14ac:dyDescent="0.25"/>
    <row r="247" s="1" customFormat="1" x14ac:dyDescent="0.25"/>
    <row r="248" s="1" customFormat="1" x14ac:dyDescent="0.25"/>
    <row r="249" s="1" customFormat="1" x14ac:dyDescent="0.25"/>
    <row r="250" s="1" customFormat="1" x14ac:dyDescent="0.25"/>
    <row r="251" s="1" customFormat="1" x14ac:dyDescent="0.25"/>
    <row r="252" s="1" customFormat="1" x14ac:dyDescent="0.25"/>
    <row r="253" s="1" customFormat="1" x14ac:dyDescent="0.25"/>
    <row r="254" s="1" customFormat="1" x14ac:dyDescent="0.25"/>
    <row r="255" s="1" customFormat="1" x14ac:dyDescent="0.25"/>
    <row r="256" s="1" customFormat="1" x14ac:dyDescent="0.25"/>
    <row r="257" s="1" customFormat="1" x14ac:dyDescent="0.25"/>
    <row r="258" s="1" customFormat="1" x14ac:dyDescent="0.25"/>
    <row r="259" s="1" customFormat="1" x14ac:dyDescent="0.25"/>
    <row r="260" s="1" customFormat="1" x14ac:dyDescent="0.25"/>
    <row r="261" s="1" customFormat="1" x14ac:dyDescent="0.25"/>
    <row r="262" s="1" customFormat="1" x14ac:dyDescent="0.25"/>
    <row r="263" s="1" customFormat="1" x14ac:dyDescent="0.25"/>
    <row r="264" s="1" customFormat="1" x14ac:dyDescent="0.25"/>
    <row r="265" s="1" customFormat="1" x14ac:dyDescent="0.25"/>
    <row r="266" s="1" customFormat="1" x14ac:dyDescent="0.25"/>
    <row r="267" s="1" customFormat="1" x14ac:dyDescent="0.25"/>
    <row r="268" s="1" customFormat="1" x14ac:dyDescent="0.25"/>
    <row r="269" s="1" customFormat="1" x14ac:dyDescent="0.25"/>
    <row r="270" s="1" customFormat="1" x14ac:dyDescent="0.25"/>
    <row r="271" s="1" customFormat="1" x14ac:dyDescent="0.25"/>
    <row r="272" s="1" customFormat="1" x14ac:dyDescent="0.25"/>
    <row r="273" s="1" customFormat="1" x14ac:dyDescent="0.25"/>
    <row r="274" s="1" customFormat="1" x14ac:dyDescent="0.25"/>
    <row r="275" s="1" customFormat="1" x14ac:dyDescent="0.25"/>
    <row r="276" s="1" customFormat="1" x14ac:dyDescent="0.25"/>
    <row r="277" s="1" customFormat="1" x14ac:dyDescent="0.25"/>
  </sheetData>
  <mergeCells count="4">
    <mergeCell ref="G23:I23"/>
    <mergeCell ref="K23:L23"/>
    <mergeCell ref="N23:O23"/>
    <mergeCell ref="Q23:R23"/>
  </mergeCells>
  <dataValidations disablePrompts="1" count="1">
    <dataValidation type="list" allowBlank="1" showInputMessage="1" showErrorMessage="1" sqref="Q25" xr:uid="{786BF880-5064-4BB5-A046-BC95C9709D3A}">
      <formula1>$O$32:$AJ$32</formula1>
    </dataValidation>
  </dataValidations>
  <pageMargins left="0.7" right="0.7" top="0.75" bottom="0.75" header="0.3" footer="0.3"/>
  <pageSetup orientation="portrait" r:id="rId1"/>
  <ignoredErrors>
    <ignoredError sqref="J18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 xr:uid="{3252BFC6-2378-413A-9041-56825E0CE73F}">
          <x14:formula1>
            <xm:f>'5. LNG- ISO_Expansion'!$AR$50:$AR$56</xm:f>
          </x14:formula1>
          <xm:sqref>I28</xm:sqref>
        </x14:dataValidation>
        <x14:dataValidation type="list" allowBlank="1" showInputMessage="1" showErrorMessage="1" xr:uid="{E4034FD6-7A39-4568-9A8E-FD3FC351EB09}">
          <x14:formula1>
            <xm:f>'5. LNG- ISO_Expansion'!$AQ$50:$AQ$56</xm:f>
          </x14:formula1>
          <xm:sqref>I27</xm:sqref>
        </x14:dataValidation>
        <x14:dataValidation type="list" allowBlank="1" showInputMessage="1" showErrorMessage="1" xr:uid="{AD92AB9D-3057-41D1-9B91-9C434E66F3E9}">
          <x14:formula1>
            <xm:f>'5. LNG- ISO_Expansion'!$AP$50:$AP$56</xm:f>
          </x14:formula1>
          <xm:sqref>I26</xm:sqref>
        </x14:dataValidation>
        <x14:dataValidation type="list" allowBlank="1" showInputMessage="1" showErrorMessage="1" xr:uid="{8397214B-83DB-4FF5-8CDB-ABF32B89E768}">
          <x14:formula1>
            <xm:f>'5. LNG- ISO_Expansion'!$AO$50:$AO$56</xm:f>
          </x14:formula1>
          <xm:sqref>I25</xm:sqref>
        </x14:dataValidation>
        <x14:dataValidation type="list" allowBlank="1" showInputMessage="1" showErrorMessage="1" xr:uid="{F7707A9C-48BF-4B35-B89B-1236CD2F2FBE}">
          <x14:formula1>
            <xm:f>'8a. RNG'!$O$24:$O$45</xm:f>
          </x14:formula1>
          <xm:sqref>N25:N29</xm:sqref>
        </x14:dataValidation>
        <x14:dataValidation type="list" allowBlank="1" showInputMessage="1" showErrorMessage="1" xr:uid="{3B25157A-D23B-492D-88A4-E087064C30C8}">
          <x14:formula1>
            <xm:f>'8a. RNG'!$B$19:$B$45</xm:f>
          </x14:formula1>
          <xm:sqref>K25:K27</xm:sqref>
        </x14:dataValidation>
        <x14:dataValidation type="list" allowBlank="1" showInputMessage="1" showErrorMessage="1" xr:uid="{9007AD89-EA78-4E0A-967D-E78F0BEF1136}">
          <x14:formula1>
            <xm:f>'6. LNG- ISO'!$F$14:$F$43</xm:f>
          </x14:formula1>
          <xm:sqref>H25:H29</xm:sqref>
        </x14:dataValidation>
        <x14:dataValidation type="list" allowBlank="1" showInputMessage="1" showErrorMessage="1" xr:uid="{3855081D-9108-4F95-8DDE-ABD234B44816}">
          <x14:formula1>
            <xm:f>'5. LNG- ISO_Expansion'!$AS$50:$AS$56</xm:f>
          </x14:formula1>
          <xm:sqref>I29</xm:sqref>
        </x14:dataValidation>
        <x14:dataValidation type="list" allowBlank="1" showInputMessage="1" showErrorMessage="1" xr:uid="{ED6C73C8-79E3-45DE-8768-2478465ACDAF}">
          <x14:formula1>
            <xm:f>'10. Indices-Forecast'!$E$1:$G$1</xm:f>
          </x14:formula1>
          <xm:sqref>E2</xm:sqref>
        </x14:dataValidation>
        <x14:dataValidation type="list" allowBlank="1" showInputMessage="1" showErrorMessage="1" xr:uid="{BFA3771C-C8FD-48AD-9EA0-A943064295F1}">
          <x14:formula1>
            <xm:f>'7a. Green Hydrogen'!$N$4:$N$6</xm:f>
          </x14:formula1>
          <xm:sqref>R25</xm:sqref>
        </x14:dataValidation>
        <x14:dataValidation type="list" allowBlank="1" showInputMessage="1" showErrorMessage="1" xr:uid="{FABA3BB7-7F54-4150-A5DE-2F1DCE596FF9}">
          <x14:formula1>
            <xm:f>'7a. Green Hydrogen'!$O$4:$O$6</xm:f>
          </x14:formula1>
          <xm:sqref>S25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C0A3F-35EC-4F87-B149-AFA3F8C7F34F}">
  <sheetPr codeName="Sheet7"/>
  <dimension ref="A1:AY277"/>
  <sheetViews>
    <sheetView topLeftCell="A92" zoomScale="70" zoomScaleNormal="70" workbookViewId="0">
      <selection activeCell="G104" sqref="G104:AI123"/>
    </sheetView>
  </sheetViews>
  <sheetFormatPr defaultRowHeight="15" x14ac:dyDescent="0.25"/>
  <cols>
    <col min="1" max="1" width="12.85546875" customWidth="1"/>
    <col min="2" max="2" width="9.5703125" bestFit="1" customWidth="1"/>
    <col min="3" max="3" width="19.7109375" customWidth="1"/>
    <col min="4" max="4" width="53" customWidth="1"/>
    <col min="5" max="5" width="26.7109375" customWidth="1"/>
    <col min="6" max="6" width="17.5703125" customWidth="1"/>
    <col min="7" max="14" width="14.42578125" customWidth="1"/>
    <col min="15" max="15" width="14.42578125" style="1" customWidth="1"/>
    <col min="16" max="17" width="14.42578125" customWidth="1"/>
    <col min="18" max="18" width="14.7109375" customWidth="1"/>
    <col min="19" max="29" width="14.42578125" customWidth="1"/>
    <col min="30" max="30" width="15.140625" bestFit="1" customWidth="1"/>
    <col min="31" max="35" width="14.42578125" customWidth="1"/>
  </cols>
  <sheetData>
    <row r="1" spans="1:51" x14ac:dyDescent="0.25">
      <c r="A1" s="1"/>
      <c r="B1" s="1"/>
      <c r="C1" s="1"/>
      <c r="D1" s="1"/>
      <c r="F1" s="1"/>
      <c r="G1" s="526"/>
      <c r="H1" s="526"/>
      <c r="I1" s="1"/>
      <c r="J1" s="1"/>
      <c r="K1" s="1"/>
      <c r="L1" s="1"/>
      <c r="M1" s="1"/>
      <c r="N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25">
      <c r="A2" s="1"/>
      <c r="B2" s="13" t="s">
        <v>7</v>
      </c>
      <c r="C2" s="12" t="s">
        <v>6</v>
      </c>
      <c r="D2" s="110" t="s">
        <v>339</v>
      </c>
      <c r="E2" s="117" t="str">
        <f>'Summary Dashboard'!C7</f>
        <v>Reference</v>
      </c>
      <c r="F2" s="111"/>
      <c r="G2" s="113"/>
      <c r="H2" s="113"/>
      <c r="I2" s="1"/>
      <c r="J2" s="1"/>
      <c r="K2" s="1"/>
      <c r="L2" s="1"/>
      <c r="M2" s="1"/>
      <c r="N2" s="1"/>
      <c r="P2" s="1"/>
      <c r="Q2" s="1"/>
      <c r="R2" s="1"/>
      <c r="S2" s="1"/>
      <c r="T2" s="1"/>
      <c r="U2" s="1"/>
      <c r="V2" s="1"/>
      <c r="W2" s="1"/>
      <c r="X2" s="1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x14ac:dyDescent="0.25">
      <c r="A3" s="1"/>
      <c r="B3" s="15" t="s">
        <v>7</v>
      </c>
      <c r="C3" s="14" t="s">
        <v>8</v>
      </c>
      <c r="D3" s="1"/>
      <c r="E3" s="1"/>
      <c r="F3" s="114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x14ac:dyDescent="0.25">
      <c r="A4" s="1"/>
      <c r="B4" s="16" t="s">
        <v>7</v>
      </c>
      <c r="C4" s="14" t="s">
        <v>9</v>
      </c>
      <c r="D4" s="1"/>
      <c r="E4" s="1"/>
      <c r="F4" s="114"/>
      <c r="G4" s="113"/>
      <c r="H4" s="113"/>
      <c r="I4" s="113"/>
      <c r="J4" s="113"/>
      <c r="K4" s="113"/>
      <c r="L4" s="113"/>
      <c r="M4" s="113"/>
      <c r="N4" s="113"/>
      <c r="O4" s="113"/>
      <c r="P4" s="113" t="s">
        <v>0</v>
      </c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x14ac:dyDescent="0.25">
      <c r="A5" s="1"/>
      <c r="B5" s="1"/>
      <c r="C5" s="1"/>
      <c r="D5" s="1"/>
      <c r="E5" s="526"/>
      <c r="F5" s="114"/>
      <c r="G5" s="8"/>
      <c r="H5" s="8"/>
      <c r="I5" s="1"/>
      <c r="J5" s="29"/>
      <c r="K5" s="14"/>
      <c r="L5" s="1"/>
      <c r="M5" s="1"/>
      <c r="N5" s="1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x14ac:dyDescent="0.25">
      <c r="A6" s="1"/>
      <c r="B6" s="1"/>
      <c r="C6" s="457"/>
      <c r="D6" s="467" t="s">
        <v>341</v>
      </c>
      <c r="E6" s="454"/>
      <c r="F6" s="61"/>
      <c r="G6" s="529">
        <v>2022</v>
      </c>
      <c r="H6" s="529">
        <v>2023</v>
      </c>
      <c r="I6" s="529">
        <v>2024</v>
      </c>
      <c r="J6" s="529">
        <v>2025</v>
      </c>
      <c r="K6" s="529">
        <v>2026</v>
      </c>
      <c r="L6" s="529">
        <v>2027</v>
      </c>
      <c r="M6" s="529">
        <v>2028</v>
      </c>
      <c r="N6" s="529">
        <v>2029</v>
      </c>
      <c r="O6" s="529">
        <v>2030</v>
      </c>
      <c r="P6" s="529">
        <v>2031</v>
      </c>
      <c r="Q6" s="529">
        <v>2032</v>
      </c>
      <c r="R6" s="529">
        <v>2033</v>
      </c>
      <c r="S6" s="529">
        <v>2034</v>
      </c>
      <c r="T6" s="529">
        <v>2035</v>
      </c>
      <c r="U6" s="529">
        <v>2036</v>
      </c>
      <c r="V6" s="529">
        <v>2037</v>
      </c>
      <c r="W6" s="529">
        <v>2038</v>
      </c>
      <c r="X6" s="529">
        <v>2039</v>
      </c>
      <c r="Y6" s="529">
        <v>2040</v>
      </c>
      <c r="Z6" s="529">
        <v>2041</v>
      </c>
      <c r="AA6" s="529">
        <v>2042</v>
      </c>
      <c r="AB6" s="529">
        <v>2043</v>
      </c>
      <c r="AC6" s="529">
        <v>2044</v>
      </c>
      <c r="AD6" s="529">
        <v>2045</v>
      </c>
      <c r="AE6" s="529">
        <v>2046</v>
      </c>
      <c r="AF6" s="529">
        <v>2047</v>
      </c>
      <c r="AG6" s="529">
        <v>2048</v>
      </c>
      <c r="AH6" s="529">
        <v>2049</v>
      </c>
      <c r="AI6" s="529">
        <v>2050</v>
      </c>
      <c r="AJ6" s="468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1" x14ac:dyDescent="0.25">
      <c r="A7" s="1"/>
      <c r="B7" s="1"/>
      <c r="C7" s="8" t="s">
        <v>342</v>
      </c>
      <c r="D7" s="455"/>
      <c r="E7" s="455"/>
      <c r="F7" s="1"/>
      <c r="G7" s="528"/>
      <c r="H7" s="528"/>
      <c r="I7" s="528"/>
      <c r="J7" s="528"/>
      <c r="K7" s="528"/>
      <c r="L7" s="528"/>
      <c r="M7" s="528"/>
      <c r="N7" s="528"/>
      <c r="O7" s="528"/>
      <c r="P7" s="528"/>
      <c r="Q7" s="528"/>
      <c r="R7" s="528"/>
      <c r="S7" s="528"/>
      <c r="T7" s="528"/>
      <c r="U7" s="528"/>
      <c r="V7" s="528"/>
      <c r="W7" s="528"/>
      <c r="X7" s="528"/>
      <c r="Y7" s="528"/>
      <c r="Z7" s="528"/>
      <c r="AA7" s="528"/>
      <c r="AB7" s="528"/>
      <c r="AC7" s="528"/>
      <c r="AD7" s="528"/>
      <c r="AE7" s="528"/>
      <c r="AF7" s="528"/>
      <c r="AG7" s="528"/>
      <c r="AH7" s="528"/>
      <c r="AI7" s="528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1" x14ac:dyDescent="0.25">
      <c r="A8" s="1"/>
      <c r="B8" s="1"/>
      <c r="C8" s="8" t="s">
        <v>343</v>
      </c>
      <c r="D8" s="1"/>
      <c r="E8" s="114" t="s">
        <v>344</v>
      </c>
      <c r="F8" s="1" t="s">
        <v>330</v>
      </c>
      <c r="G8" s="112">
        <v>65185</v>
      </c>
      <c r="H8" s="112">
        <v>62685.483658376354</v>
      </c>
      <c r="I8" s="112">
        <v>59185.218745440317</v>
      </c>
      <c r="J8" s="112">
        <v>52569.616865176067</v>
      </c>
      <c r="K8" s="112">
        <v>52931.548454358766</v>
      </c>
      <c r="L8" s="112">
        <v>53260.62892494128</v>
      </c>
      <c r="M8" s="112">
        <v>53631.405108899533</v>
      </c>
      <c r="N8" s="112">
        <v>54039.190778504417</v>
      </c>
      <c r="O8" s="112">
        <v>54459.126019662639</v>
      </c>
      <c r="P8" s="112">
        <v>54863.273179780212</v>
      </c>
      <c r="Q8" s="112">
        <v>55305.759071354696</v>
      </c>
      <c r="R8" s="112">
        <v>55788.944313321132</v>
      </c>
      <c r="S8" s="112">
        <v>56314.172292666597</v>
      </c>
      <c r="T8" s="112">
        <v>56832.468705923289</v>
      </c>
      <c r="U8" s="112">
        <v>57327.278471323982</v>
      </c>
      <c r="V8" s="112">
        <v>57861.559962623927</v>
      </c>
      <c r="W8" s="112">
        <v>58398.719301879421</v>
      </c>
      <c r="X8" s="112">
        <v>59016.372687535593</v>
      </c>
      <c r="Y8" s="112">
        <v>59542.231539833818</v>
      </c>
      <c r="Z8" s="112">
        <v>60132.996755383996</v>
      </c>
      <c r="AA8" s="112">
        <v>60786.917438236575</v>
      </c>
      <c r="AB8" s="112">
        <v>61364.670633350892</v>
      </c>
      <c r="AC8" s="112">
        <v>61931.180844890354</v>
      </c>
      <c r="AD8" s="112">
        <v>62631.70865414662</v>
      </c>
      <c r="AE8" s="112">
        <v>62631.708654146627</v>
      </c>
      <c r="AF8" s="112">
        <v>62631.708654146627</v>
      </c>
      <c r="AG8" s="112">
        <v>62631.708654146627</v>
      </c>
      <c r="AH8" s="112">
        <v>62631.70865414662</v>
      </c>
      <c r="AI8" s="112">
        <v>62631.70865414662</v>
      </c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1" x14ac:dyDescent="0.25">
      <c r="A9" s="1"/>
      <c r="B9" s="1"/>
      <c r="C9" s="113" t="s">
        <v>345</v>
      </c>
      <c r="D9" s="1"/>
      <c r="E9" s="114" t="s">
        <v>323</v>
      </c>
      <c r="F9" s="1" t="s">
        <v>330</v>
      </c>
      <c r="G9" s="112">
        <v>12606</v>
      </c>
      <c r="H9" s="112">
        <v>12483</v>
      </c>
      <c r="I9" s="112">
        <v>12605</v>
      </c>
      <c r="J9" s="112">
        <v>12605</v>
      </c>
      <c r="K9" s="112">
        <v>12605</v>
      </c>
      <c r="L9" s="112">
        <v>12605</v>
      </c>
      <c r="M9" s="112">
        <v>12605</v>
      </c>
      <c r="N9" s="112">
        <v>12605</v>
      </c>
      <c r="O9" s="112">
        <v>12605</v>
      </c>
      <c r="P9" s="112">
        <v>12605</v>
      </c>
      <c r="Q9" s="112">
        <v>12605</v>
      </c>
      <c r="R9" s="112">
        <v>12605</v>
      </c>
      <c r="S9" s="112">
        <v>12605</v>
      </c>
      <c r="T9" s="112">
        <v>12605</v>
      </c>
      <c r="U9" s="112">
        <v>12605</v>
      </c>
      <c r="V9" s="112">
        <v>12605</v>
      </c>
      <c r="W9" s="112">
        <v>12605</v>
      </c>
      <c r="X9" s="112">
        <v>12605</v>
      </c>
      <c r="Y9" s="112">
        <v>12605</v>
      </c>
      <c r="Z9" s="112">
        <v>12605</v>
      </c>
      <c r="AA9" s="112">
        <v>12605</v>
      </c>
      <c r="AB9" s="112">
        <v>12605</v>
      </c>
      <c r="AC9" s="112">
        <v>12605</v>
      </c>
      <c r="AD9" s="112">
        <v>12605</v>
      </c>
      <c r="AE9" s="112">
        <v>12605</v>
      </c>
      <c r="AF9" s="112">
        <v>12605</v>
      </c>
      <c r="AG9" s="112">
        <v>12605</v>
      </c>
      <c r="AH9" s="112">
        <v>12605</v>
      </c>
      <c r="AI9" s="112">
        <v>12605</v>
      </c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1" x14ac:dyDescent="0.25">
      <c r="A10" s="1"/>
      <c r="B10" s="1"/>
      <c r="C10" s="8" t="s">
        <v>346</v>
      </c>
      <c r="D10" s="1"/>
      <c r="E10" s="114" t="s">
        <v>324</v>
      </c>
      <c r="F10" s="1" t="s">
        <v>330</v>
      </c>
      <c r="G10" s="112">
        <v>0</v>
      </c>
      <c r="H10" s="112">
        <v>0</v>
      </c>
      <c r="I10" s="112">
        <v>0</v>
      </c>
      <c r="J10" s="112">
        <v>0</v>
      </c>
      <c r="K10" s="112">
        <v>0</v>
      </c>
      <c r="L10" s="112">
        <v>0</v>
      </c>
      <c r="M10" s="112">
        <v>0</v>
      </c>
      <c r="N10" s="112">
        <v>0</v>
      </c>
      <c r="O10" s="112">
        <v>0</v>
      </c>
      <c r="P10" s="112">
        <v>0</v>
      </c>
      <c r="Q10" s="112">
        <v>0</v>
      </c>
      <c r="R10" s="112">
        <v>0</v>
      </c>
      <c r="S10" s="112">
        <v>0</v>
      </c>
      <c r="T10" s="112">
        <v>0</v>
      </c>
      <c r="U10" s="112">
        <v>0</v>
      </c>
      <c r="V10" s="112">
        <v>0</v>
      </c>
      <c r="W10" s="112">
        <v>0</v>
      </c>
      <c r="X10" s="112">
        <v>0</v>
      </c>
      <c r="Y10" s="112">
        <v>0</v>
      </c>
      <c r="Z10" s="112">
        <v>0</v>
      </c>
      <c r="AA10" s="112">
        <v>0</v>
      </c>
      <c r="AB10" s="112">
        <v>0</v>
      </c>
      <c r="AC10" s="112">
        <v>0</v>
      </c>
      <c r="AD10" s="112">
        <v>0</v>
      </c>
      <c r="AE10" s="112">
        <v>0</v>
      </c>
      <c r="AF10" s="112">
        <v>0</v>
      </c>
      <c r="AG10" s="112">
        <v>0</v>
      </c>
      <c r="AH10" s="112">
        <v>0</v>
      </c>
      <c r="AI10" s="112">
        <v>0</v>
      </c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</row>
    <row r="11" spans="1:51" x14ac:dyDescent="0.25">
      <c r="A11" s="1"/>
      <c r="B11" s="1"/>
      <c r="C11" s="8" t="s">
        <v>347</v>
      </c>
      <c r="D11" s="1"/>
      <c r="E11" s="114" t="s">
        <v>348</v>
      </c>
      <c r="F11" s="1" t="s">
        <v>330</v>
      </c>
      <c r="G11" s="112">
        <v>0</v>
      </c>
      <c r="H11" s="112">
        <f>0.5*7000</f>
        <v>3500</v>
      </c>
      <c r="I11" s="112">
        <v>7000</v>
      </c>
      <c r="J11" s="112">
        <v>14000</v>
      </c>
      <c r="K11" s="112">
        <v>14000</v>
      </c>
      <c r="L11" s="112">
        <v>14000</v>
      </c>
      <c r="M11" s="112">
        <v>14000</v>
      </c>
      <c r="N11" s="112">
        <v>14000</v>
      </c>
      <c r="O11" s="112">
        <v>14000</v>
      </c>
      <c r="P11" s="112">
        <v>14000</v>
      </c>
      <c r="Q11" s="112">
        <v>14000</v>
      </c>
      <c r="R11" s="112">
        <v>14000</v>
      </c>
      <c r="S11" s="112">
        <v>14000</v>
      </c>
      <c r="T11" s="112">
        <v>14000</v>
      </c>
      <c r="U11" s="112">
        <v>14000</v>
      </c>
      <c r="V11" s="112">
        <v>14000</v>
      </c>
      <c r="W11" s="112">
        <v>14000</v>
      </c>
      <c r="X11" s="112">
        <v>14000</v>
      </c>
      <c r="Y11" s="112">
        <v>14000</v>
      </c>
      <c r="Z11" s="112">
        <v>14000</v>
      </c>
      <c r="AA11" s="112">
        <v>14000</v>
      </c>
      <c r="AB11" s="112">
        <v>14000</v>
      </c>
      <c r="AC11" s="112">
        <v>14000</v>
      </c>
      <c r="AD11" s="112">
        <v>14000</v>
      </c>
      <c r="AE11" s="112">
        <v>14000</v>
      </c>
      <c r="AF11" s="112">
        <v>14000</v>
      </c>
      <c r="AG11" s="112">
        <v>14000</v>
      </c>
      <c r="AH11" s="112">
        <v>14000</v>
      </c>
      <c r="AI11" s="112">
        <v>14000</v>
      </c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</row>
    <row r="12" spans="1:51" x14ac:dyDescent="0.25">
      <c r="A12" s="1"/>
      <c r="B12" s="1"/>
      <c r="C12" s="8"/>
      <c r="D12" s="1"/>
      <c r="E12" s="114" t="s">
        <v>349</v>
      </c>
      <c r="F12" s="1" t="s">
        <v>330</v>
      </c>
      <c r="G12" s="112">
        <v>0</v>
      </c>
      <c r="H12" s="112">
        <v>0</v>
      </c>
      <c r="I12" s="112">
        <v>0</v>
      </c>
      <c r="J12" s="112">
        <v>0</v>
      </c>
      <c r="K12" s="112">
        <v>0</v>
      </c>
      <c r="L12" s="112">
        <v>0</v>
      </c>
      <c r="M12" s="112">
        <v>0</v>
      </c>
      <c r="N12" s="112">
        <v>0</v>
      </c>
      <c r="O12" s="112">
        <v>0</v>
      </c>
      <c r="P12" s="112">
        <v>0</v>
      </c>
      <c r="Q12" s="112">
        <v>0</v>
      </c>
      <c r="R12" s="112">
        <v>0</v>
      </c>
      <c r="S12" s="112">
        <v>0</v>
      </c>
      <c r="T12" s="112">
        <v>0</v>
      </c>
      <c r="U12" s="112">
        <v>0</v>
      </c>
      <c r="V12" s="112">
        <v>0</v>
      </c>
      <c r="W12" s="112">
        <v>0</v>
      </c>
      <c r="X12" s="112">
        <v>0</v>
      </c>
      <c r="Y12" s="112">
        <v>0</v>
      </c>
      <c r="Z12" s="112">
        <v>0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</row>
    <row r="13" spans="1:51" x14ac:dyDescent="0.25">
      <c r="A13" s="1"/>
      <c r="B13" s="1"/>
      <c r="C13" s="1" t="s">
        <v>350</v>
      </c>
      <c r="D13" s="1"/>
      <c r="E13" s="114" t="s">
        <v>351</v>
      </c>
      <c r="F13" s="1" t="s">
        <v>330</v>
      </c>
      <c r="G13" s="349">
        <v>2191.7808219178082</v>
      </c>
      <c r="H13" s="349">
        <v>2191.7808219178082</v>
      </c>
      <c r="I13" s="349">
        <v>2191.7808219178082</v>
      </c>
      <c r="J13" s="349">
        <v>2191.7808219178082</v>
      </c>
      <c r="K13" s="349">
        <v>2191.7808219178082</v>
      </c>
      <c r="L13" s="349">
        <v>2191.7808219178082</v>
      </c>
      <c r="M13" s="349">
        <v>2191.7808219178082</v>
      </c>
      <c r="N13" s="349">
        <v>2191.7808219178082</v>
      </c>
      <c r="O13" s="349">
        <v>2191.7808219178082</v>
      </c>
      <c r="P13" s="349">
        <v>2191.7808219178082</v>
      </c>
      <c r="Q13" s="349">
        <v>2191.7808219178082</v>
      </c>
      <c r="R13" s="349">
        <v>2191.7808219178082</v>
      </c>
      <c r="S13" s="349">
        <v>2191.7808219178082</v>
      </c>
      <c r="T13" s="349">
        <v>2191.7808219178082</v>
      </c>
      <c r="U13" s="349">
        <v>2191.7808219178082</v>
      </c>
      <c r="V13" s="349">
        <v>2191.7808219178082</v>
      </c>
      <c r="W13" s="349">
        <v>2191.7808219178082</v>
      </c>
      <c r="X13" s="349">
        <v>2191.7808219178082</v>
      </c>
      <c r="Y13" s="349">
        <v>2191.7808219178082</v>
      </c>
      <c r="Z13" s="349">
        <v>2191.7808219178082</v>
      </c>
      <c r="AA13" s="349">
        <v>2191.7808219178082</v>
      </c>
      <c r="AB13" s="349">
        <v>2191.7808219178082</v>
      </c>
      <c r="AC13" s="349">
        <v>2191.7808219178082</v>
      </c>
      <c r="AD13" s="349">
        <v>2191.7808219178082</v>
      </c>
      <c r="AE13" s="349">
        <v>2191.7808219178082</v>
      </c>
      <c r="AF13" s="349">
        <v>2191.7808219178082</v>
      </c>
      <c r="AG13" s="349">
        <v>2191.7808219178082</v>
      </c>
      <c r="AH13" s="349">
        <v>2191.7808219178082</v>
      </c>
      <c r="AI13" s="349">
        <v>2191.7808219178082</v>
      </c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</row>
    <row r="14" spans="1:51" x14ac:dyDescent="0.25">
      <c r="A14" s="1"/>
      <c r="B14" s="1"/>
      <c r="C14" s="1"/>
      <c r="D14" s="1"/>
      <c r="E14" s="1"/>
      <c r="F14" s="110" t="s">
        <v>352</v>
      </c>
      <c r="G14" s="456">
        <f>SUM(G8:G13)</f>
        <v>79982.780821917811</v>
      </c>
      <c r="H14" s="456">
        <f t="shared" ref="H14:AI14" si="0">SUM(H8:H13)</f>
        <v>80860.264480294165</v>
      </c>
      <c r="I14" s="456">
        <f t="shared" si="0"/>
        <v>80981.999567358129</v>
      </c>
      <c r="J14" s="456">
        <f t="shared" si="0"/>
        <v>81366.397687093879</v>
      </c>
      <c r="K14" s="456">
        <f t="shared" si="0"/>
        <v>81728.329276276578</v>
      </c>
      <c r="L14" s="456">
        <f t="shared" si="0"/>
        <v>82057.409746859092</v>
      </c>
      <c r="M14" s="456">
        <f t="shared" si="0"/>
        <v>82428.185930817344</v>
      </c>
      <c r="N14" s="456">
        <f t="shared" si="0"/>
        <v>82835.971600422228</v>
      </c>
      <c r="O14" s="456">
        <f t="shared" si="0"/>
        <v>83255.90684158045</v>
      </c>
      <c r="P14" s="456">
        <f t="shared" si="0"/>
        <v>83660.054001698023</v>
      </c>
      <c r="Q14" s="456">
        <f t="shared" si="0"/>
        <v>84102.539893272507</v>
      </c>
      <c r="R14" s="456">
        <f t="shared" si="0"/>
        <v>84585.725135238943</v>
      </c>
      <c r="S14" s="456">
        <f t="shared" si="0"/>
        <v>85110.953114584408</v>
      </c>
      <c r="T14" s="456">
        <f t="shared" si="0"/>
        <v>85629.249527841108</v>
      </c>
      <c r="U14" s="456">
        <f t="shared" si="0"/>
        <v>86124.059293241793</v>
      </c>
      <c r="V14" s="456">
        <f t="shared" si="0"/>
        <v>86658.340784541739</v>
      </c>
      <c r="W14" s="456">
        <f t="shared" si="0"/>
        <v>87195.500123797232</v>
      </c>
      <c r="X14" s="456">
        <f t="shared" si="0"/>
        <v>87813.153509453405</v>
      </c>
      <c r="Y14" s="456">
        <f t="shared" si="0"/>
        <v>88339.012361751636</v>
      </c>
      <c r="Z14" s="456">
        <f t="shared" si="0"/>
        <v>88929.777577301807</v>
      </c>
      <c r="AA14" s="456">
        <f t="shared" si="0"/>
        <v>89583.698260154386</v>
      </c>
      <c r="AB14" s="456">
        <f t="shared" si="0"/>
        <v>90161.451455268703</v>
      </c>
      <c r="AC14" s="456">
        <f t="shared" si="0"/>
        <v>90727.961666808173</v>
      </c>
      <c r="AD14" s="456">
        <f t="shared" si="0"/>
        <v>91428.489476064424</v>
      </c>
      <c r="AE14" s="456">
        <f t="shared" si="0"/>
        <v>91428.489476064438</v>
      </c>
      <c r="AF14" s="456">
        <f t="shared" si="0"/>
        <v>91428.489476064438</v>
      </c>
      <c r="AG14" s="456">
        <f t="shared" si="0"/>
        <v>91428.489476064438</v>
      </c>
      <c r="AH14" s="456">
        <f t="shared" si="0"/>
        <v>91428.489476064424</v>
      </c>
      <c r="AI14" s="456">
        <f t="shared" si="0"/>
        <v>91428.489476064424</v>
      </c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</row>
    <row r="15" spans="1:5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</row>
    <row r="16" spans="1:51" x14ac:dyDescent="0.25">
      <c r="A16" s="1"/>
      <c r="B16" s="11"/>
      <c r="C16" s="1"/>
      <c r="D16" s="1"/>
      <c r="E16" s="1"/>
      <c r="F16" s="1"/>
      <c r="G16" s="528">
        <f t="shared" ref="G16:AI16" si="1">G6</f>
        <v>2022</v>
      </c>
      <c r="H16" s="528">
        <f t="shared" si="1"/>
        <v>2023</v>
      </c>
      <c r="I16" s="528">
        <f t="shared" si="1"/>
        <v>2024</v>
      </c>
      <c r="J16" s="528">
        <f t="shared" si="1"/>
        <v>2025</v>
      </c>
      <c r="K16" s="528">
        <f t="shared" si="1"/>
        <v>2026</v>
      </c>
      <c r="L16" s="528">
        <f t="shared" si="1"/>
        <v>2027</v>
      </c>
      <c r="M16" s="528">
        <f t="shared" si="1"/>
        <v>2028</v>
      </c>
      <c r="N16" s="528">
        <f t="shared" si="1"/>
        <v>2029</v>
      </c>
      <c r="O16" s="528">
        <f t="shared" si="1"/>
        <v>2030</v>
      </c>
      <c r="P16" s="528">
        <f t="shared" si="1"/>
        <v>2031</v>
      </c>
      <c r="Q16" s="528">
        <f t="shared" si="1"/>
        <v>2032</v>
      </c>
      <c r="R16" s="528">
        <f t="shared" si="1"/>
        <v>2033</v>
      </c>
      <c r="S16" s="528">
        <f t="shared" si="1"/>
        <v>2034</v>
      </c>
      <c r="T16" s="528">
        <f t="shared" si="1"/>
        <v>2035</v>
      </c>
      <c r="U16" s="528">
        <f t="shared" si="1"/>
        <v>2036</v>
      </c>
      <c r="V16" s="528">
        <f t="shared" si="1"/>
        <v>2037</v>
      </c>
      <c r="W16" s="528">
        <f t="shared" si="1"/>
        <v>2038</v>
      </c>
      <c r="X16" s="528">
        <f t="shared" si="1"/>
        <v>2039</v>
      </c>
      <c r="Y16" s="528">
        <f t="shared" si="1"/>
        <v>2040</v>
      </c>
      <c r="Z16" s="528">
        <f t="shared" si="1"/>
        <v>2041</v>
      </c>
      <c r="AA16" s="528">
        <f t="shared" si="1"/>
        <v>2042</v>
      </c>
      <c r="AB16" s="528">
        <f t="shared" si="1"/>
        <v>2043</v>
      </c>
      <c r="AC16" s="528">
        <f t="shared" si="1"/>
        <v>2044</v>
      </c>
      <c r="AD16" s="528">
        <f t="shared" si="1"/>
        <v>2045</v>
      </c>
      <c r="AE16" s="528">
        <f t="shared" si="1"/>
        <v>2046</v>
      </c>
      <c r="AF16" s="528">
        <f t="shared" si="1"/>
        <v>2047</v>
      </c>
      <c r="AG16" s="528">
        <f t="shared" si="1"/>
        <v>2048</v>
      </c>
      <c r="AH16" s="528">
        <f t="shared" si="1"/>
        <v>2049</v>
      </c>
      <c r="AI16" s="528">
        <f t="shared" si="1"/>
        <v>2050</v>
      </c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</row>
    <row r="17" spans="1:51" x14ac:dyDescent="0.25">
      <c r="A17" s="1"/>
      <c r="B17" s="1"/>
      <c r="C17" s="1"/>
      <c r="D17" s="1"/>
      <c r="E17" s="114" t="s">
        <v>353</v>
      </c>
      <c r="F17" s="1" t="s">
        <v>330</v>
      </c>
      <c r="G17" s="349">
        <f>VLOOKUP(G$6,' Summary Data'!$B$5:$O$28,14,FALSE)/365</f>
        <v>79982.36913990826</v>
      </c>
      <c r="H17" s="349">
        <f>VLOOKUP(H$6,' Summary Data'!$B$5:$O$28,14,FALSE)/365</f>
        <v>80860.264480294165</v>
      </c>
      <c r="I17" s="349">
        <f>VLOOKUP(I$6,' Summary Data'!$B$5:$O$28,14,FALSE)/365</f>
        <v>80981.999567358129</v>
      </c>
      <c r="J17" s="349">
        <f>VLOOKUP(J$6,' Summary Data'!$B$5:$O$28,14,FALSE)/365</f>
        <v>81366.397687093879</v>
      </c>
      <c r="K17" s="349">
        <f>VLOOKUP(K$6,' Summary Data'!$B$5:$O$28,14,FALSE)/365</f>
        <v>81728.329276276578</v>
      </c>
      <c r="L17" s="349">
        <f>VLOOKUP(L$6,' Summary Data'!$B$5:$O$28,14,FALSE)/365</f>
        <v>82057.409746859092</v>
      </c>
      <c r="M17" s="349">
        <f>VLOOKUP(M$6,' Summary Data'!$B$5:$O$28,14,FALSE)/365</f>
        <v>82428.185930817344</v>
      </c>
      <c r="N17" s="349">
        <f>VLOOKUP(N$6,' Summary Data'!$B$5:$O$28,14,FALSE)/365</f>
        <v>82835.971600422228</v>
      </c>
      <c r="O17" s="349">
        <f>VLOOKUP(O$6,' Summary Data'!$B$5:$O$28,14,FALSE)/365</f>
        <v>83255.90684158045</v>
      </c>
      <c r="P17" s="349">
        <f>VLOOKUP(P$6,' Summary Data'!$B$5:$O$28,14,FALSE)/365</f>
        <v>83660.054001698023</v>
      </c>
      <c r="Q17" s="349">
        <f>VLOOKUP(Q$6,' Summary Data'!$B$5:$O$28,14,FALSE)/365</f>
        <v>84102.539893272507</v>
      </c>
      <c r="R17" s="349">
        <f>VLOOKUP(R$6,' Summary Data'!$B$5:$O$28,14,FALSE)/365</f>
        <v>84585.725135238943</v>
      </c>
      <c r="S17" s="349">
        <f>VLOOKUP(S$6,' Summary Data'!$B$5:$O$28,14,FALSE)/365</f>
        <v>85110.953114584408</v>
      </c>
      <c r="T17" s="349">
        <f>VLOOKUP(T$6,' Summary Data'!$B$5:$O$28,14,FALSE)/365</f>
        <v>85629.249527841108</v>
      </c>
      <c r="U17" s="349">
        <f>VLOOKUP(U$6,' Summary Data'!$B$5:$O$28,14,FALSE)/365</f>
        <v>86124.059293241793</v>
      </c>
      <c r="V17" s="349">
        <f>VLOOKUP(V$6,' Summary Data'!$B$5:$O$28,14,FALSE)/365</f>
        <v>86658.340784541739</v>
      </c>
      <c r="W17" s="349">
        <f>VLOOKUP(W$6,' Summary Data'!$B$5:$O$28,14,FALSE)/365</f>
        <v>87195.500123797232</v>
      </c>
      <c r="X17" s="349">
        <f>VLOOKUP(X$6,' Summary Data'!$B$5:$O$28,14,FALSE)/365</f>
        <v>87813.153509453405</v>
      </c>
      <c r="Y17" s="349">
        <f>VLOOKUP(Y$6,' Summary Data'!$B$5:$O$28,14,FALSE)/365</f>
        <v>88339.012361751622</v>
      </c>
      <c r="Z17" s="349">
        <f>VLOOKUP(Z$6,' Summary Data'!$B$5:$O$28,14,FALSE)/365</f>
        <v>88929.777577301807</v>
      </c>
      <c r="AA17" s="349">
        <f>VLOOKUP(AA$6,' Summary Data'!$B$5:$O$28,14,FALSE)/365</f>
        <v>89583.698260154386</v>
      </c>
      <c r="AB17" s="349">
        <f>VLOOKUP(AB$6,' Summary Data'!$B$5:$O$28,14,FALSE)/365</f>
        <v>90161.451455268703</v>
      </c>
      <c r="AC17" s="349">
        <f>VLOOKUP(AC$6,' Summary Data'!$B$5:$O$28,14,FALSE)/365</f>
        <v>90727.961666808158</v>
      </c>
      <c r="AD17" s="349">
        <f>VLOOKUP(AD$6,' Summary Data'!$B$5:$O$28,14,FALSE)/365</f>
        <v>91428.489476064438</v>
      </c>
      <c r="AE17" s="349">
        <f>$AD$17</f>
        <v>91428.489476064438</v>
      </c>
      <c r="AF17" s="349">
        <f>$AD$17</f>
        <v>91428.489476064438</v>
      </c>
      <c r="AG17" s="349">
        <f>$AD$17</f>
        <v>91428.489476064438</v>
      </c>
      <c r="AH17" s="349">
        <f>$AD$17</f>
        <v>91428.489476064438</v>
      </c>
      <c r="AI17" s="349">
        <f>$AD$17</f>
        <v>91428.489476064438</v>
      </c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</row>
    <row r="18" spans="1:51" x14ac:dyDescent="0.25">
      <c r="A18" s="1"/>
      <c r="B18" s="1"/>
      <c r="C18" s="1"/>
      <c r="D18" s="1"/>
      <c r="E18" s="110" t="s">
        <v>354</v>
      </c>
      <c r="F18" s="11" t="s">
        <v>330</v>
      </c>
      <c r="G18" s="465">
        <f>G17-G14-G48</f>
        <v>-0.4116820095514413</v>
      </c>
      <c r="H18" s="465">
        <f>H17-H14-H48</f>
        <v>0</v>
      </c>
      <c r="I18" s="465">
        <f>I17-I14-I48</f>
        <v>0</v>
      </c>
      <c r="J18" s="465">
        <f>J17-J14-J48</f>
        <v>0</v>
      </c>
      <c r="K18" s="465">
        <f t="shared" ref="K18:S18" si="2">K17-K14-K48</f>
        <v>0</v>
      </c>
      <c r="L18" s="465">
        <f t="shared" si="2"/>
        <v>0</v>
      </c>
      <c r="M18" s="465">
        <f t="shared" si="2"/>
        <v>0</v>
      </c>
      <c r="N18" s="465">
        <f t="shared" si="2"/>
        <v>0</v>
      </c>
      <c r="O18" s="465">
        <f t="shared" si="2"/>
        <v>0</v>
      </c>
      <c r="P18" s="465">
        <f t="shared" si="2"/>
        <v>0</v>
      </c>
      <c r="Q18" s="465">
        <f t="shared" si="2"/>
        <v>0</v>
      </c>
      <c r="R18" s="465">
        <f t="shared" si="2"/>
        <v>0</v>
      </c>
      <c r="S18" s="465">
        <f t="shared" si="2"/>
        <v>0</v>
      </c>
      <c r="T18" s="465">
        <f>T17-T14-T48</f>
        <v>0</v>
      </c>
      <c r="U18" s="465">
        <f t="shared" ref="U18:AI18" si="3">U17-U14-U48</f>
        <v>0</v>
      </c>
      <c r="V18" s="465">
        <f t="shared" si="3"/>
        <v>0</v>
      </c>
      <c r="W18" s="465">
        <f t="shared" si="3"/>
        <v>0</v>
      </c>
      <c r="X18" s="465">
        <f t="shared" si="3"/>
        <v>0</v>
      </c>
      <c r="Y18" s="465">
        <f>Y17-Y14-Y48</f>
        <v>0</v>
      </c>
      <c r="Z18" s="465">
        <f t="shared" si="3"/>
        <v>0</v>
      </c>
      <c r="AA18" s="465">
        <f t="shared" si="3"/>
        <v>0</v>
      </c>
      <c r="AB18" s="465">
        <f t="shared" si="3"/>
        <v>0</v>
      </c>
      <c r="AC18" s="465">
        <f t="shared" si="3"/>
        <v>0</v>
      </c>
      <c r="AD18" s="465">
        <f t="shared" si="3"/>
        <v>0</v>
      </c>
      <c r="AE18" s="465">
        <f t="shared" si="3"/>
        <v>0</v>
      </c>
      <c r="AF18" s="465">
        <f t="shared" si="3"/>
        <v>0</v>
      </c>
      <c r="AG18" s="465">
        <f t="shared" si="3"/>
        <v>0</v>
      </c>
      <c r="AH18" s="465">
        <f t="shared" si="3"/>
        <v>0</v>
      </c>
      <c r="AI18" s="465">
        <f t="shared" si="3"/>
        <v>0</v>
      </c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</row>
    <row r="19" spans="1:5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</row>
    <row r="20" spans="1:51" x14ac:dyDescent="0.25">
      <c r="A20" s="1"/>
      <c r="B20" s="1"/>
      <c r="C20" s="1"/>
      <c r="D20" s="454" t="s">
        <v>355</v>
      </c>
      <c r="E20" s="61"/>
      <c r="F20" s="466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</row>
    <row r="21" spans="1:5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</row>
    <row r="22" spans="1:51" x14ac:dyDescent="0.25">
      <c r="A22" s="1"/>
      <c r="B22" s="1"/>
      <c r="C22" s="1"/>
      <c r="D22" s="1"/>
      <c r="E22" s="1"/>
      <c r="F22" s="1"/>
      <c r="G22" s="114" t="s">
        <v>356</v>
      </c>
      <c r="H22" s="117">
        <v>0.3</v>
      </c>
      <c r="J22" s="1"/>
      <c r="K22" s="1"/>
      <c r="L22" s="1"/>
      <c r="M22" s="1"/>
      <c r="N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</row>
    <row r="23" spans="1:51" x14ac:dyDescent="0.25">
      <c r="A23" s="1"/>
      <c r="B23" s="1"/>
      <c r="C23" s="1"/>
      <c r="D23" s="1"/>
      <c r="E23" s="1"/>
      <c r="F23" s="1"/>
      <c r="G23" s="546" t="s">
        <v>357</v>
      </c>
      <c r="H23" s="546"/>
      <c r="I23" s="546"/>
      <c r="J23" s="1"/>
      <c r="K23" s="547" t="s">
        <v>770</v>
      </c>
      <c r="L23" s="547"/>
      <c r="M23" s="1"/>
      <c r="N23" s="546" t="s">
        <v>358</v>
      </c>
      <c r="O23" s="546"/>
      <c r="P23" s="1"/>
      <c r="Q23" s="547" t="s">
        <v>359</v>
      </c>
      <c r="R23" s="547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</row>
    <row r="24" spans="1:51" ht="15.75" thickBot="1" x14ac:dyDescent="0.3">
      <c r="A24" s="1"/>
      <c r="B24" s="1"/>
      <c r="C24" s="1"/>
      <c r="D24" s="1"/>
      <c r="E24" s="1"/>
      <c r="F24" s="1"/>
      <c r="G24" s="1" t="s">
        <v>360</v>
      </c>
      <c r="H24" s="119" t="s">
        <v>173</v>
      </c>
      <c r="I24" s="526" t="s">
        <v>361</v>
      </c>
      <c r="J24" s="1"/>
      <c r="K24" s="119" t="s">
        <v>173</v>
      </c>
      <c r="L24" s="526" t="s">
        <v>361</v>
      </c>
      <c r="M24" s="1"/>
      <c r="N24" s="119" t="s">
        <v>173</v>
      </c>
      <c r="O24" s="526" t="s">
        <v>361</v>
      </c>
      <c r="P24" s="1"/>
      <c r="Q24" s="119" t="s">
        <v>173</v>
      </c>
      <c r="R24" s="527" t="s">
        <v>362</v>
      </c>
      <c r="S24" s="526" t="s">
        <v>363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</row>
    <row r="25" spans="1:51" ht="15.75" thickBot="1" x14ac:dyDescent="0.3">
      <c r="A25" s="1"/>
      <c r="B25" s="1"/>
      <c r="C25" s="1"/>
      <c r="D25" s="1"/>
      <c r="E25" s="1"/>
      <c r="F25" s="1"/>
      <c r="G25" s="122" t="s">
        <v>364</v>
      </c>
      <c r="H25" s="123">
        <v>2035</v>
      </c>
      <c r="I25" s="458">
        <v>0</v>
      </c>
      <c r="J25" s="1"/>
      <c r="K25" s="123">
        <v>2025</v>
      </c>
      <c r="L25" s="124">
        <f>VLOOKUP(K25,'8a. RNG'!D16:H45,3,FALSE)</f>
        <v>2157.4700878889521</v>
      </c>
      <c r="M25" s="1"/>
      <c r="N25" s="123">
        <v>2040</v>
      </c>
      <c r="O25" s="124">
        <f>VLOOKUP(N25,'8a. RNG'!$O$16:$T$45,2,FALSE)</f>
        <v>15616.438356164384</v>
      </c>
      <c r="P25" s="1"/>
      <c r="Q25" s="461">
        <v>2040</v>
      </c>
      <c r="R25" s="462">
        <v>89.4</v>
      </c>
      <c r="S25" s="463" t="s">
        <v>340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</row>
    <row r="26" spans="1:51" ht="15.75" thickBot="1" x14ac:dyDescent="0.3">
      <c r="A26" s="1"/>
      <c r="B26" s="1"/>
      <c r="C26" s="1"/>
      <c r="D26" s="1"/>
      <c r="E26" s="1"/>
      <c r="F26" s="1"/>
      <c r="G26" s="125" t="s">
        <v>365</v>
      </c>
      <c r="H26" s="126">
        <v>2040</v>
      </c>
      <c r="I26" s="459">
        <v>0</v>
      </c>
      <c r="J26" s="1"/>
      <c r="K26" s="126">
        <v>2030</v>
      </c>
      <c r="L26" s="127">
        <f>VLOOKUP(K26,'8a. RNG'!D16:H45,4,FALSE)</f>
        <v>3235.7296497163575</v>
      </c>
      <c r="M26" s="1"/>
      <c r="N26" s="126" t="s">
        <v>366</v>
      </c>
      <c r="O26" s="127">
        <f>VLOOKUP(N26,'8a. RNG'!$O$16:$T$45,3,FALSE)</f>
        <v>0</v>
      </c>
      <c r="P26" s="1"/>
      <c r="Q26" s="526" t="s">
        <v>361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</row>
    <row r="27" spans="1:51" ht="15.75" thickBot="1" x14ac:dyDescent="0.3">
      <c r="A27" s="1"/>
      <c r="B27" s="1"/>
      <c r="C27" s="1"/>
      <c r="D27" s="1"/>
      <c r="E27" s="1"/>
      <c r="F27" s="1"/>
      <c r="G27" s="125" t="s">
        <v>367</v>
      </c>
      <c r="H27" s="126">
        <v>2045</v>
      </c>
      <c r="I27" s="459">
        <v>0</v>
      </c>
      <c r="J27" s="1"/>
      <c r="K27" s="130">
        <v>2035</v>
      </c>
      <c r="L27" s="131">
        <f>VLOOKUP(K27,'8a. RNG'!D16:H45,5,FALSE)</f>
        <v>4168.3048437784746</v>
      </c>
      <c r="M27" s="1"/>
      <c r="N27" s="126" t="s">
        <v>366</v>
      </c>
      <c r="O27" s="127">
        <f>VLOOKUP(N27,'8a. RNG'!$O$16:$T$45,4,FALSE)</f>
        <v>0</v>
      </c>
      <c r="P27" s="1"/>
      <c r="Q27" s="464" t="e">
        <f>IF(Q25="n/a",0,VLOOKUP(1,'7a. Green Hydrogen'!Q6:W41,7,FALSE))</f>
        <v>#N/A</v>
      </c>
      <c r="R27" s="8" t="str">
        <f>IF(ISERROR(Q27),"Please select power price $/MWh applicable to respective year from the drop-down menu above","")</f>
        <v>Please select power price $/MWh applicable to respective year from the drop-down menu above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</row>
    <row r="28" spans="1:51" x14ac:dyDescent="0.25">
      <c r="A28" s="1"/>
      <c r="B28" s="1"/>
      <c r="C28" s="1"/>
      <c r="D28" s="1"/>
      <c r="E28" s="1"/>
      <c r="F28" s="1"/>
      <c r="G28" s="125" t="s">
        <v>368</v>
      </c>
      <c r="H28" s="126">
        <v>2050</v>
      </c>
      <c r="I28" s="459">
        <v>0</v>
      </c>
      <c r="J28" s="1"/>
      <c r="K28" s="526"/>
      <c r="L28" s="17"/>
      <c r="M28" s="1"/>
      <c r="N28" s="126" t="s">
        <v>366</v>
      </c>
      <c r="O28" s="127">
        <f>VLOOKUP(N28,'8a. RNG'!$O$16:$T$45,5,FALSE)</f>
        <v>0</v>
      </c>
      <c r="P28" s="1"/>
      <c r="Q28" s="1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</row>
    <row r="29" spans="1:51" ht="15.75" thickBot="1" x14ac:dyDescent="0.3">
      <c r="A29" s="1"/>
      <c r="B29" s="1"/>
      <c r="C29" s="1"/>
      <c r="D29" s="1"/>
      <c r="E29" s="1"/>
      <c r="F29" s="1"/>
      <c r="G29" s="129" t="s">
        <v>369</v>
      </c>
      <c r="H29" s="130" t="s">
        <v>366</v>
      </c>
      <c r="I29" s="460">
        <v>0</v>
      </c>
      <c r="J29" s="1"/>
      <c r="K29" s="526"/>
      <c r="L29" s="17"/>
      <c r="M29" s="1"/>
      <c r="N29" s="130" t="s">
        <v>366</v>
      </c>
      <c r="O29" s="131">
        <f>VLOOKUP(N29,'8a. RNG'!$O$16:$T$45,6,FALSE)</f>
        <v>0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</row>
    <row r="30" spans="1:5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</row>
    <row r="31" spans="1:5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</row>
    <row r="32" spans="1:51" x14ac:dyDescent="0.25">
      <c r="A32" s="1"/>
      <c r="B32" s="1"/>
      <c r="C32" s="1"/>
      <c r="D32" s="1"/>
      <c r="E32" s="1"/>
      <c r="F32" s="455" t="s">
        <v>370</v>
      </c>
      <c r="G32" s="110">
        <v>2022</v>
      </c>
      <c r="H32" s="110">
        <v>2023</v>
      </c>
      <c r="I32" s="110">
        <v>2024</v>
      </c>
      <c r="J32" s="110">
        <v>2025</v>
      </c>
      <c r="K32" s="110">
        <v>2026</v>
      </c>
      <c r="L32" s="110">
        <v>2027</v>
      </c>
      <c r="M32" s="110">
        <v>2028</v>
      </c>
      <c r="N32" s="110">
        <v>2029</v>
      </c>
      <c r="O32" s="110">
        <v>2030</v>
      </c>
      <c r="P32" s="110">
        <v>2031</v>
      </c>
      <c r="Q32" s="110">
        <v>2032</v>
      </c>
      <c r="R32" s="110">
        <v>2033</v>
      </c>
      <c r="S32" s="110">
        <v>2034</v>
      </c>
      <c r="T32" s="110">
        <v>2035</v>
      </c>
      <c r="U32" s="110">
        <v>2036</v>
      </c>
      <c r="V32" s="110">
        <v>2037</v>
      </c>
      <c r="W32" s="110">
        <v>2038</v>
      </c>
      <c r="X32" s="110">
        <v>2039</v>
      </c>
      <c r="Y32" s="110">
        <v>2040</v>
      </c>
      <c r="Z32" s="110">
        <v>2041</v>
      </c>
      <c r="AA32" s="110">
        <v>2042</v>
      </c>
      <c r="AB32" s="110">
        <v>2043</v>
      </c>
      <c r="AC32" s="110">
        <v>2044</v>
      </c>
      <c r="AD32" s="110">
        <v>2045</v>
      </c>
      <c r="AE32" s="110">
        <v>2046</v>
      </c>
      <c r="AF32" s="110">
        <v>2047</v>
      </c>
      <c r="AG32" s="110">
        <v>2048</v>
      </c>
      <c r="AH32" s="110">
        <v>2049</v>
      </c>
      <c r="AI32" s="110">
        <v>2050</v>
      </c>
      <c r="AJ32" s="528" t="s">
        <v>366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</row>
    <row r="33" spans="1:51" ht="11.25" customHeight="1" x14ac:dyDescent="0.25">
      <c r="A33" s="1"/>
      <c r="B33" s="1"/>
      <c r="C33" s="1"/>
      <c r="D33" s="1"/>
      <c r="E33" s="114"/>
      <c r="F33" s="1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</row>
    <row r="34" spans="1:51" x14ac:dyDescent="0.25">
      <c r="A34" s="1"/>
      <c r="B34" s="1"/>
      <c r="C34" s="1"/>
      <c r="D34" s="1"/>
      <c r="E34" s="139" t="s">
        <v>760</v>
      </c>
      <c r="F34" s="1" t="s">
        <v>330</v>
      </c>
      <c r="G34" s="469">
        <v>0</v>
      </c>
      <c r="H34" s="469">
        <v>0</v>
      </c>
      <c r="I34" s="469">
        <v>0</v>
      </c>
      <c r="J34" s="469">
        <v>0</v>
      </c>
      <c r="K34" s="469">
        <v>0</v>
      </c>
      <c r="L34" s="469">
        <v>0</v>
      </c>
      <c r="M34" s="469">
        <v>0</v>
      </c>
      <c r="N34" s="469">
        <v>0</v>
      </c>
      <c r="O34" s="469">
        <v>0</v>
      </c>
      <c r="P34" s="469">
        <v>0</v>
      </c>
      <c r="Q34" s="469">
        <v>0</v>
      </c>
      <c r="R34" s="469">
        <v>0</v>
      </c>
      <c r="S34" s="469">
        <v>0</v>
      </c>
      <c r="T34" s="469">
        <v>0</v>
      </c>
      <c r="U34" s="469">
        <v>0</v>
      </c>
      <c r="V34" s="469">
        <v>0</v>
      </c>
      <c r="W34" s="469">
        <v>0</v>
      </c>
      <c r="X34" s="469">
        <v>0</v>
      </c>
      <c r="Y34" s="469">
        <v>0</v>
      </c>
      <c r="Z34" s="469">
        <v>0</v>
      </c>
      <c r="AA34" s="469">
        <v>0</v>
      </c>
      <c r="AB34" s="469">
        <v>0</v>
      </c>
      <c r="AC34" s="469">
        <v>0</v>
      </c>
      <c r="AD34" s="469">
        <v>0</v>
      </c>
      <c r="AE34" s="469">
        <v>0</v>
      </c>
      <c r="AF34" s="469">
        <v>0</v>
      </c>
      <c r="AG34" s="469">
        <v>0</v>
      </c>
      <c r="AH34" s="469">
        <v>0</v>
      </c>
      <c r="AI34" s="469">
        <v>0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</row>
    <row r="35" spans="1:51" x14ac:dyDescent="0.25">
      <c r="A35" s="1"/>
      <c r="B35" s="1"/>
      <c r="C35" s="1"/>
      <c r="D35" s="1"/>
      <c r="E35" s="139" t="s">
        <v>771</v>
      </c>
      <c r="F35" s="1" t="s">
        <v>330</v>
      </c>
      <c r="G35" s="469">
        <v>0</v>
      </c>
      <c r="H35" s="469">
        <v>0</v>
      </c>
      <c r="I35" s="469">
        <v>0</v>
      </c>
      <c r="J35" s="469">
        <v>0</v>
      </c>
      <c r="K35" s="469">
        <v>0</v>
      </c>
      <c r="L35" s="469">
        <v>0</v>
      </c>
      <c r="M35" s="469">
        <v>0</v>
      </c>
      <c r="N35" s="469">
        <v>0</v>
      </c>
      <c r="O35" s="469">
        <v>0</v>
      </c>
      <c r="P35" s="469">
        <v>0</v>
      </c>
      <c r="Q35" s="469">
        <v>0</v>
      </c>
      <c r="R35" s="469">
        <v>0</v>
      </c>
      <c r="S35" s="469">
        <v>0</v>
      </c>
      <c r="T35" s="469">
        <v>0</v>
      </c>
      <c r="U35" s="469">
        <v>0</v>
      </c>
      <c r="V35" s="469">
        <v>0</v>
      </c>
      <c r="W35" s="469">
        <v>0</v>
      </c>
      <c r="X35" s="469">
        <v>0</v>
      </c>
      <c r="Y35" s="469">
        <v>0</v>
      </c>
      <c r="Z35" s="469">
        <v>0</v>
      </c>
      <c r="AA35" s="469">
        <v>0</v>
      </c>
      <c r="AB35" s="469">
        <v>0</v>
      </c>
      <c r="AC35" s="469">
        <v>0</v>
      </c>
      <c r="AD35" s="469">
        <v>0</v>
      </c>
      <c r="AE35" s="469">
        <v>0</v>
      </c>
      <c r="AF35" s="469">
        <v>0</v>
      </c>
      <c r="AG35" s="469">
        <v>0</v>
      </c>
      <c r="AH35" s="469">
        <v>0</v>
      </c>
      <c r="AI35" s="469">
        <v>0</v>
      </c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</row>
    <row r="36" spans="1:51" x14ac:dyDescent="0.25">
      <c r="A36" s="1"/>
      <c r="B36" s="1"/>
      <c r="C36" s="1"/>
      <c r="D36" s="1"/>
      <c r="E36" s="139" t="str">
        <f>'8a. RNG'!$H$12</f>
        <v>LFG, WWTP, AgCrop (3)</v>
      </c>
      <c r="F36" s="1" t="s">
        <v>330</v>
      </c>
      <c r="G36" s="469">
        <v>0</v>
      </c>
      <c r="H36" s="469">
        <v>0</v>
      </c>
      <c r="I36" s="469">
        <v>0</v>
      </c>
      <c r="J36" s="469">
        <v>0</v>
      </c>
      <c r="K36" s="469">
        <v>0</v>
      </c>
      <c r="L36" s="469">
        <v>0</v>
      </c>
      <c r="M36" s="469">
        <v>0</v>
      </c>
      <c r="N36" s="469">
        <v>0</v>
      </c>
      <c r="O36" s="469">
        <v>0</v>
      </c>
      <c r="P36" s="469">
        <v>0</v>
      </c>
      <c r="Q36" s="469">
        <v>0</v>
      </c>
      <c r="R36" s="469">
        <v>0</v>
      </c>
      <c r="S36" s="469">
        <v>0</v>
      </c>
      <c r="T36" s="469">
        <v>0</v>
      </c>
      <c r="U36" s="469">
        <v>0</v>
      </c>
      <c r="V36" s="469">
        <v>0</v>
      </c>
      <c r="W36" s="469">
        <v>0</v>
      </c>
      <c r="X36" s="469">
        <v>0</v>
      </c>
      <c r="Y36" s="469">
        <v>0</v>
      </c>
      <c r="Z36" s="469">
        <v>0</v>
      </c>
      <c r="AA36" s="469">
        <v>0</v>
      </c>
      <c r="AB36" s="469">
        <v>0</v>
      </c>
      <c r="AC36" s="469">
        <v>0</v>
      </c>
      <c r="AD36" s="469">
        <v>0</v>
      </c>
      <c r="AE36" s="469">
        <v>0</v>
      </c>
      <c r="AF36" s="469">
        <v>0</v>
      </c>
      <c r="AG36" s="469">
        <v>0</v>
      </c>
      <c r="AH36" s="469">
        <v>0</v>
      </c>
      <c r="AI36" s="469">
        <v>0</v>
      </c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</row>
    <row r="37" spans="1:51" x14ac:dyDescent="0.25">
      <c r="A37" s="1"/>
      <c r="B37" s="1"/>
      <c r="C37" s="1"/>
      <c r="D37" s="1"/>
      <c r="E37" s="139" t="str">
        <f>'8a. RNG'!$P$12</f>
        <v>CDW Exp. 1</v>
      </c>
      <c r="F37" s="1" t="s">
        <v>330</v>
      </c>
      <c r="G37" s="469">
        <v>0</v>
      </c>
      <c r="H37" s="469">
        <v>0</v>
      </c>
      <c r="I37" s="469">
        <v>0</v>
      </c>
      <c r="J37" s="469">
        <v>0</v>
      </c>
      <c r="K37" s="469">
        <v>0</v>
      </c>
      <c r="L37" s="469">
        <v>0</v>
      </c>
      <c r="M37" s="469">
        <v>0</v>
      </c>
      <c r="N37" s="469">
        <v>0</v>
      </c>
      <c r="O37" s="469">
        <v>0</v>
      </c>
      <c r="P37" s="469">
        <v>0</v>
      </c>
      <c r="Q37" s="469">
        <v>0</v>
      </c>
      <c r="R37" s="469">
        <v>0</v>
      </c>
      <c r="S37" s="469">
        <v>0</v>
      </c>
      <c r="T37" s="469">
        <v>0</v>
      </c>
      <c r="U37" s="469">
        <v>0</v>
      </c>
      <c r="V37" s="469">
        <v>0</v>
      </c>
      <c r="W37" s="469">
        <v>0</v>
      </c>
      <c r="X37" s="469">
        <v>0</v>
      </c>
      <c r="Y37" s="469">
        <v>0</v>
      </c>
      <c r="Z37" s="469">
        <v>0</v>
      </c>
      <c r="AA37" s="469">
        <v>0</v>
      </c>
      <c r="AB37" s="469">
        <v>0</v>
      </c>
      <c r="AC37" s="469">
        <v>0</v>
      </c>
      <c r="AD37" s="469">
        <v>0</v>
      </c>
      <c r="AE37" s="469">
        <v>0</v>
      </c>
      <c r="AF37" s="469">
        <v>0</v>
      </c>
      <c r="AG37" s="469">
        <v>0</v>
      </c>
      <c r="AH37" s="469">
        <v>0</v>
      </c>
      <c r="AI37" s="469">
        <v>0</v>
      </c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</row>
    <row r="38" spans="1:51" x14ac:dyDescent="0.25">
      <c r="A38" s="1"/>
      <c r="B38" s="1"/>
      <c r="C38" s="1"/>
      <c r="D38" s="1"/>
      <c r="E38" s="139" t="str">
        <f>'8a. RNG'!$Q$12</f>
        <v>CDW Exp. 2</v>
      </c>
      <c r="F38" s="1" t="s">
        <v>330</v>
      </c>
      <c r="G38" s="469">
        <v>0</v>
      </c>
      <c r="H38" s="469">
        <v>0</v>
      </c>
      <c r="I38" s="469">
        <v>0</v>
      </c>
      <c r="J38" s="469">
        <v>0</v>
      </c>
      <c r="K38" s="469">
        <v>0</v>
      </c>
      <c r="L38" s="469">
        <v>0</v>
      </c>
      <c r="M38" s="469">
        <v>0</v>
      </c>
      <c r="N38" s="469">
        <v>0</v>
      </c>
      <c r="O38" s="469">
        <v>0</v>
      </c>
      <c r="P38" s="469">
        <v>0</v>
      </c>
      <c r="Q38" s="469">
        <v>0</v>
      </c>
      <c r="R38" s="469">
        <v>0</v>
      </c>
      <c r="S38" s="469">
        <v>0</v>
      </c>
      <c r="T38" s="469">
        <v>0</v>
      </c>
      <c r="U38" s="469">
        <v>0</v>
      </c>
      <c r="V38" s="469">
        <v>0</v>
      </c>
      <c r="W38" s="469">
        <v>0</v>
      </c>
      <c r="X38" s="469">
        <v>0</v>
      </c>
      <c r="Y38" s="469">
        <v>0</v>
      </c>
      <c r="Z38" s="469">
        <v>0</v>
      </c>
      <c r="AA38" s="469">
        <v>0</v>
      </c>
      <c r="AB38" s="469">
        <v>0</v>
      </c>
      <c r="AC38" s="469">
        <v>0</v>
      </c>
      <c r="AD38" s="469">
        <v>0</v>
      </c>
      <c r="AE38" s="469">
        <v>0</v>
      </c>
      <c r="AF38" s="469">
        <v>0</v>
      </c>
      <c r="AG38" s="469">
        <v>0</v>
      </c>
      <c r="AH38" s="469">
        <v>0</v>
      </c>
      <c r="AI38" s="469">
        <v>0</v>
      </c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</row>
    <row r="39" spans="1:51" x14ac:dyDescent="0.25">
      <c r="A39" s="1"/>
      <c r="B39" s="1"/>
      <c r="C39" s="1"/>
      <c r="D39" s="1"/>
      <c r="E39" s="139" t="str">
        <f>'8a. RNG'!$R$12</f>
        <v>CDW Exp. 3</v>
      </c>
      <c r="F39" s="1" t="s">
        <v>330</v>
      </c>
      <c r="G39" s="469">
        <v>0</v>
      </c>
      <c r="H39" s="469">
        <v>0</v>
      </c>
      <c r="I39" s="469">
        <v>0</v>
      </c>
      <c r="J39" s="469">
        <v>0</v>
      </c>
      <c r="K39" s="469">
        <v>0</v>
      </c>
      <c r="L39" s="469">
        <v>0</v>
      </c>
      <c r="M39" s="469">
        <v>0</v>
      </c>
      <c r="N39" s="469">
        <v>0</v>
      </c>
      <c r="O39" s="469">
        <v>0</v>
      </c>
      <c r="P39" s="469">
        <v>0</v>
      </c>
      <c r="Q39" s="469">
        <v>0</v>
      </c>
      <c r="R39" s="469">
        <v>0</v>
      </c>
      <c r="S39" s="469">
        <v>0</v>
      </c>
      <c r="T39" s="469">
        <v>0</v>
      </c>
      <c r="U39" s="469">
        <v>0</v>
      </c>
      <c r="V39" s="469">
        <v>0</v>
      </c>
      <c r="W39" s="469">
        <v>0</v>
      </c>
      <c r="X39" s="469">
        <v>0</v>
      </c>
      <c r="Y39" s="469">
        <v>0</v>
      </c>
      <c r="Z39" s="469">
        <v>0</v>
      </c>
      <c r="AA39" s="469">
        <v>0</v>
      </c>
      <c r="AB39" s="469">
        <v>0</v>
      </c>
      <c r="AC39" s="469">
        <v>0</v>
      </c>
      <c r="AD39" s="469">
        <v>0</v>
      </c>
      <c r="AE39" s="469">
        <v>0</v>
      </c>
      <c r="AF39" s="469">
        <v>0</v>
      </c>
      <c r="AG39" s="469">
        <v>0</v>
      </c>
      <c r="AH39" s="469">
        <v>0</v>
      </c>
      <c r="AI39" s="469">
        <v>0</v>
      </c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</row>
    <row r="40" spans="1:51" x14ac:dyDescent="0.25">
      <c r="A40" s="1"/>
      <c r="B40" s="1"/>
      <c r="C40" s="1"/>
      <c r="D40" s="1"/>
      <c r="E40" s="139" t="str">
        <f>'8a. RNG'!$S$12</f>
        <v>CDW Exp. 4</v>
      </c>
      <c r="F40" s="1" t="s">
        <v>330</v>
      </c>
      <c r="G40" s="469">
        <v>0</v>
      </c>
      <c r="H40" s="469">
        <v>0</v>
      </c>
      <c r="I40" s="469">
        <v>0</v>
      </c>
      <c r="J40" s="469">
        <v>0</v>
      </c>
      <c r="K40" s="469">
        <v>0</v>
      </c>
      <c r="L40" s="469">
        <v>0</v>
      </c>
      <c r="M40" s="469">
        <v>0</v>
      </c>
      <c r="N40" s="469">
        <v>0</v>
      </c>
      <c r="O40" s="469">
        <v>0</v>
      </c>
      <c r="P40" s="469">
        <v>0</v>
      </c>
      <c r="Q40" s="469">
        <v>0</v>
      </c>
      <c r="R40" s="469">
        <v>0</v>
      </c>
      <c r="S40" s="469">
        <v>0</v>
      </c>
      <c r="T40" s="469">
        <v>0</v>
      </c>
      <c r="U40" s="469">
        <v>0</v>
      </c>
      <c r="V40" s="469">
        <v>0</v>
      </c>
      <c r="W40" s="469">
        <v>0</v>
      </c>
      <c r="X40" s="469">
        <v>0</v>
      </c>
      <c r="Y40" s="469">
        <v>0</v>
      </c>
      <c r="Z40" s="469">
        <v>0</v>
      </c>
      <c r="AA40" s="469">
        <v>0</v>
      </c>
      <c r="AB40" s="469">
        <v>0</v>
      </c>
      <c r="AC40" s="469">
        <v>0</v>
      </c>
      <c r="AD40" s="469">
        <v>0</v>
      </c>
      <c r="AE40" s="469">
        <v>0</v>
      </c>
      <c r="AF40" s="469">
        <v>0</v>
      </c>
      <c r="AG40" s="469">
        <v>0</v>
      </c>
      <c r="AH40" s="469">
        <v>0</v>
      </c>
      <c r="AI40" s="469">
        <v>0</v>
      </c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</row>
    <row r="41" spans="1:51" x14ac:dyDescent="0.25">
      <c r="A41" s="1"/>
      <c r="B41" s="1"/>
      <c r="C41" s="1"/>
      <c r="D41" s="1"/>
      <c r="E41" s="139" t="str">
        <f>'8a. RNG'!$T$12</f>
        <v>CDW Exp. 5</v>
      </c>
      <c r="F41" s="1" t="s">
        <v>330</v>
      </c>
      <c r="G41" s="469">
        <v>0</v>
      </c>
      <c r="H41" s="469">
        <v>0</v>
      </c>
      <c r="I41" s="469">
        <v>0</v>
      </c>
      <c r="J41" s="469">
        <v>0</v>
      </c>
      <c r="K41" s="469">
        <v>0</v>
      </c>
      <c r="L41" s="469">
        <v>0</v>
      </c>
      <c r="M41" s="469">
        <v>0</v>
      </c>
      <c r="N41" s="469">
        <v>0</v>
      </c>
      <c r="O41" s="469">
        <v>0</v>
      </c>
      <c r="P41" s="469">
        <v>0</v>
      </c>
      <c r="Q41" s="469">
        <v>0</v>
      </c>
      <c r="R41" s="469">
        <v>0</v>
      </c>
      <c r="S41" s="469">
        <v>0</v>
      </c>
      <c r="T41" s="469">
        <v>0</v>
      </c>
      <c r="U41" s="469">
        <v>0</v>
      </c>
      <c r="V41" s="469">
        <v>0</v>
      </c>
      <c r="W41" s="469">
        <v>0</v>
      </c>
      <c r="X41" s="469">
        <v>0</v>
      </c>
      <c r="Y41" s="469">
        <v>0</v>
      </c>
      <c r="Z41" s="469">
        <v>0</v>
      </c>
      <c r="AA41" s="469">
        <v>0</v>
      </c>
      <c r="AB41" s="469">
        <v>0</v>
      </c>
      <c r="AC41" s="469">
        <v>0</v>
      </c>
      <c r="AD41" s="469">
        <v>0</v>
      </c>
      <c r="AE41" s="469">
        <v>0</v>
      </c>
      <c r="AF41" s="469">
        <v>0</v>
      </c>
      <c r="AG41" s="469">
        <v>0</v>
      </c>
      <c r="AH41" s="469">
        <v>0</v>
      </c>
      <c r="AI41" s="469">
        <v>0</v>
      </c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</row>
    <row r="42" spans="1:51" x14ac:dyDescent="0.25">
      <c r="A42" s="1"/>
      <c r="B42" s="1"/>
      <c r="C42" s="1"/>
      <c r="D42" s="1"/>
      <c r="E42" s="139" t="str">
        <f>'5. LNG- ISO_Expansion'!$X$12</f>
        <v>LNG ISO Exp 1</v>
      </c>
      <c r="F42" s="1" t="s">
        <v>330</v>
      </c>
      <c r="G42" s="469">
        <v>0</v>
      </c>
      <c r="H42" s="469">
        <v>0</v>
      </c>
      <c r="I42" s="469">
        <v>0</v>
      </c>
      <c r="J42" s="469">
        <v>0</v>
      </c>
      <c r="K42" s="469">
        <v>0</v>
      </c>
      <c r="L42" s="469">
        <v>0</v>
      </c>
      <c r="M42" s="469">
        <v>0</v>
      </c>
      <c r="N42" s="469">
        <v>0</v>
      </c>
      <c r="O42" s="469">
        <v>0</v>
      </c>
      <c r="P42" s="469">
        <v>0</v>
      </c>
      <c r="Q42" s="469">
        <v>0</v>
      </c>
      <c r="R42" s="469">
        <v>0</v>
      </c>
      <c r="S42" s="469">
        <v>0</v>
      </c>
      <c r="T42" s="469">
        <v>0</v>
      </c>
      <c r="U42" s="469">
        <v>0</v>
      </c>
      <c r="V42" s="469">
        <v>0</v>
      </c>
      <c r="W42" s="469">
        <v>0</v>
      </c>
      <c r="X42" s="469">
        <v>0</v>
      </c>
      <c r="Y42" s="469">
        <v>0</v>
      </c>
      <c r="Z42" s="469">
        <v>0</v>
      </c>
      <c r="AA42" s="469">
        <v>0</v>
      </c>
      <c r="AB42" s="469">
        <v>0</v>
      </c>
      <c r="AC42" s="469">
        <v>0</v>
      </c>
      <c r="AD42" s="469">
        <v>0</v>
      </c>
      <c r="AE42" s="469">
        <v>0</v>
      </c>
      <c r="AF42" s="469">
        <v>0</v>
      </c>
      <c r="AG42" s="469">
        <v>0</v>
      </c>
      <c r="AH42" s="469">
        <v>0</v>
      </c>
      <c r="AI42" s="469">
        <v>0</v>
      </c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</row>
    <row r="43" spans="1:51" x14ac:dyDescent="0.25">
      <c r="A43" s="1"/>
      <c r="B43" s="1"/>
      <c r="C43" s="1"/>
      <c r="D43" s="1"/>
      <c r="E43" s="139" t="str">
        <f>'5. LNG- ISO_Expansion'!$Y$12</f>
        <v>LNG ISO Exp 2</v>
      </c>
      <c r="F43" s="1" t="s">
        <v>330</v>
      </c>
      <c r="G43" s="469">
        <v>0</v>
      </c>
      <c r="H43" s="469">
        <v>0</v>
      </c>
      <c r="I43" s="469">
        <v>0</v>
      </c>
      <c r="J43" s="469">
        <v>0</v>
      </c>
      <c r="K43" s="469">
        <v>0</v>
      </c>
      <c r="L43" s="469">
        <v>0</v>
      </c>
      <c r="M43" s="469">
        <v>0</v>
      </c>
      <c r="N43" s="469">
        <v>0</v>
      </c>
      <c r="O43" s="469">
        <v>0</v>
      </c>
      <c r="P43" s="469">
        <v>0</v>
      </c>
      <c r="Q43" s="469">
        <v>0</v>
      </c>
      <c r="R43" s="469">
        <v>0</v>
      </c>
      <c r="S43" s="469">
        <v>0</v>
      </c>
      <c r="T43" s="469">
        <v>0</v>
      </c>
      <c r="U43" s="469">
        <v>0</v>
      </c>
      <c r="V43" s="469">
        <v>0</v>
      </c>
      <c r="W43" s="469">
        <v>0</v>
      </c>
      <c r="X43" s="469">
        <v>0</v>
      </c>
      <c r="Y43" s="469">
        <v>0</v>
      </c>
      <c r="Z43" s="469">
        <v>0</v>
      </c>
      <c r="AA43" s="469">
        <v>0</v>
      </c>
      <c r="AB43" s="469">
        <v>0</v>
      </c>
      <c r="AC43" s="469">
        <v>0</v>
      </c>
      <c r="AD43" s="469">
        <v>0</v>
      </c>
      <c r="AE43" s="469">
        <v>0</v>
      </c>
      <c r="AF43" s="469">
        <v>0</v>
      </c>
      <c r="AG43" s="469">
        <v>0</v>
      </c>
      <c r="AH43" s="469">
        <v>0</v>
      </c>
      <c r="AI43" s="469">
        <v>0</v>
      </c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</row>
    <row r="44" spans="1:51" x14ac:dyDescent="0.25">
      <c r="A44" s="1"/>
      <c r="B44" s="1"/>
      <c r="C44" s="1"/>
      <c r="D44" s="1"/>
      <c r="E44" s="139" t="str">
        <f>'5. LNG- ISO_Expansion'!$Z$12</f>
        <v>LNG ISO Exp 3</v>
      </c>
      <c r="F44" s="1" t="s">
        <v>330</v>
      </c>
      <c r="G44" s="469">
        <v>0</v>
      </c>
      <c r="H44" s="469">
        <v>0</v>
      </c>
      <c r="I44" s="469">
        <v>0</v>
      </c>
      <c r="J44" s="469">
        <v>0</v>
      </c>
      <c r="K44" s="469">
        <v>0</v>
      </c>
      <c r="L44" s="469">
        <v>0</v>
      </c>
      <c r="M44" s="469">
        <v>0</v>
      </c>
      <c r="N44" s="469">
        <v>0</v>
      </c>
      <c r="O44" s="469">
        <v>0</v>
      </c>
      <c r="P44" s="469">
        <v>0</v>
      </c>
      <c r="Q44" s="469">
        <v>0</v>
      </c>
      <c r="R44" s="469">
        <v>0</v>
      </c>
      <c r="S44" s="469">
        <v>0</v>
      </c>
      <c r="T44" s="469">
        <v>0</v>
      </c>
      <c r="U44" s="469">
        <v>0</v>
      </c>
      <c r="V44" s="469">
        <v>0</v>
      </c>
      <c r="W44" s="469">
        <v>0</v>
      </c>
      <c r="X44" s="469">
        <v>0</v>
      </c>
      <c r="Y44" s="469">
        <v>0</v>
      </c>
      <c r="Z44" s="469">
        <v>0</v>
      </c>
      <c r="AA44" s="469">
        <v>0</v>
      </c>
      <c r="AB44" s="469">
        <v>0</v>
      </c>
      <c r="AC44" s="469">
        <v>0</v>
      </c>
      <c r="AD44" s="469">
        <v>0</v>
      </c>
      <c r="AE44" s="469">
        <v>0</v>
      </c>
      <c r="AF44" s="469">
        <v>0</v>
      </c>
      <c r="AG44" s="469">
        <v>0</v>
      </c>
      <c r="AH44" s="469">
        <v>0</v>
      </c>
      <c r="AI44" s="469">
        <v>0</v>
      </c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</row>
    <row r="45" spans="1:51" x14ac:dyDescent="0.25">
      <c r="A45" s="1"/>
      <c r="B45" s="1"/>
      <c r="C45" s="1"/>
      <c r="D45" s="1"/>
      <c r="E45" s="139" t="str">
        <f>'5. LNG- ISO_Expansion'!$AA$12</f>
        <v>LNG ISO Exp 4</v>
      </c>
      <c r="F45" s="1" t="s">
        <v>330</v>
      </c>
      <c r="G45" s="469">
        <v>0</v>
      </c>
      <c r="H45" s="469">
        <v>0</v>
      </c>
      <c r="I45" s="469">
        <v>0</v>
      </c>
      <c r="J45" s="469">
        <v>0</v>
      </c>
      <c r="K45" s="469">
        <v>0</v>
      </c>
      <c r="L45" s="469">
        <v>0</v>
      </c>
      <c r="M45" s="469">
        <v>0</v>
      </c>
      <c r="N45" s="469">
        <v>0</v>
      </c>
      <c r="O45" s="469">
        <v>0</v>
      </c>
      <c r="P45" s="469">
        <v>0</v>
      </c>
      <c r="Q45" s="469">
        <v>0</v>
      </c>
      <c r="R45" s="469">
        <v>0</v>
      </c>
      <c r="S45" s="469">
        <v>0</v>
      </c>
      <c r="T45" s="469">
        <v>0</v>
      </c>
      <c r="U45" s="469">
        <v>0</v>
      </c>
      <c r="V45" s="469">
        <v>0</v>
      </c>
      <c r="W45" s="469">
        <v>0</v>
      </c>
      <c r="X45" s="469">
        <v>0</v>
      </c>
      <c r="Y45" s="469">
        <v>0</v>
      </c>
      <c r="Z45" s="469">
        <v>0</v>
      </c>
      <c r="AA45" s="469">
        <v>0</v>
      </c>
      <c r="AB45" s="469">
        <v>0</v>
      </c>
      <c r="AC45" s="469">
        <v>0</v>
      </c>
      <c r="AD45" s="469">
        <v>0</v>
      </c>
      <c r="AE45" s="469">
        <v>0</v>
      </c>
      <c r="AF45" s="469">
        <v>0</v>
      </c>
      <c r="AG45" s="469">
        <v>0</v>
      </c>
      <c r="AH45" s="469">
        <v>0</v>
      </c>
      <c r="AI45" s="469">
        <v>0</v>
      </c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</row>
    <row r="46" spans="1:51" x14ac:dyDescent="0.25">
      <c r="A46" s="1"/>
      <c r="B46" s="1"/>
      <c r="C46" s="1"/>
      <c r="D46" s="1"/>
      <c r="E46" s="139" t="str">
        <f>'5. LNG- ISO_Expansion'!$AB$12</f>
        <v>LNG ISO Exp 5</v>
      </c>
      <c r="F46" s="1" t="s">
        <v>330</v>
      </c>
      <c r="G46" s="469">
        <v>0</v>
      </c>
      <c r="H46" s="469">
        <v>0</v>
      </c>
      <c r="I46" s="469">
        <v>0</v>
      </c>
      <c r="J46" s="469">
        <v>0</v>
      </c>
      <c r="K46" s="469">
        <v>0</v>
      </c>
      <c r="L46" s="469">
        <v>0</v>
      </c>
      <c r="M46" s="469">
        <v>0</v>
      </c>
      <c r="N46" s="469">
        <v>0</v>
      </c>
      <c r="O46" s="469">
        <v>0</v>
      </c>
      <c r="P46" s="469">
        <v>0</v>
      </c>
      <c r="Q46" s="469">
        <v>0</v>
      </c>
      <c r="R46" s="469">
        <v>0</v>
      </c>
      <c r="S46" s="469">
        <v>0</v>
      </c>
      <c r="T46" s="469">
        <v>0</v>
      </c>
      <c r="U46" s="469">
        <v>0</v>
      </c>
      <c r="V46" s="469">
        <v>0</v>
      </c>
      <c r="W46" s="469">
        <v>0</v>
      </c>
      <c r="X46" s="469">
        <v>0</v>
      </c>
      <c r="Y46" s="469">
        <v>0</v>
      </c>
      <c r="Z46" s="469">
        <v>0</v>
      </c>
      <c r="AA46" s="469">
        <v>0</v>
      </c>
      <c r="AB46" s="469">
        <v>0</v>
      </c>
      <c r="AC46" s="469">
        <v>0</v>
      </c>
      <c r="AD46" s="469">
        <v>0</v>
      </c>
      <c r="AE46" s="469">
        <v>0</v>
      </c>
      <c r="AF46" s="469">
        <v>0</v>
      </c>
      <c r="AG46" s="469">
        <v>0</v>
      </c>
      <c r="AH46" s="469">
        <v>0</v>
      </c>
      <c r="AI46" s="469">
        <v>0</v>
      </c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</row>
    <row r="47" spans="1:51" x14ac:dyDescent="0.25">
      <c r="A47" s="1"/>
      <c r="B47" s="1"/>
      <c r="C47" s="1"/>
      <c r="D47" s="1"/>
      <c r="E47" s="139" t="s">
        <v>384</v>
      </c>
      <c r="F47" s="1" t="s">
        <v>330</v>
      </c>
      <c r="G47" s="469">
        <v>0</v>
      </c>
      <c r="H47" s="469">
        <v>0</v>
      </c>
      <c r="I47" s="469">
        <v>0</v>
      </c>
      <c r="J47" s="469">
        <v>0</v>
      </c>
      <c r="K47" s="469">
        <v>0</v>
      </c>
      <c r="L47" s="469">
        <v>0</v>
      </c>
      <c r="M47" s="469">
        <v>0</v>
      </c>
      <c r="N47" s="469">
        <v>0</v>
      </c>
      <c r="O47" s="469">
        <v>0</v>
      </c>
      <c r="P47" s="469">
        <v>0</v>
      </c>
      <c r="Q47" s="469">
        <v>0</v>
      </c>
      <c r="R47" s="469">
        <v>0</v>
      </c>
      <c r="S47" s="469">
        <v>0</v>
      </c>
      <c r="T47" s="469">
        <v>0</v>
      </c>
      <c r="U47" s="469">
        <v>0</v>
      </c>
      <c r="V47" s="469">
        <v>0</v>
      </c>
      <c r="W47" s="469">
        <v>0</v>
      </c>
      <c r="X47" s="469">
        <v>0</v>
      </c>
      <c r="Y47" s="469">
        <v>-1.4551915228366852E-11</v>
      </c>
      <c r="Z47" s="469">
        <v>0</v>
      </c>
      <c r="AA47" s="469">
        <v>0</v>
      </c>
      <c r="AB47" s="469">
        <v>0</v>
      </c>
      <c r="AC47" s="469">
        <v>-1.4551915228366852E-11</v>
      </c>
      <c r="AD47" s="469">
        <v>1.4551915228366852E-11</v>
      </c>
      <c r="AE47" s="469">
        <v>0</v>
      </c>
      <c r="AF47" s="469">
        <v>0</v>
      </c>
      <c r="AG47" s="469">
        <v>0</v>
      </c>
      <c r="AH47" s="469">
        <v>1.4551915228366852E-11</v>
      </c>
      <c r="AI47" s="469">
        <v>1.4551915228366852E-11</v>
      </c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</row>
    <row r="48" spans="1:51" x14ac:dyDescent="0.25">
      <c r="A48" s="1"/>
      <c r="B48" s="1"/>
      <c r="C48" s="1"/>
      <c r="D48" s="1"/>
      <c r="E48" s="1"/>
      <c r="F48" s="110" t="s">
        <v>352</v>
      </c>
      <c r="G48" s="456">
        <f t="shared" ref="G48:AI48" si="4">SUM(G34:G47)</f>
        <v>0</v>
      </c>
      <c r="H48" s="456">
        <f t="shared" si="4"/>
        <v>0</v>
      </c>
      <c r="I48" s="456">
        <f t="shared" si="4"/>
        <v>0</v>
      </c>
      <c r="J48" s="456">
        <f t="shared" si="4"/>
        <v>0</v>
      </c>
      <c r="K48" s="456">
        <f t="shared" si="4"/>
        <v>0</v>
      </c>
      <c r="L48" s="456">
        <f t="shared" si="4"/>
        <v>0</v>
      </c>
      <c r="M48" s="456">
        <f t="shared" si="4"/>
        <v>0</v>
      </c>
      <c r="N48" s="456">
        <f t="shared" si="4"/>
        <v>0</v>
      </c>
      <c r="O48" s="456">
        <f t="shared" si="4"/>
        <v>0</v>
      </c>
      <c r="P48" s="456">
        <f t="shared" si="4"/>
        <v>0</v>
      </c>
      <c r="Q48" s="456">
        <f t="shared" si="4"/>
        <v>0</v>
      </c>
      <c r="R48" s="456">
        <f t="shared" si="4"/>
        <v>0</v>
      </c>
      <c r="S48" s="456">
        <f t="shared" si="4"/>
        <v>0</v>
      </c>
      <c r="T48" s="456">
        <f>SUM(T34:T47)</f>
        <v>0</v>
      </c>
      <c r="U48" s="456">
        <f t="shared" si="4"/>
        <v>0</v>
      </c>
      <c r="V48" s="456">
        <f t="shared" si="4"/>
        <v>0</v>
      </c>
      <c r="W48" s="456">
        <f t="shared" si="4"/>
        <v>0</v>
      </c>
      <c r="X48" s="456">
        <f t="shared" si="4"/>
        <v>0</v>
      </c>
      <c r="Y48" s="456">
        <f t="shared" si="4"/>
        <v>-1.4551915228366852E-11</v>
      </c>
      <c r="Z48" s="456">
        <f t="shared" si="4"/>
        <v>0</v>
      </c>
      <c r="AA48" s="456">
        <f t="shared" si="4"/>
        <v>0</v>
      </c>
      <c r="AB48" s="456">
        <f t="shared" si="4"/>
        <v>0</v>
      </c>
      <c r="AC48" s="456">
        <f t="shared" si="4"/>
        <v>-1.4551915228366852E-11</v>
      </c>
      <c r="AD48" s="456">
        <f t="shared" si="4"/>
        <v>1.4551915228366852E-11</v>
      </c>
      <c r="AE48" s="456">
        <f t="shared" si="4"/>
        <v>0</v>
      </c>
      <c r="AF48" s="456">
        <f t="shared" si="4"/>
        <v>0</v>
      </c>
      <c r="AG48" s="456">
        <f t="shared" si="4"/>
        <v>0</v>
      </c>
      <c r="AH48" s="456">
        <f t="shared" si="4"/>
        <v>1.4551915228366852E-11</v>
      </c>
      <c r="AI48" s="456">
        <f t="shared" si="4"/>
        <v>1.4551915228366852E-11</v>
      </c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</row>
    <row r="49" spans="1:51" x14ac:dyDescent="0.25">
      <c r="A49" s="1"/>
      <c r="B49" s="1"/>
      <c r="C49" s="1"/>
      <c r="D49" s="1"/>
      <c r="E49" s="1"/>
      <c r="F49" s="110" t="s">
        <v>385</v>
      </c>
      <c r="G49" s="477" t="s">
        <v>0</v>
      </c>
      <c r="H49" s="477" t="s">
        <v>0</v>
      </c>
      <c r="I49" s="477" t="s">
        <v>0</v>
      </c>
      <c r="J49" s="477" t="s">
        <v>0</v>
      </c>
      <c r="K49" s="477"/>
      <c r="L49" s="477"/>
      <c r="M49" s="477"/>
      <c r="N49" s="477"/>
      <c r="O49" s="477"/>
      <c r="P49" s="477"/>
      <c r="Q49" s="477"/>
      <c r="R49" s="477"/>
      <c r="S49" s="477"/>
      <c r="T49" s="477"/>
      <c r="U49" s="477"/>
      <c r="V49" s="477"/>
      <c r="W49" s="477"/>
      <c r="X49" s="477"/>
      <c r="Y49" s="477"/>
      <c r="Z49" s="477"/>
      <c r="AA49" s="477"/>
      <c r="AB49" s="477"/>
      <c r="AC49" s="477"/>
      <c r="AD49" s="477"/>
      <c r="AE49" s="477"/>
      <c r="AF49" s="477"/>
      <c r="AG49" s="477"/>
      <c r="AH49" s="477"/>
      <c r="AI49" s="477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</row>
    <row r="50" spans="1:51" x14ac:dyDescent="0.25">
      <c r="A50" s="1"/>
      <c r="B50" s="1"/>
      <c r="C50" s="1"/>
      <c r="D50" s="454" t="s">
        <v>386</v>
      </c>
      <c r="E50" s="61"/>
      <c r="F50" s="466"/>
      <c r="G50" s="10"/>
      <c r="H50" s="10"/>
      <c r="I50" s="10"/>
      <c r="J50" s="512"/>
      <c r="K50" s="512"/>
      <c r="L50" s="512"/>
      <c r="M50" s="512"/>
      <c r="N50" s="512"/>
      <c r="O50" s="512"/>
      <c r="P50" s="512"/>
      <c r="Q50" s="512"/>
      <c r="R50" s="512"/>
      <c r="S50" s="512"/>
      <c r="T50" s="512"/>
      <c r="U50" s="512"/>
      <c r="V50" s="512"/>
      <c r="W50" s="512"/>
      <c r="X50" s="512"/>
      <c r="Y50" s="512"/>
      <c r="Z50" s="512"/>
      <c r="AA50" s="512"/>
      <c r="AB50" s="512"/>
      <c r="AC50" s="512"/>
      <c r="AD50" s="512"/>
      <c r="AE50" s="512"/>
      <c r="AF50" s="512"/>
      <c r="AG50" s="512"/>
      <c r="AH50" s="512"/>
      <c r="AI50" s="512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</row>
    <row r="51" spans="1:51" x14ac:dyDescent="0.25">
      <c r="A51" s="1"/>
      <c r="B51" s="1"/>
      <c r="C51" s="1"/>
      <c r="D51" s="1"/>
      <c r="E51" s="114"/>
      <c r="F51" s="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</row>
    <row r="52" spans="1:51" x14ac:dyDescent="0.25">
      <c r="A52" s="1"/>
      <c r="B52" s="1"/>
      <c r="C52" s="1"/>
      <c r="D52" s="1"/>
      <c r="E52" s="110" t="s">
        <v>354</v>
      </c>
      <c r="F52" s="11" t="s">
        <v>330</v>
      </c>
      <c r="G52" s="465">
        <f>G48-G18</f>
        <v>0.4116820095514413</v>
      </c>
      <c r="H52" s="465">
        <f>H18-H48</f>
        <v>0</v>
      </c>
      <c r="I52" s="465">
        <f>I18-I48</f>
        <v>0</v>
      </c>
      <c r="J52" s="465">
        <f>J17-J14-J48</f>
        <v>0</v>
      </c>
      <c r="K52" s="465">
        <f t="shared" ref="K52:AI52" si="5">K17-K14-K48</f>
        <v>0</v>
      </c>
      <c r="L52" s="465">
        <f t="shared" si="5"/>
        <v>0</v>
      </c>
      <c r="M52" s="465">
        <f t="shared" si="5"/>
        <v>0</v>
      </c>
      <c r="N52" s="465">
        <f t="shared" si="5"/>
        <v>0</v>
      </c>
      <c r="O52" s="465">
        <f t="shared" si="5"/>
        <v>0</v>
      </c>
      <c r="P52" s="465">
        <f t="shared" si="5"/>
        <v>0</v>
      </c>
      <c r="Q52" s="465">
        <f t="shared" si="5"/>
        <v>0</v>
      </c>
      <c r="R52" s="465">
        <f t="shared" si="5"/>
        <v>0</v>
      </c>
      <c r="S52" s="465">
        <f t="shared" si="5"/>
        <v>0</v>
      </c>
      <c r="T52" s="465">
        <f>T17-T14-T48</f>
        <v>0</v>
      </c>
      <c r="U52" s="465">
        <f t="shared" si="5"/>
        <v>0</v>
      </c>
      <c r="V52" s="465">
        <f t="shared" si="5"/>
        <v>0</v>
      </c>
      <c r="W52" s="465">
        <f t="shared" si="5"/>
        <v>0</v>
      </c>
      <c r="X52" s="465">
        <f t="shared" si="5"/>
        <v>0</v>
      </c>
      <c r="Y52" s="465">
        <f t="shared" si="5"/>
        <v>0</v>
      </c>
      <c r="Z52" s="465">
        <f t="shared" si="5"/>
        <v>0</v>
      </c>
      <c r="AA52" s="465">
        <f t="shared" si="5"/>
        <v>0</v>
      </c>
      <c r="AB52" s="465">
        <f t="shared" si="5"/>
        <v>0</v>
      </c>
      <c r="AC52" s="465">
        <f t="shared" si="5"/>
        <v>0</v>
      </c>
      <c r="AD52" s="465">
        <f t="shared" si="5"/>
        <v>0</v>
      </c>
      <c r="AE52" s="465">
        <f t="shared" si="5"/>
        <v>0</v>
      </c>
      <c r="AF52" s="465">
        <f t="shared" si="5"/>
        <v>0</v>
      </c>
      <c r="AG52" s="465">
        <f t="shared" si="5"/>
        <v>0</v>
      </c>
      <c r="AH52" s="465">
        <f t="shared" si="5"/>
        <v>0</v>
      </c>
      <c r="AI52" s="465">
        <f t="shared" si="5"/>
        <v>0</v>
      </c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</row>
    <row r="53" spans="1:5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</row>
    <row r="54" spans="1:51" x14ac:dyDescent="0.25">
      <c r="A54" s="1"/>
      <c r="B54" s="1"/>
      <c r="C54" s="1"/>
      <c r="D54" s="1"/>
      <c r="E54" s="1"/>
      <c r="F54" s="455" t="s">
        <v>387</v>
      </c>
      <c r="G54" s="110">
        <v>2022</v>
      </c>
      <c r="H54" s="110">
        <v>2023</v>
      </c>
      <c r="I54" s="110">
        <v>2024</v>
      </c>
      <c r="J54" s="110">
        <v>2025</v>
      </c>
      <c r="K54" s="110">
        <v>2026</v>
      </c>
      <c r="L54" s="110">
        <v>2027</v>
      </c>
      <c r="M54" s="110">
        <v>2028</v>
      </c>
      <c r="N54" s="110">
        <v>2029</v>
      </c>
      <c r="O54" s="110">
        <v>2030</v>
      </c>
      <c r="P54" s="110">
        <v>2031</v>
      </c>
      <c r="Q54" s="110">
        <v>2032</v>
      </c>
      <c r="R54" s="110">
        <v>2033</v>
      </c>
      <c r="S54" s="110">
        <v>2034</v>
      </c>
      <c r="T54" s="110">
        <v>2035</v>
      </c>
      <c r="U54" s="110">
        <v>2036</v>
      </c>
      <c r="V54" s="110">
        <v>2037</v>
      </c>
      <c r="W54" s="110">
        <v>2038</v>
      </c>
      <c r="X54" s="110">
        <v>2039</v>
      </c>
      <c r="Y54" s="110">
        <v>2040</v>
      </c>
      <c r="Z54" s="110">
        <v>2041</v>
      </c>
      <c r="AA54" s="110">
        <v>2042</v>
      </c>
      <c r="AB54" s="110">
        <v>2043</v>
      </c>
      <c r="AC54" s="110">
        <v>2044</v>
      </c>
      <c r="AD54" s="110">
        <v>2045</v>
      </c>
      <c r="AE54" s="110">
        <v>2046</v>
      </c>
      <c r="AF54" s="110">
        <v>2047</v>
      </c>
      <c r="AG54" s="110">
        <v>2048</v>
      </c>
      <c r="AH54" s="110">
        <v>2049</v>
      </c>
      <c r="AI54" s="110">
        <v>2050</v>
      </c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</row>
    <row r="55" spans="1:51" x14ac:dyDescent="0.25">
      <c r="A55" s="1"/>
      <c r="B55" s="1"/>
      <c r="C55" s="1"/>
      <c r="D55" s="1"/>
      <c r="E55" s="1"/>
      <c r="F55" s="455"/>
      <c r="G55" s="1"/>
      <c r="H55" s="1"/>
      <c r="I55" s="1"/>
      <c r="J55" s="1"/>
      <c r="K55" s="1"/>
      <c r="L55" s="1"/>
      <c r="M55" s="1"/>
      <c r="N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</row>
    <row r="56" spans="1:51" x14ac:dyDescent="0.25">
      <c r="A56" s="1"/>
      <c r="B56" s="1"/>
      <c r="C56" s="1"/>
      <c r="D56" s="1"/>
      <c r="E56" s="114" t="s">
        <v>344</v>
      </c>
      <c r="F56" s="1" t="s">
        <v>388</v>
      </c>
      <c r="G56" s="473">
        <v>2.9635545750415564</v>
      </c>
      <c r="H56" s="473">
        <v>2.6310348086233697</v>
      </c>
      <c r="I56" s="473">
        <v>2.0950298143433348</v>
      </c>
      <c r="J56" s="473">
        <v>2.1186729560940578</v>
      </c>
      <c r="K56" s="473">
        <v>2.1577811562167883</v>
      </c>
      <c r="L56" s="473">
        <v>2.2161642299857727</v>
      </c>
      <c r="M56" s="473">
        <v>2.2588491934517609</v>
      </c>
      <c r="N56" s="473">
        <v>2.2905332962426463</v>
      </c>
      <c r="O56" s="473">
        <v>2.3241631724902168</v>
      </c>
      <c r="P56" s="473">
        <v>2.37063584476806</v>
      </c>
      <c r="Q56" s="473">
        <v>2.4070794689118853</v>
      </c>
      <c r="R56" s="473">
        <v>2.4317212623171898</v>
      </c>
      <c r="S56" s="473">
        <v>2.4442813447157481</v>
      </c>
      <c r="T56" s="473">
        <v>2.4665255521632869</v>
      </c>
      <c r="U56" s="473">
        <v>2.5043296266842177</v>
      </c>
      <c r="V56" s="473">
        <v>2.5320051428545058</v>
      </c>
      <c r="W56" s="473">
        <v>2.5641089882080719</v>
      </c>
      <c r="X56" s="473">
        <v>2.5721428814074407</v>
      </c>
      <c r="Y56" s="473">
        <v>2.6191207953264533</v>
      </c>
      <c r="Z56" s="473">
        <v>2.6478590718922588</v>
      </c>
      <c r="AA56" s="473">
        <v>2.6599861478507014</v>
      </c>
      <c r="AB56" s="473">
        <v>2.7043574607668286</v>
      </c>
      <c r="AC56" s="473">
        <v>2.7577700677142754</v>
      </c>
      <c r="AD56" s="473">
        <v>2.7723721333847169</v>
      </c>
      <c r="AE56" s="473">
        <v>2.8110895784327763</v>
      </c>
      <c r="AF56" s="473">
        <v>2.8095110524745559</v>
      </c>
      <c r="AG56" s="473">
        <v>2.813253863372652</v>
      </c>
      <c r="AH56" s="473">
        <v>2.8227809702669266</v>
      </c>
      <c r="AI56" s="473">
        <v>2.8142125988514777</v>
      </c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</row>
    <row r="57" spans="1:51" x14ac:dyDescent="0.25">
      <c r="A57" s="1"/>
      <c r="B57" s="1"/>
      <c r="C57" s="1"/>
      <c r="D57" s="1"/>
      <c r="E57" s="114" t="s">
        <v>323</v>
      </c>
      <c r="F57" s="1" t="s">
        <v>388</v>
      </c>
      <c r="G57" s="473">
        <v>2.4223354076111954</v>
      </c>
      <c r="H57" s="473">
        <v>2.1592951540339209</v>
      </c>
      <c r="I57" s="473">
        <v>1.7352876096619838</v>
      </c>
      <c r="J57" s="473">
        <v>1.7539905519515926</v>
      </c>
      <c r="K57" s="473">
        <v>1.784927151565032</v>
      </c>
      <c r="L57" s="473">
        <v>1.8311111685160746</v>
      </c>
      <c r="M57" s="473">
        <v>1.8648771720682054</v>
      </c>
      <c r="N57" s="473">
        <v>1.889940928494648</v>
      </c>
      <c r="O57" s="473">
        <v>1.9165438918950499</v>
      </c>
      <c r="P57" s="473">
        <v>1.953306168111147</v>
      </c>
      <c r="Q57" s="473">
        <v>1.9821349509511148</v>
      </c>
      <c r="R57" s="473">
        <v>2.0016278781107548</v>
      </c>
      <c r="S57" s="473">
        <v>2.0115635498894755</v>
      </c>
      <c r="T57" s="473">
        <v>2.0291598631271905</v>
      </c>
      <c r="U57" s="473">
        <v>2.0590648322523459</v>
      </c>
      <c r="V57" s="473">
        <v>2.0809575902971691</v>
      </c>
      <c r="W57" s="473">
        <v>2.1063533846993203</v>
      </c>
      <c r="X57" s="473">
        <v>2.1127086078102284</v>
      </c>
      <c r="Y57" s="473">
        <v>2.1498705561746694</v>
      </c>
      <c r="Z57" s="473">
        <v>2.1726040124039643</v>
      </c>
      <c r="AA57" s="473">
        <v>2.1821971537970932</v>
      </c>
      <c r="AB57" s="473">
        <v>2.2172971465786837</v>
      </c>
      <c r="AC57" s="473">
        <v>2.2595492683909257</v>
      </c>
      <c r="AD57" s="473">
        <v>2.2711002540603751</v>
      </c>
      <c r="AE57" s="473">
        <v>2.3017277462934165</v>
      </c>
      <c r="AF57" s="473">
        <v>2.30047905099689</v>
      </c>
      <c r="AG57" s="473">
        <v>2.3034398070996982</v>
      </c>
      <c r="AH57" s="473">
        <v>2.3109762391149187</v>
      </c>
      <c r="AI57" s="473">
        <v>2.304198216219794</v>
      </c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</row>
    <row r="58" spans="1:51" x14ac:dyDescent="0.25">
      <c r="A58" s="1"/>
      <c r="B58" s="1"/>
      <c r="C58" s="1"/>
      <c r="D58" s="1"/>
      <c r="E58" s="114" t="s">
        <v>324</v>
      </c>
      <c r="F58" s="1" t="s">
        <v>388</v>
      </c>
      <c r="G58" s="473">
        <v>0</v>
      </c>
      <c r="H58" s="473">
        <v>0</v>
      </c>
      <c r="I58" s="473">
        <v>0</v>
      </c>
      <c r="J58" s="473">
        <v>0</v>
      </c>
      <c r="K58" s="473">
        <v>0</v>
      </c>
      <c r="L58" s="473">
        <v>0</v>
      </c>
      <c r="M58" s="473">
        <v>0</v>
      </c>
      <c r="N58" s="473">
        <v>0</v>
      </c>
      <c r="O58" s="473">
        <v>0</v>
      </c>
      <c r="P58" s="473">
        <v>0</v>
      </c>
      <c r="Q58" s="473">
        <v>0</v>
      </c>
      <c r="R58" s="473">
        <v>0</v>
      </c>
      <c r="S58" s="473">
        <v>0</v>
      </c>
      <c r="T58" s="473">
        <v>0</v>
      </c>
      <c r="U58" s="473">
        <v>0</v>
      </c>
      <c r="V58" s="473">
        <v>0</v>
      </c>
      <c r="W58" s="473">
        <v>0</v>
      </c>
      <c r="X58" s="473">
        <v>0</v>
      </c>
      <c r="Y58" s="473">
        <v>0</v>
      </c>
      <c r="Z58" s="473">
        <v>0</v>
      </c>
      <c r="AA58" s="473">
        <v>0</v>
      </c>
      <c r="AB58" s="473">
        <v>0</v>
      </c>
      <c r="AC58" s="473">
        <v>0</v>
      </c>
      <c r="AD58" s="473">
        <v>0</v>
      </c>
      <c r="AE58" s="473">
        <v>0</v>
      </c>
      <c r="AF58" s="473">
        <v>0</v>
      </c>
      <c r="AG58" s="473">
        <v>0</v>
      </c>
      <c r="AH58" s="473">
        <v>0</v>
      </c>
      <c r="AI58" s="473">
        <v>0</v>
      </c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</row>
    <row r="59" spans="1:51" x14ac:dyDescent="0.25">
      <c r="A59" s="1"/>
      <c r="B59" s="1"/>
      <c r="C59" s="1"/>
      <c r="D59" s="1"/>
      <c r="E59" s="114" t="s">
        <v>348</v>
      </c>
      <c r="F59" s="1" t="s">
        <v>388</v>
      </c>
      <c r="G59" s="473">
        <v>0</v>
      </c>
      <c r="H59" s="473">
        <v>2.939252002746624</v>
      </c>
      <c r="I59" s="473">
        <v>2.8050802965969499</v>
      </c>
      <c r="J59" s="473">
        <v>2.7870396075969497</v>
      </c>
      <c r="K59" s="473">
        <v>2.78468551389695</v>
      </c>
      <c r="L59" s="473">
        <v>2.7947867234969497</v>
      </c>
      <c r="M59" s="473">
        <v>2.81254565959695</v>
      </c>
      <c r="N59" s="473">
        <v>2.8247714747969499</v>
      </c>
      <c r="O59" s="473">
        <v>2.83461893049695</v>
      </c>
      <c r="P59" s="473">
        <v>2.84334922609695</v>
      </c>
      <c r="Q59" s="473">
        <v>2.8468276351969499</v>
      </c>
      <c r="R59" s="473">
        <v>2.8539207151969501</v>
      </c>
      <c r="S59" s="473">
        <v>2.85333045479695</v>
      </c>
      <c r="T59" s="473">
        <v>2.8531036628969497</v>
      </c>
      <c r="U59" s="473">
        <v>2.8541290484969499</v>
      </c>
      <c r="V59" s="473">
        <v>2.8559184956969501</v>
      </c>
      <c r="W59" s="473">
        <v>2.8578742776969497</v>
      </c>
      <c r="X59" s="473">
        <v>2.8579897994969499</v>
      </c>
      <c r="Y59" s="473">
        <v>2.8616728086969498</v>
      </c>
      <c r="Z59" s="473">
        <v>2.8623007121969497</v>
      </c>
      <c r="AA59" s="473">
        <v>2.85994018909695</v>
      </c>
      <c r="AB59" s="473">
        <v>2.8603071833969498</v>
      </c>
      <c r="AC59" s="473">
        <v>2.85385434719695</v>
      </c>
      <c r="AD59" s="473">
        <v>2.8506799864969499</v>
      </c>
      <c r="AE59" s="473">
        <v>2.8494901326969497</v>
      </c>
      <c r="AF59" s="473">
        <v>2.84884677789695</v>
      </c>
      <c r="AG59" s="473">
        <v>2.85136139919695</v>
      </c>
      <c r="AH59" s="473">
        <v>2.8489225825969497</v>
      </c>
      <c r="AI59" s="473">
        <v>2.8481727278969498</v>
      </c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</row>
    <row r="60" spans="1:51" x14ac:dyDescent="0.25">
      <c r="A60" s="1"/>
      <c r="B60" s="1"/>
      <c r="C60" s="1"/>
      <c r="D60" s="1"/>
      <c r="E60" s="114" t="s">
        <v>349</v>
      </c>
      <c r="F60" s="1" t="s">
        <v>388</v>
      </c>
      <c r="G60" s="473">
        <v>0</v>
      </c>
      <c r="H60" s="473">
        <v>0</v>
      </c>
      <c r="I60" s="473">
        <v>0</v>
      </c>
      <c r="J60" s="473">
        <v>0</v>
      </c>
      <c r="K60" s="473">
        <v>0</v>
      </c>
      <c r="L60" s="473">
        <v>0</v>
      </c>
      <c r="M60" s="473">
        <v>0</v>
      </c>
      <c r="N60" s="473">
        <v>0</v>
      </c>
      <c r="O60" s="473">
        <v>0</v>
      </c>
      <c r="P60" s="473">
        <v>0</v>
      </c>
      <c r="Q60" s="473">
        <v>0</v>
      </c>
      <c r="R60" s="473">
        <v>0</v>
      </c>
      <c r="S60" s="473">
        <v>0</v>
      </c>
      <c r="T60" s="473">
        <v>0</v>
      </c>
      <c r="U60" s="473">
        <v>0</v>
      </c>
      <c r="V60" s="473">
        <v>0</v>
      </c>
      <c r="W60" s="473">
        <v>0</v>
      </c>
      <c r="X60" s="473">
        <v>0</v>
      </c>
      <c r="Y60" s="473">
        <v>0</v>
      </c>
      <c r="Z60" s="473">
        <v>0</v>
      </c>
      <c r="AA60" s="473">
        <v>0</v>
      </c>
      <c r="AB60" s="473">
        <v>0</v>
      </c>
      <c r="AC60" s="473">
        <v>0</v>
      </c>
      <c r="AD60" s="473">
        <v>0</v>
      </c>
      <c r="AE60" s="473">
        <v>0</v>
      </c>
      <c r="AF60" s="473">
        <v>0</v>
      </c>
      <c r="AG60" s="473">
        <v>0</v>
      </c>
      <c r="AH60" s="473">
        <v>0</v>
      </c>
      <c r="AI60" s="473">
        <v>0</v>
      </c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</row>
    <row r="61" spans="1:51" x14ac:dyDescent="0.25">
      <c r="A61" s="1"/>
      <c r="B61" s="1"/>
      <c r="C61" s="1"/>
      <c r="D61" s="1"/>
      <c r="E61" s="114" t="s">
        <v>351</v>
      </c>
      <c r="F61" s="1" t="s">
        <v>388</v>
      </c>
      <c r="G61" s="473">
        <v>2.5308264198715138</v>
      </c>
      <c r="H61" s="473">
        <v>2.5308264198715138</v>
      </c>
      <c r="I61" s="473">
        <v>2.5308264198715138</v>
      </c>
      <c r="J61" s="473">
        <v>2.5308264198715138</v>
      </c>
      <c r="K61" s="473">
        <v>2.5308264198715138</v>
      </c>
      <c r="L61" s="473">
        <v>2.5308264198715138</v>
      </c>
      <c r="M61" s="473">
        <v>2.5308264198715138</v>
      </c>
      <c r="N61" s="473">
        <v>2.5308264198715138</v>
      </c>
      <c r="O61" s="473">
        <v>2.5308264198715138</v>
      </c>
      <c r="P61" s="473">
        <v>2.5308264198715138</v>
      </c>
      <c r="Q61" s="473">
        <v>2.5308264198715138</v>
      </c>
      <c r="R61" s="473">
        <v>2.5308264198715138</v>
      </c>
      <c r="S61" s="473">
        <v>2.5308264198715138</v>
      </c>
      <c r="T61" s="473">
        <v>2.5308264198715138</v>
      </c>
      <c r="U61" s="473">
        <v>2.5308264198715138</v>
      </c>
      <c r="V61" s="473">
        <v>2.5308264198715138</v>
      </c>
      <c r="W61" s="473">
        <v>2.5308264198715138</v>
      </c>
      <c r="X61" s="473">
        <v>2.5308264198715138</v>
      </c>
      <c r="Y61" s="473">
        <v>2.5308264198715138</v>
      </c>
      <c r="Z61" s="473">
        <v>2.5308264198715138</v>
      </c>
      <c r="AA61" s="473">
        <v>2.5308264198715138</v>
      </c>
      <c r="AB61" s="473">
        <v>2.5308264198715138</v>
      </c>
      <c r="AC61" s="473">
        <v>2.5308264198715138</v>
      </c>
      <c r="AD61" s="473">
        <v>2.5308264198715138</v>
      </c>
      <c r="AE61" s="473">
        <v>2.5308264198715138</v>
      </c>
      <c r="AF61" s="473">
        <v>2.5308264198715138</v>
      </c>
      <c r="AG61" s="473">
        <v>2.5308264198715138</v>
      </c>
      <c r="AH61" s="473">
        <v>2.5308264198715138</v>
      </c>
      <c r="AI61" s="473">
        <v>2.5308264198715138</v>
      </c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</row>
    <row r="62" spans="1:51" x14ac:dyDescent="0.25">
      <c r="A62" s="1"/>
      <c r="B62" s="1"/>
      <c r="C62" s="1"/>
      <c r="D62" s="1"/>
      <c r="E62" s="139" t="s">
        <v>760</v>
      </c>
      <c r="F62" s="1" t="s">
        <v>388</v>
      </c>
      <c r="G62" s="473">
        <v>0</v>
      </c>
      <c r="H62" s="473">
        <v>0</v>
      </c>
      <c r="I62" s="473">
        <v>0</v>
      </c>
      <c r="J62" s="473">
        <v>0</v>
      </c>
      <c r="K62" s="473">
        <v>0</v>
      </c>
      <c r="L62" s="473">
        <v>0</v>
      </c>
      <c r="M62" s="473">
        <v>0</v>
      </c>
      <c r="N62" s="473">
        <v>0</v>
      </c>
      <c r="O62" s="473">
        <v>0</v>
      </c>
      <c r="P62" s="473">
        <v>0</v>
      </c>
      <c r="Q62" s="473">
        <v>0</v>
      </c>
      <c r="R62" s="473">
        <v>0</v>
      </c>
      <c r="S62" s="473">
        <v>0</v>
      </c>
      <c r="T62" s="473">
        <v>0</v>
      </c>
      <c r="U62" s="473">
        <v>0</v>
      </c>
      <c r="V62" s="473">
        <v>0</v>
      </c>
      <c r="W62" s="473">
        <v>0</v>
      </c>
      <c r="X62" s="473">
        <v>0</v>
      </c>
      <c r="Y62" s="473">
        <v>0</v>
      </c>
      <c r="Z62" s="473">
        <v>0</v>
      </c>
      <c r="AA62" s="473">
        <v>0</v>
      </c>
      <c r="AB62" s="473">
        <v>0</v>
      </c>
      <c r="AC62" s="473">
        <v>0</v>
      </c>
      <c r="AD62" s="473">
        <v>0</v>
      </c>
      <c r="AE62" s="473">
        <v>0</v>
      </c>
      <c r="AF62" s="473">
        <v>0</v>
      </c>
      <c r="AG62" s="473">
        <v>0</v>
      </c>
      <c r="AH62" s="473">
        <v>0</v>
      </c>
      <c r="AI62" s="473">
        <v>0</v>
      </c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</row>
    <row r="63" spans="1:51" x14ac:dyDescent="0.25">
      <c r="A63" s="1"/>
      <c r="B63" s="1"/>
      <c r="C63" s="1"/>
      <c r="D63" s="1"/>
      <c r="E63" s="139" t="s">
        <v>771</v>
      </c>
      <c r="F63" s="1" t="s">
        <v>388</v>
      </c>
      <c r="G63" s="473">
        <v>0</v>
      </c>
      <c r="H63" s="473">
        <v>0</v>
      </c>
      <c r="I63" s="473">
        <v>0</v>
      </c>
      <c r="J63" s="473">
        <v>0</v>
      </c>
      <c r="K63" s="473">
        <v>0</v>
      </c>
      <c r="L63" s="473">
        <v>0</v>
      </c>
      <c r="M63" s="473">
        <v>0</v>
      </c>
      <c r="N63" s="473">
        <v>0</v>
      </c>
      <c r="O63" s="473">
        <v>0</v>
      </c>
      <c r="P63" s="473">
        <v>0</v>
      </c>
      <c r="Q63" s="473">
        <v>0</v>
      </c>
      <c r="R63" s="473">
        <v>0</v>
      </c>
      <c r="S63" s="473">
        <v>0</v>
      </c>
      <c r="T63" s="473">
        <v>0</v>
      </c>
      <c r="U63" s="473">
        <v>0</v>
      </c>
      <c r="V63" s="473">
        <v>0</v>
      </c>
      <c r="W63" s="473">
        <v>0</v>
      </c>
      <c r="X63" s="473">
        <v>0</v>
      </c>
      <c r="Y63" s="473">
        <v>0</v>
      </c>
      <c r="Z63" s="473">
        <v>0</v>
      </c>
      <c r="AA63" s="473">
        <v>0</v>
      </c>
      <c r="AB63" s="473">
        <v>0</v>
      </c>
      <c r="AC63" s="473">
        <v>0</v>
      </c>
      <c r="AD63" s="473">
        <v>0</v>
      </c>
      <c r="AE63" s="473">
        <v>0</v>
      </c>
      <c r="AF63" s="473">
        <v>0</v>
      </c>
      <c r="AG63" s="473">
        <v>0</v>
      </c>
      <c r="AH63" s="473">
        <v>0</v>
      </c>
      <c r="AI63" s="473">
        <v>0</v>
      </c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</row>
    <row r="64" spans="1:51" x14ac:dyDescent="0.25">
      <c r="A64" s="1"/>
      <c r="B64" s="1"/>
      <c r="C64" s="1"/>
      <c r="D64" s="1"/>
      <c r="E64" s="139" t="str">
        <f>'8a. RNG'!$H$12</f>
        <v>LFG, WWTP, AgCrop (3)</v>
      </c>
      <c r="F64" s="1" t="s">
        <v>388</v>
      </c>
      <c r="G64" s="473">
        <v>0</v>
      </c>
      <c r="H64" s="473">
        <v>0</v>
      </c>
      <c r="I64" s="473">
        <v>0</v>
      </c>
      <c r="J64" s="473">
        <v>0</v>
      </c>
      <c r="K64" s="473">
        <v>0</v>
      </c>
      <c r="L64" s="473">
        <v>0</v>
      </c>
      <c r="M64" s="473">
        <v>0</v>
      </c>
      <c r="N64" s="473">
        <v>0</v>
      </c>
      <c r="O64" s="473">
        <v>0</v>
      </c>
      <c r="P64" s="473">
        <v>0</v>
      </c>
      <c r="Q64" s="473">
        <v>0</v>
      </c>
      <c r="R64" s="473">
        <v>0</v>
      </c>
      <c r="S64" s="473">
        <v>0</v>
      </c>
      <c r="T64" s="473">
        <v>0</v>
      </c>
      <c r="U64" s="473">
        <v>0</v>
      </c>
      <c r="V64" s="473">
        <v>0</v>
      </c>
      <c r="W64" s="473">
        <v>0</v>
      </c>
      <c r="X64" s="473">
        <v>0</v>
      </c>
      <c r="Y64" s="473">
        <v>0</v>
      </c>
      <c r="Z64" s="473">
        <v>0</v>
      </c>
      <c r="AA64" s="473">
        <v>0</v>
      </c>
      <c r="AB64" s="473">
        <v>0</v>
      </c>
      <c r="AC64" s="473">
        <v>0</v>
      </c>
      <c r="AD64" s="473">
        <v>0</v>
      </c>
      <c r="AE64" s="473">
        <v>0</v>
      </c>
      <c r="AF64" s="473">
        <v>0</v>
      </c>
      <c r="AG64" s="473">
        <v>0</v>
      </c>
      <c r="AH64" s="473">
        <v>0</v>
      </c>
      <c r="AI64" s="473">
        <v>0</v>
      </c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</row>
    <row r="65" spans="1:51" x14ac:dyDescent="0.25">
      <c r="A65" s="1"/>
      <c r="B65" s="1"/>
      <c r="C65" s="1"/>
      <c r="D65" s="1"/>
      <c r="E65" s="139" t="str">
        <f>'8a. RNG'!$P$12</f>
        <v>CDW Exp. 1</v>
      </c>
      <c r="F65" s="1" t="s">
        <v>388</v>
      </c>
      <c r="G65" s="473">
        <v>0</v>
      </c>
      <c r="H65" s="473">
        <v>0</v>
      </c>
      <c r="I65" s="473">
        <v>0</v>
      </c>
      <c r="J65" s="473">
        <v>0</v>
      </c>
      <c r="K65" s="473">
        <v>0</v>
      </c>
      <c r="L65" s="473">
        <v>0</v>
      </c>
      <c r="M65" s="473">
        <v>0</v>
      </c>
      <c r="N65" s="473">
        <v>0</v>
      </c>
      <c r="O65" s="473">
        <v>0</v>
      </c>
      <c r="P65" s="473">
        <v>0</v>
      </c>
      <c r="Q65" s="473">
        <v>0</v>
      </c>
      <c r="R65" s="473">
        <v>0</v>
      </c>
      <c r="S65" s="473">
        <v>0</v>
      </c>
      <c r="T65" s="473">
        <v>0</v>
      </c>
      <c r="U65" s="473">
        <v>0</v>
      </c>
      <c r="V65" s="473">
        <v>0</v>
      </c>
      <c r="W65" s="473">
        <v>0</v>
      </c>
      <c r="X65" s="473">
        <v>0</v>
      </c>
      <c r="Y65" s="473">
        <v>0</v>
      </c>
      <c r="Z65" s="473">
        <v>0</v>
      </c>
      <c r="AA65" s="473">
        <v>0</v>
      </c>
      <c r="AB65" s="473">
        <v>0</v>
      </c>
      <c r="AC65" s="473">
        <v>0</v>
      </c>
      <c r="AD65" s="473">
        <v>0</v>
      </c>
      <c r="AE65" s="473">
        <v>0</v>
      </c>
      <c r="AF65" s="473">
        <v>0</v>
      </c>
      <c r="AG65" s="473">
        <v>0</v>
      </c>
      <c r="AH65" s="473">
        <v>0</v>
      </c>
      <c r="AI65" s="473">
        <v>0</v>
      </c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</row>
    <row r="66" spans="1:51" x14ac:dyDescent="0.25">
      <c r="A66" s="1"/>
      <c r="B66" s="1"/>
      <c r="C66" s="1"/>
      <c r="D66" s="1"/>
      <c r="E66" s="139" t="str">
        <f>'8a. RNG'!$Q$12</f>
        <v>CDW Exp. 2</v>
      </c>
      <c r="F66" s="1" t="s">
        <v>388</v>
      </c>
      <c r="G66" s="473">
        <v>0</v>
      </c>
      <c r="H66" s="473">
        <v>0</v>
      </c>
      <c r="I66" s="473">
        <v>0</v>
      </c>
      <c r="J66" s="473">
        <v>0</v>
      </c>
      <c r="K66" s="473">
        <v>0</v>
      </c>
      <c r="L66" s="473">
        <v>0</v>
      </c>
      <c r="M66" s="473">
        <v>0</v>
      </c>
      <c r="N66" s="473">
        <v>0</v>
      </c>
      <c r="O66" s="473">
        <v>0</v>
      </c>
      <c r="P66" s="473">
        <v>0</v>
      </c>
      <c r="Q66" s="473">
        <v>0</v>
      </c>
      <c r="R66" s="473">
        <v>0</v>
      </c>
      <c r="S66" s="473">
        <v>0</v>
      </c>
      <c r="T66" s="473">
        <v>0</v>
      </c>
      <c r="U66" s="473">
        <v>0</v>
      </c>
      <c r="V66" s="473">
        <v>0</v>
      </c>
      <c r="W66" s="473">
        <v>0</v>
      </c>
      <c r="X66" s="473">
        <v>0</v>
      </c>
      <c r="Y66" s="473">
        <v>0</v>
      </c>
      <c r="Z66" s="473">
        <v>0</v>
      </c>
      <c r="AA66" s="473">
        <v>0</v>
      </c>
      <c r="AB66" s="473">
        <v>0</v>
      </c>
      <c r="AC66" s="473">
        <v>0</v>
      </c>
      <c r="AD66" s="473">
        <v>0</v>
      </c>
      <c r="AE66" s="473">
        <v>0</v>
      </c>
      <c r="AF66" s="473">
        <v>0</v>
      </c>
      <c r="AG66" s="473">
        <v>0</v>
      </c>
      <c r="AH66" s="473">
        <v>0</v>
      </c>
      <c r="AI66" s="473">
        <v>0</v>
      </c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</row>
    <row r="67" spans="1:51" x14ac:dyDescent="0.25">
      <c r="A67" s="1"/>
      <c r="B67" s="1"/>
      <c r="C67" s="1"/>
      <c r="D67" s="1"/>
      <c r="E67" s="139" t="str">
        <f>'8a. RNG'!$R$12</f>
        <v>CDW Exp. 3</v>
      </c>
      <c r="F67" s="1" t="s">
        <v>388</v>
      </c>
      <c r="G67" s="473">
        <v>0</v>
      </c>
      <c r="H67" s="473">
        <v>0</v>
      </c>
      <c r="I67" s="473">
        <v>0</v>
      </c>
      <c r="J67" s="473">
        <v>0</v>
      </c>
      <c r="K67" s="473">
        <v>0</v>
      </c>
      <c r="L67" s="473">
        <v>0</v>
      </c>
      <c r="M67" s="473">
        <v>0</v>
      </c>
      <c r="N67" s="473">
        <v>0</v>
      </c>
      <c r="O67" s="473">
        <v>0</v>
      </c>
      <c r="P67" s="473">
        <v>0</v>
      </c>
      <c r="Q67" s="473">
        <v>0</v>
      </c>
      <c r="R67" s="473">
        <v>0</v>
      </c>
      <c r="S67" s="473">
        <v>0</v>
      </c>
      <c r="T67" s="473">
        <v>0</v>
      </c>
      <c r="U67" s="473">
        <v>0</v>
      </c>
      <c r="V67" s="473">
        <v>0</v>
      </c>
      <c r="W67" s="473">
        <v>0</v>
      </c>
      <c r="X67" s="473">
        <v>0</v>
      </c>
      <c r="Y67" s="473">
        <v>0</v>
      </c>
      <c r="Z67" s="473">
        <v>0</v>
      </c>
      <c r="AA67" s="473">
        <v>0</v>
      </c>
      <c r="AB67" s="473">
        <v>0</v>
      </c>
      <c r="AC67" s="473">
        <v>0</v>
      </c>
      <c r="AD67" s="473">
        <v>0</v>
      </c>
      <c r="AE67" s="473">
        <v>0</v>
      </c>
      <c r="AF67" s="473">
        <v>0</v>
      </c>
      <c r="AG67" s="473">
        <v>0</v>
      </c>
      <c r="AH67" s="473">
        <v>0</v>
      </c>
      <c r="AI67" s="473">
        <v>0</v>
      </c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</row>
    <row r="68" spans="1:51" x14ac:dyDescent="0.25">
      <c r="A68" s="1"/>
      <c r="B68" s="1"/>
      <c r="C68" s="1"/>
      <c r="D68" s="1"/>
      <c r="E68" s="139" t="str">
        <f>'8a. RNG'!$S$12</f>
        <v>CDW Exp. 4</v>
      </c>
      <c r="F68" s="1" t="s">
        <v>388</v>
      </c>
      <c r="G68" s="473">
        <v>0</v>
      </c>
      <c r="H68" s="473">
        <v>0</v>
      </c>
      <c r="I68" s="473">
        <v>0</v>
      </c>
      <c r="J68" s="473">
        <v>0</v>
      </c>
      <c r="K68" s="473">
        <v>0</v>
      </c>
      <c r="L68" s="473">
        <v>0</v>
      </c>
      <c r="M68" s="473">
        <v>0</v>
      </c>
      <c r="N68" s="473">
        <v>0</v>
      </c>
      <c r="O68" s="473">
        <v>0</v>
      </c>
      <c r="P68" s="473">
        <v>0</v>
      </c>
      <c r="Q68" s="473">
        <v>0</v>
      </c>
      <c r="R68" s="473">
        <v>0</v>
      </c>
      <c r="S68" s="473">
        <v>0</v>
      </c>
      <c r="T68" s="473">
        <v>0</v>
      </c>
      <c r="U68" s="473">
        <v>0</v>
      </c>
      <c r="V68" s="473">
        <v>0</v>
      </c>
      <c r="W68" s="473">
        <v>0</v>
      </c>
      <c r="X68" s="473">
        <v>0</v>
      </c>
      <c r="Y68" s="473">
        <v>0</v>
      </c>
      <c r="Z68" s="473">
        <v>0</v>
      </c>
      <c r="AA68" s="473">
        <v>0</v>
      </c>
      <c r="AB68" s="473">
        <v>0</v>
      </c>
      <c r="AC68" s="473">
        <v>0</v>
      </c>
      <c r="AD68" s="473">
        <v>0</v>
      </c>
      <c r="AE68" s="473">
        <v>0</v>
      </c>
      <c r="AF68" s="473">
        <v>0</v>
      </c>
      <c r="AG68" s="473">
        <v>0</v>
      </c>
      <c r="AH68" s="473">
        <v>0</v>
      </c>
      <c r="AI68" s="473">
        <v>0</v>
      </c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</row>
    <row r="69" spans="1:51" x14ac:dyDescent="0.25">
      <c r="A69" s="1"/>
      <c r="B69" s="1"/>
      <c r="C69" s="1"/>
      <c r="D69" s="1"/>
      <c r="E69" s="139" t="str">
        <f>'8a. RNG'!$T$12</f>
        <v>CDW Exp. 5</v>
      </c>
      <c r="F69" s="1" t="s">
        <v>388</v>
      </c>
      <c r="G69" s="473">
        <v>0</v>
      </c>
      <c r="H69" s="473">
        <v>0</v>
      </c>
      <c r="I69" s="473">
        <v>0</v>
      </c>
      <c r="J69" s="473">
        <v>0</v>
      </c>
      <c r="K69" s="473">
        <v>0</v>
      </c>
      <c r="L69" s="473">
        <v>0</v>
      </c>
      <c r="M69" s="473">
        <v>0</v>
      </c>
      <c r="N69" s="473">
        <v>0</v>
      </c>
      <c r="O69" s="473">
        <v>0</v>
      </c>
      <c r="P69" s="473">
        <v>0</v>
      </c>
      <c r="Q69" s="473">
        <v>0</v>
      </c>
      <c r="R69" s="473">
        <v>0</v>
      </c>
      <c r="S69" s="473">
        <v>0</v>
      </c>
      <c r="T69" s="473">
        <v>0</v>
      </c>
      <c r="U69" s="473">
        <v>0</v>
      </c>
      <c r="V69" s="473">
        <v>0</v>
      </c>
      <c r="W69" s="473">
        <v>0</v>
      </c>
      <c r="X69" s="473">
        <v>0</v>
      </c>
      <c r="Y69" s="473">
        <v>0</v>
      </c>
      <c r="Z69" s="473">
        <v>0</v>
      </c>
      <c r="AA69" s="473">
        <v>0</v>
      </c>
      <c r="AB69" s="473">
        <v>0</v>
      </c>
      <c r="AC69" s="473">
        <v>0</v>
      </c>
      <c r="AD69" s="473">
        <v>0</v>
      </c>
      <c r="AE69" s="473">
        <v>0</v>
      </c>
      <c r="AF69" s="473">
        <v>0</v>
      </c>
      <c r="AG69" s="473">
        <v>0</v>
      </c>
      <c r="AH69" s="473">
        <v>0</v>
      </c>
      <c r="AI69" s="473">
        <v>0</v>
      </c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</row>
    <row r="70" spans="1:51" x14ac:dyDescent="0.25">
      <c r="A70" s="1"/>
      <c r="B70" s="1"/>
      <c r="C70" s="1"/>
      <c r="D70" s="1"/>
      <c r="E70" s="139" t="str">
        <f>'5. LNG- ISO_Expansion'!$X$12</f>
        <v>LNG ISO Exp 1</v>
      </c>
      <c r="F70" s="1" t="s">
        <v>388</v>
      </c>
      <c r="G70" s="473">
        <v>0</v>
      </c>
      <c r="H70" s="473">
        <v>0</v>
      </c>
      <c r="I70" s="473">
        <v>0</v>
      </c>
      <c r="J70" s="473">
        <v>0</v>
      </c>
      <c r="K70" s="473">
        <v>0</v>
      </c>
      <c r="L70" s="473">
        <v>0</v>
      </c>
      <c r="M70" s="473">
        <v>0</v>
      </c>
      <c r="N70" s="473">
        <v>0</v>
      </c>
      <c r="O70" s="473">
        <v>0</v>
      </c>
      <c r="P70" s="473">
        <v>0</v>
      </c>
      <c r="Q70" s="473">
        <v>0</v>
      </c>
      <c r="R70" s="473">
        <v>0</v>
      </c>
      <c r="S70" s="473">
        <v>0</v>
      </c>
      <c r="T70" s="473">
        <v>0</v>
      </c>
      <c r="U70" s="473">
        <v>0</v>
      </c>
      <c r="V70" s="473">
        <v>0</v>
      </c>
      <c r="W70" s="473">
        <v>0</v>
      </c>
      <c r="X70" s="473">
        <v>0</v>
      </c>
      <c r="Y70" s="473">
        <v>0</v>
      </c>
      <c r="Z70" s="473">
        <v>0</v>
      </c>
      <c r="AA70" s="473">
        <v>0</v>
      </c>
      <c r="AB70" s="473">
        <v>0</v>
      </c>
      <c r="AC70" s="473">
        <v>0</v>
      </c>
      <c r="AD70" s="473">
        <v>0</v>
      </c>
      <c r="AE70" s="473">
        <v>0</v>
      </c>
      <c r="AF70" s="473">
        <v>0</v>
      </c>
      <c r="AG70" s="473">
        <v>0</v>
      </c>
      <c r="AH70" s="473">
        <v>0</v>
      </c>
      <c r="AI70" s="473">
        <v>0</v>
      </c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</row>
    <row r="71" spans="1:51" x14ac:dyDescent="0.25">
      <c r="A71" s="1"/>
      <c r="B71" s="1"/>
      <c r="C71" s="1"/>
      <c r="D71" s="1"/>
      <c r="E71" s="139" t="str">
        <f>'5. LNG- ISO_Expansion'!$Y$12</f>
        <v>LNG ISO Exp 2</v>
      </c>
      <c r="F71" s="1" t="s">
        <v>388</v>
      </c>
      <c r="G71" s="473">
        <v>0</v>
      </c>
      <c r="H71" s="473">
        <v>0</v>
      </c>
      <c r="I71" s="473">
        <v>0</v>
      </c>
      <c r="J71" s="473">
        <v>0</v>
      </c>
      <c r="K71" s="473">
        <v>0</v>
      </c>
      <c r="L71" s="473">
        <v>0</v>
      </c>
      <c r="M71" s="473">
        <v>0</v>
      </c>
      <c r="N71" s="473">
        <v>0</v>
      </c>
      <c r="O71" s="473">
        <v>0</v>
      </c>
      <c r="P71" s="473">
        <v>0</v>
      </c>
      <c r="Q71" s="473">
        <v>0</v>
      </c>
      <c r="R71" s="473">
        <v>0</v>
      </c>
      <c r="S71" s="473">
        <v>0</v>
      </c>
      <c r="T71" s="473">
        <v>0</v>
      </c>
      <c r="U71" s="473">
        <v>0</v>
      </c>
      <c r="V71" s="473">
        <v>0</v>
      </c>
      <c r="W71" s="473">
        <v>0</v>
      </c>
      <c r="X71" s="473">
        <v>0</v>
      </c>
      <c r="Y71" s="473">
        <v>0</v>
      </c>
      <c r="Z71" s="473">
        <v>0</v>
      </c>
      <c r="AA71" s="473">
        <v>0</v>
      </c>
      <c r="AB71" s="473">
        <v>0</v>
      </c>
      <c r="AC71" s="473">
        <v>0</v>
      </c>
      <c r="AD71" s="473">
        <v>0</v>
      </c>
      <c r="AE71" s="473">
        <v>0</v>
      </c>
      <c r="AF71" s="473">
        <v>0</v>
      </c>
      <c r="AG71" s="473">
        <v>0</v>
      </c>
      <c r="AH71" s="473">
        <v>0</v>
      </c>
      <c r="AI71" s="473">
        <v>0</v>
      </c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</row>
    <row r="72" spans="1:51" x14ac:dyDescent="0.25">
      <c r="A72" s="1"/>
      <c r="B72" s="1"/>
      <c r="C72" s="1"/>
      <c r="D72" s="1"/>
      <c r="E72" s="139" t="str">
        <f>'5. LNG- ISO_Expansion'!$Z$12</f>
        <v>LNG ISO Exp 3</v>
      </c>
      <c r="F72" s="1" t="s">
        <v>388</v>
      </c>
      <c r="G72" s="473">
        <v>0</v>
      </c>
      <c r="H72" s="473">
        <v>0</v>
      </c>
      <c r="I72" s="473">
        <v>0</v>
      </c>
      <c r="J72" s="473">
        <v>0</v>
      </c>
      <c r="K72" s="473">
        <v>0</v>
      </c>
      <c r="L72" s="473">
        <v>0</v>
      </c>
      <c r="M72" s="473">
        <v>0</v>
      </c>
      <c r="N72" s="473">
        <v>0</v>
      </c>
      <c r="O72" s="473">
        <v>0</v>
      </c>
      <c r="P72" s="473">
        <v>0</v>
      </c>
      <c r="Q72" s="473">
        <v>0</v>
      </c>
      <c r="R72" s="473">
        <v>0</v>
      </c>
      <c r="S72" s="473">
        <v>0</v>
      </c>
      <c r="T72" s="473">
        <v>0</v>
      </c>
      <c r="U72" s="473">
        <v>0</v>
      </c>
      <c r="V72" s="473">
        <v>0</v>
      </c>
      <c r="W72" s="473">
        <v>0</v>
      </c>
      <c r="X72" s="473">
        <v>0</v>
      </c>
      <c r="Y72" s="473">
        <v>0</v>
      </c>
      <c r="Z72" s="473">
        <v>0</v>
      </c>
      <c r="AA72" s="473">
        <v>0</v>
      </c>
      <c r="AB72" s="473">
        <v>0</v>
      </c>
      <c r="AC72" s="473">
        <v>0</v>
      </c>
      <c r="AD72" s="473">
        <v>0</v>
      </c>
      <c r="AE72" s="473">
        <v>0</v>
      </c>
      <c r="AF72" s="473">
        <v>0</v>
      </c>
      <c r="AG72" s="473">
        <v>0</v>
      </c>
      <c r="AH72" s="473">
        <v>0</v>
      </c>
      <c r="AI72" s="473">
        <v>0</v>
      </c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</row>
    <row r="73" spans="1:51" x14ac:dyDescent="0.25">
      <c r="A73" s="1"/>
      <c r="B73" s="1"/>
      <c r="C73" s="1"/>
      <c r="D73" s="1"/>
      <c r="E73" s="139" t="str">
        <f>'5. LNG- ISO_Expansion'!$AA$12</f>
        <v>LNG ISO Exp 4</v>
      </c>
      <c r="F73" s="1" t="s">
        <v>388</v>
      </c>
      <c r="G73" s="473">
        <v>0</v>
      </c>
      <c r="H73" s="473">
        <v>0</v>
      </c>
      <c r="I73" s="473">
        <v>0</v>
      </c>
      <c r="J73" s="473">
        <v>0</v>
      </c>
      <c r="K73" s="473">
        <v>0</v>
      </c>
      <c r="L73" s="473">
        <v>0</v>
      </c>
      <c r="M73" s="473">
        <v>0</v>
      </c>
      <c r="N73" s="473">
        <v>0</v>
      </c>
      <c r="O73" s="473">
        <v>0</v>
      </c>
      <c r="P73" s="473">
        <v>0</v>
      </c>
      <c r="Q73" s="473">
        <v>0</v>
      </c>
      <c r="R73" s="473">
        <v>0</v>
      </c>
      <c r="S73" s="473">
        <v>0</v>
      </c>
      <c r="T73" s="473">
        <v>0</v>
      </c>
      <c r="U73" s="473">
        <v>0</v>
      </c>
      <c r="V73" s="473">
        <v>0</v>
      </c>
      <c r="W73" s="473">
        <v>0</v>
      </c>
      <c r="X73" s="473">
        <v>0</v>
      </c>
      <c r="Y73" s="473">
        <v>0</v>
      </c>
      <c r="Z73" s="473">
        <v>0</v>
      </c>
      <c r="AA73" s="473">
        <v>0</v>
      </c>
      <c r="AB73" s="473">
        <v>0</v>
      </c>
      <c r="AC73" s="473">
        <v>0</v>
      </c>
      <c r="AD73" s="473">
        <v>0</v>
      </c>
      <c r="AE73" s="473">
        <v>0</v>
      </c>
      <c r="AF73" s="473">
        <v>0</v>
      </c>
      <c r="AG73" s="473">
        <v>0</v>
      </c>
      <c r="AH73" s="473">
        <v>0</v>
      </c>
      <c r="AI73" s="473">
        <v>0</v>
      </c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</row>
    <row r="74" spans="1:51" x14ac:dyDescent="0.25">
      <c r="A74" s="1"/>
      <c r="B74" s="1"/>
      <c r="C74" s="1"/>
      <c r="D74" s="1"/>
      <c r="E74" s="139" t="str">
        <f>'5. LNG- ISO_Expansion'!$AB$12</f>
        <v>LNG ISO Exp 5</v>
      </c>
      <c r="F74" s="1" t="s">
        <v>388</v>
      </c>
      <c r="G74" s="473">
        <v>0</v>
      </c>
      <c r="H74" s="473">
        <v>0</v>
      </c>
      <c r="I74" s="473">
        <v>0</v>
      </c>
      <c r="J74" s="473">
        <v>0</v>
      </c>
      <c r="K74" s="473">
        <v>0</v>
      </c>
      <c r="L74" s="473">
        <v>0</v>
      </c>
      <c r="M74" s="473">
        <v>0</v>
      </c>
      <c r="N74" s="473">
        <v>0</v>
      </c>
      <c r="O74" s="473">
        <v>0</v>
      </c>
      <c r="P74" s="473">
        <v>0</v>
      </c>
      <c r="Q74" s="473">
        <v>0</v>
      </c>
      <c r="R74" s="473">
        <v>0</v>
      </c>
      <c r="S74" s="473">
        <v>0</v>
      </c>
      <c r="T74" s="473">
        <v>0</v>
      </c>
      <c r="U74" s="473">
        <v>0</v>
      </c>
      <c r="V74" s="473">
        <v>0</v>
      </c>
      <c r="W74" s="473">
        <v>0</v>
      </c>
      <c r="X74" s="473">
        <v>0</v>
      </c>
      <c r="Y74" s="473">
        <v>0</v>
      </c>
      <c r="Z74" s="473">
        <v>0</v>
      </c>
      <c r="AA74" s="473">
        <v>0</v>
      </c>
      <c r="AB74" s="473">
        <v>0</v>
      </c>
      <c r="AC74" s="473">
        <v>0</v>
      </c>
      <c r="AD74" s="473">
        <v>0</v>
      </c>
      <c r="AE74" s="473">
        <v>0</v>
      </c>
      <c r="AF74" s="473">
        <v>0</v>
      </c>
      <c r="AG74" s="473">
        <v>0</v>
      </c>
      <c r="AH74" s="473">
        <v>0</v>
      </c>
      <c r="AI74" s="473">
        <v>0</v>
      </c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</row>
    <row r="75" spans="1:51" x14ac:dyDescent="0.25">
      <c r="A75" s="1"/>
      <c r="B75" s="1"/>
      <c r="C75" s="1"/>
      <c r="D75" s="1"/>
      <c r="E75" s="139" t="s">
        <v>384</v>
      </c>
      <c r="F75" s="1" t="s">
        <v>388</v>
      </c>
      <c r="G75" s="473">
        <v>0</v>
      </c>
      <c r="H75" s="473">
        <v>0</v>
      </c>
      <c r="I75" s="473">
        <v>0</v>
      </c>
      <c r="J75" s="473">
        <v>0</v>
      </c>
      <c r="K75" s="473">
        <v>0</v>
      </c>
      <c r="L75" s="473">
        <v>0</v>
      </c>
      <c r="M75" s="473">
        <v>0</v>
      </c>
      <c r="N75" s="473">
        <v>0</v>
      </c>
      <c r="O75" s="473">
        <v>0</v>
      </c>
      <c r="P75" s="473">
        <v>0</v>
      </c>
      <c r="Q75" s="473">
        <v>0</v>
      </c>
      <c r="R75" s="473">
        <v>0</v>
      </c>
      <c r="S75" s="473">
        <v>0</v>
      </c>
      <c r="T75" s="473">
        <v>0</v>
      </c>
      <c r="U75" s="473">
        <v>0</v>
      </c>
      <c r="V75" s="473">
        <v>0</v>
      </c>
      <c r="W75" s="473">
        <v>0</v>
      </c>
      <c r="X75" s="473">
        <v>0</v>
      </c>
      <c r="Y75" s="473">
        <v>0</v>
      </c>
      <c r="Z75" s="473">
        <v>0</v>
      </c>
      <c r="AA75" s="473">
        <v>0</v>
      </c>
      <c r="AB75" s="473">
        <v>0</v>
      </c>
      <c r="AC75" s="473">
        <v>0</v>
      </c>
      <c r="AD75" s="473">
        <v>0</v>
      </c>
      <c r="AE75" s="473">
        <v>0</v>
      </c>
      <c r="AF75" s="473">
        <v>0</v>
      </c>
      <c r="AG75" s="473">
        <v>0</v>
      </c>
      <c r="AH75" s="473">
        <v>0</v>
      </c>
      <c r="AI75" s="473">
        <v>0</v>
      </c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</row>
    <row r="76" spans="1:51" x14ac:dyDescent="0.25">
      <c r="A76" s="1"/>
      <c r="B76" s="1"/>
      <c r="C76" s="1"/>
      <c r="D76" s="1"/>
      <c r="E76" s="1"/>
      <c r="F76" s="110" t="s">
        <v>389</v>
      </c>
      <c r="G76" s="474">
        <f>(SUMPRODUCT(G8:G13,G56:G61)/SUM(G8:G13))*(SUM(G8:G13)/(SUM(G8:G13)+SUM(G34:G47)))+IF(SUM(G34:G47)=0,0,SUMPRODUCT(G34:G47,G62:G75)/SUM(G34:G47))*(SUM(G34:G47)/(SUM(G8:G13)+SUM(G34:G47)))+(G129/G100)</f>
        <v>2.866395486343015</v>
      </c>
      <c r="H76" s="474">
        <f t="shared" ref="H76:AI76" si="6">(SUMPRODUCT(H8:H13,H56:H61)/SUM(H8:H13))*(SUM(H8:H13)/(SUM(H8:H13)+SUM(H34:H47)))+IF(SUM(H34:H47)=0,0,SUMPRODUCT(H34:H47,H62:H75)/SUM(H34:H47))*(SUM(H34:H47)/(SUM(H8:H13)+SUM(H34:H47)))+(H129/H100)</f>
        <v>2.5688336671134255</v>
      </c>
      <c r="I76" s="474">
        <f t="shared" si="6"/>
        <v>2.1122061440888533</v>
      </c>
      <c r="J76" s="474">
        <f t="shared" si="6"/>
        <v>2.1882798409434958</v>
      </c>
      <c r="K76" s="474">
        <f t="shared" si="6"/>
        <v>2.217668220797874</v>
      </c>
      <c r="L76" s="474">
        <f t="shared" si="6"/>
        <v>2.2641402949706393</v>
      </c>
      <c r="M76" s="474">
        <f t="shared" si="6"/>
        <v>2.2998769999862461</v>
      </c>
      <c r="N76" s="474">
        <f t="shared" si="6"/>
        <v>2.326224765868508</v>
      </c>
      <c r="O76" s="474">
        <f t="shared" si="6"/>
        <v>2.3537262415356497</v>
      </c>
      <c r="P76" s="474">
        <f t="shared" si="6"/>
        <v>2.3910595632929503</v>
      </c>
      <c r="Q76" s="474">
        <f t="shared" si="6"/>
        <v>2.4198171921047753</v>
      </c>
      <c r="R76" s="474">
        <f t="shared" si="6"/>
        <v>2.4400758873434025</v>
      </c>
      <c r="S76" s="474">
        <f>(SUMPRODUCT(S8:S13,S56:S61)/SUM(S8:S13))*(SUM(S8:S13)/(SUM(S8:S13)+SUM(S34:S47)))+IF(SUM(S34:S47)=0,0,SUMPRODUCT(S34:S47,S62:S75)/SUM(S34:S47))*(SUM(S34:S47)/(SUM(S8:S13)+SUM(S34:S47)))+(S129/S100)</f>
        <v>2.4497091722327018</v>
      </c>
      <c r="T76" s="474">
        <f t="shared" si="6"/>
        <v>2.4669930612080067</v>
      </c>
      <c r="U76" s="474">
        <f t="shared" si="6"/>
        <v>2.4966976633202149</v>
      </c>
      <c r="V76" s="474">
        <f t="shared" si="6"/>
        <v>2.5186971225049493</v>
      </c>
      <c r="W76" s="474">
        <f t="shared" si="6"/>
        <v>2.5442657231094006</v>
      </c>
      <c r="X76" s="474">
        <f t="shared" si="6"/>
        <v>2.5507352822228686</v>
      </c>
      <c r="Y76" s="474">
        <f t="shared" si="6"/>
        <v>2.588413037523841</v>
      </c>
      <c r="Z76" s="474">
        <f t="shared" si="6"/>
        <v>2.6113705404776733</v>
      </c>
      <c r="AA76" s="474">
        <f t="shared" si="6"/>
        <v>2.6208466216261326</v>
      </c>
      <c r="AB76" s="474">
        <f t="shared" si="6"/>
        <v>2.6562610616853091</v>
      </c>
      <c r="AC76" s="474">
        <f t="shared" si="6"/>
        <v>2.6978954282105141</v>
      </c>
      <c r="AD76" s="474">
        <f t="shared" si="6"/>
        <v>2.7094635433952421</v>
      </c>
      <c r="AE76" s="474">
        <f t="shared" si="6"/>
        <v>2.7400266790271832</v>
      </c>
      <c r="AF76" s="474">
        <f t="shared" si="6"/>
        <v>2.7386746655569909</v>
      </c>
      <c r="AG76" s="474">
        <f t="shared" si="6"/>
        <v>2.7420318649633466</v>
      </c>
      <c r="AH76" s="474">
        <f t="shared" si="6"/>
        <v>2.7492238494338226</v>
      </c>
      <c r="AI76" s="474">
        <f t="shared" si="6"/>
        <v>2.7423049263481296</v>
      </c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</row>
    <row r="77" spans="1:51" x14ac:dyDescent="0.25">
      <c r="A77" s="1"/>
      <c r="B77" s="1"/>
      <c r="C77" s="1"/>
      <c r="D77" s="1"/>
      <c r="E77" s="1"/>
      <c r="F77" s="110"/>
      <c r="G77" s="474"/>
      <c r="H77" s="474"/>
      <c r="I77" s="474"/>
      <c r="J77" s="474"/>
      <c r="K77" s="474"/>
      <c r="L77" s="474"/>
      <c r="M77" s="474"/>
      <c r="N77" s="474"/>
      <c r="O77" s="474"/>
      <c r="P77" s="474"/>
      <c r="Q77" s="474"/>
      <c r="R77" s="474"/>
      <c r="S77" s="474"/>
      <c r="T77" s="474"/>
      <c r="U77" s="474"/>
      <c r="V77" s="474"/>
      <c r="W77" s="474"/>
      <c r="X77" s="474"/>
      <c r="Y77" s="474"/>
      <c r="Z77" s="474"/>
      <c r="AA77" s="474"/>
      <c r="AB77" s="474"/>
      <c r="AC77" s="474"/>
      <c r="AD77" s="474"/>
      <c r="AE77" s="474"/>
      <c r="AF77" s="474"/>
      <c r="AG77" s="474"/>
      <c r="AH77" s="474"/>
      <c r="AI77" s="474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</row>
    <row r="78" spans="1:51" x14ac:dyDescent="0.25">
      <c r="A78" s="1"/>
      <c r="B78" s="1"/>
      <c r="C78" s="1"/>
      <c r="D78" s="1"/>
      <c r="E78" s="1"/>
      <c r="F78" s="455" t="s">
        <v>390</v>
      </c>
      <c r="G78" s="110">
        <v>2022</v>
      </c>
      <c r="H78" s="110">
        <v>2023</v>
      </c>
      <c r="I78" s="110">
        <v>2024</v>
      </c>
      <c r="J78" s="110">
        <v>2025</v>
      </c>
      <c r="K78" s="110">
        <v>2026</v>
      </c>
      <c r="L78" s="110">
        <v>2027</v>
      </c>
      <c r="M78" s="110">
        <v>2028</v>
      </c>
      <c r="N78" s="110">
        <v>2029</v>
      </c>
      <c r="O78" s="110">
        <v>2030</v>
      </c>
      <c r="P78" s="110">
        <v>2031</v>
      </c>
      <c r="Q78" s="110">
        <v>2032</v>
      </c>
      <c r="R78" s="110">
        <v>2033</v>
      </c>
      <c r="S78" s="110">
        <v>2034</v>
      </c>
      <c r="T78" s="110">
        <v>2035</v>
      </c>
      <c r="U78" s="110">
        <v>2036</v>
      </c>
      <c r="V78" s="110">
        <v>2037</v>
      </c>
      <c r="W78" s="110">
        <v>2038</v>
      </c>
      <c r="X78" s="110">
        <v>2039</v>
      </c>
      <c r="Y78" s="110">
        <v>2040</v>
      </c>
      <c r="Z78" s="110">
        <v>2041</v>
      </c>
      <c r="AA78" s="110">
        <v>2042</v>
      </c>
      <c r="AB78" s="110">
        <v>2043</v>
      </c>
      <c r="AC78" s="110">
        <v>2044</v>
      </c>
      <c r="AD78" s="110">
        <v>2045</v>
      </c>
      <c r="AE78" s="110">
        <v>2046</v>
      </c>
      <c r="AF78" s="110">
        <v>2047</v>
      </c>
      <c r="AG78" s="110">
        <v>2048</v>
      </c>
      <c r="AH78" s="110">
        <v>2049</v>
      </c>
      <c r="AI78" s="110">
        <v>2050</v>
      </c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</row>
    <row r="79" spans="1:51" x14ac:dyDescent="0.25">
      <c r="A79" s="1"/>
      <c r="B79" s="1"/>
      <c r="C79" s="1"/>
      <c r="D79" s="1"/>
      <c r="E79" s="1"/>
      <c r="F79" s="455"/>
      <c r="G79" s="1"/>
      <c r="H79" s="1"/>
      <c r="I79" s="1"/>
      <c r="J79" s="1"/>
      <c r="K79" s="1"/>
      <c r="L79" s="1"/>
      <c r="M79" s="1"/>
      <c r="N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</row>
    <row r="80" spans="1:51" x14ac:dyDescent="0.25">
      <c r="A80" s="1"/>
      <c r="B80" s="1"/>
      <c r="C80" s="1"/>
      <c r="D80" s="1"/>
      <c r="E80" s="114" t="s">
        <v>344</v>
      </c>
      <c r="F80" s="1" t="s">
        <v>391</v>
      </c>
      <c r="G80" s="475">
        <v>70510.446315540597</v>
      </c>
      <c r="H80" s="475">
        <v>60198.60666771156</v>
      </c>
      <c r="I80" s="475">
        <v>45258.101211647263</v>
      </c>
      <c r="J80" s="475">
        <v>40652.906331033228</v>
      </c>
      <c r="K80" s="475">
        <v>41688.364705829794</v>
      </c>
      <c r="L80" s="475">
        <v>43082.519751850174</v>
      </c>
      <c r="M80" s="475">
        <v>44218.01850348166</v>
      </c>
      <c r="N80" s="475">
        <v>45179.176509763121</v>
      </c>
      <c r="O80" s="475">
        <v>46198.741711829825</v>
      </c>
      <c r="P80" s="475">
        <v>47472.207315870532</v>
      </c>
      <c r="Q80" s="475">
        <v>48590.755368234481</v>
      </c>
      <c r="R80" s="475">
        <v>49517.054162460423</v>
      </c>
      <c r="S80" s="475">
        <v>50241.403483996808</v>
      </c>
      <c r="T80" s="475">
        <v>51165.238733323255</v>
      </c>
      <c r="U80" s="475">
        <v>52401.73669091324</v>
      </c>
      <c r="V80" s="475">
        <v>53474.605100616078</v>
      </c>
      <c r="W80" s="475">
        <v>54655.348587553075</v>
      </c>
      <c r="X80" s="475">
        <v>55406.468156577619</v>
      </c>
      <c r="Y80" s="475">
        <v>56921.128341534299</v>
      </c>
      <c r="Z80" s="475">
        <v>58116.650857266111</v>
      </c>
      <c r="AA80" s="475">
        <v>59017.710800032539</v>
      </c>
      <c r="AB80" s="475">
        <v>60572.481772002582</v>
      </c>
      <c r="AC80" s="475">
        <v>62339.064229166986</v>
      </c>
      <c r="AD80" s="475">
        <v>63378.017364744672</v>
      </c>
      <c r="AE80" s="475">
        <v>64263.12036914497</v>
      </c>
      <c r="AF80" s="475">
        <v>64227.034360204809</v>
      </c>
      <c r="AG80" s="475">
        <v>64312.597164431558</v>
      </c>
      <c r="AH80" s="475">
        <v>64530.392293343029</v>
      </c>
      <c r="AI80" s="475">
        <v>64334.514407464507</v>
      </c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</row>
    <row r="81" spans="1:51" x14ac:dyDescent="0.25">
      <c r="A81" s="1"/>
      <c r="B81" s="1"/>
      <c r="C81" s="1"/>
      <c r="D81" s="1"/>
      <c r="E81" s="114" t="s">
        <v>323</v>
      </c>
      <c r="F81" s="1" t="s">
        <v>391</v>
      </c>
      <c r="G81" s="475">
        <v>11145.625454146557</v>
      </c>
      <c r="H81" s="475">
        <v>9838.3857138489839</v>
      </c>
      <c r="I81" s="475">
        <v>7983.7546167230958</v>
      </c>
      <c r="J81" s="475">
        <v>8069.8035811826867</v>
      </c>
      <c r="K81" s="475">
        <v>8212.1374620991883</v>
      </c>
      <c r="L81" s="475">
        <v>8424.6220418879693</v>
      </c>
      <c r="M81" s="475">
        <v>8579.9735151807017</v>
      </c>
      <c r="N81" s="475">
        <v>8695.2874723413879</v>
      </c>
      <c r="O81" s="475">
        <v>8817.6830514280427</v>
      </c>
      <c r="P81" s="475">
        <v>8986.8198508999685</v>
      </c>
      <c r="Q81" s="475">
        <v>9119.4560357096616</v>
      </c>
      <c r="R81" s="475">
        <v>9209.1395823089151</v>
      </c>
      <c r="S81" s="475">
        <v>9254.8518694202467</v>
      </c>
      <c r="T81" s="475">
        <v>9335.8094272721555</v>
      </c>
      <c r="U81" s="475">
        <v>9473.3969568474004</v>
      </c>
      <c r="V81" s="475">
        <v>9574.1217053789733</v>
      </c>
      <c r="W81" s="475">
        <v>9690.963311159252</v>
      </c>
      <c r="X81" s="475">
        <v>9720.2025805284939</v>
      </c>
      <c r="Y81" s="475">
        <v>9891.1782016123234</v>
      </c>
      <c r="Z81" s="475">
        <v>9995.7708553684697</v>
      </c>
      <c r="AA81" s="475">
        <v>10039.907220118512</v>
      </c>
      <c r="AB81" s="475">
        <v>10201.396144407872</v>
      </c>
      <c r="AC81" s="475">
        <v>10395.79076274468</v>
      </c>
      <c r="AD81" s="475">
        <v>10448.934826387325</v>
      </c>
      <c r="AE81" s="475">
        <v>10589.846558340409</v>
      </c>
      <c r="AF81" s="475">
        <v>10584.101529802765</v>
      </c>
      <c r="AG81" s="475">
        <v>10597.723450499469</v>
      </c>
      <c r="AH81" s="475">
        <v>10632.397255325895</v>
      </c>
      <c r="AI81" s="475">
        <v>10601.212758139432</v>
      </c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</row>
    <row r="82" spans="1:51" x14ac:dyDescent="0.25">
      <c r="A82" s="1"/>
      <c r="B82" s="1"/>
      <c r="C82" s="1"/>
      <c r="D82" s="1"/>
      <c r="E82" s="114" t="s">
        <v>324</v>
      </c>
      <c r="F82" s="1" t="s">
        <v>391</v>
      </c>
      <c r="G82" s="475">
        <v>0</v>
      </c>
      <c r="H82" s="475">
        <v>0</v>
      </c>
      <c r="I82" s="475">
        <v>0</v>
      </c>
      <c r="J82" s="475">
        <v>0</v>
      </c>
      <c r="K82" s="475">
        <v>0</v>
      </c>
      <c r="L82" s="475">
        <v>0</v>
      </c>
      <c r="M82" s="475">
        <v>0</v>
      </c>
      <c r="N82" s="475">
        <v>0</v>
      </c>
      <c r="O82" s="475">
        <v>0</v>
      </c>
      <c r="P82" s="475">
        <v>0</v>
      </c>
      <c r="Q82" s="475">
        <v>0</v>
      </c>
      <c r="R82" s="475">
        <v>0</v>
      </c>
      <c r="S82" s="475">
        <v>0</v>
      </c>
      <c r="T82" s="475">
        <v>0</v>
      </c>
      <c r="U82" s="475">
        <v>0</v>
      </c>
      <c r="V82" s="475">
        <v>0</v>
      </c>
      <c r="W82" s="475">
        <v>0</v>
      </c>
      <c r="X82" s="475">
        <v>0</v>
      </c>
      <c r="Y82" s="475">
        <v>0</v>
      </c>
      <c r="Z82" s="475">
        <v>0</v>
      </c>
      <c r="AA82" s="475">
        <v>0</v>
      </c>
      <c r="AB82" s="475">
        <v>0</v>
      </c>
      <c r="AC82" s="475">
        <v>0</v>
      </c>
      <c r="AD82" s="475">
        <v>0</v>
      </c>
      <c r="AE82" s="475">
        <v>0</v>
      </c>
      <c r="AF82" s="475">
        <v>0</v>
      </c>
      <c r="AG82" s="475">
        <v>0</v>
      </c>
      <c r="AH82" s="475">
        <v>0</v>
      </c>
      <c r="AI82" s="475">
        <v>0</v>
      </c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</row>
    <row r="83" spans="1:51" x14ac:dyDescent="0.25">
      <c r="A83" s="1"/>
      <c r="B83" s="1"/>
      <c r="C83" s="1"/>
      <c r="D83" s="1"/>
      <c r="E83" s="114" t="s">
        <v>348</v>
      </c>
      <c r="F83" s="1" t="s">
        <v>391</v>
      </c>
      <c r="G83" s="475">
        <v>0</v>
      </c>
      <c r="H83" s="475">
        <v>3754.8944335088122</v>
      </c>
      <c r="I83" s="475">
        <v>7166.9801578052075</v>
      </c>
      <c r="J83" s="475">
        <v>14241.772394820413</v>
      </c>
      <c r="K83" s="475">
        <v>14229.742976013413</v>
      </c>
      <c r="L83" s="475">
        <v>14281.360157069412</v>
      </c>
      <c r="M83" s="475">
        <v>14372.108320540416</v>
      </c>
      <c r="N83" s="475">
        <v>14434.582236212413</v>
      </c>
      <c r="O83" s="475">
        <v>14484.902734839416</v>
      </c>
      <c r="P83" s="475">
        <v>14529.514545355414</v>
      </c>
      <c r="Q83" s="475">
        <v>14547.289215856412</v>
      </c>
      <c r="R83" s="475">
        <v>14583.534854656415</v>
      </c>
      <c r="S83" s="475">
        <v>14580.518624012417</v>
      </c>
      <c r="T83" s="475">
        <v>14579.359717403413</v>
      </c>
      <c r="U83" s="475">
        <v>14584.599437819414</v>
      </c>
      <c r="V83" s="475">
        <v>14593.743513011415</v>
      </c>
      <c r="W83" s="475">
        <v>14603.737559031411</v>
      </c>
      <c r="X83" s="475">
        <v>14604.327875429413</v>
      </c>
      <c r="Y83" s="475">
        <v>14623.148052441415</v>
      </c>
      <c r="Z83" s="475">
        <v>14626.356639326412</v>
      </c>
      <c r="AA83" s="475">
        <v>14614.294366285414</v>
      </c>
      <c r="AB83" s="475">
        <v>14616.169707158415</v>
      </c>
      <c r="AC83" s="475">
        <v>14583.195714176416</v>
      </c>
      <c r="AD83" s="475">
        <v>14566.974730999413</v>
      </c>
      <c r="AE83" s="475">
        <v>14560.894578081414</v>
      </c>
      <c r="AF83" s="475">
        <v>14557.607035053414</v>
      </c>
      <c r="AG83" s="475">
        <v>14570.456749896415</v>
      </c>
      <c r="AH83" s="475">
        <v>14557.994397070415</v>
      </c>
      <c r="AI83" s="475">
        <v>14554.162639553415</v>
      </c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</row>
    <row r="84" spans="1:51" x14ac:dyDescent="0.25">
      <c r="A84" s="1"/>
      <c r="B84" s="1"/>
      <c r="C84" s="1"/>
      <c r="D84" s="1"/>
      <c r="E84" s="114" t="s">
        <v>349</v>
      </c>
      <c r="F84" s="1" t="s">
        <v>391</v>
      </c>
      <c r="G84" s="475">
        <v>0</v>
      </c>
      <c r="H84" s="475">
        <v>0</v>
      </c>
      <c r="I84" s="475">
        <v>0</v>
      </c>
      <c r="J84" s="475">
        <v>0</v>
      </c>
      <c r="K84" s="475">
        <v>0</v>
      </c>
      <c r="L84" s="475">
        <v>0</v>
      </c>
      <c r="M84" s="475">
        <v>0</v>
      </c>
      <c r="N84" s="475">
        <v>0</v>
      </c>
      <c r="O84" s="475">
        <v>0</v>
      </c>
      <c r="P84" s="475">
        <v>0</v>
      </c>
      <c r="Q84" s="475">
        <v>0</v>
      </c>
      <c r="R84" s="475">
        <v>0</v>
      </c>
      <c r="S84" s="475">
        <v>0</v>
      </c>
      <c r="T84" s="475">
        <v>0</v>
      </c>
      <c r="U84" s="475">
        <v>0</v>
      </c>
      <c r="V84" s="475">
        <v>0</v>
      </c>
      <c r="W84" s="475">
        <v>0</v>
      </c>
      <c r="X84" s="475">
        <v>0</v>
      </c>
      <c r="Y84" s="475">
        <v>0</v>
      </c>
      <c r="Z84" s="475">
        <v>0</v>
      </c>
      <c r="AA84" s="475">
        <v>0</v>
      </c>
      <c r="AB84" s="475">
        <v>0</v>
      </c>
      <c r="AC84" s="475">
        <v>0</v>
      </c>
      <c r="AD84" s="475">
        <v>0</v>
      </c>
      <c r="AE84" s="475">
        <v>0</v>
      </c>
      <c r="AF84" s="475">
        <v>0</v>
      </c>
      <c r="AG84" s="475">
        <v>0</v>
      </c>
      <c r="AH84" s="475">
        <v>0</v>
      </c>
      <c r="AI84" s="475">
        <v>0</v>
      </c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</row>
    <row r="85" spans="1:51" x14ac:dyDescent="0.25">
      <c r="A85" s="1"/>
      <c r="B85" s="1"/>
      <c r="C85" s="1"/>
      <c r="D85" s="1"/>
      <c r="E85" s="114" t="s">
        <v>351</v>
      </c>
      <c r="F85" s="1" t="s">
        <v>391</v>
      </c>
      <c r="G85" s="475">
        <v>2024.6611358972111</v>
      </c>
      <c r="H85" s="475">
        <v>2024.6611358972111</v>
      </c>
      <c r="I85" s="475">
        <v>2024.6611358972111</v>
      </c>
      <c r="J85" s="475">
        <v>2024.6611358972111</v>
      </c>
      <c r="K85" s="475">
        <v>2024.6611358972111</v>
      </c>
      <c r="L85" s="475">
        <v>2024.6611358972111</v>
      </c>
      <c r="M85" s="475">
        <v>2024.6611358972111</v>
      </c>
      <c r="N85" s="475">
        <v>2024.6611358972111</v>
      </c>
      <c r="O85" s="475">
        <v>2024.6611358972111</v>
      </c>
      <c r="P85" s="475">
        <v>2024.6611358972111</v>
      </c>
      <c r="Q85" s="475">
        <v>2024.6611358972111</v>
      </c>
      <c r="R85" s="475">
        <v>2024.6611358972111</v>
      </c>
      <c r="S85" s="475">
        <v>2024.6611358972111</v>
      </c>
      <c r="T85" s="475">
        <v>2024.6611358972111</v>
      </c>
      <c r="U85" s="475">
        <v>2024.6611358972111</v>
      </c>
      <c r="V85" s="475">
        <v>2024.6611358972111</v>
      </c>
      <c r="W85" s="475">
        <v>2024.6611358972111</v>
      </c>
      <c r="X85" s="475">
        <v>2024.6611358972111</v>
      </c>
      <c r="Y85" s="475">
        <v>2024.6611358972111</v>
      </c>
      <c r="Z85" s="475">
        <v>2024.6611358972111</v>
      </c>
      <c r="AA85" s="475">
        <v>2024.6611358972111</v>
      </c>
      <c r="AB85" s="475">
        <v>2024.6611358972111</v>
      </c>
      <c r="AC85" s="475">
        <v>2024.6611358972111</v>
      </c>
      <c r="AD85" s="475">
        <v>2024.6611358972111</v>
      </c>
      <c r="AE85" s="475">
        <v>2024.6611358972111</v>
      </c>
      <c r="AF85" s="475">
        <v>2024.6611358972111</v>
      </c>
      <c r="AG85" s="475">
        <v>2024.6611358972111</v>
      </c>
      <c r="AH85" s="475">
        <v>2024.6611358972111</v>
      </c>
      <c r="AI85" s="475">
        <v>2024.6611358972111</v>
      </c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</row>
    <row r="86" spans="1:51" x14ac:dyDescent="0.25">
      <c r="A86" s="1"/>
      <c r="B86" s="1"/>
      <c r="C86" s="1"/>
      <c r="D86" s="1"/>
      <c r="E86" s="139" t="s">
        <v>760</v>
      </c>
      <c r="F86" s="1" t="s">
        <v>391</v>
      </c>
      <c r="G86" s="475">
        <v>0</v>
      </c>
      <c r="H86" s="475">
        <v>0</v>
      </c>
      <c r="I86" s="475">
        <v>0</v>
      </c>
      <c r="J86" s="475">
        <v>0</v>
      </c>
      <c r="K86" s="475">
        <v>0</v>
      </c>
      <c r="L86" s="475">
        <v>0</v>
      </c>
      <c r="M86" s="475">
        <v>0</v>
      </c>
      <c r="N86" s="475">
        <v>0</v>
      </c>
      <c r="O86" s="475">
        <v>0</v>
      </c>
      <c r="P86" s="475">
        <v>0</v>
      </c>
      <c r="Q86" s="475">
        <v>0</v>
      </c>
      <c r="R86" s="475">
        <v>0</v>
      </c>
      <c r="S86" s="475">
        <v>0</v>
      </c>
      <c r="T86" s="475">
        <v>0</v>
      </c>
      <c r="U86" s="475">
        <v>0</v>
      </c>
      <c r="V86" s="475">
        <v>0</v>
      </c>
      <c r="W86" s="475">
        <v>0</v>
      </c>
      <c r="X86" s="475">
        <v>0</v>
      </c>
      <c r="Y86" s="475">
        <v>0</v>
      </c>
      <c r="Z86" s="475">
        <v>0</v>
      </c>
      <c r="AA86" s="475">
        <v>0</v>
      </c>
      <c r="AB86" s="475">
        <v>0</v>
      </c>
      <c r="AC86" s="475">
        <v>0</v>
      </c>
      <c r="AD86" s="475">
        <v>0</v>
      </c>
      <c r="AE86" s="475">
        <v>0</v>
      </c>
      <c r="AF86" s="475">
        <v>0</v>
      </c>
      <c r="AG86" s="475">
        <v>0</v>
      </c>
      <c r="AH86" s="475">
        <v>0</v>
      </c>
      <c r="AI86" s="475">
        <v>0</v>
      </c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</row>
    <row r="87" spans="1:51" x14ac:dyDescent="0.25">
      <c r="A87" s="1"/>
      <c r="B87" s="1"/>
      <c r="C87" s="1"/>
      <c r="D87" s="1"/>
      <c r="E87" s="139" t="s">
        <v>771</v>
      </c>
      <c r="F87" s="1" t="s">
        <v>391</v>
      </c>
      <c r="G87" s="475">
        <v>0</v>
      </c>
      <c r="H87" s="475">
        <v>0</v>
      </c>
      <c r="I87" s="475">
        <v>0</v>
      </c>
      <c r="J87" s="475">
        <v>0</v>
      </c>
      <c r="K87" s="475">
        <v>0</v>
      </c>
      <c r="L87" s="475">
        <v>0</v>
      </c>
      <c r="M87" s="475">
        <v>0</v>
      </c>
      <c r="N87" s="475">
        <v>0</v>
      </c>
      <c r="O87" s="475">
        <v>0</v>
      </c>
      <c r="P87" s="475">
        <v>0</v>
      </c>
      <c r="Q87" s="475">
        <v>0</v>
      </c>
      <c r="R87" s="475">
        <v>0</v>
      </c>
      <c r="S87" s="475">
        <v>0</v>
      </c>
      <c r="T87" s="475">
        <v>0</v>
      </c>
      <c r="U87" s="475">
        <v>0</v>
      </c>
      <c r="V87" s="475">
        <v>0</v>
      </c>
      <c r="W87" s="475">
        <v>0</v>
      </c>
      <c r="X87" s="475">
        <v>0</v>
      </c>
      <c r="Y87" s="475">
        <v>0</v>
      </c>
      <c r="Z87" s="475">
        <v>0</v>
      </c>
      <c r="AA87" s="475">
        <v>0</v>
      </c>
      <c r="AB87" s="475">
        <v>0</v>
      </c>
      <c r="AC87" s="475">
        <v>0</v>
      </c>
      <c r="AD87" s="475">
        <v>0</v>
      </c>
      <c r="AE87" s="475">
        <v>0</v>
      </c>
      <c r="AF87" s="475">
        <v>0</v>
      </c>
      <c r="AG87" s="475">
        <v>0</v>
      </c>
      <c r="AH87" s="475">
        <v>0</v>
      </c>
      <c r="AI87" s="475">
        <v>0</v>
      </c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</row>
    <row r="88" spans="1:51" x14ac:dyDescent="0.25">
      <c r="A88" s="1"/>
      <c r="B88" s="1"/>
      <c r="C88" s="1"/>
      <c r="D88" s="1"/>
      <c r="E88" s="139" t="str">
        <f>'8a. RNG'!$H$12</f>
        <v>LFG, WWTP, AgCrop (3)</v>
      </c>
      <c r="F88" s="1" t="s">
        <v>391</v>
      </c>
      <c r="G88" s="475">
        <v>0</v>
      </c>
      <c r="H88" s="475">
        <v>0</v>
      </c>
      <c r="I88" s="475">
        <v>0</v>
      </c>
      <c r="J88" s="475">
        <v>0</v>
      </c>
      <c r="K88" s="475">
        <v>0</v>
      </c>
      <c r="L88" s="475">
        <v>0</v>
      </c>
      <c r="M88" s="475">
        <v>0</v>
      </c>
      <c r="N88" s="475">
        <v>0</v>
      </c>
      <c r="O88" s="475">
        <v>0</v>
      </c>
      <c r="P88" s="475">
        <v>0</v>
      </c>
      <c r="Q88" s="475">
        <v>0</v>
      </c>
      <c r="R88" s="475">
        <v>0</v>
      </c>
      <c r="S88" s="475">
        <v>0</v>
      </c>
      <c r="T88" s="475">
        <v>0</v>
      </c>
      <c r="U88" s="475">
        <v>0</v>
      </c>
      <c r="V88" s="475">
        <v>0</v>
      </c>
      <c r="W88" s="475">
        <v>0</v>
      </c>
      <c r="X88" s="475">
        <v>0</v>
      </c>
      <c r="Y88" s="475">
        <v>0</v>
      </c>
      <c r="Z88" s="475">
        <v>0</v>
      </c>
      <c r="AA88" s="475">
        <v>0</v>
      </c>
      <c r="AB88" s="475">
        <v>0</v>
      </c>
      <c r="AC88" s="475">
        <v>0</v>
      </c>
      <c r="AD88" s="475">
        <v>0</v>
      </c>
      <c r="AE88" s="475">
        <v>0</v>
      </c>
      <c r="AF88" s="475">
        <v>0</v>
      </c>
      <c r="AG88" s="475">
        <v>0</v>
      </c>
      <c r="AH88" s="475">
        <v>0</v>
      </c>
      <c r="AI88" s="475">
        <v>0</v>
      </c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</row>
    <row r="89" spans="1:51" x14ac:dyDescent="0.25">
      <c r="A89" s="1"/>
      <c r="B89" s="1"/>
      <c r="C89" s="1"/>
      <c r="D89" s="1"/>
      <c r="E89" s="139" t="str">
        <f>'8a. RNG'!$P$12</f>
        <v>CDW Exp. 1</v>
      </c>
      <c r="F89" s="1" t="s">
        <v>391</v>
      </c>
      <c r="G89" s="475">
        <v>0</v>
      </c>
      <c r="H89" s="475">
        <v>0</v>
      </c>
      <c r="I89" s="475">
        <v>0</v>
      </c>
      <c r="J89" s="475">
        <v>0</v>
      </c>
      <c r="K89" s="475">
        <v>0</v>
      </c>
      <c r="L89" s="475">
        <v>0</v>
      </c>
      <c r="M89" s="475">
        <v>0</v>
      </c>
      <c r="N89" s="475">
        <v>0</v>
      </c>
      <c r="O89" s="475">
        <v>0</v>
      </c>
      <c r="P89" s="475">
        <v>0</v>
      </c>
      <c r="Q89" s="475">
        <v>0</v>
      </c>
      <c r="R89" s="475">
        <v>0</v>
      </c>
      <c r="S89" s="475">
        <v>0</v>
      </c>
      <c r="T89" s="475">
        <v>0</v>
      </c>
      <c r="U89" s="475">
        <v>0</v>
      </c>
      <c r="V89" s="475">
        <v>0</v>
      </c>
      <c r="W89" s="475">
        <v>0</v>
      </c>
      <c r="X89" s="475">
        <v>0</v>
      </c>
      <c r="Y89" s="475">
        <v>0</v>
      </c>
      <c r="Z89" s="475">
        <v>0</v>
      </c>
      <c r="AA89" s="475">
        <v>0</v>
      </c>
      <c r="AB89" s="475">
        <v>0</v>
      </c>
      <c r="AC89" s="475">
        <v>0</v>
      </c>
      <c r="AD89" s="475">
        <v>0</v>
      </c>
      <c r="AE89" s="475">
        <v>0</v>
      </c>
      <c r="AF89" s="475">
        <v>0</v>
      </c>
      <c r="AG89" s="475">
        <v>0</v>
      </c>
      <c r="AH89" s="475">
        <v>0</v>
      </c>
      <c r="AI89" s="475">
        <v>0</v>
      </c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</row>
    <row r="90" spans="1:51" x14ac:dyDescent="0.25">
      <c r="A90" s="1"/>
      <c r="B90" s="1"/>
      <c r="C90" s="1"/>
      <c r="D90" s="1"/>
      <c r="E90" s="139" t="str">
        <f>'8a. RNG'!$Q$12</f>
        <v>CDW Exp. 2</v>
      </c>
      <c r="F90" s="1" t="s">
        <v>391</v>
      </c>
      <c r="G90" s="475">
        <v>0</v>
      </c>
      <c r="H90" s="475">
        <v>0</v>
      </c>
      <c r="I90" s="475">
        <v>0</v>
      </c>
      <c r="J90" s="475">
        <v>0</v>
      </c>
      <c r="K90" s="475">
        <v>0</v>
      </c>
      <c r="L90" s="475">
        <v>0</v>
      </c>
      <c r="M90" s="475">
        <v>0</v>
      </c>
      <c r="N90" s="475">
        <v>0</v>
      </c>
      <c r="O90" s="475">
        <v>0</v>
      </c>
      <c r="P90" s="475">
        <v>0</v>
      </c>
      <c r="Q90" s="475">
        <v>0</v>
      </c>
      <c r="R90" s="475">
        <v>0</v>
      </c>
      <c r="S90" s="475">
        <v>0</v>
      </c>
      <c r="T90" s="475">
        <v>0</v>
      </c>
      <c r="U90" s="475">
        <v>0</v>
      </c>
      <c r="V90" s="475">
        <v>0</v>
      </c>
      <c r="W90" s="475">
        <v>0</v>
      </c>
      <c r="X90" s="475">
        <v>0</v>
      </c>
      <c r="Y90" s="475">
        <v>0</v>
      </c>
      <c r="Z90" s="475">
        <v>0</v>
      </c>
      <c r="AA90" s="475">
        <v>0</v>
      </c>
      <c r="AB90" s="475">
        <v>0</v>
      </c>
      <c r="AC90" s="475">
        <v>0</v>
      </c>
      <c r="AD90" s="475">
        <v>0</v>
      </c>
      <c r="AE90" s="475">
        <v>0</v>
      </c>
      <c r="AF90" s="475">
        <v>0</v>
      </c>
      <c r="AG90" s="475">
        <v>0</v>
      </c>
      <c r="AH90" s="475">
        <v>0</v>
      </c>
      <c r="AI90" s="475">
        <v>0</v>
      </c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</row>
    <row r="91" spans="1:51" x14ac:dyDescent="0.25">
      <c r="A91" s="1"/>
      <c r="B91" s="1"/>
      <c r="C91" s="1"/>
      <c r="D91" s="1"/>
      <c r="E91" s="139" t="str">
        <f>'8a. RNG'!$R$12</f>
        <v>CDW Exp. 3</v>
      </c>
      <c r="F91" s="1" t="s">
        <v>391</v>
      </c>
      <c r="G91" s="475">
        <v>0</v>
      </c>
      <c r="H91" s="475">
        <v>0</v>
      </c>
      <c r="I91" s="475">
        <v>0</v>
      </c>
      <c r="J91" s="475">
        <v>0</v>
      </c>
      <c r="K91" s="475">
        <v>0</v>
      </c>
      <c r="L91" s="475">
        <v>0</v>
      </c>
      <c r="M91" s="475">
        <v>0</v>
      </c>
      <c r="N91" s="475">
        <v>0</v>
      </c>
      <c r="O91" s="475">
        <v>0</v>
      </c>
      <c r="P91" s="475">
        <v>0</v>
      </c>
      <c r="Q91" s="475">
        <v>0</v>
      </c>
      <c r="R91" s="475">
        <v>0</v>
      </c>
      <c r="S91" s="475">
        <v>0</v>
      </c>
      <c r="T91" s="475">
        <v>0</v>
      </c>
      <c r="U91" s="475">
        <v>0</v>
      </c>
      <c r="V91" s="475">
        <v>0</v>
      </c>
      <c r="W91" s="475">
        <v>0</v>
      </c>
      <c r="X91" s="475">
        <v>0</v>
      </c>
      <c r="Y91" s="475">
        <v>0</v>
      </c>
      <c r="Z91" s="475">
        <v>0</v>
      </c>
      <c r="AA91" s="475">
        <v>0</v>
      </c>
      <c r="AB91" s="475">
        <v>0</v>
      </c>
      <c r="AC91" s="475">
        <v>0</v>
      </c>
      <c r="AD91" s="475">
        <v>0</v>
      </c>
      <c r="AE91" s="475">
        <v>0</v>
      </c>
      <c r="AF91" s="475">
        <v>0</v>
      </c>
      <c r="AG91" s="475">
        <v>0</v>
      </c>
      <c r="AH91" s="475">
        <v>0</v>
      </c>
      <c r="AI91" s="475">
        <v>0</v>
      </c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</row>
    <row r="92" spans="1:51" x14ac:dyDescent="0.25">
      <c r="A92" s="1"/>
      <c r="B92" s="1"/>
      <c r="C92" s="1"/>
      <c r="D92" s="1"/>
      <c r="E92" s="139" t="str">
        <f>'8a. RNG'!$S$12</f>
        <v>CDW Exp. 4</v>
      </c>
      <c r="F92" s="1" t="s">
        <v>391</v>
      </c>
      <c r="G92" s="475">
        <v>0</v>
      </c>
      <c r="H92" s="475">
        <v>0</v>
      </c>
      <c r="I92" s="475">
        <v>0</v>
      </c>
      <c r="J92" s="475">
        <v>0</v>
      </c>
      <c r="K92" s="475">
        <v>0</v>
      </c>
      <c r="L92" s="475">
        <v>0</v>
      </c>
      <c r="M92" s="475">
        <v>0</v>
      </c>
      <c r="N92" s="475">
        <v>0</v>
      </c>
      <c r="O92" s="475">
        <v>0</v>
      </c>
      <c r="P92" s="475">
        <v>0</v>
      </c>
      <c r="Q92" s="475">
        <v>0</v>
      </c>
      <c r="R92" s="475">
        <v>0</v>
      </c>
      <c r="S92" s="475">
        <v>0</v>
      </c>
      <c r="T92" s="475">
        <v>0</v>
      </c>
      <c r="U92" s="475">
        <v>0</v>
      </c>
      <c r="V92" s="475">
        <v>0</v>
      </c>
      <c r="W92" s="475">
        <v>0</v>
      </c>
      <c r="X92" s="475">
        <v>0</v>
      </c>
      <c r="Y92" s="475">
        <v>0</v>
      </c>
      <c r="Z92" s="475">
        <v>0</v>
      </c>
      <c r="AA92" s="475">
        <v>0</v>
      </c>
      <c r="AB92" s="475">
        <v>0</v>
      </c>
      <c r="AC92" s="475">
        <v>0</v>
      </c>
      <c r="AD92" s="475">
        <v>0</v>
      </c>
      <c r="AE92" s="475">
        <v>0</v>
      </c>
      <c r="AF92" s="475">
        <v>0</v>
      </c>
      <c r="AG92" s="475">
        <v>0</v>
      </c>
      <c r="AH92" s="475">
        <v>0</v>
      </c>
      <c r="AI92" s="475">
        <v>0</v>
      </c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</row>
    <row r="93" spans="1:51" x14ac:dyDescent="0.25">
      <c r="A93" s="1"/>
      <c r="B93" s="1"/>
      <c r="C93" s="1"/>
      <c r="D93" s="1"/>
      <c r="E93" s="139" t="str">
        <f>'8a. RNG'!$T$12</f>
        <v>CDW Exp. 5</v>
      </c>
      <c r="F93" s="1" t="s">
        <v>391</v>
      </c>
      <c r="G93" s="475">
        <v>0</v>
      </c>
      <c r="H93" s="475">
        <v>0</v>
      </c>
      <c r="I93" s="475">
        <v>0</v>
      </c>
      <c r="J93" s="475">
        <v>0</v>
      </c>
      <c r="K93" s="475">
        <v>0</v>
      </c>
      <c r="L93" s="475">
        <v>0</v>
      </c>
      <c r="M93" s="475">
        <v>0</v>
      </c>
      <c r="N93" s="475">
        <v>0</v>
      </c>
      <c r="O93" s="475">
        <v>0</v>
      </c>
      <c r="P93" s="475">
        <v>0</v>
      </c>
      <c r="Q93" s="475">
        <v>0</v>
      </c>
      <c r="R93" s="475">
        <v>0</v>
      </c>
      <c r="S93" s="475">
        <v>0</v>
      </c>
      <c r="T93" s="475">
        <v>0</v>
      </c>
      <c r="U93" s="475">
        <v>0</v>
      </c>
      <c r="V93" s="475">
        <v>0</v>
      </c>
      <c r="W93" s="475">
        <v>0</v>
      </c>
      <c r="X93" s="475">
        <v>0</v>
      </c>
      <c r="Y93" s="475">
        <v>0</v>
      </c>
      <c r="Z93" s="475">
        <v>0</v>
      </c>
      <c r="AA93" s="475">
        <v>0</v>
      </c>
      <c r="AB93" s="475">
        <v>0</v>
      </c>
      <c r="AC93" s="475">
        <v>0</v>
      </c>
      <c r="AD93" s="475">
        <v>0</v>
      </c>
      <c r="AE93" s="475">
        <v>0</v>
      </c>
      <c r="AF93" s="475">
        <v>0</v>
      </c>
      <c r="AG93" s="475">
        <v>0</v>
      </c>
      <c r="AH93" s="475">
        <v>0</v>
      </c>
      <c r="AI93" s="475">
        <v>0</v>
      </c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</row>
    <row r="94" spans="1:51" x14ac:dyDescent="0.25">
      <c r="A94" s="1"/>
      <c r="B94" s="1"/>
      <c r="C94" s="1"/>
      <c r="D94" s="1"/>
      <c r="E94" s="139" t="str">
        <f>'5. LNG- ISO_Expansion'!$X$12</f>
        <v>LNG ISO Exp 1</v>
      </c>
      <c r="F94" s="1" t="s">
        <v>391</v>
      </c>
      <c r="G94" s="475">
        <v>0</v>
      </c>
      <c r="H94" s="475">
        <v>0</v>
      </c>
      <c r="I94" s="475">
        <v>0</v>
      </c>
      <c r="J94" s="475">
        <v>0</v>
      </c>
      <c r="K94" s="475">
        <v>0</v>
      </c>
      <c r="L94" s="475">
        <v>0</v>
      </c>
      <c r="M94" s="475">
        <v>0</v>
      </c>
      <c r="N94" s="475">
        <v>0</v>
      </c>
      <c r="O94" s="475">
        <v>0</v>
      </c>
      <c r="P94" s="475">
        <v>0</v>
      </c>
      <c r="Q94" s="475">
        <v>0</v>
      </c>
      <c r="R94" s="475">
        <v>0</v>
      </c>
      <c r="S94" s="475">
        <v>0</v>
      </c>
      <c r="T94" s="475">
        <v>0</v>
      </c>
      <c r="U94" s="475">
        <v>0</v>
      </c>
      <c r="V94" s="475">
        <v>0</v>
      </c>
      <c r="W94" s="475">
        <v>0</v>
      </c>
      <c r="X94" s="475">
        <v>0</v>
      </c>
      <c r="Y94" s="475">
        <v>0</v>
      </c>
      <c r="Z94" s="475">
        <v>0</v>
      </c>
      <c r="AA94" s="475">
        <v>0</v>
      </c>
      <c r="AB94" s="475">
        <v>0</v>
      </c>
      <c r="AC94" s="475">
        <v>0</v>
      </c>
      <c r="AD94" s="475">
        <v>0</v>
      </c>
      <c r="AE94" s="475">
        <v>0</v>
      </c>
      <c r="AF94" s="475">
        <v>0</v>
      </c>
      <c r="AG94" s="475">
        <v>0</v>
      </c>
      <c r="AH94" s="475">
        <v>0</v>
      </c>
      <c r="AI94" s="475">
        <v>0</v>
      </c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</row>
    <row r="95" spans="1:51" x14ac:dyDescent="0.25">
      <c r="A95" s="1"/>
      <c r="B95" s="1"/>
      <c r="C95" s="1"/>
      <c r="D95" s="1"/>
      <c r="E95" s="139" t="str">
        <f>'5. LNG- ISO_Expansion'!$Y$12</f>
        <v>LNG ISO Exp 2</v>
      </c>
      <c r="F95" s="1" t="s">
        <v>391</v>
      </c>
      <c r="G95" s="475">
        <v>0</v>
      </c>
      <c r="H95" s="475">
        <v>0</v>
      </c>
      <c r="I95" s="475">
        <v>0</v>
      </c>
      <c r="J95" s="475">
        <v>0</v>
      </c>
      <c r="K95" s="475">
        <v>0</v>
      </c>
      <c r="L95" s="475">
        <v>0</v>
      </c>
      <c r="M95" s="475">
        <v>0</v>
      </c>
      <c r="N95" s="475">
        <v>0</v>
      </c>
      <c r="O95" s="475">
        <v>0</v>
      </c>
      <c r="P95" s="475">
        <v>0</v>
      </c>
      <c r="Q95" s="475">
        <v>0</v>
      </c>
      <c r="R95" s="475">
        <v>0</v>
      </c>
      <c r="S95" s="475">
        <v>0</v>
      </c>
      <c r="T95" s="475">
        <v>0</v>
      </c>
      <c r="U95" s="475">
        <v>0</v>
      </c>
      <c r="V95" s="475">
        <v>0</v>
      </c>
      <c r="W95" s="475">
        <v>0</v>
      </c>
      <c r="X95" s="475">
        <v>0</v>
      </c>
      <c r="Y95" s="475">
        <v>0</v>
      </c>
      <c r="Z95" s="475">
        <v>0</v>
      </c>
      <c r="AA95" s="475">
        <v>0</v>
      </c>
      <c r="AB95" s="475">
        <v>0</v>
      </c>
      <c r="AC95" s="475">
        <v>0</v>
      </c>
      <c r="AD95" s="475">
        <v>0</v>
      </c>
      <c r="AE95" s="475">
        <v>0</v>
      </c>
      <c r="AF95" s="475">
        <v>0</v>
      </c>
      <c r="AG95" s="475">
        <v>0</v>
      </c>
      <c r="AH95" s="475">
        <v>0</v>
      </c>
      <c r="AI95" s="475">
        <v>0</v>
      </c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</row>
    <row r="96" spans="1:51" x14ac:dyDescent="0.25">
      <c r="A96" s="1"/>
      <c r="B96" s="1"/>
      <c r="C96" s="1"/>
      <c r="D96" s="1"/>
      <c r="E96" s="139" t="str">
        <f>'5. LNG- ISO_Expansion'!$Z$12</f>
        <v>LNG ISO Exp 3</v>
      </c>
      <c r="F96" s="1" t="s">
        <v>391</v>
      </c>
      <c r="G96" s="475">
        <v>0</v>
      </c>
      <c r="H96" s="475">
        <v>0</v>
      </c>
      <c r="I96" s="475">
        <v>0</v>
      </c>
      <c r="J96" s="475">
        <v>0</v>
      </c>
      <c r="K96" s="475">
        <v>0</v>
      </c>
      <c r="L96" s="475">
        <v>0</v>
      </c>
      <c r="M96" s="475">
        <v>0</v>
      </c>
      <c r="N96" s="475">
        <v>0</v>
      </c>
      <c r="O96" s="475">
        <v>0</v>
      </c>
      <c r="P96" s="475">
        <v>0</v>
      </c>
      <c r="Q96" s="475">
        <v>0</v>
      </c>
      <c r="R96" s="475">
        <v>0</v>
      </c>
      <c r="S96" s="475">
        <v>0</v>
      </c>
      <c r="T96" s="475">
        <v>0</v>
      </c>
      <c r="U96" s="475">
        <v>0</v>
      </c>
      <c r="V96" s="475">
        <v>0</v>
      </c>
      <c r="W96" s="475">
        <v>0</v>
      </c>
      <c r="X96" s="475">
        <v>0</v>
      </c>
      <c r="Y96" s="475">
        <v>0</v>
      </c>
      <c r="Z96" s="475">
        <v>0</v>
      </c>
      <c r="AA96" s="475">
        <v>0</v>
      </c>
      <c r="AB96" s="475">
        <v>0</v>
      </c>
      <c r="AC96" s="475">
        <v>0</v>
      </c>
      <c r="AD96" s="475">
        <v>0</v>
      </c>
      <c r="AE96" s="475">
        <v>0</v>
      </c>
      <c r="AF96" s="475">
        <v>0</v>
      </c>
      <c r="AG96" s="475">
        <v>0</v>
      </c>
      <c r="AH96" s="475">
        <v>0</v>
      </c>
      <c r="AI96" s="475">
        <v>0</v>
      </c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</row>
    <row r="97" spans="1:51" x14ac:dyDescent="0.25">
      <c r="A97" s="1"/>
      <c r="B97" s="1"/>
      <c r="C97" s="1"/>
      <c r="D97" s="1"/>
      <c r="E97" s="139" t="str">
        <f>'5. LNG- ISO_Expansion'!$AA$12</f>
        <v>LNG ISO Exp 4</v>
      </c>
      <c r="F97" s="1" t="s">
        <v>391</v>
      </c>
      <c r="G97" s="475">
        <v>0</v>
      </c>
      <c r="H97" s="475">
        <v>0</v>
      </c>
      <c r="I97" s="475">
        <v>0</v>
      </c>
      <c r="J97" s="475">
        <v>0</v>
      </c>
      <c r="K97" s="475">
        <v>0</v>
      </c>
      <c r="L97" s="475">
        <v>0</v>
      </c>
      <c r="M97" s="475">
        <v>0</v>
      </c>
      <c r="N97" s="475">
        <v>0</v>
      </c>
      <c r="O97" s="475">
        <v>0</v>
      </c>
      <c r="P97" s="475">
        <v>0</v>
      </c>
      <c r="Q97" s="475">
        <v>0</v>
      </c>
      <c r="R97" s="475">
        <v>0</v>
      </c>
      <c r="S97" s="475">
        <v>0</v>
      </c>
      <c r="T97" s="475">
        <v>0</v>
      </c>
      <c r="U97" s="475">
        <v>0</v>
      </c>
      <c r="V97" s="475">
        <v>0</v>
      </c>
      <c r="W97" s="475">
        <v>0</v>
      </c>
      <c r="X97" s="475">
        <v>0</v>
      </c>
      <c r="Y97" s="475">
        <v>0</v>
      </c>
      <c r="Z97" s="475">
        <v>0</v>
      </c>
      <c r="AA97" s="475">
        <v>0</v>
      </c>
      <c r="AB97" s="475">
        <v>0</v>
      </c>
      <c r="AC97" s="475">
        <v>0</v>
      </c>
      <c r="AD97" s="475">
        <v>0</v>
      </c>
      <c r="AE97" s="475">
        <v>0</v>
      </c>
      <c r="AF97" s="475">
        <v>0</v>
      </c>
      <c r="AG97" s="475">
        <v>0</v>
      </c>
      <c r="AH97" s="475">
        <v>0</v>
      </c>
      <c r="AI97" s="475">
        <v>0</v>
      </c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</row>
    <row r="98" spans="1:51" x14ac:dyDescent="0.25">
      <c r="A98" s="1"/>
      <c r="B98" s="1"/>
      <c r="C98" s="1"/>
      <c r="D98" s="1"/>
      <c r="E98" s="139" t="str">
        <f>'5. LNG- ISO_Expansion'!$AB$12</f>
        <v>LNG ISO Exp 5</v>
      </c>
      <c r="F98" s="1" t="s">
        <v>391</v>
      </c>
      <c r="G98" s="475">
        <v>0</v>
      </c>
      <c r="H98" s="475">
        <v>0</v>
      </c>
      <c r="I98" s="475">
        <v>0</v>
      </c>
      <c r="J98" s="475">
        <v>0</v>
      </c>
      <c r="K98" s="475">
        <v>0</v>
      </c>
      <c r="L98" s="475">
        <v>0</v>
      </c>
      <c r="M98" s="475">
        <v>0</v>
      </c>
      <c r="N98" s="475">
        <v>0</v>
      </c>
      <c r="O98" s="475">
        <v>0</v>
      </c>
      <c r="P98" s="475">
        <v>0</v>
      </c>
      <c r="Q98" s="475">
        <v>0</v>
      </c>
      <c r="R98" s="475">
        <v>0</v>
      </c>
      <c r="S98" s="475">
        <v>0</v>
      </c>
      <c r="T98" s="475">
        <v>0</v>
      </c>
      <c r="U98" s="475">
        <v>0</v>
      </c>
      <c r="V98" s="475">
        <v>0</v>
      </c>
      <c r="W98" s="475">
        <v>0</v>
      </c>
      <c r="X98" s="475">
        <v>0</v>
      </c>
      <c r="Y98" s="475">
        <v>0</v>
      </c>
      <c r="Z98" s="475">
        <v>0</v>
      </c>
      <c r="AA98" s="475">
        <v>0</v>
      </c>
      <c r="AB98" s="475">
        <v>0</v>
      </c>
      <c r="AC98" s="475">
        <v>0</v>
      </c>
      <c r="AD98" s="475">
        <v>0</v>
      </c>
      <c r="AE98" s="475">
        <v>0</v>
      </c>
      <c r="AF98" s="475">
        <v>0</v>
      </c>
      <c r="AG98" s="475">
        <v>0</v>
      </c>
      <c r="AH98" s="475">
        <v>0</v>
      </c>
      <c r="AI98" s="475">
        <v>0</v>
      </c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</row>
    <row r="99" spans="1:51" x14ac:dyDescent="0.25">
      <c r="A99" s="1"/>
      <c r="B99" s="1"/>
      <c r="C99" s="1"/>
      <c r="D99" s="1"/>
      <c r="E99" s="139" t="s">
        <v>384</v>
      </c>
      <c r="F99" s="1" t="s">
        <v>391</v>
      </c>
      <c r="G99" s="475">
        <v>0</v>
      </c>
      <c r="H99" s="475">
        <v>0</v>
      </c>
      <c r="I99" s="475">
        <v>0</v>
      </c>
      <c r="J99" s="475">
        <v>0</v>
      </c>
      <c r="K99" s="475">
        <v>0</v>
      </c>
      <c r="L99" s="475">
        <v>0</v>
      </c>
      <c r="M99" s="475">
        <v>0</v>
      </c>
      <c r="N99" s="475">
        <v>0</v>
      </c>
      <c r="O99" s="475">
        <v>0</v>
      </c>
      <c r="P99" s="475">
        <v>0</v>
      </c>
      <c r="Q99" s="475">
        <v>0</v>
      </c>
      <c r="R99" s="475">
        <v>0</v>
      </c>
      <c r="S99" s="475">
        <v>0</v>
      </c>
      <c r="T99" s="475">
        <v>0</v>
      </c>
      <c r="U99" s="475">
        <v>0</v>
      </c>
      <c r="V99" s="475">
        <v>0</v>
      </c>
      <c r="W99" s="475">
        <v>0</v>
      </c>
      <c r="X99" s="475">
        <v>0</v>
      </c>
      <c r="Y99" s="475">
        <v>0</v>
      </c>
      <c r="Z99" s="475">
        <v>0</v>
      </c>
      <c r="AA99" s="475">
        <v>0</v>
      </c>
      <c r="AB99" s="475">
        <v>0</v>
      </c>
      <c r="AC99" s="475">
        <v>0</v>
      </c>
      <c r="AD99" s="475">
        <v>0</v>
      </c>
      <c r="AE99" s="475">
        <v>0</v>
      </c>
      <c r="AF99" s="475">
        <v>0</v>
      </c>
      <c r="AG99" s="475">
        <v>0</v>
      </c>
      <c r="AH99" s="475">
        <v>0</v>
      </c>
      <c r="AI99" s="475">
        <v>0</v>
      </c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</row>
    <row r="100" spans="1:51" x14ac:dyDescent="0.25">
      <c r="A100" s="1"/>
      <c r="B100" s="1"/>
      <c r="C100" s="1"/>
      <c r="D100" s="1"/>
      <c r="E100" s="1"/>
      <c r="F100" s="110" t="s">
        <v>772</v>
      </c>
      <c r="G100" s="456">
        <f>SUM(G80:G99)</f>
        <v>83680.732905584373</v>
      </c>
      <c r="H100" s="456">
        <f t="shared" ref="H100:AI100" si="7">SUM(H80:H99)</f>
        <v>75816.547950966575</v>
      </c>
      <c r="I100" s="456">
        <f t="shared" si="7"/>
        <v>62433.497122072775</v>
      </c>
      <c r="J100" s="456">
        <f t="shared" si="7"/>
        <v>64989.143442933535</v>
      </c>
      <c r="K100" s="456">
        <f t="shared" si="7"/>
        <v>66154.906279839604</v>
      </c>
      <c r="L100" s="456">
        <f t="shared" si="7"/>
        <v>67813.163086704764</v>
      </c>
      <c r="M100" s="456">
        <f t="shared" si="7"/>
        <v>69194.761475099993</v>
      </c>
      <c r="N100" s="456">
        <f t="shared" si="7"/>
        <v>70333.707354214144</v>
      </c>
      <c r="O100" s="456">
        <f t="shared" si="7"/>
        <v>71525.988633994508</v>
      </c>
      <c r="P100" s="456">
        <f t="shared" si="7"/>
        <v>73013.202848023124</v>
      </c>
      <c r="Q100" s="456">
        <f t="shared" si="7"/>
        <v>74282.161755697773</v>
      </c>
      <c r="R100" s="456">
        <f t="shared" si="7"/>
        <v>75334.389735322969</v>
      </c>
      <c r="S100" s="456">
        <f t="shared" si="7"/>
        <v>76101.43511332669</v>
      </c>
      <c r="T100" s="456">
        <f t="shared" si="7"/>
        <v>77105.069013896034</v>
      </c>
      <c r="U100" s="456">
        <f t="shared" si="7"/>
        <v>78484.394221477269</v>
      </c>
      <c r="V100" s="456">
        <f t="shared" si="7"/>
        <v>79667.131454903676</v>
      </c>
      <c r="W100" s="456">
        <f t="shared" si="7"/>
        <v>80974.71059364095</v>
      </c>
      <c r="X100" s="456">
        <f t="shared" si="7"/>
        <v>81755.659748432736</v>
      </c>
      <c r="Y100" s="456">
        <f t="shared" si="7"/>
        <v>83460.115731485246</v>
      </c>
      <c r="Z100" s="456">
        <f t="shared" si="7"/>
        <v>84763.43948785821</v>
      </c>
      <c r="AA100" s="456">
        <f t="shared" si="7"/>
        <v>85696.573522333667</v>
      </c>
      <c r="AB100" s="456">
        <f t="shared" si="7"/>
        <v>87414.708759466084</v>
      </c>
      <c r="AC100" s="456">
        <f t="shared" si="7"/>
        <v>89342.711841985292</v>
      </c>
      <c r="AD100" s="456">
        <f t="shared" si="7"/>
        <v>90418.588058028632</v>
      </c>
      <c r="AE100" s="456">
        <f t="shared" si="7"/>
        <v>91438.522641464006</v>
      </c>
      <c r="AF100" s="456">
        <f t="shared" si="7"/>
        <v>91393.404060958201</v>
      </c>
      <c r="AG100" s="456">
        <f t="shared" si="7"/>
        <v>91505.43850072466</v>
      </c>
      <c r="AH100" s="456">
        <f t="shared" si="7"/>
        <v>91745.445081636557</v>
      </c>
      <c r="AI100" s="456">
        <f t="shared" si="7"/>
        <v>91514.550941054564</v>
      </c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</row>
    <row r="101" spans="1:51" x14ac:dyDescent="0.25">
      <c r="A101" s="1"/>
      <c r="B101" s="1"/>
      <c r="C101" s="1"/>
      <c r="D101" s="1"/>
      <c r="E101" s="1"/>
      <c r="F101" s="110"/>
      <c r="G101" s="474"/>
      <c r="H101" s="474"/>
      <c r="I101" s="474"/>
      <c r="J101" s="474"/>
      <c r="K101" s="474"/>
      <c r="L101" s="474"/>
      <c r="M101" s="474"/>
      <c r="N101" s="474"/>
      <c r="O101" s="474"/>
      <c r="P101" s="474"/>
      <c r="Q101" s="474"/>
      <c r="R101" s="474"/>
      <c r="S101" s="474"/>
      <c r="T101" s="474"/>
      <c r="U101" s="474"/>
      <c r="V101" s="474"/>
      <c r="W101" s="474"/>
      <c r="X101" s="474"/>
      <c r="Y101" s="474"/>
      <c r="Z101" s="474"/>
      <c r="AA101" s="474"/>
      <c r="AB101" s="474"/>
      <c r="AC101" s="474"/>
      <c r="AD101" s="474"/>
      <c r="AE101" s="474"/>
      <c r="AF101" s="474"/>
      <c r="AG101" s="474"/>
      <c r="AH101" s="474"/>
      <c r="AI101" s="474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</row>
    <row r="102" spans="1:51" x14ac:dyDescent="0.25">
      <c r="A102" s="1"/>
      <c r="B102" s="1"/>
      <c r="C102" s="1"/>
      <c r="D102" s="1"/>
      <c r="E102" s="1"/>
      <c r="F102" s="455" t="s">
        <v>392</v>
      </c>
      <c r="G102" s="110">
        <v>2022</v>
      </c>
      <c r="H102" s="110">
        <v>2023</v>
      </c>
      <c r="I102" s="110">
        <v>2024</v>
      </c>
      <c r="J102" s="110">
        <v>2025</v>
      </c>
      <c r="K102" s="110">
        <v>2026</v>
      </c>
      <c r="L102" s="110">
        <v>2027</v>
      </c>
      <c r="M102" s="110">
        <v>2028</v>
      </c>
      <c r="N102" s="110">
        <v>2029</v>
      </c>
      <c r="O102" s="110">
        <v>2030</v>
      </c>
      <c r="P102" s="110">
        <v>2031</v>
      </c>
      <c r="Q102" s="110">
        <v>2032</v>
      </c>
      <c r="R102" s="110">
        <v>2033</v>
      </c>
      <c r="S102" s="110">
        <v>2034</v>
      </c>
      <c r="T102" s="110">
        <v>2035</v>
      </c>
      <c r="U102" s="110">
        <v>2036</v>
      </c>
      <c r="V102" s="110">
        <v>2037</v>
      </c>
      <c r="W102" s="110">
        <v>2038</v>
      </c>
      <c r="X102" s="110">
        <v>2039</v>
      </c>
      <c r="Y102" s="110">
        <v>2040</v>
      </c>
      <c r="Z102" s="110">
        <v>2041</v>
      </c>
      <c r="AA102" s="110">
        <v>2042</v>
      </c>
      <c r="AB102" s="110">
        <v>2043</v>
      </c>
      <c r="AC102" s="110">
        <v>2044</v>
      </c>
      <c r="AD102" s="110">
        <v>2045</v>
      </c>
      <c r="AE102" s="110">
        <v>2046</v>
      </c>
      <c r="AF102" s="110">
        <v>2047</v>
      </c>
      <c r="AG102" s="110">
        <v>2048</v>
      </c>
      <c r="AH102" s="110">
        <v>2049</v>
      </c>
      <c r="AI102" s="110">
        <v>2050</v>
      </c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</row>
    <row r="103" spans="1:5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</row>
    <row r="104" spans="1:51" x14ac:dyDescent="0.25">
      <c r="A104" s="1"/>
      <c r="B104" s="1"/>
      <c r="C104" s="1"/>
      <c r="D104" s="1"/>
      <c r="E104" s="115" t="s">
        <v>322</v>
      </c>
      <c r="F104" s="1" t="s">
        <v>393</v>
      </c>
      <c r="G104" s="469">
        <v>157791.93062989996</v>
      </c>
      <c r="H104" s="469">
        <v>151741.4050613523</v>
      </c>
      <c r="I104" s="469">
        <v>143268.38890229308</v>
      </c>
      <c r="J104" s="469">
        <v>127254.14340155377</v>
      </c>
      <c r="K104" s="469">
        <v>128130.26343243642</v>
      </c>
      <c r="L104" s="469">
        <v>128926.86146550861</v>
      </c>
      <c r="M104" s="469">
        <v>129824.39141715945</v>
      </c>
      <c r="N104" s="469">
        <v>130811.50943649151</v>
      </c>
      <c r="O104" s="469">
        <v>131828.03766295296</v>
      </c>
      <c r="P104" s="469">
        <v>132806.34802045152</v>
      </c>
      <c r="Q104" s="469">
        <v>133877.46412243863</v>
      </c>
      <c r="R104" s="469">
        <v>135047.10026851148</v>
      </c>
      <c r="S104" s="469">
        <v>136318.50836672063</v>
      </c>
      <c r="T104" s="469">
        <v>137573.13737165005</v>
      </c>
      <c r="U104" s="469">
        <v>138770.91275213793</v>
      </c>
      <c r="V104" s="469">
        <v>140064.23649244694</v>
      </c>
      <c r="W104" s="469">
        <v>141364.52657754326</v>
      </c>
      <c r="X104" s="469">
        <v>142859.66687335953</v>
      </c>
      <c r="Y104" s="469">
        <v>144132.60211218687</v>
      </c>
      <c r="Z104" s="469">
        <v>145562.65479164766</v>
      </c>
      <c r="AA104" s="469">
        <v>147145.58655549103</v>
      </c>
      <c r="AB104" s="469">
        <v>148544.14131632069</v>
      </c>
      <c r="AC104" s="469">
        <v>149915.48042808511</v>
      </c>
      <c r="AD104" s="469">
        <v>151611.23306262496</v>
      </c>
      <c r="AE104" s="469">
        <v>151611.23306262499</v>
      </c>
      <c r="AF104" s="469">
        <v>151611.23306262499</v>
      </c>
      <c r="AG104" s="469">
        <v>151611.23306262499</v>
      </c>
      <c r="AH104" s="469">
        <v>151611.23306262496</v>
      </c>
      <c r="AI104" s="469">
        <v>151611.23306262496</v>
      </c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</row>
    <row r="105" spans="1:51" x14ac:dyDescent="0.25">
      <c r="A105" s="1"/>
      <c r="B105" s="1"/>
      <c r="C105" s="1"/>
      <c r="D105" s="1"/>
      <c r="E105" s="114" t="s">
        <v>323</v>
      </c>
      <c r="F105" s="1" t="s">
        <v>393</v>
      </c>
      <c r="G105" s="469">
        <v>30515.073675239997</v>
      </c>
      <c r="H105" s="469">
        <v>30217.330214819995</v>
      </c>
      <c r="I105" s="469">
        <v>30512.652996699991</v>
      </c>
      <c r="J105" s="469">
        <v>30512.652996699991</v>
      </c>
      <c r="K105" s="469">
        <v>30512.652996699991</v>
      </c>
      <c r="L105" s="469">
        <v>30512.652996699991</v>
      </c>
      <c r="M105" s="469">
        <v>30512.652996699991</v>
      </c>
      <c r="N105" s="469">
        <v>30512.652996699991</v>
      </c>
      <c r="O105" s="469">
        <v>30512.652996699991</v>
      </c>
      <c r="P105" s="469">
        <v>30512.652996699991</v>
      </c>
      <c r="Q105" s="469">
        <v>30512.652996699991</v>
      </c>
      <c r="R105" s="469">
        <v>30512.652996699991</v>
      </c>
      <c r="S105" s="469">
        <v>30512.652996699991</v>
      </c>
      <c r="T105" s="469">
        <v>30512.652996699991</v>
      </c>
      <c r="U105" s="469">
        <v>30512.652996699991</v>
      </c>
      <c r="V105" s="469">
        <v>30512.652996699991</v>
      </c>
      <c r="W105" s="469">
        <v>30512.652996699991</v>
      </c>
      <c r="X105" s="469">
        <v>30512.652996699991</v>
      </c>
      <c r="Y105" s="469">
        <v>30512.652996699991</v>
      </c>
      <c r="Z105" s="469">
        <v>30512.652996699991</v>
      </c>
      <c r="AA105" s="469">
        <v>30512.652996699991</v>
      </c>
      <c r="AB105" s="469">
        <v>30512.652996699991</v>
      </c>
      <c r="AC105" s="469">
        <v>30512.652996699991</v>
      </c>
      <c r="AD105" s="469">
        <v>30512.652996699991</v>
      </c>
      <c r="AE105" s="469">
        <v>30512.652996699991</v>
      </c>
      <c r="AF105" s="469">
        <v>30512.652996699991</v>
      </c>
      <c r="AG105" s="469">
        <v>30512.652996699991</v>
      </c>
      <c r="AH105" s="469">
        <v>30512.652996699991</v>
      </c>
      <c r="AI105" s="469">
        <v>30512.652996699991</v>
      </c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</row>
    <row r="106" spans="1:51" x14ac:dyDescent="0.25">
      <c r="A106" s="1"/>
      <c r="B106" s="1"/>
      <c r="C106" s="1"/>
      <c r="D106" s="1"/>
      <c r="E106" s="114" t="s">
        <v>324</v>
      </c>
      <c r="F106" s="1" t="s">
        <v>393</v>
      </c>
      <c r="G106" s="469">
        <v>0</v>
      </c>
      <c r="H106" s="469">
        <v>0</v>
      </c>
      <c r="I106" s="469">
        <v>0</v>
      </c>
      <c r="J106" s="469">
        <v>0</v>
      </c>
      <c r="K106" s="469">
        <v>0</v>
      </c>
      <c r="L106" s="469">
        <v>0</v>
      </c>
      <c r="M106" s="469">
        <v>0</v>
      </c>
      <c r="N106" s="469">
        <v>0</v>
      </c>
      <c r="O106" s="469">
        <v>0</v>
      </c>
      <c r="P106" s="469">
        <v>0</v>
      </c>
      <c r="Q106" s="469">
        <v>0</v>
      </c>
      <c r="R106" s="469">
        <v>0</v>
      </c>
      <c r="S106" s="469">
        <v>0</v>
      </c>
      <c r="T106" s="469">
        <v>0</v>
      </c>
      <c r="U106" s="469">
        <v>0</v>
      </c>
      <c r="V106" s="469">
        <v>0</v>
      </c>
      <c r="W106" s="469">
        <v>0</v>
      </c>
      <c r="X106" s="469">
        <v>0</v>
      </c>
      <c r="Y106" s="469">
        <v>0</v>
      </c>
      <c r="Z106" s="469">
        <v>0</v>
      </c>
      <c r="AA106" s="469">
        <v>0</v>
      </c>
      <c r="AB106" s="469">
        <v>0</v>
      </c>
      <c r="AC106" s="469">
        <v>0</v>
      </c>
      <c r="AD106" s="469">
        <v>0</v>
      </c>
      <c r="AE106" s="469">
        <v>0</v>
      </c>
      <c r="AF106" s="469">
        <v>0</v>
      </c>
      <c r="AG106" s="469">
        <v>0</v>
      </c>
      <c r="AH106" s="469">
        <v>0</v>
      </c>
      <c r="AI106" s="469">
        <v>0</v>
      </c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</row>
    <row r="107" spans="1:51" x14ac:dyDescent="0.25">
      <c r="A107" s="1"/>
      <c r="B107" s="1"/>
      <c r="C107" s="1"/>
      <c r="D107" s="1"/>
      <c r="E107" s="114" t="s">
        <v>325</v>
      </c>
      <c r="F107" s="1" t="s">
        <v>393</v>
      </c>
      <c r="G107" s="469">
        <v>0</v>
      </c>
      <c r="H107" s="469">
        <v>9327.4107499999991</v>
      </c>
      <c r="I107" s="469">
        <v>18654.821499999998</v>
      </c>
      <c r="J107" s="469">
        <v>37309.642999999996</v>
      </c>
      <c r="K107" s="469">
        <v>37309.642999999996</v>
      </c>
      <c r="L107" s="469">
        <v>37309.642999999996</v>
      </c>
      <c r="M107" s="469">
        <v>37309.642999999996</v>
      </c>
      <c r="N107" s="469">
        <v>37309.642999999996</v>
      </c>
      <c r="O107" s="469">
        <v>37309.642999999996</v>
      </c>
      <c r="P107" s="469">
        <v>37309.642999999996</v>
      </c>
      <c r="Q107" s="469">
        <v>37309.642999999996</v>
      </c>
      <c r="R107" s="469">
        <v>37309.642999999996</v>
      </c>
      <c r="S107" s="469">
        <v>37309.642999999996</v>
      </c>
      <c r="T107" s="469">
        <v>37309.642999999996</v>
      </c>
      <c r="U107" s="469">
        <v>37309.642999999996</v>
      </c>
      <c r="V107" s="469">
        <v>37309.642999999996</v>
      </c>
      <c r="W107" s="469">
        <v>37309.642999999996</v>
      </c>
      <c r="X107" s="469">
        <v>37309.642999999996</v>
      </c>
      <c r="Y107" s="469">
        <v>37309.642999999996</v>
      </c>
      <c r="Z107" s="469">
        <v>37309.642999999996</v>
      </c>
      <c r="AA107" s="469">
        <v>37309.642999999996</v>
      </c>
      <c r="AB107" s="469">
        <v>37309.642999999996</v>
      </c>
      <c r="AC107" s="469">
        <v>37309.642999999996</v>
      </c>
      <c r="AD107" s="469">
        <v>37309.642999999996</v>
      </c>
      <c r="AE107" s="469">
        <v>37309.642999999996</v>
      </c>
      <c r="AF107" s="469">
        <v>37309.642999999996</v>
      </c>
      <c r="AG107" s="469">
        <v>37309.642999999996</v>
      </c>
      <c r="AH107" s="469">
        <v>37309.642999999996</v>
      </c>
      <c r="AI107" s="469">
        <v>37309.642999999996</v>
      </c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</row>
    <row r="108" spans="1:51" x14ac:dyDescent="0.25">
      <c r="A108" s="1"/>
      <c r="B108" s="1"/>
      <c r="C108" s="1"/>
      <c r="D108" s="1"/>
      <c r="E108" s="114" t="str">
        <f>'15. Emissions'!B25</f>
        <v>Propane Air</v>
      </c>
      <c r="F108" s="1" t="s">
        <v>393</v>
      </c>
      <c r="G108" s="469">
        <v>0</v>
      </c>
      <c r="H108" s="469">
        <v>0</v>
      </c>
      <c r="I108" s="469">
        <v>0</v>
      </c>
      <c r="J108" s="469">
        <v>0</v>
      </c>
      <c r="K108" s="469">
        <v>0</v>
      </c>
      <c r="L108" s="469">
        <v>0</v>
      </c>
      <c r="M108" s="469">
        <v>0</v>
      </c>
      <c r="N108" s="469">
        <v>0</v>
      </c>
      <c r="O108" s="469">
        <v>0</v>
      </c>
      <c r="P108" s="469">
        <v>0</v>
      </c>
      <c r="Q108" s="469">
        <v>0</v>
      </c>
      <c r="R108" s="469">
        <v>0</v>
      </c>
      <c r="S108" s="469">
        <v>0</v>
      </c>
      <c r="T108" s="469">
        <v>0</v>
      </c>
      <c r="U108" s="469">
        <v>0</v>
      </c>
      <c r="V108" s="469">
        <v>0</v>
      </c>
      <c r="W108" s="469">
        <v>0</v>
      </c>
      <c r="X108" s="469">
        <v>0</v>
      </c>
      <c r="Y108" s="469">
        <v>0</v>
      </c>
      <c r="Z108" s="469">
        <v>0</v>
      </c>
      <c r="AA108" s="469">
        <v>0</v>
      </c>
      <c r="AB108" s="469">
        <v>0</v>
      </c>
      <c r="AC108" s="469">
        <v>0</v>
      </c>
      <c r="AD108" s="469">
        <v>0</v>
      </c>
      <c r="AE108" s="469">
        <v>0</v>
      </c>
      <c r="AF108" s="469">
        <v>0</v>
      </c>
      <c r="AG108" s="469">
        <v>0</v>
      </c>
      <c r="AH108" s="469">
        <v>0</v>
      </c>
      <c r="AI108" s="469">
        <v>0</v>
      </c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</row>
    <row r="109" spans="1:51" x14ac:dyDescent="0.25">
      <c r="A109" s="1"/>
      <c r="B109" s="1"/>
      <c r="C109" s="1"/>
      <c r="D109" s="1"/>
      <c r="E109" s="114" t="s">
        <v>351</v>
      </c>
      <c r="F109" s="1" t="s">
        <v>393</v>
      </c>
      <c r="G109" s="469">
        <v>-960.56</v>
      </c>
      <c r="H109" s="469">
        <v>-960.56</v>
      </c>
      <c r="I109" s="469">
        <v>-960.56</v>
      </c>
      <c r="J109" s="469">
        <v>-960.56</v>
      </c>
      <c r="K109" s="469">
        <v>-960.56</v>
      </c>
      <c r="L109" s="469">
        <v>-960.56</v>
      </c>
      <c r="M109" s="469">
        <v>-960.56</v>
      </c>
      <c r="N109" s="469">
        <v>-960.56</v>
      </c>
      <c r="O109" s="469">
        <v>-960.56</v>
      </c>
      <c r="P109" s="469">
        <v>-960.56</v>
      </c>
      <c r="Q109" s="469">
        <v>-960.56</v>
      </c>
      <c r="R109" s="469">
        <v>-960.56</v>
      </c>
      <c r="S109" s="469">
        <v>-960.56</v>
      </c>
      <c r="T109" s="469">
        <v>-960.56</v>
      </c>
      <c r="U109" s="469">
        <v>-960.56</v>
      </c>
      <c r="V109" s="469">
        <v>-960.56</v>
      </c>
      <c r="W109" s="469">
        <v>-960.56</v>
      </c>
      <c r="X109" s="469">
        <v>-960.56</v>
      </c>
      <c r="Y109" s="469">
        <v>-960.56</v>
      </c>
      <c r="Z109" s="469">
        <v>-960.56</v>
      </c>
      <c r="AA109" s="469">
        <v>-960.56</v>
      </c>
      <c r="AB109" s="469">
        <v>-960.56</v>
      </c>
      <c r="AC109" s="469">
        <v>-960.56</v>
      </c>
      <c r="AD109" s="469">
        <v>-960.56</v>
      </c>
      <c r="AE109" s="469">
        <v>-960.56</v>
      </c>
      <c r="AF109" s="469">
        <v>-960.56</v>
      </c>
      <c r="AG109" s="469">
        <v>-960.56</v>
      </c>
      <c r="AH109" s="469">
        <v>-960.56</v>
      </c>
      <c r="AI109" s="469">
        <v>-960.56</v>
      </c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</row>
    <row r="110" spans="1:51" x14ac:dyDescent="0.25">
      <c r="A110" s="1"/>
      <c r="B110" s="1"/>
      <c r="C110" s="1"/>
      <c r="D110" s="1"/>
      <c r="E110" s="139" t="s">
        <v>760</v>
      </c>
      <c r="F110" s="1" t="s">
        <v>393</v>
      </c>
      <c r="G110" s="469">
        <v>0</v>
      </c>
      <c r="H110" s="469">
        <v>0</v>
      </c>
      <c r="I110" s="469">
        <v>0</v>
      </c>
      <c r="J110" s="469">
        <v>0</v>
      </c>
      <c r="K110" s="469">
        <v>0</v>
      </c>
      <c r="L110" s="469">
        <v>0</v>
      </c>
      <c r="M110" s="469">
        <v>0</v>
      </c>
      <c r="N110" s="469">
        <v>0</v>
      </c>
      <c r="O110" s="469">
        <v>0</v>
      </c>
      <c r="P110" s="469">
        <v>0</v>
      </c>
      <c r="Q110" s="469">
        <v>0</v>
      </c>
      <c r="R110" s="469">
        <v>0</v>
      </c>
      <c r="S110" s="469">
        <v>0</v>
      </c>
      <c r="T110" s="469">
        <v>0</v>
      </c>
      <c r="U110" s="469">
        <v>0</v>
      </c>
      <c r="V110" s="469">
        <v>0</v>
      </c>
      <c r="W110" s="469">
        <v>0</v>
      </c>
      <c r="X110" s="469">
        <v>0</v>
      </c>
      <c r="Y110" s="469">
        <v>0</v>
      </c>
      <c r="Z110" s="469">
        <v>0</v>
      </c>
      <c r="AA110" s="469">
        <v>0</v>
      </c>
      <c r="AB110" s="469">
        <v>0</v>
      </c>
      <c r="AC110" s="469">
        <v>0</v>
      </c>
      <c r="AD110" s="469">
        <v>0</v>
      </c>
      <c r="AE110" s="469">
        <v>0</v>
      </c>
      <c r="AF110" s="469">
        <v>0</v>
      </c>
      <c r="AG110" s="469">
        <v>0</v>
      </c>
      <c r="AH110" s="469">
        <v>0</v>
      </c>
      <c r="AI110" s="469">
        <v>0</v>
      </c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</row>
    <row r="111" spans="1:51" x14ac:dyDescent="0.25">
      <c r="A111" s="1"/>
      <c r="B111" s="1"/>
      <c r="C111" s="1"/>
      <c r="D111" s="1"/>
      <c r="E111" s="139" t="s">
        <v>771</v>
      </c>
      <c r="F111" s="1" t="s">
        <v>393</v>
      </c>
      <c r="G111" s="469">
        <v>0</v>
      </c>
      <c r="H111" s="469">
        <v>0</v>
      </c>
      <c r="I111" s="469">
        <v>0</v>
      </c>
      <c r="J111" s="469">
        <v>0</v>
      </c>
      <c r="K111" s="469">
        <v>0</v>
      </c>
      <c r="L111" s="469">
        <v>0</v>
      </c>
      <c r="M111" s="469">
        <v>0</v>
      </c>
      <c r="N111" s="469">
        <v>0</v>
      </c>
      <c r="O111" s="469">
        <v>0</v>
      </c>
      <c r="P111" s="469">
        <v>0</v>
      </c>
      <c r="Q111" s="469">
        <v>0</v>
      </c>
      <c r="R111" s="469">
        <v>0</v>
      </c>
      <c r="S111" s="469">
        <v>0</v>
      </c>
      <c r="T111" s="469">
        <v>0</v>
      </c>
      <c r="U111" s="469">
        <v>0</v>
      </c>
      <c r="V111" s="469">
        <v>0</v>
      </c>
      <c r="W111" s="469">
        <v>0</v>
      </c>
      <c r="X111" s="469">
        <v>0</v>
      </c>
      <c r="Y111" s="469">
        <v>0</v>
      </c>
      <c r="Z111" s="469">
        <v>0</v>
      </c>
      <c r="AA111" s="469">
        <v>0</v>
      </c>
      <c r="AB111" s="469">
        <v>0</v>
      </c>
      <c r="AC111" s="469">
        <v>0</v>
      </c>
      <c r="AD111" s="469">
        <v>0</v>
      </c>
      <c r="AE111" s="469">
        <v>0</v>
      </c>
      <c r="AF111" s="469">
        <v>0</v>
      </c>
      <c r="AG111" s="469">
        <v>0</v>
      </c>
      <c r="AH111" s="469">
        <v>0</v>
      </c>
      <c r="AI111" s="469">
        <v>0</v>
      </c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</row>
    <row r="112" spans="1:51" x14ac:dyDescent="0.25">
      <c r="A112" s="1"/>
      <c r="B112" s="1"/>
      <c r="C112" s="1"/>
      <c r="D112" s="1"/>
      <c r="E112" s="139" t="str">
        <f>'8a. RNG'!$H$12</f>
        <v>LFG, WWTP, AgCrop (3)</v>
      </c>
      <c r="F112" s="1" t="s">
        <v>393</v>
      </c>
      <c r="G112" s="469">
        <v>0</v>
      </c>
      <c r="H112" s="469">
        <v>0</v>
      </c>
      <c r="I112" s="469">
        <v>0</v>
      </c>
      <c r="J112" s="469">
        <v>0</v>
      </c>
      <c r="K112" s="469">
        <v>0</v>
      </c>
      <c r="L112" s="469">
        <v>0</v>
      </c>
      <c r="M112" s="469">
        <v>0</v>
      </c>
      <c r="N112" s="469">
        <v>0</v>
      </c>
      <c r="O112" s="469">
        <v>0</v>
      </c>
      <c r="P112" s="469">
        <v>0</v>
      </c>
      <c r="Q112" s="469">
        <v>0</v>
      </c>
      <c r="R112" s="469">
        <v>0</v>
      </c>
      <c r="S112" s="469">
        <v>0</v>
      </c>
      <c r="T112" s="469">
        <v>0</v>
      </c>
      <c r="U112" s="469">
        <v>0</v>
      </c>
      <c r="V112" s="469">
        <v>0</v>
      </c>
      <c r="W112" s="469">
        <v>0</v>
      </c>
      <c r="X112" s="469">
        <v>0</v>
      </c>
      <c r="Y112" s="469">
        <v>0</v>
      </c>
      <c r="Z112" s="469">
        <v>0</v>
      </c>
      <c r="AA112" s="469">
        <v>0</v>
      </c>
      <c r="AB112" s="469">
        <v>0</v>
      </c>
      <c r="AC112" s="469">
        <v>0</v>
      </c>
      <c r="AD112" s="469">
        <v>0</v>
      </c>
      <c r="AE112" s="469">
        <v>0</v>
      </c>
      <c r="AF112" s="469">
        <v>0</v>
      </c>
      <c r="AG112" s="469">
        <v>0</v>
      </c>
      <c r="AH112" s="469">
        <v>0</v>
      </c>
      <c r="AI112" s="469">
        <v>0</v>
      </c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</row>
    <row r="113" spans="1:51" x14ac:dyDescent="0.25">
      <c r="A113" s="1"/>
      <c r="B113" s="1"/>
      <c r="C113" s="1"/>
      <c r="D113" s="1"/>
      <c r="E113" s="139" t="str">
        <f>'8a. RNG'!$P$12</f>
        <v>CDW Exp. 1</v>
      </c>
      <c r="F113" s="1" t="s">
        <v>393</v>
      </c>
      <c r="G113" s="469">
        <v>0</v>
      </c>
      <c r="H113" s="469">
        <v>0</v>
      </c>
      <c r="I113" s="469">
        <v>0</v>
      </c>
      <c r="J113" s="469">
        <v>0</v>
      </c>
      <c r="K113" s="469">
        <v>0</v>
      </c>
      <c r="L113" s="469">
        <v>0</v>
      </c>
      <c r="M113" s="469">
        <v>0</v>
      </c>
      <c r="N113" s="469">
        <v>0</v>
      </c>
      <c r="O113" s="469">
        <v>0</v>
      </c>
      <c r="P113" s="469">
        <v>0</v>
      </c>
      <c r="Q113" s="469">
        <v>0</v>
      </c>
      <c r="R113" s="469">
        <v>0</v>
      </c>
      <c r="S113" s="469">
        <v>0</v>
      </c>
      <c r="T113" s="469">
        <v>0</v>
      </c>
      <c r="U113" s="469">
        <v>0</v>
      </c>
      <c r="V113" s="469">
        <v>0</v>
      </c>
      <c r="W113" s="469">
        <v>0</v>
      </c>
      <c r="X113" s="469">
        <v>0</v>
      </c>
      <c r="Y113" s="469">
        <v>0</v>
      </c>
      <c r="Z113" s="469">
        <v>0</v>
      </c>
      <c r="AA113" s="469">
        <v>0</v>
      </c>
      <c r="AB113" s="469">
        <v>0</v>
      </c>
      <c r="AC113" s="469">
        <v>0</v>
      </c>
      <c r="AD113" s="469">
        <v>0</v>
      </c>
      <c r="AE113" s="469">
        <v>0</v>
      </c>
      <c r="AF113" s="469">
        <v>0</v>
      </c>
      <c r="AG113" s="469">
        <v>0</v>
      </c>
      <c r="AH113" s="469">
        <v>0</v>
      </c>
      <c r="AI113" s="469">
        <v>0</v>
      </c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</row>
    <row r="114" spans="1:51" x14ac:dyDescent="0.25">
      <c r="A114" s="1"/>
      <c r="B114" s="1"/>
      <c r="C114" s="1"/>
      <c r="D114" s="1"/>
      <c r="E114" s="139" t="str">
        <f>'8a. RNG'!$Q$12</f>
        <v>CDW Exp. 2</v>
      </c>
      <c r="F114" s="1" t="s">
        <v>393</v>
      </c>
      <c r="G114" s="469">
        <v>0</v>
      </c>
      <c r="H114" s="469">
        <v>0</v>
      </c>
      <c r="I114" s="469">
        <v>0</v>
      </c>
      <c r="J114" s="469">
        <v>0</v>
      </c>
      <c r="K114" s="469">
        <v>0</v>
      </c>
      <c r="L114" s="469">
        <v>0</v>
      </c>
      <c r="M114" s="469">
        <v>0</v>
      </c>
      <c r="N114" s="469">
        <v>0</v>
      </c>
      <c r="O114" s="469">
        <v>0</v>
      </c>
      <c r="P114" s="469">
        <v>0</v>
      </c>
      <c r="Q114" s="469">
        <v>0</v>
      </c>
      <c r="R114" s="469">
        <v>0</v>
      </c>
      <c r="S114" s="469">
        <v>0</v>
      </c>
      <c r="T114" s="469">
        <v>0</v>
      </c>
      <c r="U114" s="469">
        <v>0</v>
      </c>
      <c r="V114" s="469">
        <v>0</v>
      </c>
      <c r="W114" s="469">
        <v>0</v>
      </c>
      <c r="X114" s="469">
        <v>0</v>
      </c>
      <c r="Y114" s="469">
        <v>0</v>
      </c>
      <c r="Z114" s="469">
        <v>0</v>
      </c>
      <c r="AA114" s="469">
        <v>0</v>
      </c>
      <c r="AB114" s="469">
        <v>0</v>
      </c>
      <c r="AC114" s="469">
        <v>0</v>
      </c>
      <c r="AD114" s="469">
        <v>0</v>
      </c>
      <c r="AE114" s="469">
        <v>0</v>
      </c>
      <c r="AF114" s="469">
        <v>0</v>
      </c>
      <c r="AG114" s="469">
        <v>0</v>
      </c>
      <c r="AH114" s="469">
        <v>0</v>
      </c>
      <c r="AI114" s="469">
        <v>0</v>
      </c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</row>
    <row r="115" spans="1:51" x14ac:dyDescent="0.25">
      <c r="A115" s="1"/>
      <c r="B115" s="1"/>
      <c r="C115" s="1"/>
      <c r="D115" s="1"/>
      <c r="E115" s="139" t="str">
        <f>'8a. RNG'!$R$12</f>
        <v>CDW Exp. 3</v>
      </c>
      <c r="F115" s="1" t="s">
        <v>393</v>
      </c>
      <c r="G115" s="469">
        <v>0</v>
      </c>
      <c r="H115" s="469">
        <v>0</v>
      </c>
      <c r="I115" s="469">
        <v>0</v>
      </c>
      <c r="J115" s="469">
        <v>0</v>
      </c>
      <c r="K115" s="469">
        <v>0</v>
      </c>
      <c r="L115" s="469">
        <v>0</v>
      </c>
      <c r="M115" s="469">
        <v>0</v>
      </c>
      <c r="N115" s="469">
        <v>0</v>
      </c>
      <c r="O115" s="469">
        <v>0</v>
      </c>
      <c r="P115" s="469">
        <v>0</v>
      </c>
      <c r="Q115" s="469">
        <v>0</v>
      </c>
      <c r="R115" s="469">
        <v>0</v>
      </c>
      <c r="S115" s="469">
        <v>0</v>
      </c>
      <c r="T115" s="469">
        <v>0</v>
      </c>
      <c r="U115" s="469">
        <v>0</v>
      </c>
      <c r="V115" s="469">
        <v>0</v>
      </c>
      <c r="W115" s="469">
        <v>0</v>
      </c>
      <c r="X115" s="469">
        <v>0</v>
      </c>
      <c r="Y115" s="469">
        <v>0</v>
      </c>
      <c r="Z115" s="469">
        <v>0</v>
      </c>
      <c r="AA115" s="469">
        <v>0</v>
      </c>
      <c r="AB115" s="469">
        <v>0</v>
      </c>
      <c r="AC115" s="469">
        <v>0</v>
      </c>
      <c r="AD115" s="469">
        <v>0</v>
      </c>
      <c r="AE115" s="469">
        <v>0</v>
      </c>
      <c r="AF115" s="469">
        <v>0</v>
      </c>
      <c r="AG115" s="469">
        <v>0</v>
      </c>
      <c r="AH115" s="469">
        <v>0</v>
      </c>
      <c r="AI115" s="469">
        <v>0</v>
      </c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</row>
    <row r="116" spans="1:51" x14ac:dyDescent="0.25">
      <c r="A116" s="1"/>
      <c r="B116" s="1"/>
      <c r="C116" s="1"/>
      <c r="D116" s="1"/>
      <c r="E116" s="139" t="str">
        <f>'8a. RNG'!$S$12</f>
        <v>CDW Exp. 4</v>
      </c>
      <c r="F116" s="1" t="s">
        <v>393</v>
      </c>
      <c r="G116" s="469">
        <v>0</v>
      </c>
      <c r="H116" s="469">
        <v>0</v>
      </c>
      <c r="I116" s="469">
        <v>0</v>
      </c>
      <c r="J116" s="469">
        <v>0</v>
      </c>
      <c r="K116" s="469">
        <v>0</v>
      </c>
      <c r="L116" s="469">
        <v>0</v>
      </c>
      <c r="M116" s="469">
        <v>0</v>
      </c>
      <c r="N116" s="469">
        <v>0</v>
      </c>
      <c r="O116" s="469">
        <v>0</v>
      </c>
      <c r="P116" s="469">
        <v>0</v>
      </c>
      <c r="Q116" s="469">
        <v>0</v>
      </c>
      <c r="R116" s="469">
        <v>0</v>
      </c>
      <c r="S116" s="469">
        <v>0</v>
      </c>
      <c r="T116" s="469">
        <v>0</v>
      </c>
      <c r="U116" s="469">
        <v>0</v>
      </c>
      <c r="V116" s="469">
        <v>0</v>
      </c>
      <c r="W116" s="469">
        <v>0</v>
      </c>
      <c r="X116" s="469">
        <v>0</v>
      </c>
      <c r="Y116" s="469">
        <v>0</v>
      </c>
      <c r="Z116" s="469">
        <v>0</v>
      </c>
      <c r="AA116" s="469">
        <v>0</v>
      </c>
      <c r="AB116" s="469">
        <v>0</v>
      </c>
      <c r="AC116" s="469">
        <v>0</v>
      </c>
      <c r="AD116" s="469">
        <v>0</v>
      </c>
      <c r="AE116" s="469">
        <v>0</v>
      </c>
      <c r="AF116" s="469">
        <v>0</v>
      </c>
      <c r="AG116" s="469">
        <v>0</v>
      </c>
      <c r="AH116" s="469">
        <v>0</v>
      </c>
      <c r="AI116" s="469">
        <v>0</v>
      </c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</row>
    <row r="117" spans="1:51" x14ac:dyDescent="0.25">
      <c r="A117" s="1"/>
      <c r="B117" s="1"/>
      <c r="C117" s="1"/>
      <c r="D117" s="1"/>
      <c r="E117" s="139" t="str">
        <f>'8a. RNG'!$T$12</f>
        <v>CDW Exp. 5</v>
      </c>
      <c r="F117" s="1" t="s">
        <v>393</v>
      </c>
      <c r="G117" s="469">
        <v>0</v>
      </c>
      <c r="H117" s="469">
        <v>0</v>
      </c>
      <c r="I117" s="469">
        <v>0</v>
      </c>
      <c r="J117" s="469">
        <v>0</v>
      </c>
      <c r="K117" s="469">
        <v>0</v>
      </c>
      <c r="L117" s="469">
        <v>0</v>
      </c>
      <c r="M117" s="469">
        <v>0</v>
      </c>
      <c r="N117" s="469">
        <v>0</v>
      </c>
      <c r="O117" s="469">
        <v>0</v>
      </c>
      <c r="P117" s="469">
        <v>0</v>
      </c>
      <c r="Q117" s="469">
        <v>0</v>
      </c>
      <c r="R117" s="469">
        <v>0</v>
      </c>
      <c r="S117" s="469">
        <v>0</v>
      </c>
      <c r="T117" s="469">
        <v>0</v>
      </c>
      <c r="U117" s="469">
        <v>0</v>
      </c>
      <c r="V117" s="469">
        <v>0</v>
      </c>
      <c r="W117" s="469">
        <v>0</v>
      </c>
      <c r="X117" s="469">
        <v>0</v>
      </c>
      <c r="Y117" s="469">
        <v>0</v>
      </c>
      <c r="Z117" s="469">
        <v>0</v>
      </c>
      <c r="AA117" s="469">
        <v>0</v>
      </c>
      <c r="AB117" s="469">
        <v>0</v>
      </c>
      <c r="AC117" s="469">
        <v>0</v>
      </c>
      <c r="AD117" s="469">
        <v>0</v>
      </c>
      <c r="AE117" s="469">
        <v>0</v>
      </c>
      <c r="AF117" s="469">
        <v>0</v>
      </c>
      <c r="AG117" s="469">
        <v>0</v>
      </c>
      <c r="AH117" s="469">
        <v>0</v>
      </c>
      <c r="AI117" s="469">
        <v>0</v>
      </c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</row>
    <row r="118" spans="1:51" x14ac:dyDescent="0.25">
      <c r="A118" s="1"/>
      <c r="B118" s="1"/>
      <c r="C118" s="1"/>
      <c r="D118" s="1"/>
      <c r="E118" s="139" t="str">
        <f>'5. LNG- ISO_Expansion'!$X$12</f>
        <v>LNG ISO Exp 1</v>
      </c>
      <c r="F118" s="1" t="s">
        <v>393</v>
      </c>
      <c r="G118" s="469">
        <v>0</v>
      </c>
      <c r="H118" s="469">
        <v>0</v>
      </c>
      <c r="I118" s="469">
        <v>0</v>
      </c>
      <c r="J118" s="469">
        <v>0</v>
      </c>
      <c r="K118" s="469">
        <v>0</v>
      </c>
      <c r="L118" s="469">
        <v>0</v>
      </c>
      <c r="M118" s="469">
        <v>0</v>
      </c>
      <c r="N118" s="469">
        <v>0</v>
      </c>
      <c r="O118" s="469">
        <v>0</v>
      </c>
      <c r="P118" s="469">
        <v>0</v>
      </c>
      <c r="Q118" s="469">
        <v>0</v>
      </c>
      <c r="R118" s="469">
        <v>0</v>
      </c>
      <c r="S118" s="469">
        <v>0</v>
      </c>
      <c r="T118" s="469">
        <v>0</v>
      </c>
      <c r="U118" s="469">
        <v>0</v>
      </c>
      <c r="V118" s="469">
        <v>0</v>
      </c>
      <c r="W118" s="469">
        <v>0</v>
      </c>
      <c r="X118" s="469">
        <v>0</v>
      </c>
      <c r="Y118" s="469">
        <v>0</v>
      </c>
      <c r="Z118" s="469">
        <v>0</v>
      </c>
      <c r="AA118" s="469">
        <v>0</v>
      </c>
      <c r="AB118" s="469">
        <v>0</v>
      </c>
      <c r="AC118" s="469">
        <v>0</v>
      </c>
      <c r="AD118" s="469">
        <v>0</v>
      </c>
      <c r="AE118" s="469">
        <v>0</v>
      </c>
      <c r="AF118" s="469">
        <v>0</v>
      </c>
      <c r="AG118" s="469">
        <v>0</v>
      </c>
      <c r="AH118" s="469">
        <v>0</v>
      </c>
      <c r="AI118" s="469">
        <v>0</v>
      </c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</row>
    <row r="119" spans="1:51" x14ac:dyDescent="0.25">
      <c r="A119" s="1"/>
      <c r="B119" s="1"/>
      <c r="C119" s="1"/>
      <c r="D119" s="1"/>
      <c r="E119" s="139" t="str">
        <f>'5. LNG- ISO_Expansion'!$Y$12</f>
        <v>LNG ISO Exp 2</v>
      </c>
      <c r="F119" s="1" t="s">
        <v>393</v>
      </c>
      <c r="G119" s="469">
        <v>0</v>
      </c>
      <c r="H119" s="469">
        <v>0</v>
      </c>
      <c r="I119" s="469">
        <v>0</v>
      </c>
      <c r="J119" s="469">
        <v>0</v>
      </c>
      <c r="K119" s="469">
        <v>0</v>
      </c>
      <c r="L119" s="469">
        <v>0</v>
      </c>
      <c r="M119" s="469">
        <v>0</v>
      </c>
      <c r="N119" s="469">
        <v>0</v>
      </c>
      <c r="O119" s="469">
        <v>0</v>
      </c>
      <c r="P119" s="469">
        <v>0</v>
      </c>
      <c r="Q119" s="469">
        <v>0</v>
      </c>
      <c r="R119" s="469">
        <v>0</v>
      </c>
      <c r="S119" s="469">
        <v>0</v>
      </c>
      <c r="T119" s="469">
        <v>0</v>
      </c>
      <c r="U119" s="469">
        <v>0</v>
      </c>
      <c r="V119" s="469">
        <v>0</v>
      </c>
      <c r="W119" s="469">
        <v>0</v>
      </c>
      <c r="X119" s="469">
        <v>0</v>
      </c>
      <c r="Y119" s="469">
        <v>0</v>
      </c>
      <c r="Z119" s="469">
        <v>0</v>
      </c>
      <c r="AA119" s="469">
        <v>0</v>
      </c>
      <c r="AB119" s="469">
        <v>0</v>
      </c>
      <c r="AC119" s="469">
        <v>0</v>
      </c>
      <c r="AD119" s="469">
        <v>0</v>
      </c>
      <c r="AE119" s="469">
        <v>0</v>
      </c>
      <c r="AF119" s="469">
        <v>0</v>
      </c>
      <c r="AG119" s="469">
        <v>0</v>
      </c>
      <c r="AH119" s="469">
        <v>0</v>
      </c>
      <c r="AI119" s="469">
        <v>0</v>
      </c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</row>
    <row r="120" spans="1:51" x14ac:dyDescent="0.25">
      <c r="A120" s="1"/>
      <c r="B120" s="1"/>
      <c r="C120" s="1"/>
      <c r="D120" s="1"/>
      <c r="E120" s="139" t="str">
        <f>'5. LNG- ISO_Expansion'!$Z$12</f>
        <v>LNG ISO Exp 3</v>
      </c>
      <c r="F120" s="1" t="s">
        <v>393</v>
      </c>
      <c r="G120" s="469">
        <v>0</v>
      </c>
      <c r="H120" s="469">
        <v>0</v>
      </c>
      <c r="I120" s="469">
        <v>0</v>
      </c>
      <c r="J120" s="469">
        <v>0</v>
      </c>
      <c r="K120" s="469">
        <v>0</v>
      </c>
      <c r="L120" s="469">
        <v>0</v>
      </c>
      <c r="M120" s="469">
        <v>0</v>
      </c>
      <c r="N120" s="469">
        <v>0</v>
      </c>
      <c r="O120" s="469">
        <v>0</v>
      </c>
      <c r="P120" s="469">
        <v>0</v>
      </c>
      <c r="Q120" s="469">
        <v>0</v>
      </c>
      <c r="R120" s="469">
        <v>0</v>
      </c>
      <c r="S120" s="469">
        <v>0</v>
      </c>
      <c r="T120" s="469">
        <v>0</v>
      </c>
      <c r="U120" s="469">
        <v>0</v>
      </c>
      <c r="V120" s="469">
        <v>0</v>
      </c>
      <c r="W120" s="469">
        <v>0</v>
      </c>
      <c r="X120" s="469">
        <v>0</v>
      </c>
      <c r="Y120" s="469">
        <v>0</v>
      </c>
      <c r="Z120" s="469">
        <v>0</v>
      </c>
      <c r="AA120" s="469">
        <v>0</v>
      </c>
      <c r="AB120" s="469">
        <v>0</v>
      </c>
      <c r="AC120" s="469">
        <v>0</v>
      </c>
      <c r="AD120" s="469">
        <v>0</v>
      </c>
      <c r="AE120" s="469">
        <v>0</v>
      </c>
      <c r="AF120" s="469">
        <v>0</v>
      </c>
      <c r="AG120" s="469">
        <v>0</v>
      </c>
      <c r="AH120" s="469">
        <v>0</v>
      </c>
      <c r="AI120" s="469">
        <v>0</v>
      </c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</row>
    <row r="121" spans="1:51" x14ac:dyDescent="0.25">
      <c r="A121" s="1"/>
      <c r="B121" s="1"/>
      <c r="C121" s="1"/>
      <c r="D121" s="1"/>
      <c r="E121" s="139" t="str">
        <f>'5. LNG- ISO_Expansion'!$AA$12</f>
        <v>LNG ISO Exp 4</v>
      </c>
      <c r="F121" s="1" t="s">
        <v>393</v>
      </c>
      <c r="G121" s="469">
        <v>0</v>
      </c>
      <c r="H121" s="469">
        <v>0</v>
      </c>
      <c r="I121" s="469">
        <v>0</v>
      </c>
      <c r="J121" s="469">
        <v>0</v>
      </c>
      <c r="K121" s="469">
        <v>0</v>
      </c>
      <c r="L121" s="469">
        <v>0</v>
      </c>
      <c r="M121" s="469">
        <v>0</v>
      </c>
      <c r="N121" s="469">
        <v>0</v>
      </c>
      <c r="O121" s="469">
        <v>0</v>
      </c>
      <c r="P121" s="469">
        <v>0</v>
      </c>
      <c r="Q121" s="469">
        <v>0</v>
      </c>
      <c r="R121" s="469">
        <v>0</v>
      </c>
      <c r="S121" s="469">
        <v>0</v>
      </c>
      <c r="T121" s="469">
        <v>0</v>
      </c>
      <c r="U121" s="469">
        <v>0</v>
      </c>
      <c r="V121" s="469">
        <v>0</v>
      </c>
      <c r="W121" s="469">
        <v>0</v>
      </c>
      <c r="X121" s="469">
        <v>0</v>
      </c>
      <c r="Y121" s="469">
        <v>0</v>
      </c>
      <c r="Z121" s="469">
        <v>0</v>
      </c>
      <c r="AA121" s="469">
        <v>0</v>
      </c>
      <c r="AB121" s="469">
        <v>0</v>
      </c>
      <c r="AC121" s="469">
        <v>0</v>
      </c>
      <c r="AD121" s="469">
        <v>0</v>
      </c>
      <c r="AE121" s="469">
        <v>0</v>
      </c>
      <c r="AF121" s="469">
        <v>0</v>
      </c>
      <c r="AG121" s="469">
        <v>0</v>
      </c>
      <c r="AH121" s="469">
        <v>0</v>
      </c>
      <c r="AI121" s="469">
        <v>0</v>
      </c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</row>
    <row r="122" spans="1:51" x14ac:dyDescent="0.25">
      <c r="A122" s="1"/>
      <c r="B122" s="1"/>
      <c r="C122" s="1"/>
      <c r="D122" s="1"/>
      <c r="E122" s="139" t="str">
        <f>'5. LNG- ISO_Expansion'!$AB$12</f>
        <v>LNG ISO Exp 5</v>
      </c>
      <c r="F122" s="1" t="s">
        <v>393</v>
      </c>
      <c r="G122" s="469">
        <v>0</v>
      </c>
      <c r="H122" s="469">
        <v>0</v>
      </c>
      <c r="I122" s="469">
        <v>0</v>
      </c>
      <c r="J122" s="469">
        <v>0</v>
      </c>
      <c r="K122" s="469">
        <v>0</v>
      </c>
      <c r="L122" s="469">
        <v>0</v>
      </c>
      <c r="M122" s="469">
        <v>0</v>
      </c>
      <c r="N122" s="469">
        <v>0</v>
      </c>
      <c r="O122" s="469">
        <v>0</v>
      </c>
      <c r="P122" s="469">
        <v>0</v>
      </c>
      <c r="Q122" s="469">
        <v>0</v>
      </c>
      <c r="R122" s="469">
        <v>0</v>
      </c>
      <c r="S122" s="469">
        <v>0</v>
      </c>
      <c r="T122" s="469">
        <v>0</v>
      </c>
      <c r="U122" s="469">
        <v>0</v>
      </c>
      <c r="V122" s="469">
        <v>0</v>
      </c>
      <c r="W122" s="469">
        <v>0</v>
      </c>
      <c r="X122" s="469">
        <v>0</v>
      </c>
      <c r="Y122" s="469">
        <v>0</v>
      </c>
      <c r="Z122" s="469">
        <v>0</v>
      </c>
      <c r="AA122" s="469">
        <v>0</v>
      </c>
      <c r="AB122" s="469">
        <v>0</v>
      </c>
      <c r="AC122" s="469">
        <v>0</v>
      </c>
      <c r="AD122" s="469">
        <v>0</v>
      </c>
      <c r="AE122" s="469">
        <v>0</v>
      </c>
      <c r="AF122" s="469">
        <v>0</v>
      </c>
      <c r="AG122" s="469">
        <v>0</v>
      </c>
      <c r="AH122" s="469">
        <v>0</v>
      </c>
      <c r="AI122" s="469">
        <v>0</v>
      </c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</row>
    <row r="123" spans="1:51" x14ac:dyDescent="0.25">
      <c r="A123" s="1"/>
      <c r="B123" s="1"/>
      <c r="C123" s="1"/>
      <c r="D123" s="1"/>
      <c r="E123" s="139" t="s">
        <v>384</v>
      </c>
      <c r="F123" s="1" t="s">
        <v>393</v>
      </c>
      <c r="G123" s="469">
        <v>0</v>
      </c>
      <c r="H123" s="469">
        <v>0</v>
      </c>
      <c r="I123" s="469">
        <v>0</v>
      </c>
      <c r="J123" s="469">
        <v>0</v>
      </c>
      <c r="K123" s="469">
        <v>0</v>
      </c>
      <c r="L123" s="469">
        <v>0</v>
      </c>
      <c r="M123" s="469">
        <v>0</v>
      </c>
      <c r="N123" s="469">
        <v>0</v>
      </c>
      <c r="O123" s="469">
        <v>0</v>
      </c>
      <c r="P123" s="469">
        <v>0</v>
      </c>
      <c r="Q123" s="469">
        <v>0</v>
      </c>
      <c r="R123" s="469">
        <v>0</v>
      </c>
      <c r="S123" s="469">
        <v>0</v>
      </c>
      <c r="T123" s="469">
        <v>0</v>
      </c>
      <c r="U123" s="469">
        <v>0</v>
      </c>
      <c r="V123" s="469">
        <v>0</v>
      </c>
      <c r="W123" s="469">
        <v>0</v>
      </c>
      <c r="X123" s="469">
        <v>0</v>
      </c>
      <c r="Y123" s="469">
        <v>0</v>
      </c>
      <c r="Z123" s="469">
        <v>0</v>
      </c>
      <c r="AA123" s="469">
        <v>0</v>
      </c>
      <c r="AB123" s="469">
        <v>0</v>
      </c>
      <c r="AC123" s="469">
        <v>0</v>
      </c>
      <c r="AD123" s="469">
        <v>0</v>
      </c>
      <c r="AE123" s="469">
        <v>0</v>
      </c>
      <c r="AF123" s="469">
        <v>0</v>
      </c>
      <c r="AG123" s="469">
        <v>0</v>
      </c>
      <c r="AH123" s="469">
        <v>0</v>
      </c>
      <c r="AI123" s="469">
        <v>0</v>
      </c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</row>
    <row r="124" spans="1:51" x14ac:dyDescent="0.25">
      <c r="A124" s="1"/>
      <c r="B124" s="1"/>
      <c r="C124" s="1"/>
      <c r="D124" s="1"/>
      <c r="E124" s="1"/>
      <c r="F124" s="110" t="s">
        <v>352</v>
      </c>
      <c r="G124" s="456">
        <f t="shared" ref="G124:AI124" si="8">SUM(G104:G123)</f>
        <v>187346.44430513994</v>
      </c>
      <c r="H124" s="456">
        <f t="shared" si="8"/>
        <v>190325.5860261723</v>
      </c>
      <c r="I124" s="456">
        <f t="shared" si="8"/>
        <v>191475.30339899307</v>
      </c>
      <c r="J124" s="456">
        <f t="shared" si="8"/>
        <v>194115.87939825375</v>
      </c>
      <c r="K124" s="456">
        <f t="shared" si="8"/>
        <v>194991.9994291364</v>
      </c>
      <c r="L124" s="456">
        <f t="shared" si="8"/>
        <v>195788.59746220859</v>
      </c>
      <c r="M124" s="456">
        <f t="shared" si="8"/>
        <v>196686.12741385942</v>
      </c>
      <c r="N124" s="456">
        <f t="shared" si="8"/>
        <v>197673.24543319148</v>
      </c>
      <c r="O124" s="456">
        <f t="shared" si="8"/>
        <v>198689.77365965297</v>
      </c>
      <c r="P124" s="456">
        <f t="shared" si="8"/>
        <v>199668.0840171515</v>
      </c>
      <c r="Q124" s="456">
        <f t="shared" si="8"/>
        <v>200739.20011913864</v>
      </c>
      <c r="R124" s="456">
        <f t="shared" si="8"/>
        <v>201908.83626521146</v>
      </c>
      <c r="S124" s="456">
        <f t="shared" si="8"/>
        <v>203180.24436342064</v>
      </c>
      <c r="T124" s="456">
        <f>SUM(T104:T123)</f>
        <v>204434.87336835003</v>
      </c>
      <c r="U124" s="456">
        <f t="shared" si="8"/>
        <v>205632.64874883794</v>
      </c>
      <c r="V124" s="456">
        <f t="shared" si="8"/>
        <v>206925.97248914692</v>
      </c>
      <c r="W124" s="456">
        <f t="shared" si="8"/>
        <v>208226.26257424324</v>
      </c>
      <c r="X124" s="456">
        <f t="shared" si="8"/>
        <v>209721.40287005954</v>
      </c>
      <c r="Y124" s="456">
        <f t="shared" si="8"/>
        <v>210994.33810888685</v>
      </c>
      <c r="Z124" s="456">
        <f t="shared" si="8"/>
        <v>212424.39078834763</v>
      </c>
      <c r="AA124" s="456">
        <f t="shared" si="8"/>
        <v>214007.32255219104</v>
      </c>
      <c r="AB124" s="456">
        <f t="shared" si="8"/>
        <v>215405.8773130207</v>
      </c>
      <c r="AC124" s="456">
        <f t="shared" si="8"/>
        <v>216777.21642478509</v>
      </c>
      <c r="AD124" s="456">
        <f t="shared" si="8"/>
        <v>218472.96905932494</v>
      </c>
      <c r="AE124" s="456">
        <f t="shared" si="8"/>
        <v>218472.969059325</v>
      </c>
      <c r="AF124" s="456">
        <f t="shared" si="8"/>
        <v>218472.969059325</v>
      </c>
      <c r="AG124" s="456">
        <f t="shared" si="8"/>
        <v>218472.969059325</v>
      </c>
      <c r="AH124" s="456">
        <f t="shared" si="8"/>
        <v>218472.96905932494</v>
      </c>
      <c r="AI124" s="456">
        <f t="shared" si="8"/>
        <v>218472.96905932494</v>
      </c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</row>
    <row r="125" spans="1:51" x14ac:dyDescent="0.25">
      <c r="A125" s="1"/>
      <c r="B125" s="1"/>
      <c r="C125" s="1"/>
      <c r="D125" s="1"/>
      <c r="F125" s="110"/>
      <c r="G125" s="456"/>
      <c r="H125" s="456"/>
      <c r="I125" s="456"/>
      <c r="J125" s="456"/>
      <c r="K125" s="456"/>
      <c r="L125" s="456"/>
      <c r="M125" s="456"/>
      <c r="N125" s="456"/>
      <c r="O125" s="530"/>
      <c r="P125" s="456"/>
      <c r="Q125" s="456"/>
      <c r="R125" s="456"/>
      <c r="S125" s="456"/>
      <c r="T125" s="530"/>
      <c r="U125" s="456"/>
      <c r="V125" s="456"/>
      <c r="W125" s="456"/>
      <c r="X125" s="456"/>
      <c r="Y125" s="530"/>
      <c r="Z125" s="456"/>
      <c r="AA125" s="456"/>
      <c r="AB125" s="456"/>
      <c r="AC125" s="456"/>
      <c r="AD125" s="530"/>
      <c r="AE125" s="456"/>
      <c r="AF125" s="456"/>
      <c r="AG125" s="456"/>
      <c r="AH125" s="456"/>
      <c r="AI125" s="456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</row>
    <row r="126" spans="1:51" x14ac:dyDescent="0.25">
      <c r="A126" s="1"/>
      <c r="B126" s="1"/>
      <c r="C126" s="1"/>
      <c r="D126" s="1"/>
      <c r="E126" s="11" t="s">
        <v>734</v>
      </c>
      <c r="F126" s="1" t="s">
        <v>393</v>
      </c>
      <c r="G126" s="469"/>
      <c r="H126" s="469"/>
      <c r="I126" s="469"/>
      <c r="J126" s="469"/>
      <c r="K126" s="469"/>
      <c r="L126" s="469"/>
      <c r="M126" s="469"/>
      <c r="N126" s="469"/>
      <c r="O126" s="469"/>
      <c r="P126" s="469"/>
      <c r="Q126" s="469"/>
      <c r="R126" s="469"/>
      <c r="S126" s="469"/>
      <c r="T126" s="469">
        <v>0</v>
      </c>
      <c r="U126" s="469">
        <v>0</v>
      </c>
      <c r="V126" s="469">
        <v>0</v>
      </c>
      <c r="W126" s="469">
        <v>0</v>
      </c>
      <c r="X126" s="469">
        <v>0</v>
      </c>
      <c r="Y126" s="469">
        <v>0</v>
      </c>
      <c r="Z126" s="469">
        <v>0</v>
      </c>
      <c r="AA126" s="469">
        <v>0</v>
      </c>
      <c r="AB126" s="469">
        <v>0</v>
      </c>
      <c r="AC126" s="469">
        <v>0</v>
      </c>
      <c r="AD126" s="469">
        <v>0</v>
      </c>
      <c r="AE126" s="469"/>
      <c r="AF126" s="469"/>
      <c r="AG126" s="469"/>
      <c r="AH126" s="469"/>
      <c r="AI126" s="469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</row>
    <row r="127" spans="1:51" x14ac:dyDescent="0.25">
      <c r="A127" s="1"/>
      <c r="B127" s="1"/>
      <c r="C127" s="1"/>
      <c r="D127" s="1"/>
      <c r="E127" s="11" t="s">
        <v>735</v>
      </c>
      <c r="F127" s="1" t="s">
        <v>393</v>
      </c>
      <c r="G127" s="469"/>
      <c r="H127" s="469"/>
      <c r="I127" s="469"/>
      <c r="J127" s="469"/>
      <c r="K127" s="469"/>
      <c r="L127" s="469"/>
      <c r="M127" s="469"/>
      <c r="N127" s="469"/>
      <c r="O127" s="469"/>
      <c r="P127" s="469"/>
      <c r="Q127" s="469"/>
      <c r="R127" s="469"/>
      <c r="S127" s="469"/>
      <c r="T127" s="469"/>
      <c r="U127" s="469"/>
      <c r="V127" s="469"/>
      <c r="W127" s="469"/>
      <c r="X127" s="469"/>
      <c r="Y127" s="469">
        <v>229746.69935036817</v>
      </c>
      <c r="Z127" s="469">
        <v>231330.30251949368</v>
      </c>
      <c r="AA127" s="469">
        <v>233083.2000132259</v>
      </c>
      <c r="AB127" s="469">
        <v>234631.92320591316</v>
      </c>
      <c r="AC127" s="469">
        <v>236150.50849618012</v>
      </c>
      <c r="AD127" s="469">
        <v>238028.34088982514</v>
      </c>
      <c r="AE127" s="469"/>
      <c r="AF127" s="469"/>
      <c r="AG127" s="469"/>
      <c r="AH127" s="469"/>
      <c r="AI127" s="469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</row>
    <row r="128" spans="1:51" x14ac:dyDescent="0.25">
      <c r="A128" s="1"/>
      <c r="B128" s="1"/>
      <c r="C128" s="1"/>
      <c r="D128" s="1"/>
      <c r="E128" s="11" t="s">
        <v>749</v>
      </c>
      <c r="F128" s="1"/>
      <c r="G128" s="469"/>
      <c r="H128" s="469"/>
      <c r="I128" s="469"/>
      <c r="J128" s="469"/>
      <c r="K128" s="469"/>
      <c r="L128" s="469"/>
      <c r="M128" s="469"/>
      <c r="N128" s="469"/>
      <c r="O128" s="469"/>
      <c r="P128" s="469"/>
      <c r="Q128" s="469"/>
      <c r="R128" s="469"/>
      <c r="S128" s="469"/>
      <c r="T128" s="521">
        <v>0</v>
      </c>
      <c r="U128" s="521">
        <v>0</v>
      </c>
      <c r="V128" s="521">
        <v>0</v>
      </c>
      <c r="W128" s="521">
        <v>0</v>
      </c>
      <c r="X128" s="521">
        <v>0</v>
      </c>
      <c r="Y128" s="521">
        <v>0</v>
      </c>
      <c r="Z128" s="521">
        <v>0</v>
      </c>
      <c r="AA128" s="521">
        <v>0</v>
      </c>
      <c r="AB128" s="521">
        <v>0</v>
      </c>
      <c r="AC128" s="521">
        <v>0</v>
      </c>
      <c r="AD128" s="521">
        <v>0</v>
      </c>
      <c r="AE128" s="469"/>
      <c r="AF128" s="469"/>
      <c r="AG128" s="469"/>
      <c r="AH128" s="469"/>
      <c r="AI128" s="469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</row>
    <row r="129" spans="1:51" x14ac:dyDescent="0.25">
      <c r="A129" s="1"/>
      <c r="B129" s="1"/>
      <c r="C129" s="1"/>
      <c r="D129" s="1"/>
      <c r="E129" s="11" t="s">
        <v>738</v>
      </c>
      <c r="F129" s="1" t="s">
        <v>391</v>
      </c>
      <c r="G129" s="475"/>
      <c r="H129" s="475"/>
      <c r="I129" s="475"/>
      <c r="J129" s="475"/>
      <c r="K129" s="475"/>
      <c r="L129" s="475"/>
      <c r="M129" s="475"/>
      <c r="N129" s="475"/>
      <c r="O129" s="475"/>
      <c r="P129" s="475"/>
      <c r="Q129" s="475"/>
      <c r="R129" s="475"/>
      <c r="S129" s="475"/>
      <c r="T129" s="475">
        <v>0</v>
      </c>
      <c r="U129" s="475">
        <v>0</v>
      </c>
      <c r="V129" s="475">
        <v>0</v>
      </c>
      <c r="W129" s="475">
        <v>0</v>
      </c>
      <c r="X129" s="475">
        <v>0</v>
      </c>
      <c r="Y129" s="475">
        <v>0</v>
      </c>
      <c r="Z129" s="475">
        <v>0</v>
      </c>
      <c r="AA129" s="475">
        <v>0</v>
      </c>
      <c r="AB129" s="475">
        <v>0</v>
      </c>
      <c r="AC129" s="475">
        <v>0</v>
      </c>
      <c r="AD129" s="475">
        <v>0</v>
      </c>
      <c r="AE129" s="475"/>
      <c r="AF129" s="475"/>
      <c r="AG129" s="475"/>
      <c r="AH129" s="475"/>
      <c r="AI129" s="475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</row>
    <row r="130" spans="1:51" x14ac:dyDescent="0.25">
      <c r="A130" s="1"/>
      <c r="B130" s="1"/>
      <c r="C130" s="1"/>
      <c r="D130" s="1"/>
      <c r="E130" s="1"/>
      <c r="F130" s="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</row>
    <row r="131" spans="1:51" x14ac:dyDescent="0.25">
      <c r="A131" s="1"/>
      <c r="B131" s="1"/>
      <c r="C131" s="1"/>
      <c r="D131" s="1"/>
      <c r="E131" s="11" t="s">
        <v>736</v>
      </c>
      <c r="F131" s="1"/>
      <c r="G131" s="515">
        <v>0.97260184758874757</v>
      </c>
      <c r="H131" s="515">
        <v>0.9728942165103609</v>
      </c>
      <c r="I131" s="515">
        <v>0.97293496290993953</v>
      </c>
      <c r="J131" s="515">
        <v>0.9730628258811872</v>
      </c>
      <c r="K131" s="515">
        <v>0.97318211639309715</v>
      </c>
      <c r="L131" s="515">
        <v>0.97328966599507238</v>
      </c>
      <c r="M131" s="515">
        <v>0.97340981368002699</v>
      </c>
      <c r="N131" s="515">
        <v>0.9735407120895454</v>
      </c>
      <c r="O131" s="515">
        <v>0.97367417033738712</v>
      </c>
      <c r="P131" s="515">
        <v>0.97380134583856082</v>
      </c>
      <c r="Q131" s="515">
        <v>0.97393918394498891</v>
      </c>
      <c r="R131" s="515">
        <v>0.97408805305607404</v>
      </c>
      <c r="S131" s="515">
        <v>0.9742479582038398</v>
      </c>
      <c r="T131" s="515">
        <v>0.97440383006971021</v>
      </c>
      <c r="U131" s="515">
        <v>0.97455088810369395</v>
      </c>
      <c r="V131" s="515">
        <v>0.97470779151695019</v>
      </c>
      <c r="W131" s="515">
        <v>0.97486360169038544</v>
      </c>
      <c r="X131" s="515">
        <v>0.97504040414991067</v>
      </c>
      <c r="Y131" s="515">
        <v>0.9751889820440558</v>
      </c>
      <c r="Z131" s="515">
        <v>0.9753538029484824</v>
      </c>
      <c r="AA131" s="515">
        <v>0.97553370909567949</v>
      </c>
      <c r="AB131" s="515">
        <v>0.97569048871173947</v>
      </c>
      <c r="AC131" s="515">
        <v>0.97584227859139006</v>
      </c>
      <c r="AD131" s="515">
        <v>0.97602737577227916</v>
      </c>
      <c r="AE131" s="515">
        <v>0.97602737577227927</v>
      </c>
      <c r="AF131" s="515">
        <v>0.97602737577227927</v>
      </c>
      <c r="AG131" s="515">
        <v>0.97602737577227927</v>
      </c>
      <c r="AH131" s="515">
        <v>0.97602737577227916</v>
      </c>
      <c r="AI131" s="515">
        <v>0.97602737577227916</v>
      </c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</row>
    <row r="132" spans="1:51" x14ac:dyDescent="0.25">
      <c r="A132" s="1"/>
      <c r="B132" s="1"/>
      <c r="C132" s="1"/>
      <c r="D132" s="1"/>
      <c r="E132" s="11" t="s">
        <v>737</v>
      </c>
      <c r="F132" s="1"/>
      <c r="G132" s="515">
        <v>2.7403299570732398E-2</v>
      </c>
      <c r="H132" s="515">
        <v>2.7105783489639095E-2</v>
      </c>
      <c r="I132" s="515">
        <v>2.7065037090060463E-2</v>
      </c>
      <c r="J132" s="515">
        <v>2.6937174118812718E-2</v>
      </c>
      <c r="K132" s="515">
        <v>2.6817883606902754E-2</v>
      </c>
      <c r="L132" s="515">
        <v>2.6710334004927606E-2</v>
      </c>
      <c r="M132" s="515">
        <v>2.6590186319972977E-2</v>
      </c>
      <c r="N132" s="515">
        <v>2.645928791045455E-2</v>
      </c>
      <c r="O132" s="515">
        <v>2.6325829662612821E-2</v>
      </c>
      <c r="P132" s="515">
        <v>2.6198654161439131E-2</v>
      </c>
      <c r="Q132" s="515">
        <v>2.6060816055011107E-2</v>
      </c>
      <c r="R132" s="515">
        <v>2.591194694392587E-2</v>
      </c>
      <c r="S132" s="515">
        <v>2.5752041796160193E-2</v>
      </c>
      <c r="T132" s="515">
        <v>2.5596169930289795E-2</v>
      </c>
      <c r="U132" s="515">
        <v>2.5449111896306061E-2</v>
      </c>
      <c r="V132" s="515">
        <v>2.5292208483049815E-2</v>
      </c>
      <c r="W132" s="515">
        <v>2.5136398309614505E-2</v>
      </c>
      <c r="X132" s="515">
        <v>2.4959595850089306E-2</v>
      </c>
      <c r="Y132" s="515">
        <v>2.4811017955944335E-2</v>
      </c>
      <c r="Z132" s="515">
        <v>2.4646197051517559E-2</v>
      </c>
      <c r="AA132" s="515">
        <v>2.4466290904320509E-2</v>
      </c>
      <c r="AB132" s="515">
        <v>2.4309511288260529E-2</v>
      </c>
      <c r="AC132" s="515">
        <v>2.4157721408610104E-2</v>
      </c>
      <c r="AD132" s="515">
        <v>2.3972624227720687E-2</v>
      </c>
      <c r="AE132" s="515">
        <v>2.3972624227720687E-2</v>
      </c>
      <c r="AF132" s="515">
        <v>2.3972624227720687E-2</v>
      </c>
      <c r="AG132" s="515">
        <v>2.3972624227720687E-2</v>
      </c>
      <c r="AH132" s="515">
        <v>2.3972624227720687E-2</v>
      </c>
      <c r="AI132" s="515">
        <v>2.3972624227720687E-2</v>
      </c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</row>
    <row r="133" spans="1:51" x14ac:dyDescent="0.25">
      <c r="A133" s="1"/>
      <c r="B133" s="1"/>
      <c r="C133" s="1"/>
      <c r="D133" s="1"/>
      <c r="E133" s="1"/>
      <c r="F133" s="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</row>
    <row r="134" spans="1:51" x14ac:dyDescent="0.25">
      <c r="A134" s="1"/>
      <c r="B134" s="1"/>
      <c r="C134" s="1"/>
      <c r="D134" s="1"/>
      <c r="E134" s="1"/>
      <c r="F134" s="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</row>
    <row r="135" spans="1:51" x14ac:dyDescent="0.25">
      <c r="A135" s="1"/>
      <c r="B135" s="1"/>
      <c r="C135" s="1"/>
      <c r="D135" s="1"/>
      <c r="E135" s="11" t="s">
        <v>733</v>
      </c>
      <c r="F135" s="1"/>
      <c r="G135" s="1"/>
      <c r="H135" s="1"/>
      <c r="I135" s="1"/>
      <c r="J135" s="1"/>
      <c r="K135" s="1"/>
      <c r="L135" s="1"/>
      <c r="M135" s="1"/>
      <c r="N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</row>
    <row r="136" spans="1:51" x14ac:dyDescent="0.25">
      <c r="A136" s="1"/>
      <c r="B136" s="1"/>
      <c r="C136" s="1"/>
      <c r="D136" s="1"/>
      <c r="E136" s="1"/>
      <c r="F136" s="1"/>
      <c r="G136" s="110">
        <v>2022</v>
      </c>
      <c r="H136" s="110">
        <v>2023</v>
      </c>
      <c r="I136" s="110">
        <v>2024</v>
      </c>
      <c r="J136" s="110">
        <v>2025</v>
      </c>
      <c r="K136" s="110">
        <v>2026</v>
      </c>
      <c r="L136" s="110">
        <v>2027</v>
      </c>
      <c r="M136" s="110">
        <v>2028</v>
      </c>
      <c r="N136" s="110">
        <v>2029</v>
      </c>
      <c r="O136" s="110">
        <v>2030</v>
      </c>
      <c r="P136" s="110">
        <v>2031</v>
      </c>
      <c r="Q136" s="110">
        <v>2032</v>
      </c>
      <c r="R136" s="110">
        <v>2033</v>
      </c>
      <c r="S136" s="110">
        <v>2034</v>
      </c>
      <c r="T136" s="110">
        <v>2035</v>
      </c>
      <c r="U136" s="110">
        <v>2036</v>
      </c>
      <c r="V136" s="110">
        <v>2037</v>
      </c>
      <c r="W136" s="110">
        <v>2038</v>
      </c>
      <c r="X136" s="110">
        <v>2039</v>
      </c>
      <c r="Y136" s="110">
        <v>2040</v>
      </c>
      <c r="Z136" s="110">
        <v>2041</v>
      </c>
      <c r="AA136" s="110">
        <v>2042</v>
      </c>
      <c r="AB136" s="110">
        <v>2043</v>
      </c>
      <c r="AC136" s="110">
        <v>2044</v>
      </c>
      <c r="AD136" s="110">
        <v>2045</v>
      </c>
      <c r="AE136" s="110"/>
      <c r="AF136" s="110"/>
      <c r="AG136" s="110"/>
      <c r="AH136" s="110"/>
      <c r="AI136" s="110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</row>
    <row r="137" spans="1:51" x14ac:dyDescent="0.25">
      <c r="A137" s="1"/>
      <c r="B137" s="1"/>
      <c r="C137" s="1"/>
      <c r="D137" s="1"/>
      <c r="E137" s="1" t="s">
        <v>38</v>
      </c>
      <c r="F137" s="1"/>
      <c r="G137" s="495">
        <v>72.493925282380985</v>
      </c>
      <c r="H137" s="495">
        <v>69.735326759921975</v>
      </c>
      <c r="I137" s="495">
        <v>65.544236554220049</v>
      </c>
      <c r="J137" s="495">
        <v>66.578212229075262</v>
      </c>
      <c r="K137" s="495">
        <v>67.080180019900325</v>
      </c>
      <c r="L137" s="495">
        <v>67.741103567177547</v>
      </c>
      <c r="M137" s="495">
        <v>68.411479013333278</v>
      </c>
      <c r="N137" s="495">
        <v>68.964379507994337</v>
      </c>
      <c r="O137" s="495">
        <v>69.51671155016021</v>
      </c>
      <c r="P137" s="495">
        <v>70.166806175139129</v>
      </c>
      <c r="Q137" s="495">
        <v>70.707541703853281</v>
      </c>
      <c r="R137" s="495">
        <v>71.139420060844301</v>
      </c>
      <c r="S137" s="495">
        <v>71.439934944360616</v>
      </c>
      <c r="T137" s="495">
        <v>71.813823562213258</v>
      </c>
      <c r="U137" s="495">
        <v>72.315514786855289</v>
      </c>
      <c r="V137" s="495">
        <v>72.717358243915697</v>
      </c>
      <c r="W137" s="495">
        <v>73.147857572166572</v>
      </c>
      <c r="X137" s="495">
        <v>73.348610859134183</v>
      </c>
      <c r="Y137" s="495">
        <v>73.893776006054878</v>
      </c>
      <c r="Z137" s="495">
        <v>74.259293401671499</v>
      </c>
      <c r="AA137" s="495">
        <v>74.459667536733193</v>
      </c>
      <c r="AB137" s="495">
        <v>74.945557565292347</v>
      </c>
      <c r="AC137" s="495">
        <v>75.492470491119505</v>
      </c>
      <c r="AD137" s="495">
        <v>75.681944590844552</v>
      </c>
      <c r="AE137" s="495"/>
      <c r="AF137" s="495"/>
      <c r="AG137" s="495"/>
      <c r="AH137" s="495"/>
      <c r="AI137" s="495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</row>
    <row r="138" spans="1:51" x14ac:dyDescent="0.25">
      <c r="A138" s="1"/>
      <c r="B138" s="1"/>
      <c r="C138" s="1"/>
      <c r="D138" s="1"/>
      <c r="E138" s="1" t="s">
        <v>39</v>
      </c>
      <c r="F138" s="1"/>
      <c r="G138" s="495">
        <v>2046.371686727008</v>
      </c>
      <c r="H138" s="495">
        <v>1925.885433023793</v>
      </c>
      <c r="I138" s="495">
        <v>1736.5453190331089</v>
      </c>
      <c r="J138" s="495">
        <v>1774.3440942931718</v>
      </c>
      <c r="K138" s="495">
        <v>1789.9183925747284</v>
      </c>
      <c r="L138" s="495">
        <v>1813.1183416143065</v>
      </c>
      <c r="M138" s="495">
        <v>1835.7189060152666</v>
      </c>
      <c r="N138" s="495">
        <v>1853.5753840066504</v>
      </c>
      <c r="O138" s="495">
        <v>1871.5503738401173</v>
      </c>
      <c r="P138" s="495">
        <v>1893.6934820056101</v>
      </c>
      <c r="Q138" s="495">
        <v>1911.451347358427</v>
      </c>
      <c r="R138" s="495">
        <v>1924.8543754198543</v>
      </c>
      <c r="S138" s="495">
        <v>1932.9486798045602</v>
      </c>
      <c r="T138" s="495">
        <v>1944.2086353597706</v>
      </c>
      <c r="U138" s="495">
        <v>1960.8682095942979</v>
      </c>
      <c r="V138" s="495">
        <v>1973.551428112982</v>
      </c>
      <c r="W138" s="495">
        <v>1987.5360345835932</v>
      </c>
      <c r="X138" s="495">
        <v>1992.2198025236421</v>
      </c>
      <c r="Y138" s="495">
        <v>2011.1537749887711</v>
      </c>
      <c r="Z138" s="495">
        <v>2022.8428486113621</v>
      </c>
      <c r="AA138" s="495">
        <v>2027.8814517632798</v>
      </c>
      <c r="AB138" s="495">
        <v>2044.7338931355166</v>
      </c>
      <c r="AC138" s="495">
        <v>2064.1839756711956</v>
      </c>
      <c r="AD138" s="495">
        <v>2069.1671193937773</v>
      </c>
      <c r="AE138" s="495"/>
      <c r="AF138" s="495"/>
      <c r="AG138" s="495"/>
      <c r="AH138" s="495"/>
      <c r="AI138" s="495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</row>
    <row r="139" spans="1:51" x14ac:dyDescent="0.25">
      <c r="A139" s="1"/>
      <c r="B139" s="1"/>
      <c r="C139" s="1"/>
      <c r="D139" s="1"/>
      <c r="E139" s="1" t="s">
        <v>99</v>
      </c>
      <c r="F139" s="1"/>
      <c r="G139" s="495">
        <v>2151.7716907156255</v>
      </c>
      <c r="H139" s="495">
        <v>2025.0023190623556</v>
      </c>
      <c r="I139" s="495">
        <v>1825.7060172313923</v>
      </c>
      <c r="J139" s="495">
        <v>1865.3948450585906</v>
      </c>
      <c r="K139" s="495">
        <v>1881.7125234053406</v>
      </c>
      <c r="L139" s="495">
        <v>1906.0638555430924</v>
      </c>
      <c r="M139" s="495">
        <v>1929.7707735246722</v>
      </c>
      <c r="N139" s="495">
        <v>1948.4909148505442</v>
      </c>
      <c r="O139" s="495">
        <v>1967.3378140949426</v>
      </c>
      <c r="P139" s="495">
        <v>1990.569577195284</v>
      </c>
      <c r="Q139" s="495">
        <v>2009.1921723189073</v>
      </c>
      <c r="R139" s="495">
        <v>2023.2376673589952</v>
      </c>
      <c r="S139" s="495">
        <v>2031.7027190456126</v>
      </c>
      <c r="T139" s="495">
        <v>2043.4985418372555</v>
      </c>
      <c r="U139" s="495">
        <v>2060.9740417179464</v>
      </c>
      <c r="V139" s="495">
        <v>2074.2704741975385</v>
      </c>
      <c r="W139" s="495">
        <v>2088.9371339744803</v>
      </c>
      <c r="X139" s="495">
        <v>2093.8263576515737</v>
      </c>
      <c r="Y139" s="495">
        <v>2113.7006807050047</v>
      </c>
      <c r="Z139" s="495">
        <v>2125.9592786696039</v>
      </c>
      <c r="AA139" s="495">
        <v>2131.2271020382814</v>
      </c>
      <c r="AB139" s="495">
        <v>2148.9180784355503</v>
      </c>
      <c r="AC139" s="495">
        <v>2169.3418242054322</v>
      </c>
      <c r="AD139" s="495">
        <v>2174.5570413248738</v>
      </c>
      <c r="AE139" s="495"/>
      <c r="AF139" s="495"/>
      <c r="AG139" s="495"/>
      <c r="AH139" s="495"/>
      <c r="AI139" s="495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</row>
    <row r="140" spans="1:5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</row>
    <row r="141" spans="1:51" x14ac:dyDescent="0.25">
      <c r="A141" s="1"/>
      <c r="B141" s="1"/>
      <c r="C141" s="1"/>
      <c r="D141" s="1"/>
      <c r="E141" s="11" t="s">
        <v>748</v>
      </c>
      <c r="F141" s="1"/>
      <c r="G141" s="110">
        <v>2022</v>
      </c>
      <c r="H141" s="110">
        <v>2023</v>
      </c>
      <c r="I141" s="110">
        <v>2024</v>
      </c>
      <c r="J141" s="110">
        <v>2025</v>
      </c>
      <c r="K141" s="110">
        <v>2026</v>
      </c>
      <c r="L141" s="110">
        <v>2027</v>
      </c>
      <c r="M141" s="110">
        <v>2028</v>
      </c>
      <c r="N141" s="110">
        <v>2029</v>
      </c>
      <c r="O141" s="110">
        <v>2030</v>
      </c>
      <c r="P141" s="110">
        <v>2031</v>
      </c>
      <c r="Q141" s="110">
        <v>2032</v>
      </c>
      <c r="R141" s="110">
        <v>2033</v>
      </c>
      <c r="S141" s="110">
        <v>2034</v>
      </c>
      <c r="T141" s="110">
        <v>2035</v>
      </c>
      <c r="U141" s="110">
        <v>2036</v>
      </c>
      <c r="V141" s="110">
        <v>2037</v>
      </c>
      <c r="W141" s="110">
        <v>2038</v>
      </c>
      <c r="X141" s="110">
        <v>2039</v>
      </c>
      <c r="Y141" s="110">
        <v>2040</v>
      </c>
      <c r="Z141" s="110">
        <v>2041</v>
      </c>
      <c r="AA141" s="110">
        <v>2042</v>
      </c>
      <c r="AB141" s="110">
        <v>2043</v>
      </c>
      <c r="AC141" s="110">
        <v>2044</v>
      </c>
      <c r="AD141" s="110">
        <v>2045</v>
      </c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</row>
    <row r="142" spans="1:51" x14ac:dyDescent="0.25">
      <c r="A142" s="1"/>
      <c r="B142" s="1"/>
      <c r="C142" s="1"/>
      <c r="D142" s="1"/>
      <c r="E142" s="1" t="s">
        <v>739</v>
      </c>
      <c r="F142" s="1"/>
      <c r="G142" s="502">
        <v>40635163.308916375</v>
      </c>
      <c r="H142" s="502">
        <v>41155551.337437518</v>
      </c>
      <c r="I142" s="502">
        <v>41905849.820213951</v>
      </c>
      <c r="J142" s="502">
        <v>42454641.095224045</v>
      </c>
      <c r="K142" s="502">
        <v>42935749.678597182</v>
      </c>
      <c r="L142" s="502">
        <v>43308436.613734417</v>
      </c>
      <c r="M142" s="502">
        <v>43807713.669307679</v>
      </c>
      <c r="N142" s="502">
        <v>44303946.995083913</v>
      </c>
      <c r="O142" s="502">
        <v>44792514.506379455</v>
      </c>
      <c r="P142" s="502">
        <v>45268026.453833848</v>
      </c>
      <c r="Q142" s="502">
        <v>45740402.190881036</v>
      </c>
      <c r="R142" s="502">
        <v>46210692.360828221</v>
      </c>
      <c r="S142" s="502">
        <v>46679244.720756724</v>
      </c>
      <c r="T142" s="502">
        <v>47136999.542825699</v>
      </c>
      <c r="U142" s="502">
        <v>47580478.318671256</v>
      </c>
      <c r="V142" s="502">
        <v>48021379.857020952</v>
      </c>
      <c r="W142" s="502">
        <v>48453558.432761662</v>
      </c>
      <c r="X142" s="502">
        <v>48891254.879717864</v>
      </c>
      <c r="Y142" s="502">
        <v>49303101.220278166</v>
      </c>
      <c r="Z142" s="502">
        <v>49716862.28589458</v>
      </c>
      <c r="AA142" s="502">
        <v>50133769.211491399</v>
      </c>
      <c r="AB142" s="502">
        <v>50527865.751123339</v>
      </c>
      <c r="AC142" s="502">
        <v>50910114.16000893</v>
      </c>
      <c r="AD142" s="502">
        <v>51308359.689221211</v>
      </c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</row>
    <row r="143" spans="1:51" x14ac:dyDescent="0.25">
      <c r="A143" s="1"/>
      <c r="B143" s="1"/>
      <c r="C143" s="1"/>
      <c r="D143" s="1"/>
      <c r="E143" s="1" t="s">
        <v>31</v>
      </c>
      <c r="F143" s="1"/>
      <c r="G143" s="502">
        <v>15704657.261667445</v>
      </c>
      <c r="H143" s="502">
        <v>16582488.152137702</v>
      </c>
      <c r="I143" s="502">
        <v>16941648.27739979</v>
      </c>
      <c r="J143" s="502">
        <v>16979529.647946808</v>
      </c>
      <c r="K143" s="502">
        <v>16980647.83563837</v>
      </c>
      <c r="L143" s="502">
        <v>17053566.275524013</v>
      </c>
      <c r="M143" s="502">
        <v>17305624.204126336</v>
      </c>
      <c r="N143" s="502">
        <v>17554995.176602304</v>
      </c>
      <c r="O143" s="502">
        <v>17798655.351806428</v>
      </c>
      <c r="P143" s="502">
        <v>18033203.548085857</v>
      </c>
      <c r="Q143" s="502">
        <v>18265316.953006368</v>
      </c>
      <c r="R143" s="502">
        <v>18495316.366022997</v>
      </c>
      <c r="S143" s="502">
        <v>18723398.324574862</v>
      </c>
      <c r="T143" s="502">
        <v>18943580.887654342</v>
      </c>
      <c r="U143" s="502">
        <v>19153863.970620126</v>
      </c>
      <c r="V143" s="502">
        <v>19362012.661854565</v>
      </c>
      <c r="W143" s="502">
        <v>19563567.479454681</v>
      </c>
      <c r="X143" s="502">
        <v>19768094.987311859</v>
      </c>
      <c r="Y143" s="502">
        <v>19954473.510374613</v>
      </c>
      <c r="Z143" s="502">
        <v>20141982.952531327</v>
      </c>
      <c r="AA143" s="502">
        <v>20330445.691216819</v>
      </c>
      <c r="AB143" s="502">
        <v>20502790.68423697</v>
      </c>
      <c r="AC143" s="502">
        <v>20667029.861938592</v>
      </c>
      <c r="AD143" s="502">
        <v>20841041.489349321</v>
      </c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</row>
    <row r="144" spans="1:51" x14ac:dyDescent="0.25">
      <c r="A144" s="1"/>
      <c r="B144" s="1"/>
      <c r="C144" s="1"/>
      <c r="D144" s="1"/>
      <c r="E144" s="1"/>
      <c r="F144" s="1"/>
      <c r="G144" s="502"/>
      <c r="H144" s="502"/>
      <c r="I144" s="502"/>
      <c r="J144" s="502"/>
      <c r="K144" s="502"/>
      <c r="L144" s="502"/>
      <c r="M144" s="502"/>
      <c r="N144" s="502"/>
      <c r="O144" s="502"/>
      <c r="P144" s="502"/>
      <c r="Q144" s="502"/>
      <c r="R144" s="502"/>
      <c r="S144" s="502"/>
      <c r="T144" s="502"/>
      <c r="U144" s="502"/>
      <c r="V144" s="502"/>
      <c r="W144" s="502"/>
      <c r="X144" s="502"/>
      <c r="Y144" s="502"/>
      <c r="Z144" s="502"/>
      <c r="AA144" s="502"/>
      <c r="AB144" s="502"/>
      <c r="AC144" s="502"/>
      <c r="AD144" s="502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</row>
    <row r="145" spans="1:5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</row>
    <row r="146" spans="1:51" x14ac:dyDescent="0.25">
      <c r="A146" s="1"/>
      <c r="B146" s="1"/>
      <c r="C146" s="1"/>
      <c r="D146" s="1"/>
      <c r="E146" s="11" t="s">
        <v>742</v>
      </c>
      <c r="F146" s="1"/>
      <c r="G146" s="110">
        <v>2022</v>
      </c>
      <c r="H146" s="110">
        <v>2023</v>
      </c>
      <c r="I146" s="110">
        <v>2024</v>
      </c>
      <c r="J146" s="110">
        <v>2025</v>
      </c>
      <c r="K146" s="110">
        <v>2026</v>
      </c>
      <c r="L146" s="110">
        <v>2027</v>
      </c>
      <c r="M146" s="110">
        <v>2028</v>
      </c>
      <c r="N146" s="110">
        <v>2029</v>
      </c>
      <c r="O146" s="110">
        <v>2030</v>
      </c>
      <c r="P146" s="110">
        <v>2031</v>
      </c>
      <c r="Q146" s="110">
        <v>2032</v>
      </c>
      <c r="R146" s="110">
        <v>2033</v>
      </c>
      <c r="S146" s="110">
        <v>2034</v>
      </c>
      <c r="T146" s="110">
        <v>2035</v>
      </c>
      <c r="U146" s="110">
        <v>2036</v>
      </c>
      <c r="V146" s="110">
        <v>2037</v>
      </c>
      <c r="W146" s="110">
        <v>2038</v>
      </c>
      <c r="X146" s="110">
        <v>2039</v>
      </c>
      <c r="Y146" s="110">
        <v>2040</v>
      </c>
      <c r="Z146" s="110">
        <v>2041</v>
      </c>
      <c r="AA146" s="110">
        <v>2042</v>
      </c>
      <c r="AB146" s="110">
        <v>2043</v>
      </c>
      <c r="AC146" s="110">
        <v>2044</v>
      </c>
      <c r="AD146" s="110">
        <v>2045</v>
      </c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</row>
    <row r="147" spans="1:51" s="519" customFormat="1" x14ac:dyDescent="0.25">
      <c r="A147" s="517"/>
      <c r="B147" s="517"/>
      <c r="C147" s="517"/>
      <c r="D147" s="517"/>
      <c r="E147" s="517" t="s">
        <v>747</v>
      </c>
      <c r="F147" s="517"/>
      <c r="G147" s="518">
        <v>510.09298209496018</v>
      </c>
      <c r="H147" s="518">
        <v>514.34434362904028</v>
      </c>
      <c r="I147" s="518">
        <v>521.37418267960629</v>
      </c>
      <c r="J147" s="518">
        <v>524.23194835308129</v>
      </c>
      <c r="K147" s="518">
        <v>526.56627964465054</v>
      </c>
      <c r="L147" s="518">
        <v>528.66347151045954</v>
      </c>
      <c r="M147" s="518">
        <v>532.22175508910982</v>
      </c>
      <c r="N147" s="518">
        <v>535.54898353635861</v>
      </c>
      <c r="O147" s="518">
        <v>538.72455912735018</v>
      </c>
      <c r="P147" s="518">
        <v>541.83904092089529</v>
      </c>
      <c r="Q147" s="518">
        <v>544.71776665538039</v>
      </c>
      <c r="R147" s="518">
        <v>547.35712340633768</v>
      </c>
      <c r="S147" s="518">
        <v>549.75398367830735</v>
      </c>
      <c r="T147" s="518">
        <v>552.07090707180669</v>
      </c>
      <c r="U147" s="518">
        <v>554.36222247963906</v>
      </c>
      <c r="V147" s="518">
        <v>556.42263292260782</v>
      </c>
      <c r="W147" s="518">
        <v>558.37886020246856</v>
      </c>
      <c r="X147" s="518">
        <v>559.97574091577098</v>
      </c>
      <c r="Y147" s="518">
        <v>561.78783036785342</v>
      </c>
      <c r="Z147" s="518">
        <v>563.29205965992401</v>
      </c>
      <c r="AA147" s="518">
        <v>564.50696558587788</v>
      </c>
      <c r="AB147" s="518">
        <v>565.89187981553232</v>
      </c>
      <c r="AC147" s="518">
        <v>567.22824781785482</v>
      </c>
      <c r="AD147" s="518">
        <v>568.04972897754408</v>
      </c>
      <c r="AE147" s="517"/>
      <c r="AF147" s="517"/>
      <c r="AG147" s="517"/>
      <c r="AH147" s="517"/>
      <c r="AI147" s="517"/>
      <c r="AJ147" s="517"/>
      <c r="AK147" s="517"/>
      <c r="AL147" s="517"/>
      <c r="AM147" s="517"/>
      <c r="AN147" s="517"/>
      <c r="AO147" s="517"/>
      <c r="AP147" s="517"/>
      <c r="AQ147" s="517"/>
      <c r="AR147" s="517"/>
      <c r="AS147" s="517"/>
      <c r="AT147" s="517"/>
      <c r="AU147" s="517"/>
      <c r="AV147" s="517"/>
      <c r="AW147" s="517"/>
      <c r="AX147" s="517"/>
      <c r="AY147" s="517"/>
    </row>
    <row r="148" spans="1:51" x14ac:dyDescent="0.25">
      <c r="A148" s="1"/>
      <c r="B148" s="1"/>
      <c r="C148" s="1"/>
      <c r="D148" s="1"/>
      <c r="E148" s="1" t="s">
        <v>743</v>
      </c>
      <c r="F148" s="1"/>
      <c r="G148" s="502">
        <v>26.846999057629489</v>
      </c>
      <c r="H148" s="502">
        <v>27.070754927844291</v>
      </c>
      <c r="I148" s="502">
        <v>27.440746456821444</v>
      </c>
      <c r="J148" s="502">
        <v>27.591155176477969</v>
      </c>
      <c r="K148" s="502">
        <v>27.714014718139424</v>
      </c>
      <c r="L148" s="502">
        <v>27.824393237392655</v>
      </c>
      <c r="M148" s="502">
        <v>28.011671320479536</v>
      </c>
      <c r="N148" s="502">
        <v>28.186788607176709</v>
      </c>
      <c r="O148" s="502">
        <v>28.353924164597402</v>
      </c>
      <c r="P148" s="502">
        <v>28.517844258994501</v>
      </c>
      <c r="Q148" s="502">
        <v>28.669356139756815</v>
      </c>
      <c r="R148" s="502">
        <v>28.808269652965237</v>
      </c>
      <c r="S148" s="502">
        <v>28.934420193595201</v>
      </c>
      <c r="T148" s="502">
        <v>29.056363530095155</v>
      </c>
      <c r="U148" s="502">
        <v>29.176959077875722</v>
      </c>
      <c r="V148" s="502">
        <v>29.285401732768946</v>
      </c>
      <c r="W148" s="502">
        <v>29.388361063287789</v>
      </c>
      <c r="X148" s="502">
        <v>29.47240741661949</v>
      </c>
      <c r="Y148" s="502">
        <v>29.567780545676555</v>
      </c>
      <c r="Z148" s="502">
        <v>29.646950508416921</v>
      </c>
      <c r="AA148" s="502">
        <v>29.71089292557258</v>
      </c>
      <c r="AB148" s="502">
        <v>29.783783148185876</v>
      </c>
      <c r="AC148" s="502">
        <v>29.854118306202849</v>
      </c>
      <c r="AD148" s="502">
        <v>29.897354156712709</v>
      </c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</row>
    <row r="149" spans="1:51" x14ac:dyDescent="0.25">
      <c r="A149" s="1"/>
      <c r="B149" s="1"/>
      <c r="C149" s="1"/>
      <c r="D149" s="1"/>
      <c r="E149" s="1" t="s">
        <v>744</v>
      </c>
      <c r="F149" s="1"/>
      <c r="G149" s="502">
        <v>56.676998010551017</v>
      </c>
      <c r="H149" s="502">
        <v>57.149371514337759</v>
      </c>
      <c r="I149" s="502">
        <v>57.930464742178515</v>
      </c>
      <c r="J149" s="502">
        <v>58.247994261453414</v>
      </c>
      <c r="K149" s="502">
        <v>58.507364404961095</v>
      </c>
      <c r="L149" s="502">
        <v>58.740385723384406</v>
      </c>
      <c r="M149" s="502">
        <v>59.135750565456647</v>
      </c>
      <c r="N149" s="502">
        <v>59.505442615150969</v>
      </c>
      <c r="O149" s="502">
        <v>59.858284347483277</v>
      </c>
      <c r="P149" s="502">
        <v>60.204337880099501</v>
      </c>
      <c r="Q149" s="502">
        <v>60.524196295042316</v>
      </c>
      <c r="R149" s="502">
        <v>60.817458156259704</v>
      </c>
      <c r="S149" s="502">
        <v>61.083775964256347</v>
      </c>
      <c r="T149" s="502">
        <v>61.341211896867435</v>
      </c>
      <c r="U149" s="502">
        <v>61.595802497737736</v>
      </c>
      <c r="V149" s="502">
        <v>61.824736991400869</v>
      </c>
      <c r="W149" s="502">
        <v>62.042095578051999</v>
      </c>
      <c r="X149" s="502">
        <v>62.219526768418973</v>
      </c>
      <c r="Y149" s="502">
        <v>62.420870040872614</v>
      </c>
      <c r="Z149" s="502">
        <v>62.588006628880294</v>
      </c>
      <c r="AA149" s="502">
        <v>62.722996176208653</v>
      </c>
      <c r="AB149" s="502">
        <v>62.876875535059071</v>
      </c>
      <c r="AC149" s="502">
        <v>63.025360868650523</v>
      </c>
      <c r="AD149" s="502">
        <v>63.116636553060403</v>
      </c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</row>
    <row r="150" spans="1:51" x14ac:dyDescent="0.25">
      <c r="A150" s="1"/>
      <c r="B150" s="1"/>
      <c r="C150" s="1"/>
      <c r="D150" s="1"/>
      <c r="E150" s="1" t="s">
        <v>745</v>
      </c>
      <c r="F150" s="1"/>
      <c r="G150" s="502">
        <v>127.52324552374006</v>
      </c>
      <c r="H150" s="502">
        <v>128.58608590725999</v>
      </c>
      <c r="I150" s="502">
        <v>130.34354566990157</v>
      </c>
      <c r="J150" s="502">
        <v>131.05798708827035</v>
      </c>
      <c r="K150" s="502">
        <v>131.64156991116249</v>
      </c>
      <c r="L150" s="502">
        <v>132.16586787761491</v>
      </c>
      <c r="M150" s="502">
        <v>133.0554387722774</v>
      </c>
      <c r="N150" s="502">
        <v>133.88724588408957</v>
      </c>
      <c r="O150" s="502">
        <v>134.68113978183749</v>
      </c>
      <c r="P150" s="502">
        <v>135.45976023022376</v>
      </c>
      <c r="Q150" s="502">
        <v>136.17944166384507</v>
      </c>
      <c r="R150" s="502">
        <v>136.83928085158436</v>
      </c>
      <c r="S150" s="502">
        <v>137.43849591957689</v>
      </c>
      <c r="T150" s="502">
        <v>138.01772676795167</v>
      </c>
      <c r="U150" s="502">
        <v>138.59055561990976</v>
      </c>
      <c r="V150" s="502">
        <v>139.1056582306519</v>
      </c>
      <c r="W150" s="502">
        <v>139.59471505061697</v>
      </c>
      <c r="X150" s="502">
        <v>139.99393522894275</v>
      </c>
      <c r="Y150" s="502">
        <v>140.44695759196327</v>
      </c>
      <c r="Z150" s="502">
        <v>140.82301491498083</v>
      </c>
      <c r="AA150" s="502">
        <v>141.12674139646947</v>
      </c>
      <c r="AB150" s="502">
        <v>141.47296995388297</v>
      </c>
      <c r="AC150" s="502">
        <v>141.80706195446362</v>
      </c>
      <c r="AD150" s="502">
        <v>142.01243224438599</v>
      </c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</row>
    <row r="151" spans="1:51" x14ac:dyDescent="0.25">
      <c r="A151" s="1"/>
      <c r="B151" s="1"/>
      <c r="C151" s="1"/>
      <c r="D151" s="1"/>
      <c r="E151" s="1" t="s">
        <v>746</v>
      </c>
      <c r="F151" s="1"/>
      <c r="G151" s="502">
        <v>218.6112780406973</v>
      </c>
      <c r="H151" s="502">
        <v>220.43329012673155</v>
      </c>
      <c r="I151" s="502">
        <v>223.44607829125994</v>
      </c>
      <c r="J151" s="502">
        <v>224.67083500846343</v>
      </c>
      <c r="K151" s="502">
        <v>225.67126270485028</v>
      </c>
      <c r="L151" s="502">
        <v>226.57005921876839</v>
      </c>
      <c r="M151" s="502">
        <v>228.09503789533289</v>
      </c>
      <c r="N151" s="502">
        <v>229.5209929441537</v>
      </c>
      <c r="O151" s="502">
        <v>230.88195391172133</v>
      </c>
      <c r="P151" s="502">
        <v>232.21673182324093</v>
      </c>
      <c r="Q151" s="502">
        <v>233.45047142373448</v>
      </c>
      <c r="R151" s="502">
        <v>234.58162431700191</v>
      </c>
      <c r="S151" s="502">
        <v>235.60885014784606</v>
      </c>
      <c r="T151" s="502">
        <v>236.60181731648868</v>
      </c>
      <c r="U151" s="502">
        <v>237.58380963413128</v>
      </c>
      <c r="V151" s="502">
        <v>238.46684268111778</v>
      </c>
      <c r="W151" s="502">
        <v>239.30522580105799</v>
      </c>
      <c r="X151" s="502">
        <v>239.98960324961615</v>
      </c>
      <c r="Y151" s="502">
        <v>240.76621301479452</v>
      </c>
      <c r="Z151" s="502">
        <v>241.4108827113962</v>
      </c>
      <c r="AA151" s="502">
        <v>241.93155667966198</v>
      </c>
      <c r="AB151" s="502">
        <v>242.52509134951379</v>
      </c>
      <c r="AC151" s="502">
        <v>243.09782049336627</v>
      </c>
      <c r="AD151" s="502">
        <v>243.44988384751878</v>
      </c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</row>
    <row r="152" spans="1:5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</row>
    <row r="153" spans="1:51" x14ac:dyDescent="0.25">
      <c r="A153" s="1"/>
      <c r="B153" s="1"/>
      <c r="C153" s="1"/>
      <c r="D153" s="1"/>
      <c r="E153" s="1" t="s">
        <v>743</v>
      </c>
      <c r="F153" s="1"/>
      <c r="G153" s="520">
        <v>5.2631578947368432E-2</v>
      </c>
      <c r="H153" s="520">
        <v>5.263157894736855E-2</v>
      </c>
      <c r="I153" s="520">
        <v>5.2631578947368536E-2</v>
      </c>
      <c r="J153" s="520">
        <v>5.2631578947368432E-2</v>
      </c>
      <c r="K153" s="520">
        <v>5.2631578947368272E-2</v>
      </c>
      <c r="L153" s="520">
        <v>5.2631578947368508E-2</v>
      </c>
      <c r="M153" s="520">
        <v>5.2631578947368557E-2</v>
      </c>
      <c r="N153" s="520">
        <v>5.2631578947368307E-2</v>
      </c>
      <c r="O153" s="520">
        <v>5.2631578947368467E-2</v>
      </c>
      <c r="P153" s="520">
        <v>5.2631578947368446E-2</v>
      </c>
      <c r="Q153" s="520">
        <v>5.2631578947368335E-2</v>
      </c>
      <c r="R153" s="520">
        <v>5.2631578947368599E-2</v>
      </c>
      <c r="S153" s="520">
        <v>5.2631578947368564E-2</v>
      </c>
      <c r="T153" s="520">
        <v>5.2631578947368543E-2</v>
      </c>
      <c r="U153" s="520">
        <v>5.263157894736839E-2</v>
      </c>
      <c r="V153" s="520">
        <v>5.2631578947368626E-2</v>
      </c>
      <c r="W153" s="520">
        <v>5.263157894736837E-2</v>
      </c>
      <c r="X153" s="520">
        <v>5.2631578947368356E-2</v>
      </c>
      <c r="Y153" s="520">
        <v>5.2631578947368529E-2</v>
      </c>
      <c r="Z153" s="520">
        <v>5.2631578947368189E-2</v>
      </c>
      <c r="AA153" s="520">
        <v>5.2631578947368529E-2</v>
      </c>
      <c r="AB153" s="520">
        <v>5.2631578947368356E-2</v>
      </c>
      <c r="AC153" s="520">
        <v>5.2631578947368356E-2</v>
      </c>
      <c r="AD153" s="520">
        <v>5.2631578947368182E-2</v>
      </c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</row>
    <row r="154" spans="1:51" x14ac:dyDescent="0.25">
      <c r="A154" s="1"/>
      <c r="B154" s="1"/>
      <c r="C154" s="1"/>
      <c r="D154" s="1"/>
      <c r="E154" s="1" t="s">
        <v>744</v>
      </c>
      <c r="F154" s="1"/>
      <c r="G154" s="520">
        <v>0.11111111111111088</v>
      </c>
      <c r="H154" s="520">
        <v>0.11111111111111101</v>
      </c>
      <c r="I154" s="520">
        <v>0.11111111111111119</v>
      </c>
      <c r="J154" s="520">
        <v>0.11111111111111099</v>
      </c>
      <c r="K154" s="520">
        <v>0.11111111111111097</v>
      </c>
      <c r="L154" s="520">
        <v>0.11111111111111113</v>
      </c>
      <c r="M154" s="520">
        <v>0.1111111111111111</v>
      </c>
      <c r="N154" s="520">
        <v>0.11111111111111113</v>
      </c>
      <c r="O154" s="520">
        <v>0.11111111111111097</v>
      </c>
      <c r="P154" s="520">
        <v>0.11111111111111116</v>
      </c>
      <c r="Q154" s="520">
        <v>0.1111111111111112</v>
      </c>
      <c r="R154" s="520">
        <v>0.11111111111111104</v>
      </c>
      <c r="S154" s="520">
        <v>0.11111111111111106</v>
      </c>
      <c r="T154" s="520">
        <v>0.11111111111111116</v>
      </c>
      <c r="U154" s="520">
        <v>0.11111111111111123</v>
      </c>
      <c r="V154" s="520">
        <v>0.1111111111111111</v>
      </c>
      <c r="W154" s="520">
        <v>0.11111111111111099</v>
      </c>
      <c r="X154" s="520">
        <v>0.11111111111111106</v>
      </c>
      <c r="Y154" s="520">
        <v>0.11111111111111113</v>
      </c>
      <c r="Z154" s="520">
        <v>0.11111111111111084</v>
      </c>
      <c r="AA154" s="520">
        <v>0.1111111111111111</v>
      </c>
      <c r="AB154" s="520">
        <v>0.11111111111111098</v>
      </c>
      <c r="AC154" s="520">
        <v>0.11111111111111109</v>
      </c>
      <c r="AD154" s="520">
        <v>0.11111111111111102</v>
      </c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</row>
    <row r="155" spans="1:51" x14ac:dyDescent="0.25">
      <c r="A155" s="1"/>
      <c r="B155" s="1"/>
      <c r="C155" s="1"/>
      <c r="D155" s="1"/>
      <c r="E155" s="1" t="s">
        <v>745</v>
      </c>
      <c r="F155" s="1"/>
      <c r="G155" s="520">
        <v>0.25000000000000006</v>
      </c>
      <c r="H155" s="520">
        <v>0.24999999999999983</v>
      </c>
      <c r="I155" s="520">
        <v>0.25</v>
      </c>
      <c r="J155" s="520">
        <v>0.25000000000000006</v>
      </c>
      <c r="K155" s="520">
        <v>0.24999999999999972</v>
      </c>
      <c r="L155" s="520">
        <v>0.25000000000000006</v>
      </c>
      <c r="M155" s="520">
        <v>0.24999999999999989</v>
      </c>
      <c r="N155" s="520">
        <v>0.24999999999999983</v>
      </c>
      <c r="O155" s="520">
        <v>0.24999999999999989</v>
      </c>
      <c r="P155" s="520">
        <v>0.24999999999999989</v>
      </c>
      <c r="Q155" s="520">
        <v>0.24999999999999994</v>
      </c>
      <c r="R155" s="520">
        <v>0.24999999999999989</v>
      </c>
      <c r="S155" s="520">
        <v>0.25000000000000011</v>
      </c>
      <c r="T155" s="520">
        <v>0.25</v>
      </c>
      <c r="U155" s="520">
        <v>0.25</v>
      </c>
      <c r="V155" s="520">
        <v>0.24999999999999989</v>
      </c>
      <c r="W155" s="520">
        <v>0.24999999999999969</v>
      </c>
      <c r="X155" s="520">
        <v>0.25</v>
      </c>
      <c r="Y155" s="520">
        <v>0.24999999999999986</v>
      </c>
      <c r="Z155" s="520">
        <v>0.24999999999999969</v>
      </c>
      <c r="AA155" s="520">
        <v>0.25</v>
      </c>
      <c r="AB155" s="520">
        <v>0.24999999999999981</v>
      </c>
      <c r="AC155" s="520">
        <v>0.24999999999999986</v>
      </c>
      <c r="AD155" s="520">
        <v>0.24999999999999994</v>
      </c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</row>
    <row r="156" spans="1:51" x14ac:dyDescent="0.25">
      <c r="A156" s="1"/>
      <c r="B156" s="1"/>
      <c r="C156" s="1"/>
      <c r="D156" s="1"/>
      <c r="E156" s="1" t="s">
        <v>746</v>
      </c>
      <c r="F156" s="1"/>
      <c r="G156" s="520">
        <v>0.42857142857142871</v>
      </c>
      <c r="H156" s="520">
        <v>0.42857142857142855</v>
      </c>
      <c r="I156" s="520">
        <v>0.42857142857142877</v>
      </c>
      <c r="J156" s="520">
        <v>0.4285714285714286</v>
      </c>
      <c r="K156" s="520">
        <v>0.42857142857142866</v>
      </c>
      <c r="L156" s="520">
        <v>0.4285714285714286</v>
      </c>
      <c r="M156" s="520">
        <v>0.42857142857142877</v>
      </c>
      <c r="N156" s="520">
        <v>0.4285714285714286</v>
      </c>
      <c r="O156" s="520">
        <v>0.42857142857142821</v>
      </c>
      <c r="P156" s="520">
        <v>0.42857142857142877</v>
      </c>
      <c r="Q156" s="520">
        <v>0.42857142857142866</v>
      </c>
      <c r="R156" s="520">
        <v>0.42857142857142866</v>
      </c>
      <c r="S156" s="520">
        <v>0.42857142857142866</v>
      </c>
      <c r="T156" s="520">
        <v>0.42857142857142877</v>
      </c>
      <c r="U156" s="520">
        <v>0.42857142857142905</v>
      </c>
      <c r="V156" s="520">
        <v>0.42857142857142883</v>
      </c>
      <c r="W156" s="520">
        <v>0.4285714285714286</v>
      </c>
      <c r="X156" s="520">
        <v>0.4285714285714286</v>
      </c>
      <c r="Y156" s="520">
        <v>0.42857142857142894</v>
      </c>
      <c r="Z156" s="520">
        <v>0.42857142857142894</v>
      </c>
      <c r="AA156" s="520">
        <v>0.4285714285714286</v>
      </c>
      <c r="AB156" s="520">
        <v>0.42857142857142844</v>
      </c>
      <c r="AC156" s="520">
        <v>0.42857142857142844</v>
      </c>
      <c r="AD156" s="520">
        <v>0.42857142857142838</v>
      </c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</row>
    <row r="157" spans="1:5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</row>
    <row r="158" spans="1:5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</row>
    <row r="159" spans="1:5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</row>
    <row r="160" spans="1:5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</row>
    <row r="161" spans="1:5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</row>
    <row r="162" spans="1:5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</row>
    <row r="163" spans="1:5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</row>
    <row r="164" spans="1:5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</row>
    <row r="165" spans="1:5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</row>
    <row r="166" spans="1:5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</row>
    <row r="167" spans="1:5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P167" s="1"/>
      <c r="Q167" s="1"/>
      <c r="R167" s="1"/>
      <c r="S167" s="1"/>
      <c r="T167" s="1"/>
      <c r="U167" s="1"/>
      <c r="V167" s="1"/>
      <c r="W167" s="1"/>
      <c r="X167" s="1"/>
      <c r="Y167" s="182"/>
      <c r="Z167" s="182"/>
      <c r="AA167" s="182"/>
      <c r="AB167" s="182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</row>
    <row r="168" spans="1:5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</row>
    <row r="169" spans="1:5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</row>
    <row r="171" spans="1:51" s="1" customFormat="1" x14ac:dyDescent="0.25"/>
    <row r="172" spans="1:51" s="1" customFormat="1" x14ac:dyDescent="0.25"/>
    <row r="173" spans="1:51" s="1" customFormat="1" x14ac:dyDescent="0.25"/>
    <row r="174" spans="1:51" s="1" customFormat="1" x14ac:dyDescent="0.25"/>
    <row r="175" spans="1:51" s="1" customFormat="1" x14ac:dyDescent="0.25"/>
    <row r="176" spans="1:51" s="1" customFormat="1" x14ac:dyDescent="0.25"/>
    <row r="177" s="1" customFormat="1" x14ac:dyDescent="0.25"/>
    <row r="178" s="1" customFormat="1" x14ac:dyDescent="0.25"/>
    <row r="179" s="1" customFormat="1" x14ac:dyDescent="0.25"/>
    <row r="180" s="1" customFormat="1" x14ac:dyDescent="0.25"/>
    <row r="181" s="1" customFormat="1" x14ac:dyDescent="0.25"/>
    <row r="182" s="1" customFormat="1" x14ac:dyDescent="0.25"/>
    <row r="183" s="1" customFormat="1" x14ac:dyDescent="0.25"/>
    <row r="184" s="1" customFormat="1" x14ac:dyDescent="0.25"/>
    <row r="185" s="1" customFormat="1" x14ac:dyDescent="0.25"/>
    <row r="186" s="1" customFormat="1" x14ac:dyDescent="0.25"/>
    <row r="187" s="1" customFormat="1" x14ac:dyDescent="0.25"/>
    <row r="188" s="1" customFormat="1" x14ac:dyDescent="0.25"/>
    <row r="189" s="1" customFormat="1" x14ac:dyDescent="0.25"/>
    <row r="190" s="1" customFormat="1" x14ac:dyDescent="0.25"/>
    <row r="191" s="1" customFormat="1" x14ac:dyDescent="0.25"/>
    <row r="192" s="1" customFormat="1" x14ac:dyDescent="0.25"/>
    <row r="193" s="1" customFormat="1" x14ac:dyDescent="0.25"/>
    <row r="194" s="1" customFormat="1" x14ac:dyDescent="0.25"/>
    <row r="195" s="1" customFormat="1" x14ac:dyDescent="0.25"/>
    <row r="196" s="1" customFormat="1" x14ac:dyDescent="0.25"/>
    <row r="197" s="1" customFormat="1" x14ac:dyDescent="0.25"/>
    <row r="198" s="1" customFormat="1" x14ac:dyDescent="0.25"/>
    <row r="199" s="1" customFormat="1" x14ac:dyDescent="0.25"/>
    <row r="200" s="1" customFormat="1" x14ac:dyDescent="0.25"/>
    <row r="201" s="1" customFormat="1" x14ac:dyDescent="0.25"/>
    <row r="202" s="1" customFormat="1" x14ac:dyDescent="0.25"/>
    <row r="203" s="1" customFormat="1" x14ac:dyDescent="0.25"/>
    <row r="204" s="1" customFormat="1" x14ac:dyDescent="0.25"/>
    <row r="205" s="1" customFormat="1" x14ac:dyDescent="0.25"/>
    <row r="206" s="1" customFormat="1" x14ac:dyDescent="0.25"/>
    <row r="207" s="1" customFormat="1" x14ac:dyDescent="0.25"/>
    <row r="208" s="1" customFormat="1" x14ac:dyDescent="0.25"/>
    <row r="209" s="1" customFormat="1" x14ac:dyDescent="0.25"/>
    <row r="210" s="1" customFormat="1" x14ac:dyDescent="0.25"/>
    <row r="211" s="1" customFormat="1" x14ac:dyDescent="0.25"/>
    <row r="212" s="1" customFormat="1" x14ac:dyDescent="0.25"/>
    <row r="213" s="1" customFormat="1" x14ac:dyDescent="0.25"/>
    <row r="214" s="1" customFormat="1" x14ac:dyDescent="0.25"/>
    <row r="215" s="1" customFormat="1" x14ac:dyDescent="0.25"/>
    <row r="216" s="1" customFormat="1" x14ac:dyDescent="0.25"/>
    <row r="217" s="1" customFormat="1" x14ac:dyDescent="0.25"/>
    <row r="218" s="1" customFormat="1" x14ac:dyDescent="0.25"/>
    <row r="219" s="1" customFormat="1" x14ac:dyDescent="0.25"/>
    <row r="220" s="1" customFormat="1" x14ac:dyDescent="0.25"/>
    <row r="221" s="1" customFormat="1" x14ac:dyDescent="0.25"/>
    <row r="222" s="1" customFormat="1" x14ac:dyDescent="0.25"/>
    <row r="223" s="1" customFormat="1" x14ac:dyDescent="0.25"/>
    <row r="224" s="1" customFormat="1" x14ac:dyDescent="0.25"/>
    <row r="225" s="1" customFormat="1" x14ac:dyDescent="0.25"/>
    <row r="226" s="1" customFormat="1" x14ac:dyDescent="0.25"/>
    <row r="227" s="1" customFormat="1" x14ac:dyDescent="0.25"/>
    <row r="228" s="1" customFormat="1" x14ac:dyDescent="0.25"/>
    <row r="229" s="1" customFormat="1" x14ac:dyDescent="0.25"/>
    <row r="230" s="1" customFormat="1" x14ac:dyDescent="0.25"/>
    <row r="231" s="1" customFormat="1" x14ac:dyDescent="0.25"/>
    <row r="232" s="1" customFormat="1" x14ac:dyDescent="0.25"/>
    <row r="233" s="1" customFormat="1" x14ac:dyDescent="0.25"/>
    <row r="234" s="1" customFormat="1" x14ac:dyDescent="0.25"/>
    <row r="235" s="1" customFormat="1" x14ac:dyDescent="0.25"/>
    <row r="236" s="1" customFormat="1" x14ac:dyDescent="0.25"/>
    <row r="237" s="1" customFormat="1" x14ac:dyDescent="0.25"/>
    <row r="238" s="1" customFormat="1" x14ac:dyDescent="0.25"/>
    <row r="239" s="1" customFormat="1" x14ac:dyDescent="0.25"/>
    <row r="240" s="1" customFormat="1" x14ac:dyDescent="0.25"/>
    <row r="241" s="1" customFormat="1" x14ac:dyDescent="0.25"/>
    <row r="242" s="1" customFormat="1" x14ac:dyDescent="0.25"/>
    <row r="243" s="1" customFormat="1" x14ac:dyDescent="0.25"/>
    <row r="244" s="1" customFormat="1" x14ac:dyDescent="0.25"/>
    <row r="245" s="1" customFormat="1" x14ac:dyDescent="0.25"/>
    <row r="246" s="1" customFormat="1" x14ac:dyDescent="0.25"/>
    <row r="247" s="1" customFormat="1" x14ac:dyDescent="0.25"/>
    <row r="248" s="1" customFormat="1" x14ac:dyDescent="0.25"/>
    <row r="249" s="1" customFormat="1" x14ac:dyDescent="0.25"/>
    <row r="250" s="1" customFormat="1" x14ac:dyDescent="0.25"/>
    <row r="251" s="1" customFormat="1" x14ac:dyDescent="0.25"/>
    <row r="252" s="1" customFormat="1" x14ac:dyDescent="0.25"/>
    <row r="253" s="1" customFormat="1" x14ac:dyDescent="0.25"/>
    <row r="254" s="1" customFormat="1" x14ac:dyDescent="0.25"/>
    <row r="255" s="1" customFormat="1" x14ac:dyDescent="0.25"/>
    <row r="256" s="1" customFormat="1" x14ac:dyDescent="0.25"/>
    <row r="257" s="1" customFormat="1" x14ac:dyDescent="0.25"/>
    <row r="258" s="1" customFormat="1" x14ac:dyDescent="0.25"/>
    <row r="259" s="1" customFormat="1" x14ac:dyDescent="0.25"/>
    <row r="260" s="1" customFormat="1" x14ac:dyDescent="0.25"/>
    <row r="261" s="1" customFormat="1" x14ac:dyDescent="0.25"/>
    <row r="262" s="1" customFormat="1" x14ac:dyDescent="0.25"/>
    <row r="263" s="1" customFormat="1" x14ac:dyDescent="0.25"/>
    <row r="264" s="1" customFormat="1" x14ac:dyDescent="0.25"/>
    <row r="265" s="1" customFormat="1" x14ac:dyDescent="0.25"/>
    <row r="266" s="1" customFormat="1" x14ac:dyDescent="0.25"/>
    <row r="267" s="1" customFormat="1" x14ac:dyDescent="0.25"/>
    <row r="268" s="1" customFormat="1" x14ac:dyDescent="0.25"/>
    <row r="269" s="1" customFormat="1" x14ac:dyDescent="0.25"/>
    <row r="270" s="1" customFormat="1" x14ac:dyDescent="0.25"/>
    <row r="271" s="1" customFormat="1" x14ac:dyDescent="0.25"/>
    <row r="272" s="1" customFormat="1" x14ac:dyDescent="0.25"/>
    <row r="273" s="1" customFormat="1" x14ac:dyDescent="0.25"/>
    <row r="274" s="1" customFormat="1" x14ac:dyDescent="0.25"/>
    <row r="275" s="1" customFormat="1" x14ac:dyDescent="0.25"/>
    <row r="276" s="1" customFormat="1" x14ac:dyDescent="0.25"/>
    <row r="277" s="1" customFormat="1" x14ac:dyDescent="0.25"/>
  </sheetData>
  <mergeCells count="4">
    <mergeCell ref="G23:I23"/>
    <mergeCell ref="K23:L23"/>
    <mergeCell ref="N23:O23"/>
    <mergeCell ref="Q23:R23"/>
  </mergeCells>
  <dataValidations disablePrompts="1" count="1">
    <dataValidation type="list" allowBlank="1" showInputMessage="1" showErrorMessage="1" sqref="Q25" xr:uid="{3B349F89-9FF0-4B01-9578-E6580506A184}">
      <formula1>$O$32:$AJ$32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 xr:uid="{1A7FC518-8ADC-44AF-AA78-96032CCB8D6A}">
          <x14:formula1>
            <xm:f>'7a. Green Hydrogen'!$O$4:$O$6</xm:f>
          </x14:formula1>
          <xm:sqref>S25</xm:sqref>
        </x14:dataValidation>
        <x14:dataValidation type="list" allowBlank="1" showInputMessage="1" showErrorMessage="1" xr:uid="{4CF0217C-1495-4687-99D4-82CA155099F8}">
          <x14:formula1>
            <xm:f>'7a. Green Hydrogen'!$N$4:$N$6</xm:f>
          </x14:formula1>
          <xm:sqref>R25</xm:sqref>
        </x14:dataValidation>
        <x14:dataValidation type="list" allowBlank="1" showInputMessage="1" showErrorMessage="1" xr:uid="{584A8A06-DAB4-4711-8935-566FB5D47B49}">
          <x14:formula1>
            <xm:f>'10. Indices-Forecast'!$E$1:$G$1</xm:f>
          </x14:formula1>
          <xm:sqref>E2</xm:sqref>
        </x14:dataValidation>
        <x14:dataValidation type="list" allowBlank="1" showInputMessage="1" showErrorMessage="1" xr:uid="{BBFBD3B4-A0F7-4734-8AAF-78BBE0D4E693}">
          <x14:formula1>
            <xm:f>'5. LNG- ISO_Expansion'!$AS$50:$AS$56</xm:f>
          </x14:formula1>
          <xm:sqref>I29</xm:sqref>
        </x14:dataValidation>
        <x14:dataValidation type="list" allowBlank="1" showInputMessage="1" showErrorMessage="1" xr:uid="{FB77A5E9-0485-4B56-AE3A-3EDE582FF624}">
          <x14:formula1>
            <xm:f>'6. LNG- ISO'!$F$14:$F$43</xm:f>
          </x14:formula1>
          <xm:sqref>H25:H29</xm:sqref>
        </x14:dataValidation>
        <x14:dataValidation type="list" allowBlank="1" showInputMessage="1" showErrorMessage="1" xr:uid="{999D374E-C409-44A2-A0D2-42E9A47C8128}">
          <x14:formula1>
            <xm:f>'8a. RNG'!$B$19:$B$45</xm:f>
          </x14:formula1>
          <xm:sqref>K25:K27</xm:sqref>
        </x14:dataValidation>
        <x14:dataValidation type="list" allowBlank="1" showInputMessage="1" showErrorMessage="1" xr:uid="{362EE5C9-8F9D-4A67-BC46-DFCA2AFCECB8}">
          <x14:formula1>
            <xm:f>'8a. RNG'!$O$24:$O$45</xm:f>
          </x14:formula1>
          <xm:sqref>N25:N29</xm:sqref>
        </x14:dataValidation>
        <x14:dataValidation type="list" allowBlank="1" showInputMessage="1" showErrorMessage="1" xr:uid="{A7F5A612-E0D6-449E-BAF4-C2385C470239}">
          <x14:formula1>
            <xm:f>'5. LNG- ISO_Expansion'!$AO$50:$AO$56</xm:f>
          </x14:formula1>
          <xm:sqref>I25</xm:sqref>
        </x14:dataValidation>
        <x14:dataValidation type="list" allowBlank="1" showInputMessage="1" showErrorMessage="1" xr:uid="{A86E5146-B2CF-4447-8567-A3C65290CB68}">
          <x14:formula1>
            <xm:f>'5. LNG- ISO_Expansion'!$AP$50:$AP$56</xm:f>
          </x14:formula1>
          <xm:sqref>I26</xm:sqref>
        </x14:dataValidation>
        <x14:dataValidation type="list" allowBlank="1" showInputMessage="1" showErrorMessage="1" xr:uid="{5526CF10-7714-4156-9F2A-9AA794D2E34E}">
          <x14:formula1>
            <xm:f>'5. LNG- ISO_Expansion'!$AQ$50:$AQ$56</xm:f>
          </x14:formula1>
          <xm:sqref>I27</xm:sqref>
        </x14:dataValidation>
        <x14:dataValidation type="list" allowBlank="1" showInputMessage="1" showErrorMessage="1" xr:uid="{7A63E3DF-F7E5-462E-81C5-AB98BC36C43E}">
          <x14:formula1>
            <xm:f>'5. LNG- ISO_Expansion'!$AR$50:$AR$56</xm:f>
          </x14:formula1>
          <xm:sqref>I28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5475A-4413-4564-A6BD-227DDE8C5ABC}">
  <sheetPr codeName="Sheet8"/>
  <dimension ref="A2:AJ336"/>
  <sheetViews>
    <sheetView zoomScale="85" zoomScaleNormal="85" workbookViewId="0"/>
  </sheetViews>
  <sheetFormatPr defaultColWidth="9.140625" defaultRowHeight="15" x14ac:dyDescent="0.25"/>
  <cols>
    <col min="1" max="1" width="9.140625" style="421"/>
    <col min="2" max="2" width="64.28515625" style="421" customWidth="1"/>
    <col min="3" max="3" width="24.28515625" style="421" customWidth="1"/>
    <col min="4" max="4" width="13.7109375" style="421" customWidth="1"/>
    <col min="5" max="5" width="18.140625" style="421" bestFit="1" customWidth="1"/>
    <col min="6" max="6" width="18.5703125" style="421" bestFit="1" customWidth="1"/>
    <col min="7" max="7" width="15.28515625" style="421" bestFit="1" customWidth="1"/>
    <col min="8" max="11" width="16.28515625" style="421" bestFit="1" customWidth="1"/>
    <col min="12" max="12" width="15.7109375" style="421" bestFit="1" customWidth="1"/>
    <col min="13" max="17" width="16.28515625" style="421" bestFit="1" customWidth="1"/>
    <col min="18" max="18" width="15.7109375" style="421" bestFit="1" customWidth="1"/>
    <col min="19" max="19" width="16.28515625" style="421" bestFit="1" customWidth="1"/>
    <col min="20" max="20" width="16.42578125" style="421" bestFit="1" customWidth="1"/>
    <col min="21" max="21" width="17.28515625" style="421" customWidth="1"/>
    <col min="22" max="22" width="16.28515625" style="421" bestFit="1" customWidth="1"/>
    <col min="23" max="23" width="15.7109375" style="421" bestFit="1" customWidth="1"/>
    <col min="24" max="24" width="16.28515625" style="421" bestFit="1" customWidth="1"/>
    <col min="25" max="28" width="15.7109375" style="421" bestFit="1" customWidth="1"/>
    <col min="29" max="30" width="16.28515625" style="421" bestFit="1" customWidth="1"/>
    <col min="31" max="31" width="15.7109375" style="421" bestFit="1" customWidth="1"/>
    <col min="32" max="33" width="16.28515625" style="421" bestFit="1" customWidth="1"/>
    <col min="34" max="35" width="14.85546875" style="421" bestFit="1" customWidth="1"/>
    <col min="36" max="16384" width="9.140625" style="421"/>
  </cols>
  <sheetData>
    <row r="2" spans="1:35" x14ac:dyDescent="0.25">
      <c r="B2" s="421" t="s">
        <v>120</v>
      </c>
      <c r="C2" s="425">
        <f>'Rates Dashboard'!E8</f>
        <v>2035</v>
      </c>
      <c r="E2" s="425">
        <f>IF(E4&lt;$C$2,1,0)</f>
        <v>1</v>
      </c>
      <c r="F2" s="425">
        <f t="shared" ref="F2:AG2" si="0">IF(F4&lt;$C$2,1,0)</f>
        <v>1</v>
      </c>
      <c r="G2" s="425">
        <f t="shared" si="0"/>
        <v>1</v>
      </c>
      <c r="H2" s="425">
        <f t="shared" si="0"/>
        <v>1</v>
      </c>
      <c r="I2" s="425">
        <f t="shared" si="0"/>
        <v>1</v>
      </c>
      <c r="J2" s="425">
        <f t="shared" si="0"/>
        <v>1</v>
      </c>
      <c r="K2" s="425">
        <f t="shared" si="0"/>
        <v>1</v>
      </c>
      <c r="L2" s="425">
        <f t="shared" si="0"/>
        <v>1</v>
      </c>
      <c r="M2" s="425">
        <f t="shared" si="0"/>
        <v>1</v>
      </c>
      <c r="N2" s="425">
        <f t="shared" si="0"/>
        <v>1</v>
      </c>
      <c r="O2" s="425">
        <f t="shared" si="0"/>
        <v>1</v>
      </c>
      <c r="P2" s="425">
        <f t="shared" si="0"/>
        <v>1</v>
      </c>
      <c r="Q2" s="425">
        <f t="shared" si="0"/>
        <v>1</v>
      </c>
      <c r="R2" s="425">
        <f t="shared" si="0"/>
        <v>1</v>
      </c>
      <c r="S2" s="425">
        <f t="shared" si="0"/>
        <v>1</v>
      </c>
      <c r="T2" s="425">
        <f t="shared" si="0"/>
        <v>1</v>
      </c>
      <c r="U2" s="425">
        <f t="shared" si="0"/>
        <v>1</v>
      </c>
      <c r="V2" s="425">
        <f t="shared" si="0"/>
        <v>1</v>
      </c>
      <c r="W2" s="425">
        <f t="shared" si="0"/>
        <v>0</v>
      </c>
      <c r="X2" s="425">
        <f t="shared" si="0"/>
        <v>0</v>
      </c>
      <c r="Y2" s="425">
        <f t="shared" si="0"/>
        <v>0</v>
      </c>
      <c r="Z2" s="425">
        <f t="shared" si="0"/>
        <v>0</v>
      </c>
      <c r="AA2" s="425">
        <f t="shared" si="0"/>
        <v>0</v>
      </c>
      <c r="AB2" s="425">
        <f t="shared" si="0"/>
        <v>0</v>
      </c>
      <c r="AC2" s="425">
        <f t="shared" si="0"/>
        <v>0</v>
      </c>
      <c r="AD2" s="425">
        <f t="shared" si="0"/>
        <v>0</v>
      </c>
      <c r="AE2" s="425">
        <f t="shared" si="0"/>
        <v>0</v>
      </c>
      <c r="AF2" s="425">
        <f t="shared" si="0"/>
        <v>0</v>
      </c>
      <c r="AG2" s="425">
        <f t="shared" si="0"/>
        <v>0</v>
      </c>
    </row>
    <row r="4" spans="1:35" x14ac:dyDescent="0.25">
      <c r="B4" s="422" t="s">
        <v>121</v>
      </c>
      <c r="C4" s="423" t="s">
        <v>41</v>
      </c>
      <c r="E4" s="423">
        <v>2017</v>
      </c>
      <c r="F4" s="423">
        <v>2018</v>
      </c>
      <c r="G4" s="423">
        <v>2019</v>
      </c>
      <c r="H4" s="423">
        <v>2020</v>
      </c>
      <c r="I4" s="423">
        <v>2021</v>
      </c>
      <c r="J4" s="423">
        <v>2022</v>
      </c>
      <c r="K4" s="423">
        <v>2023</v>
      </c>
      <c r="L4" s="423">
        <v>2024</v>
      </c>
      <c r="M4" s="423">
        <v>2025</v>
      </c>
      <c r="N4" s="423">
        <v>2026</v>
      </c>
      <c r="O4" s="423">
        <v>2027</v>
      </c>
      <c r="P4" s="423">
        <v>2028</v>
      </c>
      <c r="Q4" s="423">
        <v>2029</v>
      </c>
      <c r="R4" s="423">
        <v>2030</v>
      </c>
      <c r="S4" s="423">
        <v>2031</v>
      </c>
      <c r="T4" s="423">
        <v>2032</v>
      </c>
      <c r="U4" s="423">
        <v>2033</v>
      </c>
      <c r="V4" s="423">
        <v>2034</v>
      </c>
      <c r="W4" s="423">
        <v>2035</v>
      </c>
      <c r="X4" s="423">
        <v>2036</v>
      </c>
      <c r="Y4" s="423">
        <v>2037</v>
      </c>
      <c r="Z4" s="423">
        <v>2038</v>
      </c>
      <c r="AA4" s="423">
        <v>2039</v>
      </c>
      <c r="AB4" s="423">
        <v>2040</v>
      </c>
      <c r="AC4" s="423">
        <v>2041</v>
      </c>
      <c r="AD4" s="423">
        <v>2042</v>
      </c>
      <c r="AE4" s="423">
        <v>2043</v>
      </c>
      <c r="AF4" s="423">
        <v>2044</v>
      </c>
      <c r="AG4" s="423">
        <v>2045</v>
      </c>
      <c r="AH4" s="423"/>
      <c r="AI4" s="423"/>
    </row>
    <row r="5" spans="1:35" x14ac:dyDescent="0.25">
      <c r="A5" s="421" t="s">
        <v>0</v>
      </c>
      <c r="B5" s="424" t="s">
        <v>122</v>
      </c>
      <c r="C5" s="425" t="s">
        <v>44</v>
      </c>
      <c r="D5" s="426">
        <f>E5/SUM('Historical Data'!N20)</f>
        <v>0.22142529431929256</v>
      </c>
      <c r="E5" s="427">
        <v>7208141.3617541967</v>
      </c>
      <c r="F5" s="428">
        <f>IF('Rates Dashboard'!$C$8="Base",$D$5*SUM(F$267:F$277),$D$5*SUM(F$267:F$277)*'SNG Plant'!F$2)</f>
        <v>7451782.5951868109</v>
      </c>
      <c r="G5" s="428">
        <f>IF('Rates Dashboard'!$C$8="Base",$D$5*SUM(G$267:G$277),$D$5*SUM(G$267:G$277)*'SNG Plant'!G$2)</f>
        <v>7366446.9695883887</v>
      </c>
      <c r="H5" s="428">
        <f>IF('Rates Dashboard'!$C$8="Base",$D$5*SUM(H$267:H$277),$D$5*SUM(H$267:H$277)*'SNG Plant'!H$2)</f>
        <v>5384233.9821170503</v>
      </c>
      <c r="I5" s="428">
        <f>IF('Rates Dashboard'!$C$8="Base",$D$5*SUM(I$267:I$277),$D$5*SUM(I$267:I$277)*'SNG Plant'!I$2)</f>
        <v>6157453.9064814877</v>
      </c>
      <c r="J5" s="428">
        <f>IF('Rates Dashboard'!$C$8="Base",$D$5*SUM(J$267:J$277),$D$5*SUM(J$267:J$277)*'SNG Plant'!J$2)</f>
        <v>6464478.1725781392</v>
      </c>
      <c r="K5" s="428">
        <f>IF('Rates Dashboard'!$C$8="Base",$D$5*SUM(K$267:K$277),$D$5*SUM(K$267:K$277)*'SNG Plant'!K$2)</f>
        <v>6535727.6792181609</v>
      </c>
      <c r="L5" s="428">
        <f>IF('Rates Dashboard'!$C$8="Base",$D$5*SUM(L$267:L$277),$D$5*SUM(L$267:L$277)*'SNG Plant'!L$2)</f>
        <v>6545878.0555803906</v>
      </c>
      <c r="M5" s="428">
        <f>IF('Rates Dashboard'!$C$8="Base",$D$5*SUM(M$267:M$277),$D$5*SUM(M$267:M$277)*'SNG Plant'!M$2)</f>
        <v>6577271.4904336613</v>
      </c>
      <c r="N5" s="428">
        <f>IF('Rates Dashboard'!$C$8="Base",$D$5*SUM(N$267:N$277),$D$5*SUM(N$267:N$277)*'SNG Plant'!N$2)</f>
        <v>6606864.4309409047</v>
      </c>
      <c r="O5" s="428">
        <f>IF('Rates Dashboard'!$C$8="Base",$D$5*SUM(O$267:O$277),$D$5*SUM(O$267:O$277)*'SNG Plant'!O$2)</f>
        <v>6633818.3091991637</v>
      </c>
      <c r="P5" s="428">
        <f>IF('Rates Dashboard'!$C$8="Base",$D$5*SUM(P$267:P$277),$D$5*SUM(P$267:P$277)*'SNG Plant'!P$2)</f>
        <v>6664158.7681026179</v>
      </c>
      <c r="Q5" s="428">
        <f>IF('Rates Dashboard'!$C$8="Base",$D$5*SUM(Q$267:Q$277),$D$5*SUM(Q$267:Q$277)*'SNG Plant'!Q$2)</f>
        <v>6697507.8515134538</v>
      </c>
      <c r="R5" s="428">
        <f>IF('Rates Dashboard'!$C$8="Base",$D$5*SUM(R$267:R$277),$D$5*SUM(R$267:R$277)*'SNG Plant'!R$2)</f>
        <v>6731857.1981946062</v>
      </c>
      <c r="S5" s="428">
        <f>IF('Rates Dashboard'!$C$8="Base",$D$5*SUM(S$267:S$277),$D$5*SUM(S$267:S$277)*'SNG Plant'!S$2)</f>
        <v>6764949.7420190405</v>
      </c>
      <c r="T5" s="428">
        <f>IF('Rates Dashboard'!$C$8="Base",$D$5*SUM(T$267:T$277),$D$5*SUM(T$267:T$277)*'SNG Plant'!T$2)</f>
        <v>6801160.9264634447</v>
      </c>
      <c r="U5" s="428">
        <f>IF('Rates Dashboard'!$C$8="Base",$D$5*SUM(U$267:U$277),$D$5*SUM(U$267:U$277)*'SNG Plant'!U$2)</f>
        <v>6840682.4815644436</v>
      </c>
      <c r="V5" s="428">
        <f>IF('Rates Dashboard'!$C$8="Base",$D$5*SUM(V$267:V$277),$D$5*SUM(V$267:V$277)*'SNG Plant'!V$2)</f>
        <v>6883623.9687744146</v>
      </c>
      <c r="W5" s="428">
        <f>IF('Rates Dashboard'!$C$8="Base",$D$5*SUM(W$267:W$277),$D$5*SUM(W$267:W$277)*'SNG Plant'!W$2)</f>
        <v>6926028.3085213304</v>
      </c>
      <c r="X5" s="428">
        <f>IF('Rates Dashboard'!$C$8="Base",$D$5*SUM(X$267:X$277),$D$5*SUM(X$267:X$277)*'SNG Plant'!X$2)</f>
        <v>6966558.5988511592</v>
      </c>
      <c r="Y5" s="428">
        <f>IF('Rates Dashboard'!$C$8="Base",$D$5*SUM(Y$267:Y$277),$D$5*SUM(Y$267:Y$277)*'SNG Plant'!Y$2)</f>
        <v>7010304.2846241957</v>
      </c>
      <c r="Z5" s="428">
        <f>IF('Rates Dashboard'!$C$8="Base",$D$5*SUM(Z$267:Z$277),$D$5*SUM(Z$267:Z$277)*'SNG Plant'!Z$2)</f>
        <v>7054309.0278164959</v>
      </c>
      <c r="AA5" s="428">
        <f>IF('Rates Dashboard'!$C$8="Base",$D$5*SUM(AA$267:AA$277),$D$5*SUM(AA$267:AA$277)*'SNG Plant'!AA$2)</f>
        <v>7104847.0310493652</v>
      </c>
      <c r="AB5" s="428">
        <f>IF('Rates Dashboard'!$C$8="Base",$D$5*SUM(AB$267:AB$277),$D$5*SUM(AB$267:AB$277)*'SNG Plant'!AB$2)</f>
        <v>7147995.1930164546</v>
      </c>
      <c r="AC5" s="428">
        <f>IF('Rates Dashboard'!$C$8="Base",$D$5*SUM(AC$267:AC$277),$D$5*SUM(AC$267:AC$277)*'SNG Plant'!AC$2)</f>
        <v>7196419.4794150935</v>
      </c>
      <c r="AD5" s="428">
        <f>IF('Rates Dashboard'!$C$8="Base",$D$5*SUM(AD$267:AD$277),$D$5*SUM(AD$267:AD$277)*'SNG Plant'!AD$2)</f>
        <v>7249979.809150409</v>
      </c>
      <c r="AE5" s="428">
        <f>IF('Rates Dashboard'!$C$8="Base",$D$5*SUM(AE$267:AE$277),$D$5*SUM(AE$267:AE$277)*'SNG Plant'!AE$2)</f>
        <v>7297417.5622330718</v>
      </c>
      <c r="AF5" s="428">
        <f>IF('Rates Dashboard'!$C$8="Base",$D$5*SUM(AF$267:AF$277),$D$5*SUM(AF$267:AF$277)*'SNG Plant'!AF$2)</f>
        <v>7343981.5158204092</v>
      </c>
      <c r="AG5" s="428">
        <f>IF('Rates Dashboard'!$C$8="Base",$D$5*SUM(AG$267:AG$277),$D$5*SUM(AG$267:AG$277)*'SNG Plant'!AG$2)</f>
        <v>7401413.3007865092</v>
      </c>
      <c r="AH5" s="423"/>
      <c r="AI5" s="423"/>
    </row>
    <row r="6" spans="1:35" x14ac:dyDescent="0.25">
      <c r="A6" s="421" t="s">
        <v>0</v>
      </c>
      <c r="B6" s="421" t="s">
        <v>45</v>
      </c>
      <c r="C6" s="425" t="s">
        <v>44</v>
      </c>
      <c r="D6" s="426">
        <f>E6/SUM('Historical Data'!N20)</f>
        <v>0</v>
      </c>
      <c r="E6" s="427">
        <v>0</v>
      </c>
      <c r="F6" s="428">
        <f t="shared" ref="F6:AG6" si="1">$D$6*SUM(F$267:F$277)</f>
        <v>0</v>
      </c>
      <c r="G6" s="428">
        <f t="shared" si="1"/>
        <v>0</v>
      </c>
      <c r="H6" s="428">
        <f t="shared" si="1"/>
        <v>0</v>
      </c>
      <c r="I6" s="428">
        <f t="shared" si="1"/>
        <v>0</v>
      </c>
      <c r="J6" s="428">
        <f t="shared" si="1"/>
        <v>0</v>
      </c>
      <c r="K6" s="428">
        <f t="shared" si="1"/>
        <v>0</v>
      </c>
      <c r="L6" s="428">
        <f t="shared" si="1"/>
        <v>0</v>
      </c>
      <c r="M6" s="428">
        <f t="shared" si="1"/>
        <v>0</v>
      </c>
      <c r="N6" s="428">
        <f t="shared" si="1"/>
        <v>0</v>
      </c>
      <c r="O6" s="428">
        <f t="shared" si="1"/>
        <v>0</v>
      </c>
      <c r="P6" s="428">
        <f t="shared" si="1"/>
        <v>0</v>
      </c>
      <c r="Q6" s="428">
        <f t="shared" si="1"/>
        <v>0</v>
      </c>
      <c r="R6" s="428">
        <f t="shared" si="1"/>
        <v>0</v>
      </c>
      <c r="S6" s="428">
        <f t="shared" si="1"/>
        <v>0</v>
      </c>
      <c r="T6" s="428">
        <f t="shared" si="1"/>
        <v>0</v>
      </c>
      <c r="U6" s="428">
        <f t="shared" si="1"/>
        <v>0</v>
      </c>
      <c r="V6" s="428">
        <f t="shared" si="1"/>
        <v>0</v>
      </c>
      <c r="W6" s="428">
        <f t="shared" si="1"/>
        <v>0</v>
      </c>
      <c r="X6" s="428">
        <f t="shared" si="1"/>
        <v>0</v>
      </c>
      <c r="Y6" s="428">
        <f t="shared" si="1"/>
        <v>0</v>
      </c>
      <c r="Z6" s="428">
        <f t="shared" si="1"/>
        <v>0</v>
      </c>
      <c r="AA6" s="428">
        <f t="shared" si="1"/>
        <v>0</v>
      </c>
      <c r="AB6" s="428">
        <f t="shared" si="1"/>
        <v>0</v>
      </c>
      <c r="AC6" s="428">
        <f t="shared" si="1"/>
        <v>0</v>
      </c>
      <c r="AD6" s="428">
        <f t="shared" si="1"/>
        <v>0</v>
      </c>
      <c r="AE6" s="428">
        <f t="shared" si="1"/>
        <v>0</v>
      </c>
      <c r="AF6" s="428">
        <f t="shared" si="1"/>
        <v>0</v>
      </c>
      <c r="AG6" s="428">
        <f t="shared" si="1"/>
        <v>0</v>
      </c>
      <c r="AH6" s="423"/>
      <c r="AI6" s="423"/>
    </row>
    <row r="7" spans="1:35" x14ac:dyDescent="0.25">
      <c r="A7" s="421" t="s">
        <v>0</v>
      </c>
      <c r="B7" s="421" t="s">
        <v>46</v>
      </c>
      <c r="C7" s="425" t="s">
        <v>44</v>
      </c>
      <c r="D7" s="426">
        <f>E7/SUM('Historical Data'!N20)</f>
        <v>0</v>
      </c>
      <c r="E7" s="427">
        <v>0</v>
      </c>
      <c r="F7" s="428">
        <f t="shared" ref="F7:AG7" si="2">$D$7*SUM(F$267:F$277)</f>
        <v>0</v>
      </c>
      <c r="G7" s="428">
        <f t="shared" si="2"/>
        <v>0</v>
      </c>
      <c r="H7" s="428">
        <f t="shared" si="2"/>
        <v>0</v>
      </c>
      <c r="I7" s="428">
        <f t="shared" si="2"/>
        <v>0</v>
      </c>
      <c r="J7" s="428">
        <f t="shared" si="2"/>
        <v>0</v>
      </c>
      <c r="K7" s="428">
        <f t="shared" si="2"/>
        <v>0</v>
      </c>
      <c r="L7" s="428">
        <f t="shared" si="2"/>
        <v>0</v>
      </c>
      <c r="M7" s="428">
        <f t="shared" si="2"/>
        <v>0</v>
      </c>
      <c r="N7" s="428">
        <f t="shared" si="2"/>
        <v>0</v>
      </c>
      <c r="O7" s="428">
        <f t="shared" si="2"/>
        <v>0</v>
      </c>
      <c r="P7" s="428">
        <f t="shared" si="2"/>
        <v>0</v>
      </c>
      <c r="Q7" s="428">
        <f t="shared" si="2"/>
        <v>0</v>
      </c>
      <c r="R7" s="428">
        <f t="shared" si="2"/>
        <v>0</v>
      </c>
      <c r="S7" s="428">
        <f t="shared" si="2"/>
        <v>0</v>
      </c>
      <c r="T7" s="428">
        <f t="shared" si="2"/>
        <v>0</v>
      </c>
      <c r="U7" s="428">
        <f t="shared" si="2"/>
        <v>0</v>
      </c>
      <c r="V7" s="428">
        <f t="shared" si="2"/>
        <v>0</v>
      </c>
      <c r="W7" s="428">
        <f t="shared" si="2"/>
        <v>0</v>
      </c>
      <c r="X7" s="428">
        <f t="shared" si="2"/>
        <v>0</v>
      </c>
      <c r="Y7" s="428">
        <f t="shared" si="2"/>
        <v>0</v>
      </c>
      <c r="Z7" s="428">
        <f t="shared" si="2"/>
        <v>0</v>
      </c>
      <c r="AA7" s="428">
        <f t="shared" si="2"/>
        <v>0</v>
      </c>
      <c r="AB7" s="428">
        <f t="shared" si="2"/>
        <v>0</v>
      </c>
      <c r="AC7" s="428">
        <f t="shared" si="2"/>
        <v>0</v>
      </c>
      <c r="AD7" s="428">
        <f t="shared" si="2"/>
        <v>0</v>
      </c>
      <c r="AE7" s="428">
        <f t="shared" si="2"/>
        <v>0</v>
      </c>
      <c r="AF7" s="428">
        <f t="shared" si="2"/>
        <v>0</v>
      </c>
      <c r="AG7" s="428">
        <f t="shared" si="2"/>
        <v>0</v>
      </c>
      <c r="AH7" s="423"/>
      <c r="AI7" s="423"/>
    </row>
    <row r="8" spans="1:35" x14ac:dyDescent="0.25">
      <c r="A8" s="421" t="s">
        <v>0</v>
      </c>
      <c r="B8" s="421" t="s">
        <v>47</v>
      </c>
      <c r="C8" s="425" t="s">
        <v>48</v>
      </c>
      <c r="D8" s="426">
        <v>0</v>
      </c>
      <c r="E8" s="427">
        <v>0</v>
      </c>
      <c r="F8" s="428">
        <v>0</v>
      </c>
      <c r="G8" s="428">
        <v>0</v>
      </c>
      <c r="H8" s="428">
        <v>0</v>
      </c>
      <c r="I8" s="428">
        <v>0</v>
      </c>
      <c r="J8" s="428">
        <v>0</v>
      </c>
      <c r="K8" s="428">
        <v>0</v>
      </c>
      <c r="L8" s="428">
        <v>0</v>
      </c>
      <c r="M8" s="428">
        <v>0</v>
      </c>
      <c r="N8" s="428">
        <v>0</v>
      </c>
      <c r="O8" s="428">
        <v>0</v>
      </c>
      <c r="P8" s="428">
        <v>0</v>
      </c>
      <c r="Q8" s="428">
        <v>0</v>
      </c>
      <c r="R8" s="428">
        <v>0</v>
      </c>
      <c r="S8" s="428">
        <v>0</v>
      </c>
      <c r="T8" s="428">
        <v>0</v>
      </c>
      <c r="U8" s="428">
        <v>0</v>
      </c>
      <c r="V8" s="428">
        <v>0</v>
      </c>
      <c r="W8" s="428">
        <v>0</v>
      </c>
      <c r="X8" s="428">
        <v>0</v>
      </c>
      <c r="Y8" s="428">
        <v>0</v>
      </c>
      <c r="Z8" s="428">
        <v>0</v>
      </c>
      <c r="AA8" s="428">
        <v>0</v>
      </c>
      <c r="AB8" s="428">
        <v>0</v>
      </c>
      <c r="AC8" s="428">
        <v>0</v>
      </c>
      <c r="AD8" s="428">
        <v>0</v>
      </c>
      <c r="AE8" s="428">
        <v>0</v>
      </c>
      <c r="AF8" s="428">
        <v>0</v>
      </c>
      <c r="AG8" s="428">
        <v>0</v>
      </c>
      <c r="AH8" s="423"/>
      <c r="AI8" s="423"/>
    </row>
    <row r="9" spans="1:35" x14ac:dyDescent="0.25">
      <c r="B9" s="421" t="s">
        <v>49</v>
      </c>
      <c r="C9" s="425" t="s">
        <v>48</v>
      </c>
      <c r="D9" s="426">
        <v>0</v>
      </c>
      <c r="E9" s="427">
        <v>0</v>
      </c>
      <c r="F9" s="428">
        <v>0</v>
      </c>
      <c r="G9" s="428">
        <v>0</v>
      </c>
      <c r="H9" s="428">
        <v>0</v>
      </c>
      <c r="I9" s="428">
        <v>0</v>
      </c>
      <c r="J9" s="428">
        <v>0</v>
      </c>
      <c r="K9" s="428">
        <v>0</v>
      </c>
      <c r="L9" s="428">
        <v>0</v>
      </c>
      <c r="M9" s="428">
        <v>0</v>
      </c>
      <c r="N9" s="428">
        <v>0</v>
      </c>
      <c r="O9" s="428">
        <v>0</v>
      </c>
      <c r="P9" s="428">
        <v>0</v>
      </c>
      <c r="Q9" s="428">
        <v>0</v>
      </c>
      <c r="R9" s="428">
        <v>0</v>
      </c>
      <c r="S9" s="428">
        <v>0</v>
      </c>
      <c r="T9" s="428">
        <v>0</v>
      </c>
      <c r="U9" s="428">
        <v>0</v>
      </c>
      <c r="V9" s="428">
        <v>0</v>
      </c>
      <c r="W9" s="428">
        <v>0</v>
      </c>
      <c r="X9" s="428">
        <v>0</v>
      </c>
      <c r="Y9" s="428">
        <v>0</v>
      </c>
      <c r="Z9" s="428">
        <v>0</v>
      </c>
      <c r="AA9" s="428">
        <v>0</v>
      </c>
      <c r="AB9" s="428">
        <v>0</v>
      </c>
      <c r="AC9" s="428">
        <v>0</v>
      </c>
      <c r="AD9" s="428">
        <v>0</v>
      </c>
      <c r="AE9" s="428">
        <v>0</v>
      </c>
      <c r="AF9" s="428">
        <v>0</v>
      </c>
      <c r="AG9" s="428">
        <v>0</v>
      </c>
      <c r="AH9" s="423"/>
      <c r="AI9" s="423"/>
    </row>
    <row r="10" spans="1:35" x14ac:dyDescent="0.25">
      <c r="B10" s="424" t="s">
        <v>50</v>
      </c>
      <c r="C10" s="425" t="s">
        <v>44</v>
      </c>
      <c r="D10" s="426">
        <f>E10/SUM('Historical Data'!N20)</f>
        <v>0</v>
      </c>
      <c r="E10" s="427">
        <v>0</v>
      </c>
      <c r="F10" s="428">
        <f t="shared" ref="F10:AG10" si="3">$D$10*SUM(F$267:F$277)</f>
        <v>0</v>
      </c>
      <c r="G10" s="428">
        <f t="shared" si="3"/>
        <v>0</v>
      </c>
      <c r="H10" s="428">
        <f t="shared" si="3"/>
        <v>0</v>
      </c>
      <c r="I10" s="428">
        <f t="shared" si="3"/>
        <v>0</v>
      </c>
      <c r="J10" s="428">
        <f t="shared" si="3"/>
        <v>0</v>
      </c>
      <c r="K10" s="428">
        <f t="shared" si="3"/>
        <v>0</v>
      </c>
      <c r="L10" s="428">
        <f t="shared" si="3"/>
        <v>0</v>
      </c>
      <c r="M10" s="428">
        <f t="shared" si="3"/>
        <v>0</v>
      </c>
      <c r="N10" s="428">
        <f t="shared" si="3"/>
        <v>0</v>
      </c>
      <c r="O10" s="428">
        <f t="shared" si="3"/>
        <v>0</v>
      </c>
      <c r="P10" s="428">
        <f t="shared" si="3"/>
        <v>0</v>
      </c>
      <c r="Q10" s="428">
        <f t="shared" si="3"/>
        <v>0</v>
      </c>
      <c r="R10" s="428">
        <f t="shared" si="3"/>
        <v>0</v>
      </c>
      <c r="S10" s="428">
        <f t="shared" si="3"/>
        <v>0</v>
      </c>
      <c r="T10" s="428">
        <f t="shared" si="3"/>
        <v>0</v>
      </c>
      <c r="U10" s="428">
        <f t="shared" si="3"/>
        <v>0</v>
      </c>
      <c r="V10" s="428">
        <f t="shared" si="3"/>
        <v>0</v>
      </c>
      <c r="W10" s="428">
        <f t="shared" si="3"/>
        <v>0</v>
      </c>
      <c r="X10" s="428">
        <f t="shared" si="3"/>
        <v>0</v>
      </c>
      <c r="Y10" s="428">
        <f t="shared" si="3"/>
        <v>0</v>
      </c>
      <c r="Z10" s="428">
        <f t="shared" si="3"/>
        <v>0</v>
      </c>
      <c r="AA10" s="428">
        <f t="shared" si="3"/>
        <v>0</v>
      </c>
      <c r="AB10" s="428">
        <f t="shared" si="3"/>
        <v>0</v>
      </c>
      <c r="AC10" s="428">
        <f t="shared" si="3"/>
        <v>0</v>
      </c>
      <c r="AD10" s="428">
        <f t="shared" si="3"/>
        <v>0</v>
      </c>
      <c r="AE10" s="428">
        <f t="shared" si="3"/>
        <v>0</v>
      </c>
      <c r="AF10" s="428">
        <f t="shared" si="3"/>
        <v>0</v>
      </c>
      <c r="AG10" s="428">
        <f t="shared" si="3"/>
        <v>0</v>
      </c>
      <c r="AH10" s="423"/>
      <c r="AI10" s="423"/>
    </row>
    <row r="11" spans="1:35" x14ac:dyDescent="0.25">
      <c r="B11" s="421" t="s">
        <v>51</v>
      </c>
      <c r="C11" s="425" t="s">
        <v>44</v>
      </c>
      <c r="D11" s="426">
        <f>E11/SUM('Historical Data'!N20)</f>
        <v>0.11502056789566696</v>
      </c>
      <c r="E11" s="427">
        <v>3744308.0541001074</v>
      </c>
      <c r="F11" s="428">
        <f>IF('Rates Dashboard'!$C$8="Base",$D$11*SUM(F$267:F$277),$D$11*SUM(F$267:F$277)*'SNG Plant'!F$2)</f>
        <v>3870868.8118417687</v>
      </c>
      <c r="G11" s="428">
        <f>IF('Rates Dashboard'!$C$8="Base",$D$11*SUM(G$267:G$277),$D$11*SUM(G$267:G$277)*'SNG Plant'!G$2)</f>
        <v>3826540.759131093</v>
      </c>
      <c r="H11" s="428">
        <f>IF('Rates Dashboard'!$C$8="Base",$D$11*SUM(H$267:H$277),$D$11*SUM(H$267:H$277)*'SNG Plant'!H$2)</f>
        <v>2796869.4914016095</v>
      </c>
      <c r="I11" s="428">
        <f>IF('Rates Dashboard'!$C$8="Base",$D$11*SUM(I$267:I$277),$D$11*SUM(I$267:I$277)*'SNG Plant'!I$2)</f>
        <v>3198522.7672030516</v>
      </c>
      <c r="J11" s="428">
        <f>IF('Rates Dashboard'!$C$8="Base",$D$11*SUM(J$267:J$277),$D$11*SUM(J$267:J$277)*'SNG Plant'!J$2)</f>
        <v>3358008.1844077576</v>
      </c>
      <c r="K11" s="428">
        <f>IF('Rates Dashboard'!$C$8="Base",$D$11*SUM(K$267:K$277),$D$11*SUM(K$267:K$277)*'SNG Plant'!K$2)</f>
        <v>3395019.126365473</v>
      </c>
      <c r="L11" s="428">
        <f>IF('Rates Dashboard'!$C$8="Base",$D$11*SUM(L$267:L$277),$D$11*SUM(L$267:L$277)*'SNG Plant'!L$2)</f>
        <v>3400291.7943193652</v>
      </c>
      <c r="M11" s="428">
        <f>IF('Rates Dashboard'!$C$8="Base",$D$11*SUM(M$267:M$277),$D$11*SUM(M$267:M$277)*'SNG Plant'!M$2)</f>
        <v>3416599.2840129854</v>
      </c>
      <c r="N11" s="428">
        <f>IF('Rates Dashboard'!$C$8="Base",$D$11*SUM(N$267:N$277),$D$11*SUM(N$267:N$277)*'SNG Plant'!N$2)</f>
        <v>3431971.4971709712</v>
      </c>
      <c r="O11" s="428">
        <f>IF('Rates Dashboard'!$C$8="Base",$D$11*SUM(O$267:O$277),$D$11*SUM(O$267:O$277)*'SNG Plant'!O$2)</f>
        <v>3445972.8351562559</v>
      </c>
      <c r="P11" s="428">
        <f>IF('Rates Dashboard'!$C$8="Base",$D$11*SUM(P$267:P$277),$D$11*SUM(P$267:P$277)*'SNG Plant'!P$2)</f>
        <v>3461733.3507920997</v>
      </c>
      <c r="Q11" s="428">
        <f>IF('Rates Dashboard'!$C$8="Base",$D$11*SUM(Q$267:Q$277),$D$11*SUM(Q$267:Q$277)*'SNG Plant'!Q$2)</f>
        <v>3479056.7127165194</v>
      </c>
      <c r="R11" s="428">
        <f>IF('Rates Dashboard'!$C$8="Base",$D$11*SUM(R$267:R$277),$D$11*SUM(R$267:R$277)*'SNG Plant'!R$2)</f>
        <v>3496899.6668119724</v>
      </c>
      <c r="S11" s="428">
        <f>IF('Rates Dashboard'!$C$8="Base",$D$11*SUM(S$267:S$277),$D$11*SUM(S$267:S$277)*'SNG Plant'!S$2)</f>
        <v>3514089.7678593709</v>
      </c>
      <c r="T11" s="428">
        <f>IF('Rates Dashboard'!$C$8="Base",$D$11*SUM(T$267:T$277),$D$11*SUM(T$267:T$277)*'SNG Plant'!T$2)</f>
        <v>3532899.8636606405</v>
      </c>
      <c r="U11" s="428">
        <f>IF('Rates Dashboard'!$C$8="Base",$D$11*SUM(U$267:U$277),$D$11*SUM(U$267:U$277)*'SNG Plant'!U$2)</f>
        <v>3553429.5494213006</v>
      </c>
      <c r="V11" s="428">
        <f>IF('Rates Dashboard'!$C$8="Base",$D$11*SUM(V$267:V$277),$D$11*SUM(V$267:V$277)*'SNG Plant'!V$2)</f>
        <v>3575735.7374309381</v>
      </c>
      <c r="W11" s="428">
        <f>IF('Rates Dashboard'!$C$8="Base",$D$11*SUM(W$267:W$277),$D$11*SUM(W$267:W$277)*'SNG Plant'!W$2)</f>
        <v>3597762.9012828595</v>
      </c>
      <c r="X11" s="428">
        <f>IF('Rates Dashboard'!$C$8="Base",$D$11*SUM(X$267:X$277),$D$11*SUM(X$267:X$277)*'SNG Plant'!X$2)</f>
        <v>3618816.5800192687</v>
      </c>
      <c r="Y11" s="428">
        <f>IF('Rates Dashboard'!$C$8="Base",$D$11*SUM(Y$267:Y$277),$D$11*SUM(Y$267:Y$277)*'SNG Plant'!Y$2)</f>
        <v>3641540.5133262938</v>
      </c>
      <c r="Z11" s="428">
        <f>IF('Rates Dashboard'!$C$8="Base",$D$11*SUM(Z$267:Z$277),$D$11*SUM(Z$267:Z$277)*'SNG Plant'!Z$2)</f>
        <v>3664399.0154122515</v>
      </c>
      <c r="AA11" s="428">
        <f>IF('Rates Dashboard'!$C$8="Base",$D$11*SUM(AA$267:AA$277),$D$11*SUM(AA$267:AA$277)*'SNG Plant'!AA$2)</f>
        <v>3690651.2547963192</v>
      </c>
      <c r="AB11" s="428">
        <f>IF('Rates Dashboard'!$C$8="Base",$D$11*SUM(AB$267:AB$277),$D$11*SUM(AB$267:AB$277)*'SNG Plant'!AB$2)</f>
        <v>3713064.8011274459</v>
      </c>
      <c r="AC11" s="428">
        <f>IF('Rates Dashboard'!$C$8="Base",$D$11*SUM(AC$267:AC$277),$D$11*SUM(AC$267:AC$277)*'SNG Plant'!AC$2)</f>
        <v>3738219.0588586442</v>
      </c>
      <c r="AD11" s="428">
        <f>IF('Rates Dashboard'!$C$8="Base",$D$11*SUM(AD$267:AD$277),$D$11*SUM(AD$267:AD$277)*'SNG Plant'!AD$2)</f>
        <v>3766041.2621068042</v>
      </c>
      <c r="AE11" s="428">
        <f>IF('Rates Dashboard'!$C$8="Base",$D$11*SUM(AE$267:AE$277),$D$11*SUM(AE$267:AE$277)*'SNG Plant'!AE$2)</f>
        <v>3790683.0597660835</v>
      </c>
      <c r="AF11" s="428">
        <f>IF('Rates Dashboard'!$C$8="Base",$D$11*SUM(AF$267:AF$277),$D$11*SUM(AF$267:AF$277)*'SNG Plant'!AF$2)</f>
        <v>3814870.9575469038</v>
      </c>
      <c r="AG11" s="428">
        <f>IF('Rates Dashboard'!$C$8="Base",$D$11*SUM(AG$267:AG$277),$D$11*SUM(AG$267:AG$277)*'SNG Plant'!AG$2)</f>
        <v>3844704.2091741418</v>
      </c>
      <c r="AH11" s="423"/>
      <c r="AI11" s="423"/>
    </row>
    <row r="12" spans="1:35" x14ac:dyDescent="0.25">
      <c r="F12" s="423"/>
      <c r="G12" s="423"/>
      <c r="H12" s="423"/>
      <c r="I12" s="423"/>
      <c r="J12" s="423"/>
      <c r="K12" s="423"/>
      <c r="L12" s="423"/>
      <c r="M12" s="423"/>
      <c r="N12" s="423"/>
      <c r="O12" s="423"/>
      <c r="P12" s="423"/>
      <c r="Q12" s="423"/>
      <c r="R12" s="423"/>
      <c r="S12" s="423"/>
      <c r="T12" s="423"/>
      <c r="U12" s="423"/>
      <c r="V12" s="423"/>
      <c r="W12" s="423"/>
      <c r="X12" s="423"/>
      <c r="Y12" s="423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</row>
    <row r="13" spans="1:35" x14ac:dyDescent="0.25">
      <c r="B13" s="422" t="s">
        <v>52</v>
      </c>
      <c r="E13" s="427">
        <f>E53</f>
        <v>1317704.0492127347</v>
      </c>
      <c r="F13" s="428">
        <f t="shared" ref="F13:V13" si="4">IF(F61&gt;0,F53,0)</f>
        <v>1323396.548855331</v>
      </c>
      <c r="G13" s="428">
        <f t="shared" si="4"/>
        <v>1501028.2792922393</v>
      </c>
      <c r="H13" s="428">
        <f t="shared" si="4"/>
        <v>1536769.004846175</v>
      </c>
      <c r="I13" s="428">
        <f t="shared" si="4"/>
        <v>1567011.2094779187</v>
      </c>
      <c r="J13" s="428">
        <f t="shared" si="4"/>
        <v>1583715.3853701376</v>
      </c>
      <c r="K13" s="428">
        <f t="shared" si="4"/>
        <v>1839472.1853701377</v>
      </c>
      <c r="L13" s="428">
        <f t="shared" si="4"/>
        <v>1973316.5117701376</v>
      </c>
      <c r="M13" s="428">
        <f t="shared" si="4"/>
        <v>2003754.9117701377</v>
      </c>
      <c r="N13" s="428">
        <f t="shared" si="4"/>
        <v>2024356.5117701376</v>
      </c>
      <c r="O13" s="428">
        <f t="shared" si="4"/>
        <v>2067972.5117701376</v>
      </c>
      <c r="P13" s="428">
        <f t="shared" si="4"/>
        <v>2164823.9370501377</v>
      </c>
      <c r="Q13" s="428">
        <f t="shared" si="4"/>
        <v>2261675.3623301373</v>
      </c>
      <c r="R13" s="428">
        <f t="shared" si="4"/>
        <v>2358526.7876101374</v>
      </c>
      <c r="S13" s="428">
        <f t="shared" si="4"/>
        <v>2455378.2128901375</v>
      </c>
      <c r="T13" s="428">
        <f t="shared" si="4"/>
        <v>2552229.6381701375</v>
      </c>
      <c r="U13" s="428">
        <f t="shared" si="4"/>
        <v>2649081.0634501376</v>
      </c>
      <c r="V13" s="428">
        <f t="shared" si="4"/>
        <v>2745932.4887301372</v>
      </c>
      <c r="W13" s="428">
        <f>IF(W61&gt;0,W53,0)</f>
        <v>2842783.9140101373</v>
      </c>
      <c r="X13" s="428">
        <f t="shared" ref="X13:AG13" si="5">IF(X61&gt;0,X53,0)</f>
        <v>2939635.3392901374</v>
      </c>
      <c r="Y13" s="428">
        <f t="shared" si="5"/>
        <v>3036486.7645701375</v>
      </c>
      <c r="Z13" s="428">
        <f t="shared" si="5"/>
        <v>3133338.1898501376</v>
      </c>
      <c r="AA13" s="428">
        <f t="shared" si="5"/>
        <v>3230189.6151301377</v>
      </c>
      <c r="AB13" s="428">
        <f t="shared" si="5"/>
        <v>3327041.0404101373</v>
      </c>
      <c r="AC13" s="428">
        <f t="shared" si="5"/>
        <v>3423892.4656901374</v>
      </c>
      <c r="AD13" s="428">
        <f t="shared" si="5"/>
        <v>3520743.8909701374</v>
      </c>
      <c r="AE13" s="428">
        <f t="shared" si="5"/>
        <v>3617595.3162501375</v>
      </c>
      <c r="AF13" s="428">
        <f t="shared" si="5"/>
        <v>3714446.7415301376</v>
      </c>
      <c r="AG13" s="428">
        <f t="shared" si="5"/>
        <v>3811298.1668101377</v>
      </c>
      <c r="AH13" s="423"/>
      <c r="AI13" s="423"/>
    </row>
    <row r="14" spans="1:35" x14ac:dyDescent="0.25">
      <c r="F14" s="423"/>
      <c r="G14" s="423"/>
      <c r="H14" s="423"/>
      <c r="I14" s="423"/>
      <c r="J14" s="423"/>
      <c r="K14" s="423"/>
      <c r="L14" s="423"/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  <c r="Z14" s="423"/>
      <c r="AA14" s="423"/>
      <c r="AB14" s="423"/>
      <c r="AC14" s="423"/>
      <c r="AD14" s="423"/>
      <c r="AE14" s="423"/>
      <c r="AF14" s="423"/>
      <c r="AG14" s="423"/>
      <c r="AH14" s="423"/>
      <c r="AI14" s="423"/>
    </row>
    <row r="15" spans="1:35" x14ac:dyDescent="0.25">
      <c r="B15" s="422" t="s">
        <v>53</v>
      </c>
      <c r="C15" s="425" t="s">
        <v>54</v>
      </c>
      <c r="E15" s="427">
        <v>0</v>
      </c>
      <c r="F15" s="428">
        <f>E15*(1+'Rates Dashboard'!$C$10)</f>
        <v>0</v>
      </c>
      <c r="G15" s="428">
        <f>F15*(1+'Rates Dashboard'!$C$10)</f>
        <v>0</v>
      </c>
      <c r="H15" s="428">
        <f>G15*(1+'Rates Dashboard'!$C$10)</f>
        <v>0</v>
      </c>
      <c r="I15" s="428">
        <f>H15*(1+'Rates Dashboard'!$C$10)</f>
        <v>0</v>
      </c>
      <c r="J15" s="428">
        <f>I15*(1+'Rates Dashboard'!$C$10)</f>
        <v>0</v>
      </c>
      <c r="K15" s="428">
        <f>J15*(1+'Rates Dashboard'!$C$10)</f>
        <v>0</v>
      </c>
      <c r="L15" s="428">
        <f>K15*(1+'Rates Dashboard'!$C$10)</f>
        <v>0</v>
      </c>
      <c r="M15" s="428">
        <f>L15*(1+'Rates Dashboard'!$C$10)</f>
        <v>0</v>
      </c>
      <c r="N15" s="428">
        <f>M15*(1+'Rates Dashboard'!$C$10)</f>
        <v>0</v>
      </c>
      <c r="O15" s="428">
        <f>N15*(1+'Rates Dashboard'!$C$10)</f>
        <v>0</v>
      </c>
      <c r="P15" s="428">
        <f>O15*(1+'Rates Dashboard'!$C$10)</f>
        <v>0</v>
      </c>
      <c r="Q15" s="428">
        <f>P15*(1+'Rates Dashboard'!$C$10)</f>
        <v>0</v>
      </c>
      <c r="R15" s="428">
        <f>Q15*(1+'Rates Dashboard'!$C$10)</f>
        <v>0</v>
      </c>
      <c r="S15" s="428">
        <f>R15*(1+'Rates Dashboard'!$C$10)</f>
        <v>0</v>
      </c>
      <c r="T15" s="428">
        <f>S15*(1+'Rates Dashboard'!$C$10)</f>
        <v>0</v>
      </c>
      <c r="U15" s="428">
        <f>T15*(1+'Rates Dashboard'!$C$10)</f>
        <v>0</v>
      </c>
      <c r="V15" s="428">
        <f>U15*(1+'Rates Dashboard'!$C$10)</f>
        <v>0</v>
      </c>
      <c r="W15" s="428">
        <f>V15*(1+'Rates Dashboard'!$C$10)</f>
        <v>0</v>
      </c>
      <c r="X15" s="428">
        <f>W15*(1+'Rates Dashboard'!$C$10)</f>
        <v>0</v>
      </c>
      <c r="Y15" s="428">
        <f>X15*(1+'Rates Dashboard'!$C$10)</f>
        <v>0</v>
      </c>
      <c r="Z15" s="428">
        <f>Y15*(1+'Rates Dashboard'!$C$10)</f>
        <v>0</v>
      </c>
      <c r="AA15" s="428">
        <f>Z15*(1+'Rates Dashboard'!$C$10)</f>
        <v>0</v>
      </c>
      <c r="AB15" s="428">
        <f>AA15*(1+'Rates Dashboard'!$C$10)</f>
        <v>0</v>
      </c>
      <c r="AC15" s="428">
        <f>AB15*(1+'Rates Dashboard'!$C$10)</f>
        <v>0</v>
      </c>
      <c r="AD15" s="428">
        <f>AC15*(1+'Rates Dashboard'!$C$10)</f>
        <v>0</v>
      </c>
      <c r="AE15" s="428">
        <f>AD15*(1+'Rates Dashboard'!$C$10)</f>
        <v>0</v>
      </c>
      <c r="AF15" s="428">
        <f>AE15*(1+'Rates Dashboard'!$C$10)</f>
        <v>0</v>
      </c>
      <c r="AG15" s="428">
        <f>AF15*(1+'Rates Dashboard'!$C$10)</f>
        <v>0</v>
      </c>
      <c r="AH15" s="423"/>
      <c r="AI15" s="423"/>
    </row>
    <row r="16" spans="1:35" x14ac:dyDescent="0.25">
      <c r="F16" s="423"/>
      <c r="G16" s="423"/>
      <c r="H16" s="423"/>
      <c r="I16" s="423"/>
      <c r="J16" s="423"/>
      <c r="K16" s="423"/>
      <c r="L16" s="423"/>
      <c r="M16" s="423"/>
      <c r="N16" s="423"/>
      <c r="O16" s="423"/>
      <c r="P16" s="423"/>
      <c r="Q16" s="423"/>
      <c r="R16" s="423"/>
      <c r="S16" s="423"/>
      <c r="T16" s="423"/>
      <c r="U16" s="423"/>
      <c r="V16" s="423"/>
      <c r="W16" s="423"/>
      <c r="X16" s="423"/>
      <c r="Y16" s="423"/>
      <c r="Z16" s="423"/>
      <c r="AA16" s="423"/>
      <c r="AB16" s="423"/>
      <c r="AC16" s="423"/>
      <c r="AD16" s="423"/>
      <c r="AE16" s="423"/>
      <c r="AF16" s="423"/>
      <c r="AG16" s="423"/>
      <c r="AH16" s="423"/>
      <c r="AI16" s="423"/>
    </row>
    <row r="17" spans="2:35" x14ac:dyDescent="0.25">
      <c r="B17" s="422" t="s">
        <v>55</v>
      </c>
      <c r="C17" s="425" t="s">
        <v>54</v>
      </c>
      <c r="E17" s="427">
        <v>2848065.652466292</v>
      </c>
      <c r="F17" s="428">
        <f>IF('Rates Dashboard'!$C$8="Base",E17*(1+'Rates Dashboard'!$C$10),E17*(1+'Rates Dashboard'!$C$10)*'SNG Plant'!F$2)</f>
        <v>2905026.9655156177</v>
      </c>
      <c r="G17" s="428">
        <f>IF('Rates Dashboard'!$C$8="Base",F17*(1+'Rates Dashboard'!$C$10),F17*(1+'Rates Dashboard'!$C$10)*'SNG Plant'!G$2)</f>
        <v>2963127.5048259301</v>
      </c>
      <c r="H17" s="428">
        <f>IF('Rates Dashboard'!$C$8="Base",G17*(1+'Rates Dashboard'!$C$10),G17*(1+'Rates Dashboard'!$C$10)*'SNG Plant'!H$2)</f>
        <v>3022390.0549224489</v>
      </c>
      <c r="I17" s="428">
        <f>IF('Rates Dashboard'!$C$8="Base",H17*(1+'Rates Dashboard'!$C$10),H17*(1+'Rates Dashboard'!$C$10)*'SNG Plant'!I$2)</f>
        <v>3082837.8560208981</v>
      </c>
      <c r="J17" s="428">
        <f>IF('Rates Dashboard'!$C$8="Base",I17*(1+'Rates Dashboard'!$C$10),I17*(1+'Rates Dashboard'!$C$10)*'SNG Plant'!J$2)</f>
        <v>3144494.613141316</v>
      </c>
      <c r="K17" s="428">
        <f>IF('Rates Dashboard'!$C$8="Base",J17*(1+'Rates Dashboard'!$C$10),J17*(1+'Rates Dashboard'!$C$10)*'SNG Plant'!K$2)</f>
        <v>3207384.5054041422</v>
      </c>
      <c r="L17" s="428">
        <f>IF('Rates Dashboard'!$C$8="Base",K17*(1+'Rates Dashboard'!$C$10),K17*(1+'Rates Dashboard'!$C$10)*'SNG Plant'!L$2)</f>
        <v>3271532.1955122249</v>
      </c>
      <c r="M17" s="428">
        <f>IF('Rates Dashboard'!$C$8="Base",L17*(1+'Rates Dashboard'!$C$10),L17*(1+'Rates Dashboard'!$C$10)*'SNG Plant'!M$2)</f>
        <v>3336962.8394224695</v>
      </c>
      <c r="N17" s="428">
        <f>IF('Rates Dashboard'!$C$8="Base",M17*(1+'Rates Dashboard'!$C$10),M17*(1+'Rates Dashboard'!$C$10)*'SNG Plant'!N$2)</f>
        <v>3403702.0962109189</v>
      </c>
      <c r="O17" s="428">
        <f>IF('Rates Dashboard'!$C$8="Base",N17*(1+'Rates Dashboard'!$C$10),N17*(1+'Rates Dashboard'!$C$10)*'SNG Plant'!O$2)</f>
        <v>3471776.1381351375</v>
      </c>
      <c r="P17" s="428">
        <f>IF('Rates Dashboard'!$C$8="Base",O17*(1+'Rates Dashboard'!$C$10),O17*(1+'Rates Dashboard'!$C$10)*'SNG Plant'!P$2)</f>
        <v>3541211.6608978403</v>
      </c>
      <c r="Q17" s="428">
        <f>IF('Rates Dashboard'!$C$8="Base",P17*(1+'Rates Dashboard'!$C$10),P17*(1+'Rates Dashboard'!$C$10)*'SNG Plant'!Q$2)</f>
        <v>3612035.8941157972</v>
      </c>
      <c r="R17" s="428">
        <f>IF('Rates Dashboard'!$C$8="Base",Q17*(1+'Rates Dashboard'!$C$10),Q17*(1+'Rates Dashboard'!$C$10)*'SNG Plant'!R$2)</f>
        <v>3684276.6119981133</v>
      </c>
      <c r="S17" s="428">
        <f>IF('Rates Dashboard'!$C$8="Base",R17*(1+'Rates Dashboard'!$C$10),R17*(1+'Rates Dashboard'!$C$10)*'SNG Plant'!S$2)</f>
        <v>3757962.1442380757</v>
      </c>
      <c r="T17" s="428">
        <f>IF('Rates Dashboard'!$C$8="Base",S17*(1+'Rates Dashboard'!$C$10),S17*(1+'Rates Dashboard'!$C$10)*'SNG Plant'!T$2)</f>
        <v>3833121.3871228374</v>
      </c>
      <c r="U17" s="428">
        <f>IF('Rates Dashboard'!$C$8="Base",T17*(1+'Rates Dashboard'!$C$10),T17*(1+'Rates Dashboard'!$C$10)*'SNG Plant'!U$2)</f>
        <v>3909783.8148652944</v>
      </c>
      <c r="V17" s="428">
        <f>IF('Rates Dashboard'!$C$8="Base",U17*(1+'Rates Dashboard'!$C$10),U17*(1+'Rates Dashboard'!$C$10)*'SNG Plant'!V$2)</f>
        <v>3987979.4911626005</v>
      </c>
      <c r="W17" s="428">
        <f>IF('Rates Dashboard'!$C$8="Base",V17*(1+'Rates Dashboard'!$C$10),V17*(1+'Rates Dashboard'!$C$10)*'SNG Plant'!W$2)</f>
        <v>4067739.0809858525</v>
      </c>
      <c r="X17" s="428">
        <f>IF('Rates Dashboard'!$C$8="Base",W17*(1+'Rates Dashboard'!$C$10),W17*(1+'Rates Dashboard'!$C$10)*'SNG Plant'!X$2)</f>
        <v>4149093.8626055694</v>
      </c>
      <c r="Y17" s="428">
        <f>IF('Rates Dashboard'!$C$8="Base",X17*(1+'Rates Dashboard'!$C$10),X17*(1+'Rates Dashboard'!$C$10)*'SNG Plant'!Y$2)</f>
        <v>4232075.7398576811</v>
      </c>
      <c r="Z17" s="428">
        <f>IF('Rates Dashboard'!$C$8="Base",Y17*(1+'Rates Dashboard'!$C$10),Y17*(1+'Rates Dashboard'!$C$10)*'SNG Plant'!Z$2)</f>
        <v>4316717.254654835</v>
      </c>
      <c r="AA17" s="428">
        <f>IF('Rates Dashboard'!$C$8="Base",Z17*(1+'Rates Dashboard'!$C$10),Z17*(1+'Rates Dashboard'!$C$10)*'SNG Plant'!AA$2)</f>
        <v>4403051.5997479316</v>
      </c>
      <c r="AB17" s="428">
        <f>IF('Rates Dashboard'!$C$8="Base",AA17*(1+'Rates Dashboard'!$C$10),AA17*(1+'Rates Dashboard'!$C$10)*'SNG Plant'!AB$2)</f>
        <v>4491112.63174289</v>
      </c>
      <c r="AC17" s="428">
        <f>IF('Rates Dashboard'!$C$8="Base",AB17*(1+'Rates Dashboard'!$C$10),AB17*(1+'Rates Dashboard'!$C$10)*'SNG Plant'!AC$2)</f>
        <v>4580934.8843777478</v>
      </c>
      <c r="AD17" s="428">
        <f>IF('Rates Dashboard'!$C$8="Base",AC17*(1+'Rates Dashboard'!$C$10),AC17*(1+'Rates Dashboard'!$C$10)*'SNG Plant'!AD$2)</f>
        <v>4672553.5820653029</v>
      </c>
      <c r="AE17" s="428">
        <f>IF('Rates Dashboard'!$C$8="Base",AD17*(1+'Rates Dashboard'!$C$10),AD17*(1+'Rates Dashboard'!$C$10)*'SNG Plant'!AE$2)</f>
        <v>4766004.6537066093</v>
      </c>
      <c r="AF17" s="428">
        <f>IF('Rates Dashboard'!$C$8="Base",AE17*(1+'Rates Dashboard'!$C$10),AE17*(1+'Rates Dashboard'!$C$10)*'SNG Plant'!AF$2)</f>
        <v>4861324.746780742</v>
      </c>
      <c r="AG17" s="428">
        <f>IF('Rates Dashboard'!$C$8="Base",AF17*(1+'Rates Dashboard'!$C$10),AF17*(1+'Rates Dashboard'!$C$10)*'SNG Plant'!AG$2)</f>
        <v>4958551.2417163569</v>
      </c>
      <c r="AH17" s="423"/>
      <c r="AI17" s="423"/>
    </row>
    <row r="18" spans="2:35" x14ac:dyDescent="0.25">
      <c r="B18" s="422"/>
      <c r="F18" s="423"/>
      <c r="G18" s="423"/>
      <c r="H18" s="423"/>
      <c r="I18" s="423"/>
      <c r="J18" s="423"/>
      <c r="K18" s="423"/>
      <c r="L18" s="423"/>
      <c r="M18" s="423"/>
      <c r="N18" s="423"/>
      <c r="O18" s="423"/>
      <c r="P18" s="423"/>
      <c r="Q18" s="423"/>
      <c r="R18" s="423"/>
      <c r="S18" s="423"/>
      <c r="T18" s="423"/>
      <c r="U18" s="423"/>
      <c r="V18" s="423"/>
      <c r="W18" s="423"/>
      <c r="X18" s="423"/>
      <c r="Y18" s="423"/>
      <c r="Z18" s="423"/>
      <c r="AA18" s="423"/>
      <c r="AB18" s="423"/>
      <c r="AC18" s="423"/>
      <c r="AD18" s="423"/>
      <c r="AE18" s="423"/>
      <c r="AF18" s="423"/>
      <c r="AG18" s="423"/>
      <c r="AH18" s="423"/>
      <c r="AI18" s="423"/>
    </row>
    <row r="19" spans="2:35" x14ac:dyDescent="0.25">
      <c r="B19" s="422" t="s">
        <v>56</v>
      </c>
      <c r="C19" s="423" t="s">
        <v>57</v>
      </c>
      <c r="F19" s="423"/>
      <c r="G19" s="423"/>
      <c r="H19" s="423"/>
      <c r="I19" s="423"/>
      <c r="J19" s="423"/>
      <c r="K19" s="423"/>
      <c r="L19" s="423"/>
      <c r="M19" s="423"/>
      <c r="N19" s="423"/>
      <c r="O19" s="423"/>
      <c r="P19" s="423"/>
      <c r="Q19" s="423"/>
      <c r="R19" s="423"/>
      <c r="S19" s="423"/>
      <c r="T19" s="423"/>
      <c r="U19" s="423"/>
      <c r="V19" s="423"/>
      <c r="W19" s="423"/>
      <c r="X19" s="423"/>
      <c r="Y19" s="423"/>
      <c r="Z19" s="423"/>
      <c r="AA19" s="423"/>
      <c r="AB19" s="423"/>
      <c r="AC19" s="423"/>
      <c r="AD19" s="423"/>
      <c r="AE19" s="423"/>
      <c r="AF19" s="423"/>
      <c r="AG19" s="423"/>
      <c r="AH19" s="423"/>
      <c r="AI19" s="423"/>
    </row>
    <row r="20" spans="2:35" x14ac:dyDescent="0.25">
      <c r="C20" s="429">
        <v>0.25750000000000001</v>
      </c>
      <c r="E20" s="427">
        <f t="shared" ref="E20:AG20" si="6">E63*$C20</f>
        <v>242617.81026088737</v>
      </c>
      <c r="F20" s="428">
        <f t="shared" si="6"/>
        <v>221226.5069489982</v>
      </c>
      <c r="G20" s="428">
        <f t="shared" si="6"/>
        <v>281271.8914768243</v>
      </c>
      <c r="H20" s="428">
        <f t="shared" si="6"/>
        <v>270779.0860395772</v>
      </c>
      <c r="I20" s="428">
        <f t="shared" si="6"/>
        <v>257025.22262653898</v>
      </c>
      <c r="J20" s="428">
        <f t="shared" si="6"/>
        <v>236298.15772469185</v>
      </c>
      <c r="K20" s="428">
        <f t="shared" si="6"/>
        <v>328634.43249566236</v>
      </c>
      <c r="L20" s="428">
        <f t="shared" si="6"/>
        <v>358478.8492692248</v>
      </c>
      <c r="M20" s="428">
        <f t="shared" si="6"/>
        <v>336836.85009478731</v>
      </c>
      <c r="N20" s="428">
        <f t="shared" si="6"/>
        <v>309973.33966834983</v>
      </c>
      <c r="O20" s="428">
        <f t="shared" si="6"/>
        <v>293647.56972191227</v>
      </c>
      <c r="P20" s="428">
        <f t="shared" si="6"/>
        <v>301770.85127279308</v>
      </c>
      <c r="Q20" s="428">
        <f t="shared" si="6"/>
        <v>308123.44664099225</v>
      </c>
      <c r="R20" s="428">
        <f t="shared" si="6"/>
        <v>312705.35582650994</v>
      </c>
      <c r="S20" s="428">
        <f t="shared" si="6"/>
        <v>315516.57882934599</v>
      </c>
      <c r="T20" s="428">
        <f t="shared" si="6"/>
        <v>316557.11564950045</v>
      </c>
      <c r="U20" s="428">
        <f t="shared" si="6"/>
        <v>315826.96628697333</v>
      </c>
      <c r="V20" s="428">
        <f t="shared" si="6"/>
        <v>313326.13074176456</v>
      </c>
      <c r="W20" s="428">
        <f t="shared" si="6"/>
        <v>309054.6090138742</v>
      </c>
      <c r="X20" s="428">
        <f t="shared" si="6"/>
        <v>303012.40110330237</v>
      </c>
      <c r="Y20" s="428">
        <f t="shared" si="6"/>
        <v>295199.50701004872</v>
      </c>
      <c r="Z20" s="428">
        <f t="shared" si="6"/>
        <v>285615.9267341136</v>
      </c>
      <c r="AA20" s="428">
        <f t="shared" si="6"/>
        <v>274261.66027549683</v>
      </c>
      <c r="AB20" s="428">
        <f t="shared" si="6"/>
        <v>261136.7076341986</v>
      </c>
      <c r="AC20" s="428">
        <f t="shared" si="6"/>
        <v>246241.06881021871</v>
      </c>
      <c r="AD20" s="428">
        <f t="shared" si="6"/>
        <v>229574.7438035571</v>
      </c>
      <c r="AE20" s="428">
        <f t="shared" si="6"/>
        <v>211137.73261421407</v>
      </c>
      <c r="AF20" s="428">
        <f t="shared" si="6"/>
        <v>190930.03524218939</v>
      </c>
      <c r="AG20" s="428">
        <f t="shared" si="6"/>
        <v>168951.65168748301</v>
      </c>
      <c r="AH20" s="423"/>
      <c r="AI20" s="423"/>
    </row>
    <row r="21" spans="2:35" x14ac:dyDescent="0.25">
      <c r="F21" s="423"/>
      <c r="G21" s="423"/>
      <c r="H21" s="423"/>
      <c r="I21" s="423"/>
      <c r="J21" s="423"/>
      <c r="K21" s="423"/>
      <c r="L21" s="423"/>
      <c r="M21" s="423"/>
      <c r="N21" s="423"/>
      <c r="O21" s="423"/>
      <c r="P21" s="423"/>
      <c r="Q21" s="423"/>
      <c r="R21" s="423"/>
      <c r="S21" s="423"/>
      <c r="T21" s="423"/>
      <c r="U21" s="423"/>
      <c r="V21" s="423"/>
      <c r="W21" s="423"/>
      <c r="X21" s="423"/>
      <c r="Y21" s="423"/>
      <c r="Z21" s="423"/>
      <c r="AA21" s="423"/>
      <c r="AB21" s="423"/>
      <c r="AC21" s="423"/>
      <c r="AD21" s="423"/>
      <c r="AE21" s="423"/>
      <c r="AF21" s="423"/>
      <c r="AG21" s="423"/>
      <c r="AH21" s="423"/>
      <c r="AI21" s="423"/>
    </row>
    <row r="22" spans="2:35" x14ac:dyDescent="0.25">
      <c r="B22" s="422" t="s">
        <v>58</v>
      </c>
      <c r="E22" s="427">
        <f>E63</f>
        <v>942205.08839179564</v>
      </c>
      <c r="F22" s="428">
        <f t="shared" ref="F22:AG22" si="7">F63</f>
        <v>859132.06582135218</v>
      </c>
      <c r="G22" s="428">
        <f t="shared" si="7"/>
        <v>1092318.0251527156</v>
      </c>
      <c r="H22" s="428">
        <f t="shared" si="7"/>
        <v>1051569.2661731152</v>
      </c>
      <c r="I22" s="428">
        <f t="shared" si="7"/>
        <v>998156.20437490859</v>
      </c>
      <c r="J22" s="428">
        <f t="shared" si="7"/>
        <v>917662.74844540516</v>
      </c>
      <c r="K22" s="428">
        <f t="shared" si="7"/>
        <v>1276250.2232841256</v>
      </c>
      <c r="L22" s="428">
        <f t="shared" si="7"/>
        <v>1392150.8709484458</v>
      </c>
      <c r="M22" s="428">
        <f t="shared" si="7"/>
        <v>1308104.2722127661</v>
      </c>
      <c r="N22" s="428">
        <f t="shared" si="7"/>
        <v>1203779.9598770866</v>
      </c>
      <c r="O22" s="428">
        <f t="shared" si="7"/>
        <v>1140378.9115414068</v>
      </c>
      <c r="P22" s="428">
        <f t="shared" si="7"/>
        <v>1171925.6360108468</v>
      </c>
      <c r="Q22" s="428">
        <f t="shared" si="7"/>
        <v>1196595.9092854068</v>
      </c>
      <c r="R22" s="428">
        <f t="shared" si="7"/>
        <v>1214389.7313650872</v>
      </c>
      <c r="S22" s="428">
        <f t="shared" si="7"/>
        <v>1225307.1022498873</v>
      </c>
      <c r="T22" s="428">
        <f t="shared" si="7"/>
        <v>1229348.0219398076</v>
      </c>
      <c r="U22" s="428">
        <f t="shared" si="7"/>
        <v>1226512.4904348478</v>
      </c>
      <c r="V22" s="428">
        <f t="shared" si="7"/>
        <v>1216800.5077350079</v>
      </c>
      <c r="W22" s="428">
        <f t="shared" si="7"/>
        <v>1200212.0738402882</v>
      </c>
      <c r="X22" s="428">
        <f t="shared" si="7"/>
        <v>1176747.1887506887</v>
      </c>
      <c r="Y22" s="428">
        <f t="shared" si="7"/>
        <v>1146405.8524662086</v>
      </c>
      <c r="Z22" s="428">
        <f t="shared" si="7"/>
        <v>1109188.064986849</v>
      </c>
      <c r="AA22" s="428">
        <f t="shared" si="7"/>
        <v>1065093.826312609</v>
      </c>
      <c r="AB22" s="428">
        <f>AB63</f>
        <v>1014123.1364434897</v>
      </c>
      <c r="AC22" s="428">
        <f t="shared" si="7"/>
        <v>956275.99537949008</v>
      </c>
      <c r="AD22" s="428">
        <f t="shared" si="7"/>
        <v>891552.40312061005</v>
      </c>
      <c r="AE22" s="428">
        <f t="shared" si="7"/>
        <v>819952.35966685077</v>
      </c>
      <c r="AF22" s="428">
        <f t="shared" si="7"/>
        <v>741475.86501821119</v>
      </c>
      <c r="AG22" s="428">
        <f t="shared" si="7"/>
        <v>656122.91917469131</v>
      </c>
      <c r="AH22" s="423"/>
      <c r="AI22" s="423"/>
    </row>
    <row r="23" spans="2:35" x14ac:dyDescent="0.25">
      <c r="AH23" s="423"/>
      <c r="AI23" s="423"/>
    </row>
    <row r="24" spans="2:35" x14ac:dyDescent="0.25">
      <c r="B24" s="422" t="s">
        <v>59</v>
      </c>
      <c r="E24" s="427">
        <f>SUM(E5:E11,E13,E15,E17,E20,E22)</f>
        <v>16303042.016186016</v>
      </c>
      <c r="F24" s="428">
        <f t="shared" ref="F24:AG24" si="8">SUM(F5:F11,F13,F15,F17,F20,F22)</f>
        <v>16631433.494169878</v>
      </c>
      <c r="G24" s="428">
        <f t="shared" si="8"/>
        <v>17030733.429467194</v>
      </c>
      <c r="H24" s="428">
        <f t="shared" si="8"/>
        <v>14062610.885499975</v>
      </c>
      <c r="I24" s="428">
        <f t="shared" si="8"/>
        <v>15261007.166184803</v>
      </c>
      <c r="J24" s="428">
        <f t="shared" si="8"/>
        <v>15704657.261667445</v>
      </c>
      <c r="K24" s="428">
        <f t="shared" si="8"/>
        <v>16582488.152137702</v>
      </c>
      <c r="L24" s="428">
        <f t="shared" si="8"/>
        <v>16941648.27739979</v>
      </c>
      <c r="M24" s="428">
        <f t="shared" si="8"/>
        <v>16979529.647946808</v>
      </c>
      <c r="N24" s="428">
        <f t="shared" si="8"/>
        <v>16980647.83563837</v>
      </c>
      <c r="O24" s="428">
        <f t="shared" si="8"/>
        <v>17053566.275524013</v>
      </c>
      <c r="P24" s="428">
        <f t="shared" si="8"/>
        <v>17305624.204126336</v>
      </c>
      <c r="Q24" s="428">
        <f t="shared" si="8"/>
        <v>17554995.176602304</v>
      </c>
      <c r="R24" s="428">
        <f t="shared" si="8"/>
        <v>17798655.351806428</v>
      </c>
      <c r="S24" s="428">
        <f t="shared" si="8"/>
        <v>18033203.548085857</v>
      </c>
      <c r="T24" s="428">
        <f t="shared" si="8"/>
        <v>18265316.953006368</v>
      </c>
      <c r="U24" s="428">
        <f t="shared" si="8"/>
        <v>18495316.366022997</v>
      </c>
      <c r="V24" s="428">
        <f t="shared" si="8"/>
        <v>18723398.324574862</v>
      </c>
      <c r="W24" s="428">
        <f t="shared" si="8"/>
        <v>18943580.887654342</v>
      </c>
      <c r="X24" s="428">
        <f t="shared" si="8"/>
        <v>19153863.970620126</v>
      </c>
      <c r="Y24" s="428">
        <f t="shared" si="8"/>
        <v>19362012.661854565</v>
      </c>
      <c r="Z24" s="428">
        <f t="shared" si="8"/>
        <v>19563567.479454681</v>
      </c>
      <c r="AA24" s="428">
        <f t="shared" si="8"/>
        <v>19768094.987311859</v>
      </c>
      <c r="AB24" s="428">
        <f t="shared" si="8"/>
        <v>19954473.510374613</v>
      </c>
      <c r="AC24" s="428">
        <f t="shared" si="8"/>
        <v>20141982.952531327</v>
      </c>
      <c r="AD24" s="428">
        <f t="shared" si="8"/>
        <v>20330445.691216819</v>
      </c>
      <c r="AE24" s="428">
        <f t="shared" si="8"/>
        <v>20502790.68423697</v>
      </c>
      <c r="AF24" s="428">
        <f t="shared" si="8"/>
        <v>20667029.861938592</v>
      </c>
      <c r="AG24" s="428">
        <f t="shared" si="8"/>
        <v>20841041.489349321</v>
      </c>
      <c r="AH24" s="423"/>
      <c r="AI24" s="423"/>
    </row>
    <row r="25" spans="2:35" x14ac:dyDescent="0.25">
      <c r="F25" s="423"/>
      <c r="G25" s="423"/>
      <c r="H25" s="423"/>
      <c r="I25" s="423"/>
      <c r="J25" s="423"/>
      <c r="K25" s="423"/>
      <c r="L25" s="423"/>
      <c r="M25" s="423"/>
      <c r="N25" s="423"/>
      <c r="O25" s="423"/>
      <c r="P25" s="423"/>
      <c r="Q25" s="423"/>
      <c r="R25" s="423"/>
      <c r="S25" s="423"/>
      <c r="T25" s="423"/>
      <c r="U25" s="423"/>
      <c r="V25" s="423"/>
      <c r="W25" s="423"/>
      <c r="X25" s="423"/>
      <c r="Y25" s="423"/>
      <c r="Z25" s="423"/>
      <c r="AA25" s="423"/>
      <c r="AB25" s="423"/>
      <c r="AC25" s="423"/>
      <c r="AD25" s="423"/>
      <c r="AE25" s="423"/>
      <c r="AF25" s="423"/>
      <c r="AG25" s="423"/>
      <c r="AH25" s="423"/>
      <c r="AI25" s="423"/>
    </row>
    <row r="26" spans="2:35" x14ac:dyDescent="0.25">
      <c r="F26" s="423"/>
      <c r="G26" s="423"/>
      <c r="H26" s="423"/>
      <c r="I26" s="423"/>
      <c r="J26" s="423"/>
      <c r="K26" s="423"/>
      <c r="L26" s="423"/>
      <c r="M26" s="423"/>
      <c r="N26" s="423"/>
      <c r="O26" s="423"/>
      <c r="P26" s="423"/>
      <c r="Q26" s="423"/>
      <c r="R26" s="423"/>
      <c r="S26" s="423"/>
      <c r="T26" s="423"/>
      <c r="U26" s="423"/>
      <c r="V26" s="423"/>
      <c r="W26" s="423"/>
      <c r="X26" s="423"/>
      <c r="Y26" s="423"/>
      <c r="Z26" s="423"/>
      <c r="AA26" s="423"/>
      <c r="AB26" s="423"/>
      <c r="AC26" s="423"/>
      <c r="AD26" s="423"/>
      <c r="AE26" s="423"/>
      <c r="AF26" s="423"/>
      <c r="AG26" s="423"/>
      <c r="AH26" s="423"/>
      <c r="AI26" s="423"/>
    </row>
    <row r="27" spans="2:35" x14ac:dyDescent="0.25">
      <c r="F27" s="423"/>
      <c r="G27" s="423"/>
      <c r="H27" s="423"/>
      <c r="I27" s="423"/>
      <c r="J27" s="423"/>
      <c r="K27" s="423"/>
      <c r="L27" s="423"/>
      <c r="M27" s="423"/>
      <c r="N27" s="423"/>
      <c r="O27" s="423"/>
      <c r="P27" s="423"/>
      <c r="Q27" s="423"/>
      <c r="R27" s="423"/>
      <c r="S27" s="423"/>
      <c r="T27" s="423"/>
      <c r="U27" s="423"/>
      <c r="V27" s="423"/>
      <c r="W27" s="423"/>
      <c r="X27" s="423"/>
      <c r="Y27" s="423"/>
      <c r="Z27" s="423"/>
      <c r="AA27" s="423"/>
      <c r="AB27" s="423"/>
      <c r="AC27" s="423"/>
      <c r="AD27" s="423"/>
      <c r="AE27" s="423"/>
      <c r="AF27" s="423"/>
      <c r="AG27" s="423"/>
      <c r="AH27" s="423"/>
      <c r="AI27" s="423"/>
    </row>
    <row r="28" spans="2:35" x14ac:dyDescent="0.25">
      <c r="B28" s="422" t="s">
        <v>60</v>
      </c>
      <c r="E28" s="423">
        <v>2017</v>
      </c>
      <c r="F28" s="423">
        <v>2018</v>
      </c>
      <c r="G28" s="423">
        <v>2019</v>
      </c>
      <c r="H28" s="423">
        <v>2020</v>
      </c>
      <c r="I28" s="423">
        <v>2021</v>
      </c>
      <c r="J28" s="423">
        <v>2022</v>
      </c>
      <c r="K28" s="423">
        <v>2023</v>
      </c>
      <c r="L28" s="423">
        <v>2024</v>
      </c>
      <c r="M28" s="423">
        <v>2025</v>
      </c>
      <c r="N28" s="423">
        <v>2026</v>
      </c>
      <c r="O28" s="423">
        <v>2027</v>
      </c>
      <c r="P28" s="423">
        <v>2028</v>
      </c>
      <c r="Q28" s="423">
        <v>2029</v>
      </c>
      <c r="R28" s="423">
        <v>2030</v>
      </c>
      <c r="S28" s="423">
        <v>2031</v>
      </c>
      <c r="T28" s="423">
        <v>2032</v>
      </c>
      <c r="U28" s="423">
        <v>2033</v>
      </c>
      <c r="V28" s="423">
        <v>2034</v>
      </c>
      <c r="W28" s="423">
        <v>2035</v>
      </c>
      <c r="X28" s="423">
        <v>2036</v>
      </c>
      <c r="Y28" s="423">
        <v>2037</v>
      </c>
      <c r="Z28" s="423">
        <v>2038</v>
      </c>
      <c r="AA28" s="423">
        <v>2039</v>
      </c>
      <c r="AB28" s="423">
        <v>2040</v>
      </c>
      <c r="AC28" s="423">
        <v>2041</v>
      </c>
      <c r="AD28" s="423">
        <v>2042</v>
      </c>
      <c r="AE28" s="423">
        <v>2043</v>
      </c>
      <c r="AF28" s="423">
        <v>2044</v>
      </c>
      <c r="AG28" s="423">
        <v>2045</v>
      </c>
      <c r="AH28" s="423"/>
      <c r="AI28" s="423"/>
    </row>
    <row r="29" spans="2:35" x14ac:dyDescent="0.25">
      <c r="B29" s="421" t="s">
        <v>61</v>
      </c>
      <c r="E29" s="427">
        <v>62869.098046704312</v>
      </c>
      <c r="F29" s="428">
        <f>E29+E38</f>
        <v>62869.098046704312</v>
      </c>
      <c r="G29" s="428">
        <f t="shared" ref="G29:V29" si="9">F29+F38</f>
        <v>62869.098046704312</v>
      </c>
      <c r="H29" s="428">
        <f t="shared" si="9"/>
        <v>62869.098046704312</v>
      </c>
      <c r="I29" s="428">
        <f t="shared" si="9"/>
        <v>62869.098046704312</v>
      </c>
      <c r="J29" s="428">
        <f t="shared" si="9"/>
        <v>62869.098046704312</v>
      </c>
      <c r="K29" s="428">
        <f t="shared" si="9"/>
        <v>62869.098046704312</v>
      </c>
      <c r="L29" s="428">
        <f t="shared" si="9"/>
        <v>62869.098046704312</v>
      </c>
      <c r="M29" s="428">
        <f t="shared" si="9"/>
        <v>62869.098046704312</v>
      </c>
      <c r="N29" s="428">
        <f t="shared" si="9"/>
        <v>62869.098046704312</v>
      </c>
      <c r="O29" s="428">
        <f t="shared" si="9"/>
        <v>62869.098046704312</v>
      </c>
      <c r="P29" s="428">
        <f t="shared" si="9"/>
        <v>62869.098046704312</v>
      </c>
      <c r="Q29" s="428">
        <f t="shared" si="9"/>
        <v>62869.098046704312</v>
      </c>
      <c r="R29" s="428">
        <f t="shared" si="9"/>
        <v>62869.098046704312</v>
      </c>
      <c r="S29" s="428">
        <f t="shared" si="9"/>
        <v>62869.098046704312</v>
      </c>
      <c r="T29" s="428">
        <f t="shared" si="9"/>
        <v>62869.098046704312</v>
      </c>
      <c r="U29" s="428">
        <f t="shared" si="9"/>
        <v>62869.098046704312</v>
      </c>
      <c r="V29" s="428">
        <f t="shared" si="9"/>
        <v>62869.098046704312</v>
      </c>
      <c r="W29" s="428">
        <f t="shared" ref="V29:AG34" si="10">V29+V38</f>
        <v>62869.098046704312</v>
      </c>
      <c r="X29" s="428">
        <f t="shared" si="10"/>
        <v>62869.098046704312</v>
      </c>
      <c r="Y29" s="428">
        <f t="shared" si="10"/>
        <v>62869.098046704312</v>
      </c>
      <c r="Z29" s="428">
        <f t="shared" si="10"/>
        <v>62869.098046704312</v>
      </c>
      <c r="AA29" s="428">
        <f t="shared" si="10"/>
        <v>62869.098046704312</v>
      </c>
      <c r="AB29" s="428">
        <f t="shared" si="10"/>
        <v>62869.098046704312</v>
      </c>
      <c r="AC29" s="428">
        <f t="shared" si="10"/>
        <v>62869.098046704312</v>
      </c>
      <c r="AD29" s="428">
        <f t="shared" si="10"/>
        <v>62869.098046704312</v>
      </c>
      <c r="AE29" s="428">
        <f t="shared" si="10"/>
        <v>62869.098046704312</v>
      </c>
      <c r="AF29" s="428">
        <f t="shared" si="10"/>
        <v>62869.098046704312</v>
      </c>
      <c r="AG29" s="428">
        <f t="shared" si="10"/>
        <v>62869.098046704312</v>
      </c>
      <c r="AH29" s="423"/>
      <c r="AI29" s="423"/>
    </row>
    <row r="30" spans="2:35" x14ac:dyDescent="0.25">
      <c r="B30" s="421" t="s">
        <v>62</v>
      </c>
      <c r="E30" s="427">
        <v>31908722.664999999</v>
      </c>
      <c r="F30" s="428">
        <f t="shared" ref="F30:U34" si="11">E30+E39</f>
        <v>32062076.642440636</v>
      </c>
      <c r="G30" s="428">
        <f t="shared" si="11"/>
        <v>36847414.208090104</v>
      </c>
      <c r="H30" s="428">
        <f t="shared" si="11"/>
        <v>37810257.030125007</v>
      </c>
      <c r="I30" s="428">
        <f t="shared" si="11"/>
        <v>38624971.594557762</v>
      </c>
      <c r="J30" s="428">
        <f t="shared" si="11"/>
        <v>39074976.333033487</v>
      </c>
      <c r="K30" s="428">
        <f t="shared" si="11"/>
        <v>45964976.333033487</v>
      </c>
      <c r="L30" s="428">
        <f t="shared" si="11"/>
        <v>49570696.333033487</v>
      </c>
      <c r="M30" s="428">
        <f t="shared" si="11"/>
        <v>50390696.333033487</v>
      </c>
      <c r="N30" s="428">
        <f t="shared" si="11"/>
        <v>50945696.333033487</v>
      </c>
      <c r="O30" s="428">
        <f t="shared" si="11"/>
        <v>52120696.333033487</v>
      </c>
      <c r="P30" s="428">
        <f t="shared" si="11"/>
        <v>54729840.333033487</v>
      </c>
      <c r="Q30" s="428">
        <f t="shared" si="11"/>
        <v>57338984.333033487</v>
      </c>
      <c r="R30" s="428">
        <f t="shared" si="11"/>
        <v>59948128.333033487</v>
      </c>
      <c r="S30" s="428">
        <f t="shared" si="11"/>
        <v>62557272.333033487</v>
      </c>
      <c r="T30" s="428">
        <f t="shared" si="11"/>
        <v>65166416.333033487</v>
      </c>
      <c r="U30" s="428">
        <f t="shared" si="11"/>
        <v>67775560.333033487</v>
      </c>
      <c r="V30" s="428">
        <f t="shared" si="10"/>
        <v>70384704.333033487</v>
      </c>
      <c r="W30" s="428">
        <f t="shared" si="10"/>
        <v>72993848.333033487</v>
      </c>
      <c r="X30" s="428">
        <f t="shared" si="10"/>
        <v>75602992.333033487</v>
      </c>
      <c r="Y30" s="428">
        <f t="shared" si="10"/>
        <v>78212136.333033487</v>
      </c>
      <c r="Z30" s="428">
        <f t="shared" si="10"/>
        <v>80821280.333033487</v>
      </c>
      <c r="AA30" s="428">
        <f t="shared" si="10"/>
        <v>83430424.333033487</v>
      </c>
      <c r="AB30" s="428">
        <f t="shared" si="10"/>
        <v>86039568.333033487</v>
      </c>
      <c r="AC30" s="428">
        <f t="shared" si="10"/>
        <v>88648712.333033487</v>
      </c>
      <c r="AD30" s="428">
        <f t="shared" si="10"/>
        <v>91257856.333033487</v>
      </c>
      <c r="AE30" s="428">
        <f t="shared" si="10"/>
        <v>93867000.333033487</v>
      </c>
      <c r="AF30" s="428">
        <f t="shared" si="10"/>
        <v>96476144.333033487</v>
      </c>
      <c r="AG30" s="428">
        <f t="shared" si="10"/>
        <v>99085288.333033487</v>
      </c>
      <c r="AH30" s="423"/>
      <c r="AI30" s="423"/>
    </row>
    <row r="31" spans="2:35" x14ac:dyDescent="0.25">
      <c r="B31" s="421" t="s">
        <v>63</v>
      </c>
      <c r="E31" s="427">
        <v>0</v>
      </c>
      <c r="F31" s="428">
        <f t="shared" si="11"/>
        <v>0</v>
      </c>
      <c r="G31" s="428">
        <f t="shared" si="11"/>
        <v>0</v>
      </c>
      <c r="H31" s="428">
        <f t="shared" si="11"/>
        <v>0</v>
      </c>
      <c r="I31" s="428">
        <f t="shared" si="11"/>
        <v>0</v>
      </c>
      <c r="J31" s="428">
        <f t="shared" si="11"/>
        <v>0</v>
      </c>
      <c r="K31" s="428">
        <f t="shared" si="11"/>
        <v>0</v>
      </c>
      <c r="L31" s="428">
        <f t="shared" si="11"/>
        <v>0</v>
      </c>
      <c r="M31" s="428">
        <f t="shared" si="11"/>
        <v>0</v>
      </c>
      <c r="N31" s="428">
        <f t="shared" si="11"/>
        <v>0</v>
      </c>
      <c r="O31" s="428">
        <f t="shared" si="11"/>
        <v>0</v>
      </c>
      <c r="P31" s="428">
        <f t="shared" si="11"/>
        <v>0</v>
      </c>
      <c r="Q31" s="428">
        <f t="shared" si="11"/>
        <v>0</v>
      </c>
      <c r="R31" s="428">
        <f t="shared" si="11"/>
        <v>0</v>
      </c>
      <c r="S31" s="428">
        <f t="shared" si="11"/>
        <v>0</v>
      </c>
      <c r="T31" s="428">
        <f t="shared" si="11"/>
        <v>0</v>
      </c>
      <c r="U31" s="428">
        <f t="shared" si="11"/>
        <v>0</v>
      </c>
      <c r="V31" s="428">
        <f t="shared" si="10"/>
        <v>0</v>
      </c>
      <c r="W31" s="428">
        <f t="shared" si="10"/>
        <v>0</v>
      </c>
      <c r="X31" s="428">
        <f t="shared" si="10"/>
        <v>0</v>
      </c>
      <c r="Y31" s="428">
        <f t="shared" si="10"/>
        <v>0</v>
      </c>
      <c r="Z31" s="428">
        <f t="shared" si="10"/>
        <v>0</v>
      </c>
      <c r="AA31" s="428">
        <f t="shared" si="10"/>
        <v>0</v>
      </c>
      <c r="AB31" s="428">
        <f t="shared" si="10"/>
        <v>0</v>
      </c>
      <c r="AC31" s="428">
        <f t="shared" si="10"/>
        <v>0</v>
      </c>
      <c r="AD31" s="428">
        <f t="shared" si="10"/>
        <v>0</v>
      </c>
      <c r="AE31" s="428">
        <f t="shared" si="10"/>
        <v>0</v>
      </c>
      <c r="AF31" s="428">
        <f t="shared" si="10"/>
        <v>0</v>
      </c>
      <c r="AG31" s="428">
        <f t="shared" si="10"/>
        <v>0</v>
      </c>
      <c r="AH31" s="423"/>
      <c r="AI31" s="423"/>
    </row>
    <row r="32" spans="2:35" x14ac:dyDescent="0.25">
      <c r="B32" s="421" t="s">
        <v>64</v>
      </c>
      <c r="E32" s="427">
        <v>0</v>
      </c>
      <c r="F32" s="428">
        <f t="shared" si="11"/>
        <v>0</v>
      </c>
      <c r="G32" s="428">
        <f t="shared" si="11"/>
        <v>0</v>
      </c>
      <c r="H32" s="428">
        <f t="shared" si="11"/>
        <v>0</v>
      </c>
      <c r="I32" s="428">
        <f t="shared" si="11"/>
        <v>0</v>
      </c>
      <c r="J32" s="428">
        <f t="shared" si="11"/>
        <v>0</v>
      </c>
      <c r="K32" s="428">
        <f t="shared" si="11"/>
        <v>0</v>
      </c>
      <c r="L32" s="428">
        <f t="shared" si="11"/>
        <v>0</v>
      </c>
      <c r="M32" s="428">
        <f t="shared" si="11"/>
        <v>0</v>
      </c>
      <c r="N32" s="428">
        <f t="shared" si="11"/>
        <v>0</v>
      </c>
      <c r="O32" s="428">
        <f t="shared" si="11"/>
        <v>0</v>
      </c>
      <c r="P32" s="428">
        <f t="shared" si="11"/>
        <v>0</v>
      </c>
      <c r="Q32" s="428">
        <f t="shared" si="11"/>
        <v>0</v>
      </c>
      <c r="R32" s="428">
        <f t="shared" si="11"/>
        <v>0</v>
      </c>
      <c r="S32" s="428">
        <f t="shared" si="11"/>
        <v>0</v>
      </c>
      <c r="T32" s="428">
        <f t="shared" si="11"/>
        <v>0</v>
      </c>
      <c r="U32" s="428">
        <f t="shared" si="11"/>
        <v>0</v>
      </c>
      <c r="V32" s="428">
        <f t="shared" si="10"/>
        <v>0</v>
      </c>
      <c r="W32" s="428">
        <f t="shared" si="10"/>
        <v>0</v>
      </c>
      <c r="X32" s="428">
        <f t="shared" si="10"/>
        <v>0</v>
      </c>
      <c r="Y32" s="428">
        <f t="shared" si="10"/>
        <v>0</v>
      </c>
      <c r="Z32" s="428">
        <f t="shared" si="10"/>
        <v>0</v>
      </c>
      <c r="AA32" s="428">
        <f t="shared" si="10"/>
        <v>0</v>
      </c>
      <c r="AB32" s="428">
        <f t="shared" si="10"/>
        <v>0</v>
      </c>
      <c r="AC32" s="428">
        <f t="shared" si="10"/>
        <v>0</v>
      </c>
      <c r="AD32" s="428">
        <f t="shared" si="10"/>
        <v>0</v>
      </c>
      <c r="AE32" s="428">
        <f t="shared" si="10"/>
        <v>0</v>
      </c>
      <c r="AF32" s="428">
        <f t="shared" si="10"/>
        <v>0</v>
      </c>
      <c r="AG32" s="428">
        <f t="shared" si="10"/>
        <v>0</v>
      </c>
      <c r="AH32" s="423"/>
      <c r="AI32" s="423"/>
    </row>
    <row r="33" spans="2:35" x14ac:dyDescent="0.25">
      <c r="B33" s="421" t="s">
        <v>65</v>
      </c>
      <c r="E33" s="427">
        <v>0</v>
      </c>
      <c r="F33" s="428">
        <f t="shared" si="11"/>
        <v>0</v>
      </c>
      <c r="G33" s="428">
        <f t="shared" si="11"/>
        <v>0</v>
      </c>
      <c r="H33" s="428">
        <f t="shared" si="11"/>
        <v>0</v>
      </c>
      <c r="I33" s="428">
        <f t="shared" si="11"/>
        <v>0</v>
      </c>
      <c r="J33" s="428">
        <f t="shared" si="11"/>
        <v>0</v>
      </c>
      <c r="K33" s="428">
        <f t="shared" si="11"/>
        <v>0</v>
      </c>
      <c r="L33" s="428">
        <f t="shared" si="11"/>
        <v>0</v>
      </c>
      <c r="M33" s="428">
        <f t="shared" si="11"/>
        <v>0</v>
      </c>
      <c r="N33" s="428">
        <f t="shared" si="11"/>
        <v>0</v>
      </c>
      <c r="O33" s="428">
        <f t="shared" si="11"/>
        <v>0</v>
      </c>
      <c r="P33" s="428">
        <f t="shared" si="11"/>
        <v>0</v>
      </c>
      <c r="Q33" s="428">
        <f t="shared" si="11"/>
        <v>0</v>
      </c>
      <c r="R33" s="428">
        <f t="shared" si="11"/>
        <v>0</v>
      </c>
      <c r="S33" s="428">
        <f t="shared" si="11"/>
        <v>0</v>
      </c>
      <c r="T33" s="428">
        <f t="shared" si="11"/>
        <v>0</v>
      </c>
      <c r="U33" s="428">
        <f t="shared" si="11"/>
        <v>0</v>
      </c>
      <c r="V33" s="428">
        <f t="shared" si="10"/>
        <v>0</v>
      </c>
      <c r="W33" s="428">
        <f t="shared" si="10"/>
        <v>0</v>
      </c>
      <c r="X33" s="428">
        <f t="shared" si="10"/>
        <v>0</v>
      </c>
      <c r="Y33" s="428">
        <f t="shared" si="10"/>
        <v>0</v>
      </c>
      <c r="Z33" s="428">
        <f t="shared" si="10"/>
        <v>0</v>
      </c>
      <c r="AA33" s="428">
        <f t="shared" si="10"/>
        <v>0</v>
      </c>
      <c r="AB33" s="428">
        <f t="shared" si="10"/>
        <v>0</v>
      </c>
      <c r="AC33" s="428">
        <f t="shared" si="10"/>
        <v>0</v>
      </c>
      <c r="AD33" s="428">
        <f t="shared" si="10"/>
        <v>0</v>
      </c>
      <c r="AE33" s="428">
        <f t="shared" si="10"/>
        <v>0</v>
      </c>
      <c r="AF33" s="428">
        <f t="shared" si="10"/>
        <v>0</v>
      </c>
      <c r="AG33" s="428">
        <f t="shared" si="10"/>
        <v>0</v>
      </c>
      <c r="AH33" s="423"/>
      <c r="AI33" s="423"/>
    </row>
    <row r="34" spans="2:35" x14ac:dyDescent="0.25">
      <c r="B34" s="421" t="s">
        <v>66</v>
      </c>
      <c r="E34" s="427">
        <v>2273929.4178828425</v>
      </c>
      <c r="F34" s="428">
        <f t="shared" si="11"/>
        <v>2273929.4178828425</v>
      </c>
      <c r="G34" s="428">
        <f t="shared" si="11"/>
        <v>2273929.4178828425</v>
      </c>
      <c r="H34" s="428">
        <f t="shared" si="11"/>
        <v>2273929.4178828425</v>
      </c>
      <c r="I34" s="428">
        <f t="shared" si="11"/>
        <v>2273929.4178828425</v>
      </c>
      <c r="J34" s="428">
        <f t="shared" si="11"/>
        <v>2273929.4178828425</v>
      </c>
      <c r="K34" s="428">
        <f t="shared" si="11"/>
        <v>2273929.4178828425</v>
      </c>
      <c r="L34" s="428">
        <f t="shared" si="11"/>
        <v>2273929.4178828425</v>
      </c>
      <c r="M34" s="428">
        <f t="shared" si="11"/>
        <v>2273929.4178828425</v>
      </c>
      <c r="N34" s="428">
        <f t="shared" si="11"/>
        <v>2273929.4178828425</v>
      </c>
      <c r="O34" s="428">
        <f t="shared" si="11"/>
        <v>2273929.4178828425</v>
      </c>
      <c r="P34" s="428">
        <f t="shared" si="11"/>
        <v>2273929.4178828425</v>
      </c>
      <c r="Q34" s="428">
        <f t="shared" si="11"/>
        <v>2273929.4178828425</v>
      </c>
      <c r="R34" s="428">
        <f t="shared" si="11"/>
        <v>2273929.4178828425</v>
      </c>
      <c r="S34" s="428">
        <f t="shared" si="11"/>
        <v>2273929.4178828425</v>
      </c>
      <c r="T34" s="428">
        <f t="shared" si="11"/>
        <v>2273929.4178828425</v>
      </c>
      <c r="U34" s="428">
        <f t="shared" si="11"/>
        <v>2273929.4178828425</v>
      </c>
      <c r="V34" s="428">
        <f t="shared" si="10"/>
        <v>2273929.4178828425</v>
      </c>
      <c r="W34" s="428">
        <f t="shared" si="10"/>
        <v>2273929.4178828425</v>
      </c>
      <c r="X34" s="428">
        <f t="shared" si="10"/>
        <v>2273929.4178828425</v>
      </c>
      <c r="Y34" s="428">
        <f t="shared" si="10"/>
        <v>2273929.4178828425</v>
      </c>
      <c r="Z34" s="428">
        <f t="shared" si="10"/>
        <v>2273929.4178828425</v>
      </c>
      <c r="AA34" s="428">
        <f t="shared" si="10"/>
        <v>2273929.4178828425</v>
      </c>
      <c r="AB34" s="428">
        <f t="shared" si="10"/>
        <v>2273929.4178828425</v>
      </c>
      <c r="AC34" s="428">
        <f t="shared" si="10"/>
        <v>2273929.4178828425</v>
      </c>
      <c r="AD34" s="428">
        <f t="shared" si="10"/>
        <v>2273929.4178828425</v>
      </c>
      <c r="AE34" s="428">
        <f t="shared" si="10"/>
        <v>2273929.4178828425</v>
      </c>
      <c r="AF34" s="428">
        <f t="shared" si="10"/>
        <v>2273929.4178828425</v>
      </c>
      <c r="AG34" s="428">
        <f t="shared" si="10"/>
        <v>2273929.4178828425</v>
      </c>
      <c r="AH34" s="423"/>
      <c r="AI34" s="423"/>
    </row>
    <row r="35" spans="2:35" x14ac:dyDescent="0.25">
      <c r="B35" s="421" t="s">
        <v>67</v>
      </c>
      <c r="E35" s="431">
        <f>SUM(E29:E34)</f>
        <v>34245521.180929549</v>
      </c>
      <c r="F35" s="431">
        <f>SUM(F29:F34)</f>
        <v>34398875.158370182</v>
      </c>
      <c r="G35" s="431">
        <f t="shared" ref="G35:AG35" si="12">SUM(G29:G34)</f>
        <v>39184212.724019654</v>
      </c>
      <c r="H35" s="431">
        <f t="shared" si="12"/>
        <v>40147055.546054557</v>
      </c>
      <c r="I35" s="431">
        <f t="shared" si="12"/>
        <v>40961770.110487312</v>
      </c>
      <c r="J35" s="431">
        <f t="shared" si="12"/>
        <v>41411774.848963037</v>
      </c>
      <c r="K35" s="431">
        <f t="shared" si="12"/>
        <v>48301774.848963037</v>
      </c>
      <c r="L35" s="431">
        <f t="shared" si="12"/>
        <v>51907494.848963037</v>
      </c>
      <c r="M35" s="431">
        <f t="shared" si="12"/>
        <v>52727494.848963037</v>
      </c>
      <c r="N35" s="431">
        <f t="shared" si="12"/>
        <v>53282494.848963037</v>
      </c>
      <c r="O35" s="431">
        <f t="shared" si="12"/>
        <v>54457494.848963037</v>
      </c>
      <c r="P35" s="431">
        <f t="shared" si="12"/>
        <v>57066638.848963037</v>
      </c>
      <c r="Q35" s="431">
        <f t="shared" si="12"/>
        <v>59675782.848963037</v>
      </c>
      <c r="R35" s="431">
        <f t="shared" si="12"/>
        <v>62284926.848963037</v>
      </c>
      <c r="S35" s="431">
        <f t="shared" si="12"/>
        <v>64894070.848963037</v>
      </c>
      <c r="T35" s="431">
        <f t="shared" si="12"/>
        <v>67503214.848963037</v>
      </c>
      <c r="U35" s="431">
        <f t="shared" si="12"/>
        <v>70112358.848963037</v>
      </c>
      <c r="V35" s="431">
        <f t="shared" si="12"/>
        <v>72721502.848963037</v>
      </c>
      <c r="W35" s="431">
        <f t="shared" si="12"/>
        <v>75330646.848963037</v>
      </c>
      <c r="X35" s="431">
        <f t="shared" si="12"/>
        <v>77939790.848963037</v>
      </c>
      <c r="Y35" s="431">
        <f t="shared" si="12"/>
        <v>80548934.848963037</v>
      </c>
      <c r="Z35" s="431">
        <f t="shared" si="12"/>
        <v>83158078.848963037</v>
      </c>
      <c r="AA35" s="431">
        <f t="shared" si="12"/>
        <v>85767222.848963037</v>
      </c>
      <c r="AB35" s="431">
        <f t="shared" si="12"/>
        <v>88376366.848963037</v>
      </c>
      <c r="AC35" s="431">
        <f t="shared" si="12"/>
        <v>90985510.848963037</v>
      </c>
      <c r="AD35" s="431">
        <f t="shared" si="12"/>
        <v>93594654.848963037</v>
      </c>
      <c r="AE35" s="431">
        <f t="shared" si="12"/>
        <v>96203798.848963037</v>
      </c>
      <c r="AF35" s="431">
        <f t="shared" si="12"/>
        <v>98812942.848963037</v>
      </c>
      <c r="AG35" s="431">
        <f t="shared" si="12"/>
        <v>101422086.84896304</v>
      </c>
      <c r="AH35" s="423"/>
      <c r="AI35" s="423"/>
    </row>
    <row r="36" spans="2:35" x14ac:dyDescent="0.25">
      <c r="F36" s="423"/>
      <c r="G36" s="423"/>
      <c r="H36" s="423"/>
      <c r="I36" s="423"/>
      <c r="J36" s="423"/>
      <c r="K36" s="423"/>
      <c r="L36" s="423"/>
      <c r="M36" s="423"/>
      <c r="N36" s="423"/>
      <c r="O36" s="423"/>
      <c r="P36" s="423"/>
      <c r="Q36" s="423"/>
      <c r="R36" s="423"/>
      <c r="S36" s="423"/>
      <c r="T36" s="423"/>
      <c r="U36" s="423"/>
      <c r="V36" s="423"/>
      <c r="W36" s="423"/>
      <c r="X36" s="423"/>
      <c r="Y36" s="423"/>
      <c r="Z36" s="423"/>
      <c r="AA36" s="423"/>
      <c r="AB36" s="423"/>
      <c r="AC36" s="423"/>
      <c r="AD36" s="423"/>
      <c r="AE36" s="423"/>
      <c r="AF36" s="423"/>
      <c r="AG36" s="423"/>
      <c r="AH36" s="423"/>
      <c r="AI36" s="423"/>
    </row>
    <row r="37" spans="2:35" x14ac:dyDescent="0.25">
      <c r="B37" s="422" t="s">
        <v>68</v>
      </c>
      <c r="C37" s="421" t="s">
        <v>69</v>
      </c>
      <c r="E37" s="423">
        <v>2017</v>
      </c>
      <c r="F37" s="423">
        <v>2018</v>
      </c>
      <c r="G37" s="423">
        <v>2019</v>
      </c>
      <c r="H37" s="423">
        <v>2020</v>
      </c>
      <c r="I37" s="423">
        <v>2021</v>
      </c>
      <c r="J37" s="423">
        <v>2022</v>
      </c>
      <c r="K37" s="423">
        <v>2023</v>
      </c>
      <c r="L37" s="423">
        <v>2024</v>
      </c>
      <c r="M37" s="423">
        <v>2025</v>
      </c>
      <c r="N37" s="423">
        <v>2026</v>
      </c>
      <c r="O37" s="423">
        <v>2027</v>
      </c>
      <c r="P37" s="423">
        <v>2028</v>
      </c>
      <c r="Q37" s="423">
        <v>2029</v>
      </c>
      <c r="R37" s="423">
        <v>2030</v>
      </c>
      <c r="S37" s="423">
        <v>2031</v>
      </c>
      <c r="T37" s="423">
        <v>2032</v>
      </c>
      <c r="U37" s="423">
        <v>2033</v>
      </c>
      <c r="V37" s="423">
        <v>2034</v>
      </c>
      <c r="W37" s="423">
        <v>2035</v>
      </c>
      <c r="X37" s="423">
        <v>2036</v>
      </c>
      <c r="Y37" s="423">
        <v>2037</v>
      </c>
      <c r="Z37" s="423">
        <v>2038</v>
      </c>
      <c r="AA37" s="423">
        <v>2039</v>
      </c>
      <c r="AB37" s="423">
        <v>2040</v>
      </c>
      <c r="AC37" s="423">
        <v>2041</v>
      </c>
      <c r="AD37" s="423">
        <v>2042</v>
      </c>
      <c r="AE37" s="423">
        <v>2043</v>
      </c>
      <c r="AF37" s="423">
        <v>2044</v>
      </c>
      <c r="AG37" s="423">
        <v>2045</v>
      </c>
      <c r="AH37" s="423"/>
      <c r="AI37" s="423"/>
    </row>
    <row r="38" spans="2:35" x14ac:dyDescent="0.25">
      <c r="B38" s="421" t="s">
        <v>61</v>
      </c>
      <c r="C38" s="429">
        <v>0</v>
      </c>
      <c r="E38" s="452">
        <v>0</v>
      </c>
      <c r="F38" s="452">
        <v>0</v>
      </c>
      <c r="G38" s="452">
        <v>0</v>
      </c>
      <c r="H38" s="452">
        <v>0</v>
      </c>
      <c r="I38" s="452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8">
        <f>N38*(1+$C38)</f>
        <v>0</v>
      </c>
      <c r="P38" s="428">
        <f t="shared" ref="P38:AE38" si="13">O38*(1+$C38)</f>
        <v>0</v>
      </c>
      <c r="Q38" s="428">
        <f t="shared" si="13"/>
        <v>0</v>
      </c>
      <c r="R38" s="428">
        <f t="shared" si="13"/>
        <v>0</v>
      </c>
      <c r="S38" s="428">
        <f t="shared" si="13"/>
        <v>0</v>
      </c>
      <c r="T38" s="428">
        <f t="shared" si="13"/>
        <v>0</v>
      </c>
      <c r="U38" s="428">
        <f t="shared" si="13"/>
        <v>0</v>
      </c>
      <c r="V38" s="428">
        <f t="shared" si="13"/>
        <v>0</v>
      </c>
      <c r="W38" s="428">
        <f t="shared" si="13"/>
        <v>0</v>
      </c>
      <c r="X38" s="428">
        <f t="shared" si="13"/>
        <v>0</v>
      </c>
      <c r="Y38" s="428">
        <f t="shared" si="13"/>
        <v>0</v>
      </c>
      <c r="Z38" s="428">
        <f t="shared" si="13"/>
        <v>0</v>
      </c>
      <c r="AA38" s="428">
        <f t="shared" si="13"/>
        <v>0</v>
      </c>
      <c r="AB38" s="428">
        <f t="shared" si="13"/>
        <v>0</v>
      </c>
      <c r="AC38" s="428">
        <f t="shared" si="13"/>
        <v>0</v>
      </c>
      <c r="AD38" s="428">
        <f t="shared" si="13"/>
        <v>0</v>
      </c>
      <c r="AE38" s="428">
        <f t="shared" si="13"/>
        <v>0</v>
      </c>
      <c r="AF38" s="428">
        <f t="shared" ref="AE38:AG43" si="14">AE38*(1+$C38)</f>
        <v>0</v>
      </c>
      <c r="AG38" s="428">
        <f t="shared" si="14"/>
        <v>0</v>
      </c>
      <c r="AH38" s="423"/>
      <c r="AI38" s="423"/>
    </row>
    <row r="39" spans="2:35" x14ac:dyDescent="0.25">
      <c r="B39" s="421" t="s">
        <v>62</v>
      </c>
      <c r="C39" s="429">
        <v>0</v>
      </c>
      <c r="E39" s="452">
        <v>153353.97744063698</v>
      </c>
      <c r="F39" s="452">
        <v>4785337.5656494657</v>
      </c>
      <c r="G39" s="452">
        <v>962842.82203489973</v>
      </c>
      <c r="H39" s="452">
        <v>814714.56443275313</v>
      </c>
      <c r="I39" s="452">
        <v>450004.7384757222</v>
      </c>
      <c r="J39" s="427">
        <v>6890000</v>
      </c>
      <c r="K39" s="427">
        <v>3605720</v>
      </c>
      <c r="L39" s="427">
        <v>820000</v>
      </c>
      <c r="M39" s="427">
        <v>555000</v>
      </c>
      <c r="N39" s="427">
        <v>1175000</v>
      </c>
      <c r="O39" s="428">
        <f>IF('Rates Dashboard'!$C$8="Base",AVERAGE($J39:$N39),AVERAGE($J39:$N39)*'SNG Plant'!O$2)</f>
        <v>2609144</v>
      </c>
      <c r="P39" s="428">
        <f>IF('Rates Dashboard'!$C$8="Base",AVERAGE($J39:$N39),AVERAGE($J39:$N39)*'SNG Plant'!P$2)</f>
        <v>2609144</v>
      </c>
      <c r="Q39" s="428">
        <f>IF('Rates Dashboard'!$C$8="Base",AVERAGE($J39:$N39),AVERAGE($J39:$N39)*'SNG Plant'!Q$2)</f>
        <v>2609144</v>
      </c>
      <c r="R39" s="428">
        <f>IF('Rates Dashboard'!$C$8="Base",AVERAGE($J39:$N39),AVERAGE($J39:$N39)*'SNG Plant'!R$2)</f>
        <v>2609144</v>
      </c>
      <c r="S39" s="428">
        <f>IF('Rates Dashboard'!$C$8="Base",AVERAGE($J39:$N39),AVERAGE($J39:$N39)*'SNG Plant'!S$2)</f>
        <v>2609144</v>
      </c>
      <c r="T39" s="428">
        <f>IF('Rates Dashboard'!$C$8="Base",AVERAGE($J39:$N39),AVERAGE($J39:$N39)*'SNG Plant'!T$2)</f>
        <v>2609144</v>
      </c>
      <c r="U39" s="428">
        <f>IF('Rates Dashboard'!$C$8="Base",AVERAGE($J39:$N39),AVERAGE($J39:$N39)*'SNG Plant'!U$2)</f>
        <v>2609144</v>
      </c>
      <c r="V39" s="428">
        <f>IF('Rates Dashboard'!$C$8="Base",AVERAGE($J39:$N39),AVERAGE($J39:$N39)*'SNG Plant'!V$2)</f>
        <v>2609144</v>
      </c>
      <c r="W39" s="428">
        <f>IF('Rates Dashboard'!$C$8="Base",AVERAGE($J39:$N39),AVERAGE($J39:$N39)*'SNG Plant'!W$2)</f>
        <v>2609144</v>
      </c>
      <c r="X39" s="428">
        <f>IF('Rates Dashboard'!$C$8="Base",AVERAGE($J39:$N39),AVERAGE($J39:$N39)*'SNG Plant'!X$2)</f>
        <v>2609144</v>
      </c>
      <c r="Y39" s="428">
        <f>IF('Rates Dashboard'!$C$8="Base",AVERAGE($J39:$N39),AVERAGE($J39:$N39)*'SNG Plant'!Y$2)</f>
        <v>2609144</v>
      </c>
      <c r="Z39" s="428">
        <f>IF('Rates Dashboard'!$C$8="Base",AVERAGE($J39:$N39),AVERAGE($J39:$N39)*'SNG Plant'!Z$2)</f>
        <v>2609144</v>
      </c>
      <c r="AA39" s="428">
        <f>IF('Rates Dashboard'!$C$8="Base",AVERAGE($J39:$N39),AVERAGE($J39:$N39)*'SNG Plant'!AA$2)</f>
        <v>2609144</v>
      </c>
      <c r="AB39" s="428">
        <f>IF('Rates Dashboard'!$C$8="Base",AVERAGE($J39:$N39),AVERAGE($J39:$N39)*'SNG Plant'!AB$2)</f>
        <v>2609144</v>
      </c>
      <c r="AC39" s="428">
        <f>IF('Rates Dashboard'!$C$8="Base",AVERAGE($J39:$N39),AVERAGE($J39:$N39)*'SNG Plant'!AC$2)</f>
        <v>2609144</v>
      </c>
      <c r="AD39" s="428">
        <f>IF('Rates Dashboard'!$C$8="Base",AVERAGE($J39:$N39),AVERAGE($J39:$N39)*'SNG Plant'!AD$2)</f>
        <v>2609144</v>
      </c>
      <c r="AE39" s="428">
        <f>IF('Rates Dashboard'!$C$8="Base",AVERAGE($J39:$N39),AVERAGE($J39:$N39)*'SNG Plant'!AE$2)</f>
        <v>2609144</v>
      </c>
      <c r="AF39" s="428">
        <f>IF('Rates Dashboard'!$C$8="Base",AVERAGE($J39:$N39),AVERAGE($J39:$N39)*'SNG Plant'!AF$2)</f>
        <v>2609144</v>
      </c>
      <c r="AG39" s="428">
        <f>IF('Rates Dashboard'!$C$8="Base",AVERAGE($J39:$N39),AVERAGE($J39:$N39)*'SNG Plant'!AG$2)</f>
        <v>2609144</v>
      </c>
      <c r="AH39" s="423"/>
      <c r="AI39" s="423"/>
    </row>
    <row r="40" spans="2:35" x14ac:dyDescent="0.25">
      <c r="B40" s="421" t="s">
        <v>63</v>
      </c>
      <c r="C40" s="429">
        <v>0</v>
      </c>
      <c r="E40" s="452">
        <v>0</v>
      </c>
      <c r="F40" s="452">
        <v>0</v>
      </c>
      <c r="G40" s="452">
        <v>0</v>
      </c>
      <c r="H40" s="452">
        <v>0</v>
      </c>
      <c r="I40" s="452">
        <v>0</v>
      </c>
      <c r="J40" s="427"/>
      <c r="K40" s="427"/>
      <c r="L40" s="427"/>
      <c r="M40" s="427"/>
      <c r="N40" s="427"/>
      <c r="O40" s="428">
        <f t="shared" ref="O40:AD43" si="15">N40*(1+$C40)</f>
        <v>0</v>
      </c>
      <c r="P40" s="428">
        <f t="shared" si="15"/>
        <v>0</v>
      </c>
      <c r="Q40" s="428">
        <f t="shared" si="15"/>
        <v>0</v>
      </c>
      <c r="R40" s="428">
        <f t="shared" si="15"/>
        <v>0</v>
      </c>
      <c r="S40" s="428">
        <f t="shared" si="15"/>
        <v>0</v>
      </c>
      <c r="T40" s="428">
        <f t="shared" si="15"/>
        <v>0</v>
      </c>
      <c r="U40" s="428">
        <f t="shared" si="15"/>
        <v>0</v>
      </c>
      <c r="V40" s="428">
        <f t="shared" si="15"/>
        <v>0</v>
      </c>
      <c r="W40" s="428">
        <f t="shared" si="15"/>
        <v>0</v>
      </c>
      <c r="X40" s="428">
        <f t="shared" si="15"/>
        <v>0</v>
      </c>
      <c r="Y40" s="428">
        <f t="shared" si="15"/>
        <v>0</v>
      </c>
      <c r="Z40" s="428">
        <f t="shared" si="15"/>
        <v>0</v>
      </c>
      <c r="AA40" s="428">
        <f t="shared" si="15"/>
        <v>0</v>
      </c>
      <c r="AB40" s="428">
        <f t="shared" si="15"/>
        <v>0</v>
      </c>
      <c r="AC40" s="428">
        <f t="shared" si="15"/>
        <v>0</v>
      </c>
      <c r="AD40" s="428">
        <f t="shared" si="15"/>
        <v>0</v>
      </c>
      <c r="AE40" s="428">
        <f t="shared" si="14"/>
        <v>0</v>
      </c>
      <c r="AF40" s="428">
        <f t="shared" si="14"/>
        <v>0</v>
      </c>
      <c r="AG40" s="428">
        <f t="shared" si="14"/>
        <v>0</v>
      </c>
      <c r="AH40" s="423"/>
      <c r="AI40" s="423"/>
    </row>
    <row r="41" spans="2:35" x14ac:dyDescent="0.25">
      <c r="B41" s="421" t="s">
        <v>64</v>
      </c>
      <c r="C41" s="429">
        <v>0</v>
      </c>
      <c r="E41" s="452">
        <v>0</v>
      </c>
      <c r="F41" s="452">
        <v>0</v>
      </c>
      <c r="G41" s="452">
        <v>0</v>
      </c>
      <c r="H41" s="452">
        <v>0</v>
      </c>
      <c r="I41" s="452">
        <v>0</v>
      </c>
      <c r="J41" s="427"/>
      <c r="K41" s="427"/>
      <c r="L41" s="427"/>
      <c r="M41" s="427"/>
      <c r="N41" s="427"/>
      <c r="O41" s="428">
        <f t="shared" si="15"/>
        <v>0</v>
      </c>
      <c r="P41" s="428">
        <f t="shared" si="15"/>
        <v>0</v>
      </c>
      <c r="Q41" s="428">
        <f t="shared" si="15"/>
        <v>0</v>
      </c>
      <c r="R41" s="428">
        <f t="shared" si="15"/>
        <v>0</v>
      </c>
      <c r="S41" s="428">
        <f t="shared" si="15"/>
        <v>0</v>
      </c>
      <c r="T41" s="428">
        <f t="shared" si="15"/>
        <v>0</v>
      </c>
      <c r="U41" s="428">
        <f t="shared" si="15"/>
        <v>0</v>
      </c>
      <c r="V41" s="428">
        <f t="shared" si="15"/>
        <v>0</v>
      </c>
      <c r="W41" s="428">
        <f t="shared" si="15"/>
        <v>0</v>
      </c>
      <c r="X41" s="428">
        <f t="shared" si="15"/>
        <v>0</v>
      </c>
      <c r="Y41" s="428">
        <f t="shared" si="15"/>
        <v>0</v>
      </c>
      <c r="Z41" s="428">
        <f t="shared" si="15"/>
        <v>0</v>
      </c>
      <c r="AA41" s="428">
        <f t="shared" si="15"/>
        <v>0</v>
      </c>
      <c r="AB41" s="428">
        <f t="shared" si="15"/>
        <v>0</v>
      </c>
      <c r="AC41" s="428">
        <f t="shared" si="15"/>
        <v>0</v>
      </c>
      <c r="AD41" s="428">
        <f t="shared" si="15"/>
        <v>0</v>
      </c>
      <c r="AE41" s="428">
        <f t="shared" si="14"/>
        <v>0</v>
      </c>
      <c r="AF41" s="428">
        <f t="shared" si="14"/>
        <v>0</v>
      </c>
      <c r="AG41" s="428">
        <f t="shared" si="14"/>
        <v>0</v>
      </c>
      <c r="AH41" s="423"/>
      <c r="AI41" s="423"/>
    </row>
    <row r="42" spans="2:35" x14ac:dyDescent="0.25">
      <c r="B42" s="421" t="s">
        <v>65</v>
      </c>
      <c r="C42" s="429">
        <v>0</v>
      </c>
      <c r="E42" s="452">
        <v>0</v>
      </c>
      <c r="F42" s="452">
        <v>0</v>
      </c>
      <c r="G42" s="452">
        <v>0</v>
      </c>
      <c r="H42" s="452">
        <v>0</v>
      </c>
      <c r="I42" s="452">
        <v>0</v>
      </c>
      <c r="J42" s="427"/>
      <c r="K42" s="427"/>
      <c r="L42" s="427"/>
      <c r="M42" s="427"/>
      <c r="N42" s="427"/>
      <c r="O42" s="428">
        <f t="shared" si="15"/>
        <v>0</v>
      </c>
      <c r="P42" s="428">
        <f t="shared" si="15"/>
        <v>0</v>
      </c>
      <c r="Q42" s="428">
        <f t="shared" si="15"/>
        <v>0</v>
      </c>
      <c r="R42" s="428">
        <f t="shared" si="15"/>
        <v>0</v>
      </c>
      <c r="S42" s="428">
        <f t="shared" si="15"/>
        <v>0</v>
      </c>
      <c r="T42" s="428">
        <f t="shared" si="15"/>
        <v>0</v>
      </c>
      <c r="U42" s="428">
        <f t="shared" si="15"/>
        <v>0</v>
      </c>
      <c r="V42" s="428">
        <f t="shared" si="15"/>
        <v>0</v>
      </c>
      <c r="W42" s="428">
        <f t="shared" si="15"/>
        <v>0</v>
      </c>
      <c r="X42" s="428">
        <f t="shared" si="15"/>
        <v>0</v>
      </c>
      <c r="Y42" s="428">
        <f t="shared" si="15"/>
        <v>0</v>
      </c>
      <c r="Z42" s="428">
        <f t="shared" si="15"/>
        <v>0</v>
      </c>
      <c r="AA42" s="428">
        <f t="shared" si="15"/>
        <v>0</v>
      </c>
      <c r="AB42" s="428">
        <f t="shared" si="15"/>
        <v>0</v>
      </c>
      <c r="AC42" s="428">
        <f t="shared" si="15"/>
        <v>0</v>
      </c>
      <c r="AD42" s="428">
        <f t="shared" si="15"/>
        <v>0</v>
      </c>
      <c r="AE42" s="428">
        <f t="shared" si="14"/>
        <v>0</v>
      </c>
      <c r="AF42" s="428">
        <f t="shared" si="14"/>
        <v>0</v>
      </c>
      <c r="AG42" s="428">
        <f t="shared" si="14"/>
        <v>0</v>
      </c>
      <c r="AH42" s="423"/>
      <c r="AI42" s="423"/>
    </row>
    <row r="43" spans="2:35" x14ac:dyDescent="0.25">
      <c r="B43" s="421" t="s">
        <v>66</v>
      </c>
      <c r="C43" s="429">
        <v>0</v>
      </c>
      <c r="E43" s="452">
        <v>0</v>
      </c>
      <c r="F43" s="452">
        <v>0</v>
      </c>
      <c r="G43" s="452">
        <v>0</v>
      </c>
      <c r="H43" s="452">
        <v>0</v>
      </c>
      <c r="I43" s="452">
        <v>0</v>
      </c>
      <c r="J43" s="427"/>
      <c r="K43" s="427"/>
      <c r="L43" s="427"/>
      <c r="M43" s="427"/>
      <c r="N43" s="427"/>
      <c r="O43" s="428">
        <f t="shared" si="15"/>
        <v>0</v>
      </c>
      <c r="P43" s="428">
        <f t="shared" si="15"/>
        <v>0</v>
      </c>
      <c r="Q43" s="428">
        <f t="shared" si="15"/>
        <v>0</v>
      </c>
      <c r="R43" s="428">
        <f t="shared" si="15"/>
        <v>0</v>
      </c>
      <c r="S43" s="428">
        <f t="shared" si="15"/>
        <v>0</v>
      </c>
      <c r="T43" s="428">
        <f t="shared" si="15"/>
        <v>0</v>
      </c>
      <c r="U43" s="428">
        <f t="shared" si="15"/>
        <v>0</v>
      </c>
      <c r="V43" s="428">
        <f t="shared" si="15"/>
        <v>0</v>
      </c>
      <c r="W43" s="428">
        <f t="shared" si="15"/>
        <v>0</v>
      </c>
      <c r="X43" s="428">
        <f t="shared" si="15"/>
        <v>0</v>
      </c>
      <c r="Y43" s="428">
        <f t="shared" si="15"/>
        <v>0</v>
      </c>
      <c r="Z43" s="428">
        <f t="shared" si="15"/>
        <v>0</v>
      </c>
      <c r="AA43" s="428">
        <f t="shared" si="15"/>
        <v>0</v>
      </c>
      <c r="AB43" s="428">
        <f t="shared" si="15"/>
        <v>0</v>
      </c>
      <c r="AC43" s="428">
        <f t="shared" si="15"/>
        <v>0</v>
      </c>
      <c r="AD43" s="428">
        <f t="shared" si="15"/>
        <v>0</v>
      </c>
      <c r="AE43" s="428">
        <f t="shared" si="14"/>
        <v>0</v>
      </c>
      <c r="AF43" s="428">
        <f t="shared" si="14"/>
        <v>0</v>
      </c>
      <c r="AG43" s="428">
        <f t="shared" si="14"/>
        <v>0</v>
      </c>
      <c r="AH43" s="423"/>
      <c r="AI43" s="423"/>
    </row>
    <row r="44" spans="2:35" x14ac:dyDescent="0.25">
      <c r="B44" s="421" t="s">
        <v>67</v>
      </c>
      <c r="E44" s="431">
        <f>SUM(E38:E43)</f>
        <v>153353.97744063698</v>
      </c>
      <c r="F44" s="431">
        <f t="shared" ref="F44:AG44" si="16">SUM(F38:F43)</f>
        <v>4785337.5656494657</v>
      </c>
      <c r="G44" s="431">
        <f t="shared" si="16"/>
        <v>962842.82203489973</v>
      </c>
      <c r="H44" s="431">
        <f t="shared" si="16"/>
        <v>814714.56443275313</v>
      </c>
      <c r="I44" s="431">
        <f t="shared" si="16"/>
        <v>450004.7384757222</v>
      </c>
      <c r="J44" s="431">
        <f t="shared" si="16"/>
        <v>6890000</v>
      </c>
      <c r="K44" s="431">
        <f t="shared" si="16"/>
        <v>3605720</v>
      </c>
      <c r="L44" s="431">
        <f t="shared" si="16"/>
        <v>820000</v>
      </c>
      <c r="M44" s="431">
        <f t="shared" si="16"/>
        <v>555000</v>
      </c>
      <c r="N44" s="431">
        <f t="shared" si="16"/>
        <v>1175000</v>
      </c>
      <c r="O44" s="431">
        <f t="shared" si="16"/>
        <v>2609144</v>
      </c>
      <c r="P44" s="431">
        <f t="shared" si="16"/>
        <v>2609144</v>
      </c>
      <c r="Q44" s="431">
        <f t="shared" si="16"/>
        <v>2609144</v>
      </c>
      <c r="R44" s="431">
        <f t="shared" si="16"/>
        <v>2609144</v>
      </c>
      <c r="S44" s="431">
        <f t="shared" si="16"/>
        <v>2609144</v>
      </c>
      <c r="T44" s="431">
        <f t="shared" si="16"/>
        <v>2609144</v>
      </c>
      <c r="U44" s="431">
        <f t="shared" si="16"/>
        <v>2609144</v>
      </c>
      <c r="V44" s="431">
        <f t="shared" si="16"/>
        <v>2609144</v>
      </c>
      <c r="W44" s="431">
        <f t="shared" si="16"/>
        <v>2609144</v>
      </c>
      <c r="X44" s="431">
        <f t="shared" si="16"/>
        <v>2609144</v>
      </c>
      <c r="Y44" s="431">
        <f t="shared" si="16"/>
        <v>2609144</v>
      </c>
      <c r="Z44" s="431">
        <f t="shared" si="16"/>
        <v>2609144</v>
      </c>
      <c r="AA44" s="431">
        <f t="shared" si="16"/>
        <v>2609144</v>
      </c>
      <c r="AB44" s="431">
        <f t="shared" si="16"/>
        <v>2609144</v>
      </c>
      <c r="AC44" s="431">
        <f t="shared" si="16"/>
        <v>2609144</v>
      </c>
      <c r="AD44" s="431">
        <f t="shared" si="16"/>
        <v>2609144</v>
      </c>
      <c r="AE44" s="431">
        <f t="shared" si="16"/>
        <v>2609144</v>
      </c>
      <c r="AF44" s="431">
        <f t="shared" si="16"/>
        <v>2609144</v>
      </c>
      <c r="AG44" s="431">
        <f t="shared" si="16"/>
        <v>2609144</v>
      </c>
      <c r="AH44" s="423"/>
      <c r="AI44" s="423"/>
    </row>
    <row r="45" spans="2:35" x14ac:dyDescent="0.25">
      <c r="F45" s="423"/>
      <c r="G45" s="423"/>
      <c r="H45" s="423"/>
      <c r="I45" s="423"/>
      <c r="J45" s="423"/>
      <c r="K45" s="423"/>
      <c r="L45" s="423"/>
      <c r="M45" s="423"/>
      <c r="N45" s="423"/>
      <c r="O45" s="423"/>
      <c r="P45" s="423"/>
      <c r="Q45" s="423"/>
      <c r="R45" s="423"/>
      <c r="S45" s="423"/>
      <c r="T45" s="423"/>
      <c r="U45" s="423"/>
      <c r="V45" s="423"/>
      <c r="W45" s="423"/>
      <c r="X45" s="423"/>
      <c r="Y45" s="423"/>
      <c r="Z45" s="423"/>
      <c r="AA45" s="423"/>
      <c r="AB45" s="423"/>
      <c r="AC45" s="423"/>
      <c r="AD45" s="423"/>
      <c r="AE45" s="423"/>
      <c r="AF45" s="423"/>
      <c r="AG45" s="423"/>
      <c r="AH45" s="423"/>
      <c r="AI45" s="423"/>
    </row>
    <row r="46" spans="2:35" x14ac:dyDescent="0.25">
      <c r="B46" s="422" t="s">
        <v>52</v>
      </c>
      <c r="C46" s="423" t="s">
        <v>70</v>
      </c>
      <c r="D46" s="423" t="s">
        <v>71</v>
      </c>
      <c r="E46" s="423">
        <v>2017</v>
      </c>
      <c r="F46" s="423">
        <v>2018</v>
      </c>
      <c r="G46" s="423">
        <v>2019</v>
      </c>
      <c r="H46" s="423">
        <v>2020</v>
      </c>
      <c r="I46" s="423">
        <v>2021</v>
      </c>
      <c r="J46" s="423">
        <v>2022</v>
      </c>
      <c r="K46" s="423">
        <v>2023</v>
      </c>
      <c r="L46" s="423">
        <v>2024</v>
      </c>
      <c r="M46" s="423">
        <v>2025</v>
      </c>
      <c r="N46" s="423">
        <v>2026</v>
      </c>
      <c r="O46" s="423">
        <v>2027</v>
      </c>
      <c r="P46" s="423">
        <v>2028</v>
      </c>
      <c r="Q46" s="423">
        <v>2029</v>
      </c>
      <c r="R46" s="423">
        <v>2030</v>
      </c>
      <c r="S46" s="423">
        <v>2031</v>
      </c>
      <c r="T46" s="423">
        <v>2032</v>
      </c>
      <c r="U46" s="423">
        <v>2033</v>
      </c>
      <c r="V46" s="423">
        <v>2034</v>
      </c>
      <c r="W46" s="423">
        <v>2035</v>
      </c>
      <c r="X46" s="423">
        <v>2036</v>
      </c>
      <c r="Y46" s="423">
        <v>2037</v>
      </c>
      <c r="Z46" s="423">
        <v>2038</v>
      </c>
      <c r="AA46" s="423">
        <v>2039</v>
      </c>
      <c r="AB46" s="423">
        <v>2040</v>
      </c>
      <c r="AC46" s="423">
        <v>2041</v>
      </c>
      <c r="AD46" s="423">
        <v>2042</v>
      </c>
      <c r="AE46" s="423">
        <v>2043</v>
      </c>
      <c r="AF46" s="423">
        <v>2044</v>
      </c>
      <c r="AG46" s="423">
        <v>2045</v>
      </c>
      <c r="AH46" s="423"/>
      <c r="AI46" s="423"/>
    </row>
    <row r="47" spans="2:35" x14ac:dyDescent="0.25">
      <c r="B47" s="421" t="s">
        <v>61</v>
      </c>
      <c r="C47" s="432"/>
      <c r="D47" s="433">
        <v>0</v>
      </c>
      <c r="E47" s="428">
        <f t="shared" ref="E47:E52" si="17">$D47*E29</f>
        <v>0</v>
      </c>
      <c r="F47" s="428">
        <f t="shared" ref="F47:AG52" si="18">$D47*F29</f>
        <v>0</v>
      </c>
      <c r="G47" s="428">
        <f t="shared" si="18"/>
        <v>0</v>
      </c>
      <c r="H47" s="428">
        <f t="shared" si="18"/>
        <v>0</v>
      </c>
      <c r="I47" s="428">
        <f t="shared" si="18"/>
        <v>0</v>
      </c>
      <c r="J47" s="428">
        <f t="shared" si="18"/>
        <v>0</v>
      </c>
      <c r="K47" s="428">
        <f t="shared" si="18"/>
        <v>0</v>
      </c>
      <c r="L47" s="428">
        <f t="shared" si="18"/>
        <v>0</v>
      </c>
      <c r="M47" s="428">
        <f t="shared" si="18"/>
        <v>0</v>
      </c>
      <c r="N47" s="428">
        <f t="shared" si="18"/>
        <v>0</v>
      </c>
      <c r="O47" s="428">
        <f t="shared" si="18"/>
        <v>0</v>
      </c>
      <c r="P47" s="428">
        <f t="shared" si="18"/>
        <v>0</v>
      </c>
      <c r="Q47" s="428">
        <f t="shared" si="18"/>
        <v>0</v>
      </c>
      <c r="R47" s="428">
        <f t="shared" si="18"/>
        <v>0</v>
      </c>
      <c r="S47" s="428">
        <f t="shared" si="18"/>
        <v>0</v>
      </c>
      <c r="T47" s="428">
        <f t="shared" si="18"/>
        <v>0</v>
      </c>
      <c r="U47" s="428">
        <f t="shared" si="18"/>
        <v>0</v>
      </c>
      <c r="V47" s="428">
        <f t="shared" si="18"/>
        <v>0</v>
      </c>
      <c r="W47" s="428">
        <f t="shared" si="18"/>
        <v>0</v>
      </c>
      <c r="X47" s="428">
        <f t="shared" si="18"/>
        <v>0</v>
      </c>
      <c r="Y47" s="428">
        <f t="shared" si="18"/>
        <v>0</v>
      </c>
      <c r="Z47" s="428">
        <f t="shared" si="18"/>
        <v>0</v>
      </c>
      <c r="AA47" s="428">
        <f t="shared" si="18"/>
        <v>0</v>
      </c>
      <c r="AB47" s="428">
        <f t="shared" si="18"/>
        <v>0</v>
      </c>
      <c r="AC47" s="428">
        <f t="shared" si="18"/>
        <v>0</v>
      </c>
      <c r="AD47" s="428">
        <f t="shared" si="18"/>
        <v>0</v>
      </c>
      <c r="AE47" s="428">
        <f t="shared" si="18"/>
        <v>0</v>
      </c>
      <c r="AF47" s="428">
        <f t="shared" si="18"/>
        <v>0</v>
      </c>
      <c r="AG47" s="428">
        <f t="shared" si="18"/>
        <v>0</v>
      </c>
      <c r="AH47" s="423"/>
      <c r="AI47" s="423"/>
    </row>
    <row r="48" spans="2:35" x14ac:dyDescent="0.25">
      <c r="B48" s="421" t="s">
        <v>62</v>
      </c>
      <c r="C48" s="432"/>
      <c r="D48" s="433">
        <v>3.712E-2</v>
      </c>
      <c r="E48" s="428">
        <f t="shared" si="17"/>
        <v>1184451.7853248001</v>
      </c>
      <c r="F48" s="428">
        <f t="shared" ref="F48:T48" si="19">$D48*F30</f>
        <v>1190144.2849673964</v>
      </c>
      <c r="G48" s="428">
        <f t="shared" si="19"/>
        <v>1367776.0154043047</v>
      </c>
      <c r="H48" s="428">
        <f t="shared" si="19"/>
        <v>1403516.7409582403</v>
      </c>
      <c r="I48" s="428">
        <f t="shared" si="19"/>
        <v>1433758.9455899841</v>
      </c>
      <c r="J48" s="428">
        <f t="shared" si="19"/>
        <v>1450463.121482203</v>
      </c>
      <c r="K48" s="428">
        <f t="shared" si="19"/>
        <v>1706219.9214822031</v>
      </c>
      <c r="L48" s="428">
        <f t="shared" si="19"/>
        <v>1840064.247882203</v>
      </c>
      <c r="M48" s="428">
        <f t="shared" si="19"/>
        <v>1870502.6478822031</v>
      </c>
      <c r="N48" s="428">
        <f t="shared" si="19"/>
        <v>1891104.247882203</v>
      </c>
      <c r="O48" s="428">
        <f t="shared" si="19"/>
        <v>1934720.247882203</v>
      </c>
      <c r="P48" s="428">
        <f t="shared" si="19"/>
        <v>2031571.673162203</v>
      </c>
      <c r="Q48" s="428">
        <f t="shared" si="19"/>
        <v>2128423.0984422029</v>
      </c>
      <c r="R48" s="428">
        <f t="shared" si="19"/>
        <v>2225274.523722203</v>
      </c>
      <c r="S48" s="428">
        <f t="shared" si="19"/>
        <v>2322125.9490022031</v>
      </c>
      <c r="T48" s="428">
        <f t="shared" si="19"/>
        <v>2418977.3742822031</v>
      </c>
      <c r="U48" s="428">
        <f t="shared" si="18"/>
        <v>2515828.7995622032</v>
      </c>
      <c r="V48" s="428">
        <f t="shared" si="18"/>
        <v>2612680.2248422028</v>
      </c>
      <c r="W48" s="428">
        <f t="shared" si="18"/>
        <v>2709531.6501222029</v>
      </c>
      <c r="X48" s="428">
        <f t="shared" si="18"/>
        <v>2806383.075402203</v>
      </c>
      <c r="Y48" s="428">
        <f t="shared" si="18"/>
        <v>2903234.5006822031</v>
      </c>
      <c r="Z48" s="428">
        <f t="shared" si="18"/>
        <v>3000085.9259622032</v>
      </c>
      <c r="AA48" s="428">
        <f t="shared" si="18"/>
        <v>3096937.3512422033</v>
      </c>
      <c r="AB48" s="428">
        <f t="shared" si="18"/>
        <v>3193788.7765222029</v>
      </c>
      <c r="AC48" s="428">
        <f t="shared" si="18"/>
        <v>3290640.201802203</v>
      </c>
      <c r="AD48" s="428">
        <f t="shared" si="18"/>
        <v>3387491.627082203</v>
      </c>
      <c r="AE48" s="428">
        <f t="shared" si="18"/>
        <v>3484343.0523622031</v>
      </c>
      <c r="AF48" s="428">
        <f t="shared" si="18"/>
        <v>3581194.4776422032</v>
      </c>
      <c r="AG48" s="428">
        <f t="shared" si="18"/>
        <v>3678045.9029222033</v>
      </c>
      <c r="AH48" s="423"/>
      <c r="AI48" s="423"/>
    </row>
    <row r="49" spans="2:35" x14ac:dyDescent="0.25">
      <c r="B49" s="421" t="s">
        <v>63</v>
      </c>
      <c r="C49" s="432"/>
      <c r="D49" s="433">
        <v>0</v>
      </c>
      <c r="E49" s="428">
        <f t="shared" si="17"/>
        <v>0</v>
      </c>
      <c r="F49" s="428">
        <f t="shared" si="18"/>
        <v>0</v>
      </c>
      <c r="G49" s="428">
        <f t="shared" si="18"/>
        <v>0</v>
      </c>
      <c r="H49" s="428">
        <f t="shared" si="18"/>
        <v>0</v>
      </c>
      <c r="I49" s="428">
        <f t="shared" si="18"/>
        <v>0</v>
      </c>
      <c r="J49" s="428">
        <f t="shared" si="18"/>
        <v>0</v>
      </c>
      <c r="K49" s="428">
        <f t="shared" si="18"/>
        <v>0</v>
      </c>
      <c r="L49" s="428">
        <f t="shared" si="18"/>
        <v>0</v>
      </c>
      <c r="M49" s="428">
        <f t="shared" si="18"/>
        <v>0</v>
      </c>
      <c r="N49" s="428">
        <f t="shared" si="18"/>
        <v>0</v>
      </c>
      <c r="O49" s="428">
        <f t="shared" si="18"/>
        <v>0</v>
      </c>
      <c r="P49" s="428">
        <f t="shared" si="18"/>
        <v>0</v>
      </c>
      <c r="Q49" s="428">
        <f t="shared" si="18"/>
        <v>0</v>
      </c>
      <c r="R49" s="428">
        <f t="shared" si="18"/>
        <v>0</v>
      </c>
      <c r="S49" s="428">
        <f t="shared" si="18"/>
        <v>0</v>
      </c>
      <c r="T49" s="428">
        <f t="shared" si="18"/>
        <v>0</v>
      </c>
      <c r="U49" s="428">
        <f t="shared" si="18"/>
        <v>0</v>
      </c>
      <c r="V49" s="428">
        <f t="shared" si="18"/>
        <v>0</v>
      </c>
      <c r="W49" s="428">
        <f t="shared" si="18"/>
        <v>0</v>
      </c>
      <c r="X49" s="428">
        <f t="shared" si="18"/>
        <v>0</v>
      </c>
      <c r="Y49" s="428">
        <f t="shared" si="18"/>
        <v>0</v>
      </c>
      <c r="Z49" s="428">
        <f t="shared" si="18"/>
        <v>0</v>
      </c>
      <c r="AA49" s="428">
        <f t="shared" si="18"/>
        <v>0</v>
      </c>
      <c r="AB49" s="428">
        <f t="shared" si="18"/>
        <v>0</v>
      </c>
      <c r="AC49" s="428">
        <f t="shared" si="18"/>
        <v>0</v>
      </c>
      <c r="AD49" s="428">
        <f t="shared" si="18"/>
        <v>0</v>
      </c>
      <c r="AE49" s="428">
        <f t="shared" si="18"/>
        <v>0</v>
      </c>
      <c r="AF49" s="428">
        <f t="shared" si="18"/>
        <v>0</v>
      </c>
      <c r="AG49" s="428">
        <f t="shared" si="18"/>
        <v>0</v>
      </c>
      <c r="AH49" s="423"/>
      <c r="AI49" s="423"/>
    </row>
    <row r="50" spans="2:35" x14ac:dyDescent="0.25">
      <c r="B50" s="421" t="s">
        <v>64</v>
      </c>
      <c r="C50" s="432"/>
      <c r="D50" s="433">
        <v>0</v>
      </c>
      <c r="E50" s="428">
        <f t="shared" si="17"/>
        <v>0</v>
      </c>
      <c r="F50" s="428">
        <f t="shared" si="18"/>
        <v>0</v>
      </c>
      <c r="G50" s="428">
        <f t="shared" si="18"/>
        <v>0</v>
      </c>
      <c r="H50" s="428">
        <f t="shared" si="18"/>
        <v>0</v>
      </c>
      <c r="I50" s="428">
        <f t="shared" si="18"/>
        <v>0</v>
      </c>
      <c r="J50" s="428">
        <f t="shared" si="18"/>
        <v>0</v>
      </c>
      <c r="K50" s="428">
        <f t="shared" si="18"/>
        <v>0</v>
      </c>
      <c r="L50" s="428">
        <f t="shared" si="18"/>
        <v>0</v>
      </c>
      <c r="M50" s="428">
        <f t="shared" si="18"/>
        <v>0</v>
      </c>
      <c r="N50" s="428">
        <f t="shared" si="18"/>
        <v>0</v>
      </c>
      <c r="O50" s="428">
        <f t="shared" si="18"/>
        <v>0</v>
      </c>
      <c r="P50" s="428">
        <f t="shared" si="18"/>
        <v>0</v>
      </c>
      <c r="Q50" s="428">
        <f t="shared" si="18"/>
        <v>0</v>
      </c>
      <c r="R50" s="428">
        <f t="shared" si="18"/>
        <v>0</v>
      </c>
      <c r="S50" s="428">
        <f t="shared" si="18"/>
        <v>0</v>
      </c>
      <c r="T50" s="428">
        <f t="shared" si="18"/>
        <v>0</v>
      </c>
      <c r="U50" s="428">
        <f t="shared" si="18"/>
        <v>0</v>
      </c>
      <c r="V50" s="428">
        <f t="shared" si="18"/>
        <v>0</v>
      </c>
      <c r="W50" s="428">
        <f t="shared" si="18"/>
        <v>0</v>
      </c>
      <c r="X50" s="428">
        <f t="shared" si="18"/>
        <v>0</v>
      </c>
      <c r="Y50" s="428">
        <f t="shared" si="18"/>
        <v>0</v>
      </c>
      <c r="Z50" s="428">
        <f t="shared" si="18"/>
        <v>0</v>
      </c>
      <c r="AA50" s="428">
        <f t="shared" si="18"/>
        <v>0</v>
      </c>
      <c r="AB50" s="428">
        <f t="shared" si="18"/>
        <v>0</v>
      </c>
      <c r="AC50" s="428">
        <f t="shared" si="18"/>
        <v>0</v>
      </c>
      <c r="AD50" s="428">
        <f t="shared" si="18"/>
        <v>0</v>
      </c>
      <c r="AE50" s="428">
        <f t="shared" si="18"/>
        <v>0</v>
      </c>
      <c r="AF50" s="428">
        <f t="shared" si="18"/>
        <v>0</v>
      </c>
      <c r="AG50" s="428">
        <f t="shared" si="18"/>
        <v>0</v>
      </c>
      <c r="AH50" s="423"/>
      <c r="AI50" s="423"/>
    </row>
    <row r="51" spans="2:35" x14ac:dyDescent="0.25">
      <c r="B51" s="421" t="s">
        <v>65</v>
      </c>
      <c r="C51" s="432"/>
      <c r="D51" s="433">
        <v>0</v>
      </c>
      <c r="E51" s="428">
        <f t="shared" si="17"/>
        <v>0</v>
      </c>
      <c r="F51" s="428">
        <f t="shared" si="18"/>
        <v>0</v>
      </c>
      <c r="G51" s="428">
        <f t="shared" si="18"/>
        <v>0</v>
      </c>
      <c r="H51" s="428">
        <f t="shared" si="18"/>
        <v>0</v>
      </c>
      <c r="I51" s="428">
        <f t="shared" si="18"/>
        <v>0</v>
      </c>
      <c r="J51" s="428">
        <f t="shared" si="18"/>
        <v>0</v>
      </c>
      <c r="K51" s="428">
        <f t="shared" si="18"/>
        <v>0</v>
      </c>
      <c r="L51" s="428">
        <f t="shared" si="18"/>
        <v>0</v>
      </c>
      <c r="M51" s="428">
        <f t="shared" si="18"/>
        <v>0</v>
      </c>
      <c r="N51" s="428">
        <f t="shared" si="18"/>
        <v>0</v>
      </c>
      <c r="O51" s="428">
        <f t="shared" si="18"/>
        <v>0</v>
      </c>
      <c r="P51" s="428">
        <f t="shared" si="18"/>
        <v>0</v>
      </c>
      <c r="Q51" s="428">
        <f t="shared" si="18"/>
        <v>0</v>
      </c>
      <c r="R51" s="428">
        <f t="shared" si="18"/>
        <v>0</v>
      </c>
      <c r="S51" s="428">
        <f t="shared" si="18"/>
        <v>0</v>
      </c>
      <c r="T51" s="428">
        <f t="shared" si="18"/>
        <v>0</v>
      </c>
      <c r="U51" s="428">
        <f t="shared" si="18"/>
        <v>0</v>
      </c>
      <c r="V51" s="428">
        <f t="shared" si="18"/>
        <v>0</v>
      </c>
      <c r="W51" s="428">
        <f t="shared" si="18"/>
        <v>0</v>
      </c>
      <c r="X51" s="428">
        <f t="shared" si="18"/>
        <v>0</v>
      </c>
      <c r="Y51" s="428">
        <f t="shared" si="18"/>
        <v>0</v>
      </c>
      <c r="Z51" s="428">
        <f t="shared" si="18"/>
        <v>0</v>
      </c>
      <c r="AA51" s="428">
        <f t="shared" si="18"/>
        <v>0</v>
      </c>
      <c r="AB51" s="428">
        <f t="shared" si="18"/>
        <v>0</v>
      </c>
      <c r="AC51" s="428">
        <f t="shared" si="18"/>
        <v>0</v>
      </c>
      <c r="AD51" s="428">
        <f t="shared" si="18"/>
        <v>0</v>
      </c>
      <c r="AE51" s="428">
        <f t="shared" si="18"/>
        <v>0</v>
      </c>
      <c r="AF51" s="428">
        <f t="shared" si="18"/>
        <v>0</v>
      </c>
      <c r="AG51" s="428">
        <f t="shared" si="18"/>
        <v>0</v>
      </c>
      <c r="AH51" s="423"/>
      <c r="AI51" s="423"/>
    </row>
    <row r="52" spans="2:35" x14ac:dyDescent="0.25">
      <c r="B52" s="421" t="s">
        <v>66</v>
      </c>
      <c r="D52" s="433">
        <v>5.8599999999999999E-2</v>
      </c>
      <c r="E52" s="428">
        <f t="shared" si="17"/>
        <v>133252.26388793456</v>
      </c>
      <c r="F52" s="428">
        <f t="shared" si="18"/>
        <v>133252.26388793456</v>
      </c>
      <c r="G52" s="428">
        <f t="shared" si="18"/>
        <v>133252.26388793456</v>
      </c>
      <c r="H52" s="428">
        <f t="shared" si="18"/>
        <v>133252.26388793456</v>
      </c>
      <c r="I52" s="428">
        <f t="shared" si="18"/>
        <v>133252.26388793456</v>
      </c>
      <c r="J52" s="428">
        <f t="shared" si="18"/>
        <v>133252.26388793456</v>
      </c>
      <c r="K52" s="428">
        <f t="shared" si="18"/>
        <v>133252.26388793456</v>
      </c>
      <c r="L52" s="428">
        <f t="shared" si="18"/>
        <v>133252.26388793456</v>
      </c>
      <c r="M52" s="428">
        <f t="shared" si="18"/>
        <v>133252.26388793456</v>
      </c>
      <c r="N52" s="428">
        <f t="shared" si="18"/>
        <v>133252.26388793456</v>
      </c>
      <c r="O52" s="428">
        <f t="shared" si="18"/>
        <v>133252.26388793456</v>
      </c>
      <c r="P52" s="428">
        <f t="shared" si="18"/>
        <v>133252.26388793456</v>
      </c>
      <c r="Q52" s="428">
        <f t="shared" si="18"/>
        <v>133252.26388793456</v>
      </c>
      <c r="R52" s="428">
        <f t="shared" si="18"/>
        <v>133252.26388793456</v>
      </c>
      <c r="S52" s="428">
        <f t="shared" si="18"/>
        <v>133252.26388793456</v>
      </c>
      <c r="T52" s="428">
        <f t="shared" si="18"/>
        <v>133252.26388793456</v>
      </c>
      <c r="U52" s="428">
        <f t="shared" si="18"/>
        <v>133252.26388793456</v>
      </c>
      <c r="V52" s="428">
        <f t="shared" si="18"/>
        <v>133252.26388793456</v>
      </c>
      <c r="W52" s="428">
        <f t="shared" si="18"/>
        <v>133252.26388793456</v>
      </c>
      <c r="X52" s="428">
        <f t="shared" si="18"/>
        <v>133252.26388793456</v>
      </c>
      <c r="Y52" s="428">
        <f t="shared" si="18"/>
        <v>133252.26388793456</v>
      </c>
      <c r="Z52" s="428">
        <f t="shared" si="18"/>
        <v>133252.26388793456</v>
      </c>
      <c r="AA52" s="428">
        <f t="shared" si="18"/>
        <v>133252.26388793456</v>
      </c>
      <c r="AB52" s="428">
        <f t="shared" si="18"/>
        <v>133252.26388793456</v>
      </c>
      <c r="AC52" s="428">
        <f t="shared" si="18"/>
        <v>133252.26388793456</v>
      </c>
      <c r="AD52" s="428">
        <f t="shared" si="18"/>
        <v>133252.26388793456</v>
      </c>
      <c r="AE52" s="428">
        <f t="shared" si="18"/>
        <v>133252.26388793456</v>
      </c>
      <c r="AF52" s="428">
        <f t="shared" si="18"/>
        <v>133252.26388793456</v>
      </c>
      <c r="AG52" s="428">
        <f t="shared" si="18"/>
        <v>133252.26388793456</v>
      </c>
      <c r="AH52" s="423"/>
      <c r="AI52" s="423"/>
    </row>
    <row r="53" spans="2:35" x14ac:dyDescent="0.25">
      <c r="B53" s="421" t="s">
        <v>67</v>
      </c>
      <c r="E53" s="428">
        <f>SUM(E47:E52)</f>
        <v>1317704.0492127347</v>
      </c>
      <c r="F53" s="428">
        <f t="shared" ref="F53:AG53" si="20">SUM(F47:F52)</f>
        <v>1323396.548855331</v>
      </c>
      <c r="G53" s="428">
        <f t="shared" si="20"/>
        <v>1501028.2792922393</v>
      </c>
      <c r="H53" s="428">
        <f t="shared" si="20"/>
        <v>1536769.004846175</v>
      </c>
      <c r="I53" s="428">
        <f t="shared" si="20"/>
        <v>1567011.2094779187</v>
      </c>
      <c r="J53" s="428">
        <f t="shared" si="20"/>
        <v>1583715.3853701376</v>
      </c>
      <c r="K53" s="428">
        <f t="shared" si="20"/>
        <v>1839472.1853701377</v>
      </c>
      <c r="L53" s="428">
        <f t="shared" si="20"/>
        <v>1973316.5117701376</v>
      </c>
      <c r="M53" s="428">
        <f t="shared" si="20"/>
        <v>2003754.9117701377</v>
      </c>
      <c r="N53" s="428">
        <f t="shared" si="20"/>
        <v>2024356.5117701376</v>
      </c>
      <c r="O53" s="428">
        <f t="shared" si="20"/>
        <v>2067972.5117701376</v>
      </c>
      <c r="P53" s="428">
        <f t="shared" si="20"/>
        <v>2164823.9370501377</v>
      </c>
      <c r="Q53" s="428">
        <f t="shared" si="20"/>
        <v>2261675.3623301373</v>
      </c>
      <c r="R53" s="428">
        <f t="shared" si="20"/>
        <v>2358526.7876101374</v>
      </c>
      <c r="S53" s="428">
        <f t="shared" si="20"/>
        <v>2455378.2128901375</v>
      </c>
      <c r="T53" s="428">
        <f t="shared" si="20"/>
        <v>2552229.6381701375</v>
      </c>
      <c r="U53" s="428">
        <f t="shared" si="20"/>
        <v>2649081.0634501376</v>
      </c>
      <c r="V53" s="428">
        <f t="shared" si="20"/>
        <v>2745932.4887301372</v>
      </c>
      <c r="W53" s="428">
        <f t="shared" si="20"/>
        <v>2842783.9140101373</v>
      </c>
      <c r="X53" s="428">
        <f t="shared" si="20"/>
        <v>2939635.3392901374</v>
      </c>
      <c r="Y53" s="428">
        <f t="shared" si="20"/>
        <v>3036486.7645701375</v>
      </c>
      <c r="Z53" s="428">
        <f t="shared" si="20"/>
        <v>3133338.1898501376</v>
      </c>
      <c r="AA53" s="428">
        <f t="shared" si="20"/>
        <v>3230189.6151301377</v>
      </c>
      <c r="AB53" s="428">
        <f t="shared" si="20"/>
        <v>3327041.0404101373</v>
      </c>
      <c r="AC53" s="428">
        <f t="shared" si="20"/>
        <v>3423892.4656901374</v>
      </c>
      <c r="AD53" s="428">
        <f t="shared" si="20"/>
        <v>3520743.8909701374</v>
      </c>
      <c r="AE53" s="428">
        <f t="shared" si="20"/>
        <v>3617595.3162501375</v>
      </c>
      <c r="AF53" s="428">
        <f t="shared" si="20"/>
        <v>3714446.7415301376</v>
      </c>
      <c r="AG53" s="428">
        <f t="shared" si="20"/>
        <v>3811298.1668101377</v>
      </c>
      <c r="AH53" s="423"/>
      <c r="AI53" s="423"/>
    </row>
    <row r="54" spans="2:35" x14ac:dyDescent="0.25">
      <c r="F54" s="423"/>
      <c r="G54" s="423"/>
      <c r="H54" s="423"/>
      <c r="I54" s="423"/>
      <c r="J54" s="423"/>
      <c r="K54" s="423"/>
      <c r="L54" s="423"/>
      <c r="M54" s="423"/>
      <c r="N54" s="423"/>
      <c r="O54" s="423"/>
      <c r="P54" s="423"/>
      <c r="Q54" s="423"/>
      <c r="R54" s="423"/>
      <c r="S54" s="423"/>
      <c r="T54" s="423"/>
      <c r="U54" s="423"/>
      <c r="V54" s="423"/>
      <c r="W54" s="423"/>
      <c r="X54" s="423"/>
      <c r="Y54" s="423"/>
      <c r="Z54" s="423"/>
      <c r="AA54" s="423"/>
      <c r="AB54" s="423"/>
      <c r="AC54" s="423"/>
      <c r="AD54" s="423"/>
      <c r="AE54" s="423"/>
      <c r="AF54" s="423"/>
      <c r="AG54" s="423"/>
      <c r="AH54" s="423"/>
      <c r="AI54" s="423"/>
    </row>
    <row r="55" spans="2:35" x14ac:dyDescent="0.25">
      <c r="F55" s="423"/>
      <c r="G55" s="423"/>
      <c r="H55" s="423"/>
      <c r="I55" s="423"/>
      <c r="J55" s="423"/>
      <c r="K55" s="423"/>
      <c r="L55" s="423"/>
      <c r="M55" s="423"/>
      <c r="N55" s="423"/>
      <c r="O55" s="423"/>
      <c r="P55" s="423"/>
      <c r="Q55" s="423"/>
      <c r="R55" s="423"/>
      <c r="S55" s="423"/>
      <c r="T55" s="423"/>
      <c r="U55" s="423"/>
      <c r="V55" s="423"/>
      <c r="W55" s="423"/>
      <c r="X55" s="423"/>
      <c r="Y55" s="423"/>
      <c r="Z55" s="423"/>
      <c r="AA55" s="423"/>
      <c r="AB55" s="423"/>
      <c r="AC55" s="423"/>
      <c r="AD55" s="423"/>
      <c r="AE55" s="423"/>
      <c r="AF55" s="423"/>
      <c r="AG55" s="423"/>
      <c r="AH55" s="423"/>
      <c r="AI55" s="423"/>
    </row>
    <row r="56" spans="2:35" x14ac:dyDescent="0.25">
      <c r="B56" s="434" t="s">
        <v>72</v>
      </c>
      <c r="E56" s="423">
        <v>2017</v>
      </c>
      <c r="F56" s="423">
        <v>2018</v>
      </c>
      <c r="G56" s="423">
        <v>2019</v>
      </c>
      <c r="H56" s="423">
        <v>2020</v>
      </c>
      <c r="I56" s="423">
        <v>2021</v>
      </c>
      <c r="J56" s="423">
        <v>2022</v>
      </c>
      <c r="K56" s="423">
        <v>2023</v>
      </c>
      <c r="L56" s="423">
        <v>2024</v>
      </c>
      <c r="M56" s="423">
        <v>2025</v>
      </c>
      <c r="N56" s="423">
        <v>2026</v>
      </c>
      <c r="O56" s="423">
        <v>2027</v>
      </c>
      <c r="P56" s="423">
        <v>2028</v>
      </c>
      <c r="Q56" s="423">
        <v>2029</v>
      </c>
      <c r="R56" s="423">
        <v>2030</v>
      </c>
      <c r="S56" s="423">
        <v>2031</v>
      </c>
      <c r="T56" s="423">
        <v>2032</v>
      </c>
      <c r="U56" s="423">
        <v>2033</v>
      </c>
      <c r="V56" s="423">
        <v>2034</v>
      </c>
      <c r="W56" s="423">
        <v>2035</v>
      </c>
      <c r="X56" s="423">
        <v>2036</v>
      </c>
      <c r="Y56" s="423">
        <v>2037</v>
      </c>
      <c r="Z56" s="423">
        <v>2038</v>
      </c>
      <c r="AA56" s="423">
        <v>2039</v>
      </c>
      <c r="AB56" s="423">
        <v>2040</v>
      </c>
      <c r="AC56" s="423">
        <v>2041</v>
      </c>
      <c r="AD56" s="423">
        <v>2042</v>
      </c>
      <c r="AE56" s="423">
        <v>2043</v>
      </c>
      <c r="AF56" s="423">
        <v>2044</v>
      </c>
      <c r="AG56" s="423">
        <v>2045</v>
      </c>
      <c r="AH56" s="423"/>
      <c r="AI56" s="423"/>
    </row>
    <row r="57" spans="2:35" x14ac:dyDescent="0.25">
      <c r="B57" s="421" t="s">
        <v>60</v>
      </c>
      <c r="E57" s="428">
        <f>E35</f>
        <v>34245521.180929549</v>
      </c>
      <c r="F57" s="428">
        <f t="shared" ref="F57:AG57" si="21">F35</f>
        <v>34398875.158370182</v>
      </c>
      <c r="G57" s="428">
        <f t="shared" si="21"/>
        <v>39184212.724019654</v>
      </c>
      <c r="H57" s="428">
        <f t="shared" si="21"/>
        <v>40147055.546054557</v>
      </c>
      <c r="I57" s="428">
        <f t="shared" si="21"/>
        <v>40961770.110487312</v>
      </c>
      <c r="J57" s="428">
        <f t="shared" si="21"/>
        <v>41411774.848963037</v>
      </c>
      <c r="K57" s="428">
        <f t="shared" si="21"/>
        <v>48301774.848963037</v>
      </c>
      <c r="L57" s="428">
        <f t="shared" si="21"/>
        <v>51907494.848963037</v>
      </c>
      <c r="M57" s="428">
        <f t="shared" si="21"/>
        <v>52727494.848963037</v>
      </c>
      <c r="N57" s="428">
        <f t="shared" si="21"/>
        <v>53282494.848963037</v>
      </c>
      <c r="O57" s="428">
        <f t="shared" si="21"/>
        <v>54457494.848963037</v>
      </c>
      <c r="P57" s="428">
        <f t="shared" si="21"/>
        <v>57066638.848963037</v>
      </c>
      <c r="Q57" s="428">
        <f t="shared" si="21"/>
        <v>59675782.848963037</v>
      </c>
      <c r="R57" s="428">
        <f t="shared" si="21"/>
        <v>62284926.848963037</v>
      </c>
      <c r="S57" s="428">
        <f t="shared" si="21"/>
        <v>64894070.848963037</v>
      </c>
      <c r="T57" s="428">
        <f t="shared" si="21"/>
        <v>67503214.848963037</v>
      </c>
      <c r="U57" s="428">
        <f t="shared" si="21"/>
        <v>70112358.848963037</v>
      </c>
      <c r="V57" s="428">
        <f t="shared" si="21"/>
        <v>72721502.848963037</v>
      </c>
      <c r="W57" s="428">
        <f t="shared" si="21"/>
        <v>75330646.848963037</v>
      </c>
      <c r="X57" s="428">
        <f t="shared" si="21"/>
        <v>77939790.848963037</v>
      </c>
      <c r="Y57" s="428">
        <f t="shared" si="21"/>
        <v>80548934.848963037</v>
      </c>
      <c r="Z57" s="428">
        <f t="shared" si="21"/>
        <v>83158078.848963037</v>
      </c>
      <c r="AA57" s="428">
        <f t="shared" si="21"/>
        <v>85767222.848963037</v>
      </c>
      <c r="AB57" s="428">
        <f t="shared" si="21"/>
        <v>88376366.848963037</v>
      </c>
      <c r="AC57" s="428">
        <f t="shared" si="21"/>
        <v>90985510.848963037</v>
      </c>
      <c r="AD57" s="428">
        <f t="shared" si="21"/>
        <v>93594654.848963037</v>
      </c>
      <c r="AE57" s="428">
        <f t="shared" si="21"/>
        <v>96203798.848963037</v>
      </c>
      <c r="AF57" s="428">
        <f t="shared" si="21"/>
        <v>98812942.848963037</v>
      </c>
      <c r="AG57" s="428">
        <f t="shared" si="21"/>
        <v>101422086.84896304</v>
      </c>
      <c r="AH57" s="423"/>
      <c r="AI57" s="423"/>
    </row>
    <row r="58" spans="2:35" x14ac:dyDescent="0.25">
      <c r="B58" s="421" t="s">
        <v>73</v>
      </c>
      <c r="E58" s="428">
        <v>-20975026.9782282</v>
      </c>
      <c r="F58" s="428">
        <f>E58-F53</f>
        <v>-22298423.527083531</v>
      </c>
      <c r="G58" s="428">
        <f t="shared" ref="G58:AG58" si="22">F58-G53</f>
        <v>-23799451.806375772</v>
      </c>
      <c r="H58" s="428">
        <f t="shared" si="22"/>
        <v>-25336220.811221946</v>
      </c>
      <c r="I58" s="428">
        <f t="shared" si="22"/>
        <v>-26903232.020699866</v>
      </c>
      <c r="J58" s="428">
        <f t="shared" si="22"/>
        <v>-28486947.406070005</v>
      </c>
      <c r="K58" s="428">
        <f t="shared" si="22"/>
        <v>-30326419.591440141</v>
      </c>
      <c r="L58" s="428">
        <f t="shared" si="22"/>
        <v>-32299736.103210278</v>
      </c>
      <c r="M58" s="428">
        <f t="shared" si="22"/>
        <v>-34303491.014980413</v>
      </c>
      <c r="N58" s="428">
        <f t="shared" si="22"/>
        <v>-36327847.52675055</v>
      </c>
      <c r="O58" s="428">
        <f t="shared" si="22"/>
        <v>-38395820.038520686</v>
      </c>
      <c r="P58" s="428">
        <f t="shared" si="22"/>
        <v>-40560643.975570828</v>
      </c>
      <c r="Q58" s="428">
        <f t="shared" si="22"/>
        <v>-42822319.337900966</v>
      </c>
      <c r="R58" s="428">
        <f t="shared" si="22"/>
        <v>-45180846.125511102</v>
      </c>
      <c r="S58" s="428">
        <f t="shared" si="22"/>
        <v>-47636224.338401243</v>
      </c>
      <c r="T58" s="428">
        <f t="shared" si="22"/>
        <v>-50188453.976571381</v>
      </c>
      <c r="U58" s="428">
        <f t="shared" si="22"/>
        <v>-52837535.040021516</v>
      </c>
      <c r="V58" s="428">
        <f t="shared" si="22"/>
        <v>-55583467.528751656</v>
      </c>
      <c r="W58" s="428">
        <f t="shared" si="22"/>
        <v>-58426251.442761794</v>
      </c>
      <c r="X58" s="428">
        <f>W58-X53</f>
        <v>-61365886.782051928</v>
      </c>
      <c r="Y58" s="428">
        <f t="shared" si="22"/>
        <v>-64402373.546622068</v>
      </c>
      <c r="Z58" s="428">
        <f t="shared" si="22"/>
        <v>-67535711.736472204</v>
      </c>
      <c r="AA58" s="428">
        <f t="shared" si="22"/>
        <v>-70765901.351602346</v>
      </c>
      <c r="AB58" s="428">
        <f t="shared" si="22"/>
        <v>-74092942.392012477</v>
      </c>
      <c r="AC58" s="428">
        <f t="shared" si="22"/>
        <v>-77516834.857702613</v>
      </c>
      <c r="AD58" s="428">
        <f t="shared" si="22"/>
        <v>-81037578.748672754</v>
      </c>
      <c r="AE58" s="428">
        <f t="shared" si="22"/>
        <v>-84655174.064922884</v>
      </c>
      <c r="AF58" s="428">
        <f t="shared" si="22"/>
        <v>-88369620.806453019</v>
      </c>
      <c r="AG58" s="428">
        <f t="shared" si="22"/>
        <v>-92180918.973263159</v>
      </c>
      <c r="AH58" s="423"/>
      <c r="AI58" s="423"/>
    </row>
    <row r="59" spans="2:35" x14ac:dyDescent="0.25">
      <c r="B59" s="421" t="s">
        <v>74</v>
      </c>
      <c r="E59" s="428">
        <v>0</v>
      </c>
      <c r="F59" s="428">
        <v>0</v>
      </c>
      <c r="G59" s="428">
        <v>0</v>
      </c>
      <c r="H59" s="428">
        <v>0</v>
      </c>
      <c r="I59" s="428">
        <v>0</v>
      </c>
      <c r="J59" s="428">
        <v>0</v>
      </c>
      <c r="K59" s="428">
        <v>0</v>
      </c>
      <c r="L59" s="428">
        <v>0</v>
      </c>
      <c r="M59" s="428">
        <v>0</v>
      </c>
      <c r="N59" s="428">
        <v>0</v>
      </c>
      <c r="O59" s="428">
        <v>0</v>
      </c>
      <c r="P59" s="428">
        <v>0</v>
      </c>
      <c r="Q59" s="428">
        <v>0</v>
      </c>
      <c r="R59" s="428">
        <v>0</v>
      </c>
      <c r="S59" s="428">
        <v>0</v>
      </c>
      <c r="T59" s="428">
        <v>0</v>
      </c>
      <c r="U59" s="428">
        <v>0</v>
      </c>
      <c r="V59" s="428">
        <v>0</v>
      </c>
      <c r="W59" s="428">
        <v>0</v>
      </c>
      <c r="X59" s="428">
        <v>0</v>
      </c>
      <c r="Y59" s="428">
        <v>0</v>
      </c>
      <c r="Z59" s="428">
        <v>0</v>
      </c>
      <c r="AA59" s="428">
        <v>0</v>
      </c>
      <c r="AB59" s="428">
        <v>0</v>
      </c>
      <c r="AC59" s="428">
        <v>0</v>
      </c>
      <c r="AD59" s="428">
        <v>0</v>
      </c>
      <c r="AE59" s="428">
        <v>0</v>
      </c>
      <c r="AF59" s="428">
        <v>0</v>
      </c>
      <c r="AG59" s="428">
        <v>0</v>
      </c>
      <c r="AH59" s="423"/>
      <c r="AI59" s="423"/>
    </row>
    <row r="60" spans="2:35" x14ac:dyDescent="0.25">
      <c r="B60" s="421" t="s">
        <v>75</v>
      </c>
      <c r="E60" s="428"/>
      <c r="F60" s="428"/>
      <c r="G60" s="428"/>
      <c r="H60" s="428"/>
      <c r="I60" s="428"/>
      <c r="J60" s="428"/>
      <c r="K60" s="428"/>
      <c r="L60" s="428"/>
      <c r="M60" s="428"/>
      <c r="N60" s="428"/>
      <c r="O60" s="428"/>
      <c r="P60" s="428"/>
      <c r="Q60" s="428"/>
      <c r="R60" s="428"/>
      <c r="S60" s="428"/>
      <c r="T60" s="428"/>
      <c r="U60" s="428"/>
      <c r="V60" s="428"/>
      <c r="W60" s="428"/>
      <c r="X60" s="428"/>
      <c r="Y60" s="428"/>
      <c r="Z60" s="428"/>
      <c r="AA60" s="428"/>
      <c r="AB60" s="428"/>
      <c r="AC60" s="428"/>
      <c r="AD60" s="428"/>
      <c r="AE60" s="428"/>
      <c r="AF60" s="428"/>
      <c r="AG60" s="428"/>
      <c r="AH60" s="423"/>
      <c r="AI60" s="423"/>
    </row>
    <row r="61" spans="2:35" x14ac:dyDescent="0.25">
      <c r="B61" s="421" t="s">
        <v>76</v>
      </c>
      <c r="E61" s="428">
        <f>IF(E57+E58+E59+E60&gt;0,E57+E58+E59+E60,0)</f>
        <v>13270494.202701349</v>
      </c>
      <c r="F61" s="428">
        <f t="shared" ref="F61:AG61" si="23">IF(F57+F58+F59+F60&gt;0,F57+F58+F59+F60,0)</f>
        <v>12100451.631286651</v>
      </c>
      <c r="G61" s="428">
        <f t="shared" si="23"/>
        <v>15384760.917643882</v>
      </c>
      <c r="H61" s="428">
        <f t="shared" si="23"/>
        <v>14810834.734832611</v>
      </c>
      <c r="I61" s="428">
        <f t="shared" si="23"/>
        <v>14058538.089787446</v>
      </c>
      <c r="J61" s="428">
        <f t="shared" si="23"/>
        <v>12924827.442893032</v>
      </c>
      <c r="K61" s="428">
        <f t="shared" si="23"/>
        <v>17975355.257522896</v>
      </c>
      <c r="L61" s="428">
        <f t="shared" si="23"/>
        <v>19607758.745752759</v>
      </c>
      <c r="M61" s="428">
        <f t="shared" si="23"/>
        <v>18424003.833982624</v>
      </c>
      <c r="N61" s="428">
        <f t="shared" si="23"/>
        <v>16954647.322212487</v>
      </c>
      <c r="O61" s="428">
        <f t="shared" si="23"/>
        <v>16061674.810442351</v>
      </c>
      <c r="P61" s="428">
        <f t="shared" si="23"/>
        <v>16505994.873392209</v>
      </c>
      <c r="Q61" s="428">
        <f t="shared" si="23"/>
        <v>16853463.511062071</v>
      </c>
      <c r="R61" s="428">
        <f t="shared" si="23"/>
        <v>17104080.723451935</v>
      </c>
      <c r="S61" s="428">
        <f t="shared" si="23"/>
        <v>17257846.510561794</v>
      </c>
      <c r="T61" s="428">
        <f t="shared" si="23"/>
        <v>17314760.872391656</v>
      </c>
      <c r="U61" s="428">
        <f t="shared" si="23"/>
        <v>17274823.808941521</v>
      </c>
      <c r="V61" s="428">
        <f t="shared" si="23"/>
        <v>17138035.320211381</v>
      </c>
      <c r="W61" s="428">
        <f t="shared" si="23"/>
        <v>16904395.406201243</v>
      </c>
      <c r="X61" s="428">
        <f t="shared" si="23"/>
        <v>16573904.066911109</v>
      </c>
      <c r="Y61" s="428">
        <f t="shared" si="23"/>
        <v>16146561.302340969</v>
      </c>
      <c r="Z61" s="428">
        <f t="shared" si="23"/>
        <v>15622367.112490833</v>
      </c>
      <c r="AA61" s="428">
        <f t="shared" si="23"/>
        <v>15001321.497360691</v>
      </c>
      <c r="AB61" s="428">
        <f t="shared" si="23"/>
        <v>14283424.45695056</v>
      </c>
      <c r="AC61" s="428">
        <f t="shared" si="23"/>
        <v>13468675.991260424</v>
      </c>
      <c r="AD61" s="428">
        <f t="shared" si="23"/>
        <v>12557076.100290284</v>
      </c>
      <c r="AE61" s="428">
        <f t="shared" si="23"/>
        <v>11548624.784040153</v>
      </c>
      <c r="AF61" s="428">
        <f t="shared" si="23"/>
        <v>10443322.042510018</v>
      </c>
      <c r="AG61" s="428">
        <f t="shared" si="23"/>
        <v>9241167.8756998777</v>
      </c>
      <c r="AH61" s="423"/>
      <c r="AI61" s="423"/>
    </row>
    <row r="62" spans="2:35" x14ac:dyDescent="0.25">
      <c r="B62" s="421" t="s">
        <v>77</v>
      </c>
      <c r="E62" s="435">
        <v>7.0999999999999994E-2</v>
      </c>
      <c r="F62" s="435">
        <v>7.0999999999999994E-2</v>
      </c>
      <c r="G62" s="435">
        <v>7.0999999999999994E-2</v>
      </c>
      <c r="H62" s="435">
        <v>7.0999999999999994E-2</v>
      </c>
      <c r="I62" s="435">
        <v>7.0999999999999994E-2</v>
      </c>
      <c r="J62" s="435">
        <v>7.0999999999999994E-2</v>
      </c>
      <c r="K62" s="435">
        <v>7.0999999999999994E-2</v>
      </c>
      <c r="L62" s="435">
        <v>7.0999999999999994E-2</v>
      </c>
      <c r="M62" s="435">
        <v>7.0999999999999994E-2</v>
      </c>
      <c r="N62" s="435">
        <v>7.0999999999999994E-2</v>
      </c>
      <c r="O62" s="435">
        <v>7.0999999999999994E-2</v>
      </c>
      <c r="P62" s="435">
        <v>7.0999999999999994E-2</v>
      </c>
      <c r="Q62" s="435">
        <v>7.0999999999999994E-2</v>
      </c>
      <c r="R62" s="435">
        <v>7.0999999999999994E-2</v>
      </c>
      <c r="S62" s="435">
        <v>7.0999999999999994E-2</v>
      </c>
      <c r="T62" s="435">
        <v>7.0999999999999994E-2</v>
      </c>
      <c r="U62" s="435">
        <v>7.0999999999999994E-2</v>
      </c>
      <c r="V62" s="435">
        <v>7.0999999999999994E-2</v>
      </c>
      <c r="W62" s="435">
        <v>7.0999999999999994E-2</v>
      </c>
      <c r="X62" s="435">
        <v>7.0999999999999994E-2</v>
      </c>
      <c r="Y62" s="435">
        <v>7.0999999999999994E-2</v>
      </c>
      <c r="Z62" s="435">
        <v>7.0999999999999994E-2</v>
      </c>
      <c r="AA62" s="435">
        <v>7.0999999999999994E-2</v>
      </c>
      <c r="AB62" s="435">
        <v>7.0999999999999994E-2</v>
      </c>
      <c r="AC62" s="435">
        <v>7.0999999999999994E-2</v>
      </c>
      <c r="AD62" s="435">
        <v>7.0999999999999994E-2</v>
      </c>
      <c r="AE62" s="435">
        <v>7.0999999999999994E-2</v>
      </c>
      <c r="AF62" s="435">
        <v>7.0999999999999994E-2</v>
      </c>
      <c r="AG62" s="435">
        <v>7.0999999999999994E-2</v>
      </c>
      <c r="AH62" s="423"/>
      <c r="AI62" s="423"/>
    </row>
    <row r="63" spans="2:35" x14ac:dyDescent="0.25">
      <c r="B63" s="421" t="s">
        <v>78</v>
      </c>
      <c r="E63" s="431">
        <f>E61*E62</f>
        <v>942205.08839179564</v>
      </c>
      <c r="F63" s="431">
        <f t="shared" ref="F63:AG63" si="24">F61*F62</f>
        <v>859132.06582135218</v>
      </c>
      <c r="G63" s="431">
        <f t="shared" si="24"/>
        <v>1092318.0251527156</v>
      </c>
      <c r="H63" s="431">
        <f t="shared" si="24"/>
        <v>1051569.2661731152</v>
      </c>
      <c r="I63" s="431">
        <f t="shared" si="24"/>
        <v>998156.20437490859</v>
      </c>
      <c r="J63" s="431">
        <f t="shared" si="24"/>
        <v>917662.74844540516</v>
      </c>
      <c r="K63" s="431">
        <f t="shared" si="24"/>
        <v>1276250.2232841256</v>
      </c>
      <c r="L63" s="431">
        <f t="shared" si="24"/>
        <v>1392150.8709484458</v>
      </c>
      <c r="M63" s="431">
        <f t="shared" si="24"/>
        <v>1308104.2722127661</v>
      </c>
      <c r="N63" s="431">
        <f t="shared" si="24"/>
        <v>1203779.9598770866</v>
      </c>
      <c r="O63" s="431">
        <f t="shared" si="24"/>
        <v>1140378.9115414068</v>
      </c>
      <c r="P63" s="431">
        <f t="shared" si="24"/>
        <v>1171925.6360108468</v>
      </c>
      <c r="Q63" s="431">
        <f t="shared" si="24"/>
        <v>1196595.9092854068</v>
      </c>
      <c r="R63" s="431">
        <f t="shared" si="24"/>
        <v>1214389.7313650872</v>
      </c>
      <c r="S63" s="431">
        <f t="shared" si="24"/>
        <v>1225307.1022498873</v>
      </c>
      <c r="T63" s="431">
        <f t="shared" si="24"/>
        <v>1229348.0219398076</v>
      </c>
      <c r="U63" s="431">
        <f t="shared" si="24"/>
        <v>1226512.4904348478</v>
      </c>
      <c r="V63" s="431">
        <f t="shared" si="24"/>
        <v>1216800.5077350079</v>
      </c>
      <c r="W63" s="431">
        <f t="shared" si="24"/>
        <v>1200212.0738402882</v>
      </c>
      <c r="X63" s="431">
        <f t="shared" si="24"/>
        <v>1176747.1887506887</v>
      </c>
      <c r="Y63" s="431">
        <f t="shared" si="24"/>
        <v>1146405.8524662086</v>
      </c>
      <c r="Z63" s="431">
        <f t="shared" si="24"/>
        <v>1109188.064986849</v>
      </c>
      <c r="AA63" s="431">
        <f t="shared" si="24"/>
        <v>1065093.826312609</v>
      </c>
      <c r="AB63" s="431">
        <f t="shared" si="24"/>
        <v>1014123.1364434897</v>
      </c>
      <c r="AC63" s="431">
        <f t="shared" si="24"/>
        <v>956275.99537949008</v>
      </c>
      <c r="AD63" s="431">
        <f t="shared" si="24"/>
        <v>891552.40312061005</v>
      </c>
      <c r="AE63" s="431">
        <f t="shared" si="24"/>
        <v>819952.35966685077</v>
      </c>
      <c r="AF63" s="431">
        <f t="shared" si="24"/>
        <v>741475.86501821119</v>
      </c>
      <c r="AG63" s="431">
        <f t="shared" si="24"/>
        <v>656122.91917469131</v>
      </c>
      <c r="AH63" s="423"/>
      <c r="AI63" s="423"/>
    </row>
    <row r="64" spans="2:35" x14ac:dyDescent="0.25">
      <c r="F64" s="423"/>
      <c r="G64" s="423"/>
      <c r="H64" s="423"/>
      <c r="I64" s="423"/>
      <c r="J64" s="423"/>
      <c r="K64" s="423"/>
      <c r="L64" s="423"/>
      <c r="M64" s="423"/>
      <c r="N64" s="423"/>
      <c r="O64" s="423"/>
      <c r="P64" s="423"/>
      <c r="Q64" s="423"/>
      <c r="R64" s="423"/>
      <c r="S64" s="423"/>
      <c r="T64" s="423"/>
      <c r="U64" s="423"/>
      <c r="V64" s="423"/>
      <c r="W64" s="423"/>
      <c r="X64" s="423"/>
      <c r="Y64" s="423"/>
      <c r="Z64" s="423"/>
      <c r="AA64" s="423"/>
      <c r="AB64" s="423"/>
      <c r="AC64" s="423"/>
      <c r="AD64" s="423"/>
      <c r="AE64" s="423"/>
      <c r="AF64" s="423"/>
      <c r="AG64" s="423"/>
      <c r="AH64" s="423"/>
      <c r="AI64" s="423"/>
    </row>
    <row r="65" spans="1:35" x14ac:dyDescent="0.25">
      <c r="E65" s="423"/>
      <c r="F65" s="423"/>
      <c r="G65" s="423"/>
      <c r="H65" s="423"/>
      <c r="I65" s="423"/>
      <c r="J65" s="423"/>
      <c r="K65" s="423"/>
      <c r="L65" s="423"/>
      <c r="M65" s="423"/>
      <c r="N65" s="423"/>
      <c r="O65" s="423"/>
      <c r="P65" s="423"/>
      <c r="Q65" s="423"/>
      <c r="R65" s="423"/>
      <c r="S65" s="423"/>
      <c r="T65" s="423"/>
      <c r="U65" s="423"/>
      <c r="V65" s="423"/>
      <c r="W65" s="423"/>
      <c r="X65" s="423"/>
      <c r="Y65" s="423"/>
      <c r="Z65" s="423"/>
      <c r="AA65" s="423"/>
      <c r="AB65" s="423"/>
      <c r="AC65" s="423"/>
      <c r="AD65" s="423"/>
      <c r="AE65" s="423"/>
      <c r="AF65" s="423"/>
      <c r="AG65" s="423"/>
      <c r="AH65" s="423"/>
      <c r="AI65" s="423"/>
    </row>
    <row r="66" spans="1:35" hidden="1" x14ac:dyDescent="0.25">
      <c r="A66" s="449"/>
      <c r="B66" s="539" t="s">
        <v>79</v>
      </c>
      <c r="C66" s="449"/>
      <c r="D66" s="449"/>
      <c r="E66" s="450"/>
      <c r="F66" s="450"/>
      <c r="G66" s="450"/>
      <c r="H66" s="450"/>
      <c r="I66" s="450"/>
      <c r="J66" s="450"/>
      <c r="K66" s="450"/>
      <c r="L66" s="450"/>
      <c r="M66" s="450"/>
      <c r="N66" s="450"/>
      <c r="O66" s="450"/>
      <c r="P66" s="450"/>
      <c r="Q66" s="450"/>
      <c r="R66" s="450"/>
      <c r="S66" s="450"/>
      <c r="T66" s="450"/>
      <c r="U66" s="450"/>
      <c r="V66" s="450"/>
      <c r="W66" s="450"/>
      <c r="X66" s="450"/>
      <c r="Y66" s="450"/>
      <c r="Z66" s="450"/>
      <c r="AA66" s="450"/>
      <c r="AB66" s="450"/>
      <c r="AC66" s="450"/>
      <c r="AD66" s="450"/>
      <c r="AE66" s="450"/>
      <c r="AF66" s="450"/>
      <c r="AG66" s="450"/>
      <c r="AH66" s="423"/>
      <c r="AI66" s="423"/>
    </row>
    <row r="67" spans="1:35" hidden="1" x14ac:dyDescent="0.25">
      <c r="A67" s="449"/>
      <c r="B67" s="449" t="s">
        <v>80</v>
      </c>
      <c r="C67" s="451" t="s">
        <v>81</v>
      </c>
      <c r="D67" s="449"/>
      <c r="E67" s="450">
        <v>2017</v>
      </c>
      <c r="F67" s="450">
        <v>2018</v>
      </c>
      <c r="G67" s="450">
        <v>2019</v>
      </c>
      <c r="H67" s="450">
        <v>2020</v>
      </c>
      <c r="I67" s="450">
        <v>2021</v>
      </c>
      <c r="J67" s="450">
        <v>2022</v>
      </c>
      <c r="K67" s="450">
        <v>2023</v>
      </c>
      <c r="L67" s="450">
        <v>2024</v>
      </c>
      <c r="M67" s="450">
        <v>2025</v>
      </c>
      <c r="N67" s="450">
        <v>2026</v>
      </c>
      <c r="O67" s="450">
        <v>2027</v>
      </c>
      <c r="P67" s="450">
        <v>2028</v>
      </c>
      <c r="Q67" s="450">
        <v>2029</v>
      </c>
      <c r="R67" s="450">
        <v>2030</v>
      </c>
      <c r="S67" s="450">
        <v>2031</v>
      </c>
      <c r="T67" s="450">
        <v>2032</v>
      </c>
      <c r="U67" s="450">
        <v>2033</v>
      </c>
      <c r="V67" s="450">
        <v>2034</v>
      </c>
      <c r="W67" s="450">
        <v>2035</v>
      </c>
      <c r="X67" s="450">
        <v>2036</v>
      </c>
      <c r="Y67" s="450">
        <v>2037</v>
      </c>
      <c r="Z67" s="450">
        <v>2038</v>
      </c>
      <c r="AA67" s="450">
        <v>2039</v>
      </c>
      <c r="AB67" s="450">
        <v>2040</v>
      </c>
      <c r="AC67" s="450">
        <v>2041</v>
      </c>
      <c r="AD67" s="450">
        <v>2042</v>
      </c>
      <c r="AE67" s="450">
        <v>2043</v>
      </c>
      <c r="AF67" s="450">
        <v>2044</v>
      </c>
      <c r="AG67" s="450">
        <v>2045</v>
      </c>
      <c r="AH67" s="423"/>
      <c r="AI67" s="423"/>
    </row>
    <row r="68" spans="1:35" hidden="1" x14ac:dyDescent="0.25">
      <c r="A68" s="451">
        <v>1</v>
      </c>
      <c r="B68" s="449" t="s">
        <v>122</v>
      </c>
      <c r="C68" s="451">
        <v>1</v>
      </c>
      <c r="D68" s="449"/>
      <c r="E68" s="541">
        <f t="shared" ref="E68:E78" si="25">$C68*E$5</f>
        <v>7208141.3617541967</v>
      </c>
      <c r="F68" s="541">
        <f t="shared" ref="F68:AG77" si="26">$C68*F$5</f>
        <v>7451782.5951868109</v>
      </c>
      <c r="G68" s="541">
        <f t="shared" si="26"/>
        <v>7366446.9695883887</v>
      </c>
      <c r="H68" s="541">
        <f t="shared" si="26"/>
        <v>5384233.9821170503</v>
      </c>
      <c r="I68" s="541">
        <f t="shared" si="26"/>
        <v>6157453.9064814877</v>
      </c>
      <c r="J68" s="541">
        <f t="shared" si="26"/>
        <v>6464478.1725781392</v>
      </c>
      <c r="K68" s="541">
        <f t="shared" si="26"/>
        <v>6535727.6792181609</v>
      </c>
      <c r="L68" s="541">
        <f t="shared" si="26"/>
        <v>6545878.0555803906</v>
      </c>
      <c r="M68" s="541">
        <f t="shared" si="26"/>
        <v>6577271.4904336613</v>
      </c>
      <c r="N68" s="541">
        <f t="shared" si="26"/>
        <v>6606864.4309409047</v>
      </c>
      <c r="O68" s="541">
        <f t="shared" si="26"/>
        <v>6633818.3091991637</v>
      </c>
      <c r="P68" s="541">
        <f t="shared" si="26"/>
        <v>6664158.7681026179</v>
      </c>
      <c r="Q68" s="541">
        <f t="shared" si="26"/>
        <v>6697507.8515134538</v>
      </c>
      <c r="R68" s="541">
        <f t="shared" si="26"/>
        <v>6731857.1981946062</v>
      </c>
      <c r="S68" s="541">
        <f t="shared" si="26"/>
        <v>6764949.7420190405</v>
      </c>
      <c r="T68" s="541">
        <f t="shared" si="26"/>
        <v>6801160.9264634447</v>
      </c>
      <c r="U68" s="541">
        <f t="shared" si="26"/>
        <v>6840682.4815644436</v>
      </c>
      <c r="V68" s="541">
        <f t="shared" si="26"/>
        <v>6883623.9687744146</v>
      </c>
      <c r="W68" s="541">
        <f t="shared" si="26"/>
        <v>6926028.3085213304</v>
      </c>
      <c r="X68" s="541">
        <f t="shared" si="26"/>
        <v>6966558.5988511592</v>
      </c>
      <c r="Y68" s="541">
        <f t="shared" si="26"/>
        <v>7010304.2846241957</v>
      </c>
      <c r="Z68" s="541">
        <f t="shared" si="26"/>
        <v>7054309.0278164959</v>
      </c>
      <c r="AA68" s="541">
        <f t="shared" si="26"/>
        <v>7104847.0310493652</v>
      </c>
      <c r="AB68" s="541">
        <f t="shared" si="26"/>
        <v>7147995.1930164546</v>
      </c>
      <c r="AC68" s="541">
        <f t="shared" si="26"/>
        <v>7196419.4794150935</v>
      </c>
      <c r="AD68" s="541">
        <f t="shared" si="26"/>
        <v>7249979.809150409</v>
      </c>
      <c r="AE68" s="541">
        <f t="shared" si="26"/>
        <v>7297417.5622330718</v>
      </c>
      <c r="AF68" s="541">
        <f t="shared" si="26"/>
        <v>7343981.5158204092</v>
      </c>
      <c r="AG68" s="541">
        <f t="shared" si="26"/>
        <v>7401413.3007865092</v>
      </c>
      <c r="AH68" s="423"/>
      <c r="AI68" s="423"/>
    </row>
    <row r="69" spans="1:35" hidden="1" x14ac:dyDescent="0.25">
      <c r="A69" s="451">
        <v>2</v>
      </c>
      <c r="B69" s="449" t="s">
        <v>83</v>
      </c>
      <c r="C69" s="451">
        <v>0</v>
      </c>
      <c r="D69" s="449"/>
      <c r="E69" s="541">
        <f t="shared" si="25"/>
        <v>0</v>
      </c>
      <c r="F69" s="541">
        <f t="shared" ref="F69:T69" si="27">$C69*F$5</f>
        <v>0</v>
      </c>
      <c r="G69" s="541">
        <f t="shared" si="27"/>
        <v>0</v>
      </c>
      <c r="H69" s="541">
        <f t="shared" si="27"/>
        <v>0</v>
      </c>
      <c r="I69" s="541">
        <f t="shared" si="27"/>
        <v>0</v>
      </c>
      <c r="J69" s="541">
        <f t="shared" si="27"/>
        <v>0</v>
      </c>
      <c r="K69" s="541">
        <f t="shared" si="27"/>
        <v>0</v>
      </c>
      <c r="L69" s="541">
        <f t="shared" si="27"/>
        <v>0</v>
      </c>
      <c r="M69" s="541">
        <f t="shared" si="27"/>
        <v>0</v>
      </c>
      <c r="N69" s="541">
        <f t="shared" si="27"/>
        <v>0</v>
      </c>
      <c r="O69" s="541">
        <f t="shared" si="27"/>
        <v>0</v>
      </c>
      <c r="P69" s="541">
        <f t="shared" si="27"/>
        <v>0</v>
      </c>
      <c r="Q69" s="541">
        <f t="shared" si="27"/>
        <v>0</v>
      </c>
      <c r="R69" s="541">
        <f t="shared" si="27"/>
        <v>0</v>
      </c>
      <c r="S69" s="541">
        <f t="shared" si="27"/>
        <v>0</v>
      </c>
      <c r="T69" s="541">
        <f t="shared" si="27"/>
        <v>0</v>
      </c>
      <c r="U69" s="541">
        <f t="shared" si="26"/>
        <v>0</v>
      </c>
      <c r="V69" s="541">
        <f t="shared" si="26"/>
        <v>0</v>
      </c>
      <c r="W69" s="541">
        <f t="shared" si="26"/>
        <v>0</v>
      </c>
      <c r="X69" s="541">
        <f t="shared" si="26"/>
        <v>0</v>
      </c>
      <c r="Y69" s="541">
        <f t="shared" si="26"/>
        <v>0</v>
      </c>
      <c r="Z69" s="541">
        <f t="shared" si="26"/>
        <v>0</v>
      </c>
      <c r="AA69" s="541">
        <f t="shared" si="26"/>
        <v>0</v>
      </c>
      <c r="AB69" s="541">
        <f t="shared" si="26"/>
        <v>0</v>
      </c>
      <c r="AC69" s="541">
        <f t="shared" si="26"/>
        <v>0</v>
      </c>
      <c r="AD69" s="541">
        <f t="shared" si="26"/>
        <v>0</v>
      </c>
      <c r="AE69" s="541">
        <f t="shared" si="26"/>
        <v>0</v>
      </c>
      <c r="AF69" s="541">
        <f t="shared" si="26"/>
        <v>0</v>
      </c>
      <c r="AG69" s="541">
        <f t="shared" si="26"/>
        <v>0</v>
      </c>
      <c r="AH69" s="423"/>
      <c r="AI69" s="423"/>
    </row>
    <row r="70" spans="1:35" hidden="1" x14ac:dyDescent="0.25">
      <c r="A70" s="451">
        <v>3</v>
      </c>
      <c r="B70" s="449" t="s">
        <v>84</v>
      </c>
      <c r="C70" s="451">
        <v>0</v>
      </c>
      <c r="D70" s="449"/>
      <c r="E70" s="541">
        <f t="shared" si="25"/>
        <v>0</v>
      </c>
      <c r="F70" s="541">
        <f t="shared" si="26"/>
        <v>0</v>
      </c>
      <c r="G70" s="541">
        <f t="shared" si="26"/>
        <v>0</v>
      </c>
      <c r="H70" s="541">
        <f t="shared" si="26"/>
        <v>0</v>
      </c>
      <c r="I70" s="541">
        <f t="shared" si="26"/>
        <v>0</v>
      </c>
      <c r="J70" s="541">
        <f t="shared" si="26"/>
        <v>0</v>
      </c>
      <c r="K70" s="541">
        <f t="shared" si="26"/>
        <v>0</v>
      </c>
      <c r="L70" s="541">
        <f t="shared" si="26"/>
        <v>0</v>
      </c>
      <c r="M70" s="541">
        <f t="shared" si="26"/>
        <v>0</v>
      </c>
      <c r="N70" s="541">
        <f t="shared" si="26"/>
        <v>0</v>
      </c>
      <c r="O70" s="541">
        <f t="shared" si="26"/>
        <v>0</v>
      </c>
      <c r="P70" s="541">
        <f t="shared" si="26"/>
        <v>0</v>
      </c>
      <c r="Q70" s="541">
        <f t="shared" si="26"/>
        <v>0</v>
      </c>
      <c r="R70" s="541">
        <f t="shared" si="26"/>
        <v>0</v>
      </c>
      <c r="S70" s="541">
        <f t="shared" si="26"/>
        <v>0</v>
      </c>
      <c r="T70" s="541">
        <f t="shared" si="26"/>
        <v>0</v>
      </c>
      <c r="U70" s="541">
        <f t="shared" si="26"/>
        <v>0</v>
      </c>
      <c r="V70" s="541">
        <f t="shared" si="26"/>
        <v>0</v>
      </c>
      <c r="W70" s="541">
        <f t="shared" si="26"/>
        <v>0</v>
      </c>
      <c r="X70" s="541">
        <f t="shared" si="26"/>
        <v>0</v>
      </c>
      <c r="Y70" s="541">
        <f t="shared" si="26"/>
        <v>0</v>
      </c>
      <c r="Z70" s="541">
        <f t="shared" si="26"/>
        <v>0</v>
      </c>
      <c r="AA70" s="541">
        <f t="shared" si="26"/>
        <v>0</v>
      </c>
      <c r="AB70" s="541">
        <f t="shared" si="26"/>
        <v>0</v>
      </c>
      <c r="AC70" s="541">
        <f t="shared" si="26"/>
        <v>0</v>
      </c>
      <c r="AD70" s="541">
        <f t="shared" si="26"/>
        <v>0</v>
      </c>
      <c r="AE70" s="541">
        <f t="shared" si="26"/>
        <v>0</v>
      </c>
      <c r="AF70" s="541">
        <f t="shared" si="26"/>
        <v>0</v>
      </c>
      <c r="AG70" s="541">
        <f t="shared" si="26"/>
        <v>0</v>
      </c>
      <c r="AH70" s="423"/>
      <c r="AI70" s="423"/>
    </row>
    <row r="71" spans="1:35" hidden="1" x14ac:dyDescent="0.25">
      <c r="A71" s="451">
        <v>4</v>
      </c>
      <c r="B71" s="449" t="s">
        <v>85</v>
      </c>
      <c r="C71" s="451">
        <v>0</v>
      </c>
      <c r="D71" s="449"/>
      <c r="E71" s="541">
        <f t="shared" si="25"/>
        <v>0</v>
      </c>
      <c r="F71" s="541">
        <f t="shared" si="26"/>
        <v>0</v>
      </c>
      <c r="G71" s="541">
        <f t="shared" si="26"/>
        <v>0</v>
      </c>
      <c r="H71" s="541">
        <f t="shared" si="26"/>
        <v>0</v>
      </c>
      <c r="I71" s="541">
        <f t="shared" si="26"/>
        <v>0</v>
      </c>
      <c r="J71" s="541">
        <f t="shared" si="26"/>
        <v>0</v>
      </c>
      <c r="K71" s="541">
        <f t="shared" si="26"/>
        <v>0</v>
      </c>
      <c r="L71" s="541">
        <f t="shared" si="26"/>
        <v>0</v>
      </c>
      <c r="M71" s="541">
        <f t="shared" si="26"/>
        <v>0</v>
      </c>
      <c r="N71" s="541">
        <f t="shared" si="26"/>
        <v>0</v>
      </c>
      <c r="O71" s="541">
        <f t="shared" si="26"/>
        <v>0</v>
      </c>
      <c r="P71" s="541">
        <f t="shared" si="26"/>
        <v>0</v>
      </c>
      <c r="Q71" s="541">
        <f t="shared" si="26"/>
        <v>0</v>
      </c>
      <c r="R71" s="541">
        <f t="shared" si="26"/>
        <v>0</v>
      </c>
      <c r="S71" s="541">
        <f t="shared" si="26"/>
        <v>0</v>
      </c>
      <c r="T71" s="541">
        <f t="shared" si="26"/>
        <v>0</v>
      </c>
      <c r="U71" s="541">
        <f t="shared" si="26"/>
        <v>0</v>
      </c>
      <c r="V71" s="541">
        <f t="shared" si="26"/>
        <v>0</v>
      </c>
      <c r="W71" s="541">
        <f t="shared" si="26"/>
        <v>0</v>
      </c>
      <c r="X71" s="541">
        <f t="shared" si="26"/>
        <v>0</v>
      </c>
      <c r="Y71" s="541">
        <f t="shared" si="26"/>
        <v>0</v>
      </c>
      <c r="Z71" s="541">
        <f t="shared" si="26"/>
        <v>0</v>
      </c>
      <c r="AA71" s="541">
        <f t="shared" si="26"/>
        <v>0</v>
      </c>
      <c r="AB71" s="541">
        <f t="shared" si="26"/>
        <v>0</v>
      </c>
      <c r="AC71" s="541">
        <f t="shared" si="26"/>
        <v>0</v>
      </c>
      <c r="AD71" s="541">
        <f t="shared" si="26"/>
        <v>0</v>
      </c>
      <c r="AE71" s="541">
        <f t="shared" si="26"/>
        <v>0</v>
      </c>
      <c r="AF71" s="541">
        <f t="shared" si="26"/>
        <v>0</v>
      </c>
      <c r="AG71" s="541">
        <f t="shared" si="26"/>
        <v>0</v>
      </c>
      <c r="AH71" s="423"/>
      <c r="AI71" s="423"/>
    </row>
    <row r="72" spans="1:35" hidden="1" x14ac:dyDescent="0.25">
      <c r="A72" s="451">
        <v>5</v>
      </c>
      <c r="B72" s="449" t="s">
        <v>86</v>
      </c>
      <c r="C72" s="451">
        <v>0</v>
      </c>
      <c r="D72" s="449"/>
      <c r="E72" s="541">
        <f t="shared" si="25"/>
        <v>0</v>
      </c>
      <c r="F72" s="541">
        <f t="shared" si="26"/>
        <v>0</v>
      </c>
      <c r="G72" s="541">
        <f t="shared" si="26"/>
        <v>0</v>
      </c>
      <c r="H72" s="541">
        <f t="shared" si="26"/>
        <v>0</v>
      </c>
      <c r="I72" s="541">
        <f t="shared" si="26"/>
        <v>0</v>
      </c>
      <c r="J72" s="541">
        <f t="shared" si="26"/>
        <v>0</v>
      </c>
      <c r="K72" s="541">
        <f t="shared" si="26"/>
        <v>0</v>
      </c>
      <c r="L72" s="541">
        <f t="shared" si="26"/>
        <v>0</v>
      </c>
      <c r="M72" s="541">
        <f t="shared" si="26"/>
        <v>0</v>
      </c>
      <c r="N72" s="541">
        <f t="shared" si="26"/>
        <v>0</v>
      </c>
      <c r="O72" s="541">
        <f t="shared" si="26"/>
        <v>0</v>
      </c>
      <c r="P72" s="541">
        <f t="shared" si="26"/>
        <v>0</v>
      </c>
      <c r="Q72" s="541">
        <f t="shared" si="26"/>
        <v>0</v>
      </c>
      <c r="R72" s="541">
        <f t="shared" si="26"/>
        <v>0</v>
      </c>
      <c r="S72" s="541">
        <f t="shared" si="26"/>
        <v>0</v>
      </c>
      <c r="T72" s="541">
        <f t="shared" si="26"/>
        <v>0</v>
      </c>
      <c r="U72" s="541">
        <f t="shared" si="26"/>
        <v>0</v>
      </c>
      <c r="V72" s="541">
        <f t="shared" si="26"/>
        <v>0</v>
      </c>
      <c r="W72" s="541">
        <f t="shared" si="26"/>
        <v>0</v>
      </c>
      <c r="X72" s="541">
        <f t="shared" si="26"/>
        <v>0</v>
      </c>
      <c r="Y72" s="541">
        <f t="shared" si="26"/>
        <v>0</v>
      </c>
      <c r="Z72" s="541">
        <f t="shared" si="26"/>
        <v>0</v>
      </c>
      <c r="AA72" s="541">
        <f t="shared" si="26"/>
        <v>0</v>
      </c>
      <c r="AB72" s="541">
        <f t="shared" si="26"/>
        <v>0</v>
      </c>
      <c r="AC72" s="541">
        <f t="shared" si="26"/>
        <v>0</v>
      </c>
      <c r="AD72" s="541">
        <f t="shared" si="26"/>
        <v>0</v>
      </c>
      <c r="AE72" s="541">
        <f t="shared" si="26"/>
        <v>0</v>
      </c>
      <c r="AF72" s="541">
        <f t="shared" si="26"/>
        <v>0</v>
      </c>
      <c r="AG72" s="541">
        <f t="shared" si="26"/>
        <v>0</v>
      </c>
      <c r="AH72" s="423"/>
      <c r="AI72" s="423"/>
    </row>
    <row r="73" spans="1:35" hidden="1" x14ac:dyDescent="0.25">
      <c r="A73" s="451">
        <v>6</v>
      </c>
      <c r="B73" s="449" t="s">
        <v>87</v>
      </c>
      <c r="C73" s="451">
        <v>0</v>
      </c>
      <c r="D73" s="449"/>
      <c r="E73" s="541">
        <f t="shared" si="25"/>
        <v>0</v>
      </c>
      <c r="F73" s="541">
        <f t="shared" si="26"/>
        <v>0</v>
      </c>
      <c r="G73" s="541">
        <f t="shared" si="26"/>
        <v>0</v>
      </c>
      <c r="H73" s="541">
        <f t="shared" si="26"/>
        <v>0</v>
      </c>
      <c r="I73" s="541">
        <f t="shared" si="26"/>
        <v>0</v>
      </c>
      <c r="J73" s="541">
        <f t="shared" si="26"/>
        <v>0</v>
      </c>
      <c r="K73" s="541">
        <f t="shared" si="26"/>
        <v>0</v>
      </c>
      <c r="L73" s="541">
        <f t="shared" si="26"/>
        <v>0</v>
      </c>
      <c r="M73" s="541">
        <f t="shared" si="26"/>
        <v>0</v>
      </c>
      <c r="N73" s="541">
        <f t="shared" si="26"/>
        <v>0</v>
      </c>
      <c r="O73" s="541">
        <f t="shared" si="26"/>
        <v>0</v>
      </c>
      <c r="P73" s="541">
        <f t="shared" si="26"/>
        <v>0</v>
      </c>
      <c r="Q73" s="541">
        <f t="shared" si="26"/>
        <v>0</v>
      </c>
      <c r="R73" s="541">
        <f t="shared" si="26"/>
        <v>0</v>
      </c>
      <c r="S73" s="541">
        <f t="shared" si="26"/>
        <v>0</v>
      </c>
      <c r="T73" s="541">
        <f t="shared" si="26"/>
        <v>0</v>
      </c>
      <c r="U73" s="541">
        <f t="shared" si="26"/>
        <v>0</v>
      </c>
      <c r="V73" s="541">
        <f t="shared" si="26"/>
        <v>0</v>
      </c>
      <c r="W73" s="541">
        <f t="shared" si="26"/>
        <v>0</v>
      </c>
      <c r="X73" s="541">
        <f t="shared" si="26"/>
        <v>0</v>
      </c>
      <c r="Y73" s="541">
        <f t="shared" si="26"/>
        <v>0</v>
      </c>
      <c r="Z73" s="541">
        <f t="shared" si="26"/>
        <v>0</v>
      </c>
      <c r="AA73" s="541">
        <f t="shared" si="26"/>
        <v>0</v>
      </c>
      <c r="AB73" s="541">
        <f t="shared" si="26"/>
        <v>0</v>
      </c>
      <c r="AC73" s="541">
        <f t="shared" si="26"/>
        <v>0</v>
      </c>
      <c r="AD73" s="541">
        <f t="shared" si="26"/>
        <v>0</v>
      </c>
      <c r="AE73" s="541">
        <f t="shared" si="26"/>
        <v>0</v>
      </c>
      <c r="AF73" s="541">
        <f t="shared" si="26"/>
        <v>0</v>
      </c>
      <c r="AG73" s="541">
        <f t="shared" si="26"/>
        <v>0</v>
      </c>
      <c r="AH73" s="423"/>
      <c r="AI73" s="423"/>
    </row>
    <row r="74" spans="1:35" hidden="1" x14ac:dyDescent="0.25">
      <c r="A74" s="451">
        <v>7</v>
      </c>
      <c r="B74" s="449" t="s">
        <v>88</v>
      </c>
      <c r="C74" s="451">
        <v>0</v>
      </c>
      <c r="D74" s="449"/>
      <c r="E74" s="541">
        <f t="shared" si="25"/>
        <v>0</v>
      </c>
      <c r="F74" s="541">
        <f t="shared" si="26"/>
        <v>0</v>
      </c>
      <c r="G74" s="541">
        <f t="shared" si="26"/>
        <v>0</v>
      </c>
      <c r="H74" s="541">
        <f t="shared" si="26"/>
        <v>0</v>
      </c>
      <c r="I74" s="541">
        <f t="shared" si="26"/>
        <v>0</v>
      </c>
      <c r="J74" s="541">
        <f t="shared" si="26"/>
        <v>0</v>
      </c>
      <c r="K74" s="541">
        <f t="shared" si="26"/>
        <v>0</v>
      </c>
      <c r="L74" s="541">
        <f t="shared" si="26"/>
        <v>0</v>
      </c>
      <c r="M74" s="541">
        <f t="shared" si="26"/>
        <v>0</v>
      </c>
      <c r="N74" s="541">
        <f t="shared" si="26"/>
        <v>0</v>
      </c>
      <c r="O74" s="541">
        <f t="shared" si="26"/>
        <v>0</v>
      </c>
      <c r="P74" s="541">
        <f t="shared" si="26"/>
        <v>0</v>
      </c>
      <c r="Q74" s="541">
        <f t="shared" si="26"/>
        <v>0</v>
      </c>
      <c r="R74" s="541">
        <f t="shared" si="26"/>
        <v>0</v>
      </c>
      <c r="S74" s="541">
        <f t="shared" si="26"/>
        <v>0</v>
      </c>
      <c r="T74" s="541">
        <f t="shared" si="26"/>
        <v>0</v>
      </c>
      <c r="U74" s="541">
        <f t="shared" si="26"/>
        <v>0</v>
      </c>
      <c r="V74" s="541">
        <f t="shared" si="26"/>
        <v>0</v>
      </c>
      <c r="W74" s="541">
        <f t="shared" si="26"/>
        <v>0</v>
      </c>
      <c r="X74" s="541">
        <f t="shared" si="26"/>
        <v>0</v>
      </c>
      <c r="Y74" s="541">
        <f t="shared" si="26"/>
        <v>0</v>
      </c>
      <c r="Z74" s="541">
        <f t="shared" si="26"/>
        <v>0</v>
      </c>
      <c r="AA74" s="541">
        <f t="shared" si="26"/>
        <v>0</v>
      </c>
      <c r="AB74" s="541">
        <f t="shared" si="26"/>
        <v>0</v>
      </c>
      <c r="AC74" s="541">
        <f t="shared" si="26"/>
        <v>0</v>
      </c>
      <c r="AD74" s="541">
        <f t="shared" si="26"/>
        <v>0</v>
      </c>
      <c r="AE74" s="541">
        <f t="shared" si="26"/>
        <v>0</v>
      </c>
      <c r="AF74" s="541">
        <f t="shared" si="26"/>
        <v>0</v>
      </c>
      <c r="AG74" s="541">
        <f t="shared" si="26"/>
        <v>0</v>
      </c>
      <c r="AH74" s="423"/>
      <c r="AI74" s="423"/>
    </row>
    <row r="75" spans="1:35" hidden="1" x14ac:dyDescent="0.25">
      <c r="A75" s="451">
        <v>8</v>
      </c>
      <c r="B75" s="449" t="s">
        <v>89</v>
      </c>
      <c r="C75" s="451">
        <v>0</v>
      </c>
      <c r="D75" s="449"/>
      <c r="E75" s="541">
        <f t="shared" si="25"/>
        <v>0</v>
      </c>
      <c r="F75" s="541">
        <f t="shared" si="26"/>
        <v>0</v>
      </c>
      <c r="G75" s="541">
        <f t="shared" si="26"/>
        <v>0</v>
      </c>
      <c r="H75" s="541">
        <f t="shared" si="26"/>
        <v>0</v>
      </c>
      <c r="I75" s="541">
        <f t="shared" si="26"/>
        <v>0</v>
      </c>
      <c r="J75" s="541">
        <f t="shared" si="26"/>
        <v>0</v>
      </c>
      <c r="K75" s="541">
        <f t="shared" si="26"/>
        <v>0</v>
      </c>
      <c r="L75" s="541">
        <f t="shared" si="26"/>
        <v>0</v>
      </c>
      <c r="M75" s="541">
        <f t="shared" si="26"/>
        <v>0</v>
      </c>
      <c r="N75" s="541">
        <f t="shared" si="26"/>
        <v>0</v>
      </c>
      <c r="O75" s="541">
        <f t="shared" si="26"/>
        <v>0</v>
      </c>
      <c r="P75" s="541">
        <f t="shared" si="26"/>
        <v>0</v>
      </c>
      <c r="Q75" s="541">
        <f t="shared" si="26"/>
        <v>0</v>
      </c>
      <c r="R75" s="541">
        <f t="shared" si="26"/>
        <v>0</v>
      </c>
      <c r="S75" s="541">
        <f t="shared" si="26"/>
        <v>0</v>
      </c>
      <c r="T75" s="541">
        <f t="shared" si="26"/>
        <v>0</v>
      </c>
      <c r="U75" s="541">
        <f t="shared" si="26"/>
        <v>0</v>
      </c>
      <c r="V75" s="541">
        <f t="shared" si="26"/>
        <v>0</v>
      </c>
      <c r="W75" s="541">
        <f t="shared" si="26"/>
        <v>0</v>
      </c>
      <c r="X75" s="541">
        <f t="shared" si="26"/>
        <v>0</v>
      </c>
      <c r="Y75" s="541">
        <f t="shared" si="26"/>
        <v>0</v>
      </c>
      <c r="Z75" s="541">
        <f t="shared" si="26"/>
        <v>0</v>
      </c>
      <c r="AA75" s="541">
        <f t="shared" si="26"/>
        <v>0</v>
      </c>
      <c r="AB75" s="541">
        <f t="shared" si="26"/>
        <v>0</v>
      </c>
      <c r="AC75" s="541">
        <f t="shared" si="26"/>
        <v>0</v>
      </c>
      <c r="AD75" s="541">
        <f t="shared" si="26"/>
        <v>0</v>
      </c>
      <c r="AE75" s="541">
        <f t="shared" si="26"/>
        <v>0</v>
      </c>
      <c r="AF75" s="541">
        <f t="shared" si="26"/>
        <v>0</v>
      </c>
      <c r="AG75" s="541">
        <f t="shared" si="26"/>
        <v>0</v>
      </c>
      <c r="AH75" s="423"/>
      <c r="AI75" s="423"/>
    </row>
    <row r="76" spans="1:35" hidden="1" x14ac:dyDescent="0.25">
      <c r="A76" s="451">
        <v>9</v>
      </c>
      <c r="B76" s="449" t="s">
        <v>90</v>
      </c>
      <c r="C76" s="451">
        <v>0</v>
      </c>
      <c r="D76" s="449"/>
      <c r="E76" s="541">
        <f t="shared" si="25"/>
        <v>0</v>
      </c>
      <c r="F76" s="541">
        <f t="shared" si="26"/>
        <v>0</v>
      </c>
      <c r="G76" s="541">
        <f t="shared" si="26"/>
        <v>0</v>
      </c>
      <c r="H76" s="541">
        <f t="shared" si="26"/>
        <v>0</v>
      </c>
      <c r="I76" s="541">
        <f t="shared" si="26"/>
        <v>0</v>
      </c>
      <c r="J76" s="541">
        <f t="shared" si="26"/>
        <v>0</v>
      </c>
      <c r="K76" s="541">
        <f t="shared" si="26"/>
        <v>0</v>
      </c>
      <c r="L76" s="541">
        <f t="shared" si="26"/>
        <v>0</v>
      </c>
      <c r="M76" s="541">
        <f t="shared" si="26"/>
        <v>0</v>
      </c>
      <c r="N76" s="541">
        <f t="shared" si="26"/>
        <v>0</v>
      </c>
      <c r="O76" s="541">
        <f t="shared" si="26"/>
        <v>0</v>
      </c>
      <c r="P76" s="541">
        <f t="shared" si="26"/>
        <v>0</v>
      </c>
      <c r="Q76" s="541">
        <f t="shared" si="26"/>
        <v>0</v>
      </c>
      <c r="R76" s="541">
        <f t="shared" si="26"/>
        <v>0</v>
      </c>
      <c r="S76" s="541">
        <f t="shared" si="26"/>
        <v>0</v>
      </c>
      <c r="T76" s="541">
        <f t="shared" si="26"/>
        <v>0</v>
      </c>
      <c r="U76" s="541">
        <f t="shared" si="26"/>
        <v>0</v>
      </c>
      <c r="V76" s="541">
        <f t="shared" si="26"/>
        <v>0</v>
      </c>
      <c r="W76" s="541">
        <f t="shared" si="26"/>
        <v>0</v>
      </c>
      <c r="X76" s="541">
        <f t="shared" si="26"/>
        <v>0</v>
      </c>
      <c r="Y76" s="541">
        <f t="shared" si="26"/>
        <v>0</v>
      </c>
      <c r="Z76" s="541">
        <f t="shared" si="26"/>
        <v>0</v>
      </c>
      <c r="AA76" s="541">
        <f t="shared" si="26"/>
        <v>0</v>
      </c>
      <c r="AB76" s="541">
        <f t="shared" si="26"/>
        <v>0</v>
      </c>
      <c r="AC76" s="541">
        <f t="shared" si="26"/>
        <v>0</v>
      </c>
      <c r="AD76" s="541">
        <f t="shared" si="26"/>
        <v>0</v>
      </c>
      <c r="AE76" s="541">
        <f t="shared" si="26"/>
        <v>0</v>
      </c>
      <c r="AF76" s="541">
        <f t="shared" si="26"/>
        <v>0</v>
      </c>
      <c r="AG76" s="541">
        <f t="shared" si="26"/>
        <v>0</v>
      </c>
      <c r="AH76" s="423"/>
      <c r="AI76" s="423"/>
    </row>
    <row r="77" spans="1:35" hidden="1" x14ac:dyDescent="0.25">
      <c r="A77" s="451">
        <v>10</v>
      </c>
      <c r="B77" s="449" t="s">
        <v>91</v>
      </c>
      <c r="C77" s="451">
        <v>0</v>
      </c>
      <c r="D77" s="449"/>
      <c r="E77" s="541">
        <f t="shared" si="25"/>
        <v>0</v>
      </c>
      <c r="F77" s="541">
        <f t="shared" si="26"/>
        <v>0</v>
      </c>
      <c r="G77" s="541">
        <f t="shared" si="26"/>
        <v>0</v>
      </c>
      <c r="H77" s="541">
        <f t="shared" si="26"/>
        <v>0</v>
      </c>
      <c r="I77" s="541">
        <f t="shared" si="26"/>
        <v>0</v>
      </c>
      <c r="J77" s="541">
        <f t="shared" si="26"/>
        <v>0</v>
      </c>
      <c r="K77" s="541">
        <f t="shared" si="26"/>
        <v>0</v>
      </c>
      <c r="L77" s="541">
        <f t="shared" si="26"/>
        <v>0</v>
      </c>
      <c r="M77" s="541">
        <f t="shared" si="26"/>
        <v>0</v>
      </c>
      <c r="N77" s="541">
        <f t="shared" si="26"/>
        <v>0</v>
      </c>
      <c r="O77" s="541">
        <f t="shared" si="26"/>
        <v>0</v>
      </c>
      <c r="P77" s="541">
        <f t="shared" si="26"/>
        <v>0</v>
      </c>
      <c r="Q77" s="541">
        <f t="shared" si="26"/>
        <v>0</v>
      </c>
      <c r="R77" s="541">
        <f t="shared" si="26"/>
        <v>0</v>
      </c>
      <c r="S77" s="541">
        <f t="shared" si="26"/>
        <v>0</v>
      </c>
      <c r="T77" s="541">
        <f t="shared" si="26"/>
        <v>0</v>
      </c>
      <c r="U77" s="541">
        <f t="shared" si="26"/>
        <v>0</v>
      </c>
      <c r="V77" s="541">
        <f t="shared" si="26"/>
        <v>0</v>
      </c>
      <c r="W77" s="541">
        <f t="shared" si="26"/>
        <v>0</v>
      </c>
      <c r="X77" s="541">
        <f t="shared" ref="X77:AG77" si="28">$C77*X$5</f>
        <v>0</v>
      </c>
      <c r="Y77" s="541">
        <f t="shared" si="28"/>
        <v>0</v>
      </c>
      <c r="Z77" s="541">
        <f t="shared" si="28"/>
        <v>0</v>
      </c>
      <c r="AA77" s="541">
        <f t="shared" si="28"/>
        <v>0</v>
      </c>
      <c r="AB77" s="541">
        <f t="shared" si="28"/>
        <v>0</v>
      </c>
      <c r="AC77" s="541">
        <f t="shared" si="28"/>
        <v>0</v>
      </c>
      <c r="AD77" s="541">
        <f t="shared" si="28"/>
        <v>0</v>
      </c>
      <c r="AE77" s="541">
        <f t="shared" si="28"/>
        <v>0</v>
      </c>
      <c r="AF77" s="541">
        <f t="shared" si="28"/>
        <v>0</v>
      </c>
      <c r="AG77" s="541">
        <f t="shared" si="28"/>
        <v>0</v>
      </c>
      <c r="AH77" s="423"/>
      <c r="AI77" s="423"/>
    </row>
    <row r="78" spans="1:35" ht="15.75" hidden="1" customHeight="1" x14ac:dyDescent="0.25">
      <c r="A78" s="451">
        <v>11</v>
      </c>
      <c r="B78" s="449" t="s">
        <v>92</v>
      </c>
      <c r="C78" s="451">
        <v>0</v>
      </c>
      <c r="D78" s="449"/>
      <c r="E78" s="541">
        <f t="shared" si="25"/>
        <v>0</v>
      </c>
      <c r="F78" s="541">
        <f t="shared" ref="F78:T78" si="29">$C78*F$5</f>
        <v>0</v>
      </c>
      <c r="G78" s="541">
        <f t="shared" si="29"/>
        <v>0</v>
      </c>
      <c r="H78" s="541">
        <f t="shared" si="29"/>
        <v>0</v>
      </c>
      <c r="I78" s="541">
        <f t="shared" si="29"/>
        <v>0</v>
      </c>
      <c r="J78" s="541">
        <f t="shared" si="29"/>
        <v>0</v>
      </c>
      <c r="K78" s="541">
        <f t="shared" si="29"/>
        <v>0</v>
      </c>
      <c r="L78" s="541">
        <f t="shared" si="29"/>
        <v>0</v>
      </c>
      <c r="M78" s="541">
        <f t="shared" si="29"/>
        <v>0</v>
      </c>
      <c r="N78" s="541">
        <f t="shared" si="29"/>
        <v>0</v>
      </c>
      <c r="O78" s="541">
        <f t="shared" si="29"/>
        <v>0</v>
      </c>
      <c r="P78" s="541">
        <f t="shared" si="29"/>
        <v>0</v>
      </c>
      <c r="Q78" s="541">
        <f t="shared" si="29"/>
        <v>0</v>
      </c>
      <c r="R78" s="541">
        <f t="shared" si="29"/>
        <v>0</v>
      </c>
      <c r="S78" s="541">
        <f t="shared" si="29"/>
        <v>0</v>
      </c>
      <c r="T78" s="541">
        <f t="shared" si="29"/>
        <v>0</v>
      </c>
      <c r="U78" s="541">
        <f t="shared" ref="U78:AG78" si="30">$C78*U$5</f>
        <v>0</v>
      </c>
      <c r="V78" s="541">
        <f t="shared" si="30"/>
        <v>0</v>
      </c>
      <c r="W78" s="541">
        <f t="shared" si="30"/>
        <v>0</v>
      </c>
      <c r="X78" s="541">
        <f t="shared" si="30"/>
        <v>0</v>
      </c>
      <c r="Y78" s="541">
        <f t="shared" si="30"/>
        <v>0</v>
      </c>
      <c r="Z78" s="541">
        <f t="shared" si="30"/>
        <v>0</v>
      </c>
      <c r="AA78" s="541">
        <f t="shared" si="30"/>
        <v>0</v>
      </c>
      <c r="AB78" s="541">
        <f t="shared" si="30"/>
        <v>0</v>
      </c>
      <c r="AC78" s="541">
        <f t="shared" si="30"/>
        <v>0</v>
      </c>
      <c r="AD78" s="541">
        <f t="shared" si="30"/>
        <v>0</v>
      </c>
      <c r="AE78" s="541">
        <f t="shared" si="30"/>
        <v>0</v>
      </c>
      <c r="AF78" s="541">
        <f t="shared" si="30"/>
        <v>0</v>
      </c>
      <c r="AG78" s="541">
        <f t="shared" si="30"/>
        <v>0</v>
      </c>
      <c r="AH78" s="423"/>
      <c r="AI78" s="423"/>
    </row>
    <row r="79" spans="1:35" hidden="1" x14ac:dyDescent="0.25">
      <c r="A79" s="449"/>
      <c r="B79" s="449" t="s">
        <v>67</v>
      </c>
      <c r="C79" s="451" t="s">
        <v>0</v>
      </c>
      <c r="D79" s="449"/>
      <c r="E79" s="541">
        <f t="shared" ref="E79:AG79" si="31">SUM(E68:E78)</f>
        <v>7208141.3617541967</v>
      </c>
      <c r="F79" s="541">
        <f t="shared" si="31"/>
        <v>7451782.5951868109</v>
      </c>
      <c r="G79" s="541">
        <f t="shared" si="31"/>
        <v>7366446.9695883887</v>
      </c>
      <c r="H79" s="541">
        <f t="shared" si="31"/>
        <v>5384233.9821170503</v>
      </c>
      <c r="I79" s="541">
        <f t="shared" si="31"/>
        <v>6157453.9064814877</v>
      </c>
      <c r="J79" s="541">
        <f t="shared" si="31"/>
        <v>6464478.1725781392</v>
      </c>
      <c r="K79" s="541">
        <f t="shared" si="31"/>
        <v>6535727.6792181609</v>
      </c>
      <c r="L79" s="541">
        <f t="shared" si="31"/>
        <v>6545878.0555803906</v>
      </c>
      <c r="M79" s="541">
        <f t="shared" si="31"/>
        <v>6577271.4904336613</v>
      </c>
      <c r="N79" s="541">
        <f t="shared" si="31"/>
        <v>6606864.4309409047</v>
      </c>
      <c r="O79" s="541">
        <f t="shared" si="31"/>
        <v>6633818.3091991637</v>
      </c>
      <c r="P79" s="541">
        <f t="shared" si="31"/>
        <v>6664158.7681026179</v>
      </c>
      <c r="Q79" s="541">
        <f t="shared" si="31"/>
        <v>6697507.8515134538</v>
      </c>
      <c r="R79" s="541">
        <f t="shared" si="31"/>
        <v>6731857.1981946062</v>
      </c>
      <c r="S79" s="541">
        <f t="shared" si="31"/>
        <v>6764949.7420190405</v>
      </c>
      <c r="T79" s="541">
        <f t="shared" si="31"/>
        <v>6801160.9264634447</v>
      </c>
      <c r="U79" s="541">
        <f t="shared" si="31"/>
        <v>6840682.4815644436</v>
      </c>
      <c r="V79" s="541">
        <f t="shared" si="31"/>
        <v>6883623.9687744146</v>
      </c>
      <c r="W79" s="541">
        <f t="shared" si="31"/>
        <v>6926028.3085213304</v>
      </c>
      <c r="X79" s="541">
        <f t="shared" si="31"/>
        <v>6966558.5988511592</v>
      </c>
      <c r="Y79" s="541">
        <f t="shared" si="31"/>
        <v>7010304.2846241957</v>
      </c>
      <c r="Z79" s="541">
        <f t="shared" si="31"/>
        <v>7054309.0278164959</v>
      </c>
      <c r="AA79" s="541">
        <f t="shared" si="31"/>
        <v>7104847.0310493652</v>
      </c>
      <c r="AB79" s="541">
        <f t="shared" si="31"/>
        <v>7147995.1930164546</v>
      </c>
      <c r="AC79" s="541">
        <f t="shared" si="31"/>
        <v>7196419.4794150935</v>
      </c>
      <c r="AD79" s="541">
        <f t="shared" si="31"/>
        <v>7249979.809150409</v>
      </c>
      <c r="AE79" s="541">
        <f t="shared" si="31"/>
        <v>7297417.5622330718</v>
      </c>
      <c r="AF79" s="541">
        <f t="shared" si="31"/>
        <v>7343981.5158204092</v>
      </c>
      <c r="AG79" s="541">
        <f t="shared" si="31"/>
        <v>7401413.3007865092</v>
      </c>
      <c r="AH79" s="423"/>
      <c r="AI79" s="423"/>
    </row>
    <row r="80" spans="1:35" hidden="1" x14ac:dyDescent="0.25">
      <c r="A80" s="449"/>
      <c r="B80" s="449"/>
      <c r="C80" s="451"/>
      <c r="D80" s="449"/>
      <c r="E80" s="538"/>
      <c r="F80" s="538"/>
      <c r="G80" s="538"/>
      <c r="H80" s="538"/>
      <c r="I80" s="538"/>
      <c r="J80" s="538"/>
      <c r="K80" s="538"/>
      <c r="L80" s="538"/>
      <c r="M80" s="538"/>
      <c r="N80" s="538"/>
      <c r="O80" s="538"/>
      <c r="P80" s="538"/>
      <c r="Q80" s="538"/>
      <c r="R80" s="538"/>
      <c r="S80" s="538"/>
      <c r="T80" s="538"/>
      <c r="U80" s="538"/>
      <c r="V80" s="538"/>
      <c r="W80" s="538"/>
      <c r="X80" s="538"/>
      <c r="Y80" s="538"/>
      <c r="Z80" s="538"/>
      <c r="AA80" s="538"/>
      <c r="AB80" s="538"/>
      <c r="AC80" s="538"/>
      <c r="AD80" s="538"/>
      <c r="AE80" s="538"/>
      <c r="AF80" s="538"/>
      <c r="AG80" s="538"/>
      <c r="AH80" s="423"/>
      <c r="AI80" s="423"/>
    </row>
    <row r="81" spans="1:35" hidden="1" x14ac:dyDescent="0.25">
      <c r="A81" s="449"/>
      <c r="B81" s="449" t="s">
        <v>45</v>
      </c>
      <c r="C81" s="451"/>
      <c r="D81" s="449"/>
      <c r="E81" s="538"/>
      <c r="F81" s="538"/>
      <c r="G81" s="538"/>
      <c r="H81" s="538"/>
      <c r="I81" s="538"/>
      <c r="J81" s="538"/>
      <c r="K81" s="538"/>
      <c r="L81" s="538"/>
      <c r="M81" s="538"/>
      <c r="N81" s="538"/>
      <c r="O81" s="538"/>
      <c r="P81" s="538"/>
      <c r="Q81" s="538"/>
      <c r="R81" s="538"/>
      <c r="S81" s="538"/>
      <c r="T81" s="538"/>
      <c r="U81" s="538"/>
      <c r="V81" s="538"/>
      <c r="W81" s="538"/>
      <c r="X81" s="538"/>
      <c r="Y81" s="538"/>
      <c r="Z81" s="538"/>
      <c r="AA81" s="538"/>
      <c r="AB81" s="538"/>
      <c r="AC81" s="538"/>
      <c r="AD81" s="538"/>
      <c r="AE81" s="538"/>
      <c r="AF81" s="538"/>
      <c r="AG81" s="538"/>
      <c r="AH81" s="423"/>
      <c r="AI81" s="423"/>
    </row>
    <row r="82" spans="1:35" hidden="1" x14ac:dyDescent="0.25">
      <c r="A82" s="449"/>
      <c r="B82" s="449" t="s">
        <v>80</v>
      </c>
      <c r="C82" s="451" t="s">
        <v>81</v>
      </c>
      <c r="D82" s="449"/>
      <c r="E82" s="450">
        <v>2017</v>
      </c>
      <c r="F82" s="450">
        <v>2018</v>
      </c>
      <c r="G82" s="450">
        <v>2019</v>
      </c>
      <c r="H82" s="450">
        <v>2020</v>
      </c>
      <c r="I82" s="450">
        <v>2021</v>
      </c>
      <c r="J82" s="450">
        <v>2022</v>
      </c>
      <c r="K82" s="450">
        <v>2023</v>
      </c>
      <c r="L82" s="450">
        <v>2024</v>
      </c>
      <c r="M82" s="450">
        <v>2025</v>
      </c>
      <c r="N82" s="450">
        <v>2026</v>
      </c>
      <c r="O82" s="450">
        <v>2027</v>
      </c>
      <c r="P82" s="450">
        <v>2028</v>
      </c>
      <c r="Q82" s="450">
        <v>2029</v>
      </c>
      <c r="R82" s="450">
        <v>2030</v>
      </c>
      <c r="S82" s="450">
        <v>2031</v>
      </c>
      <c r="T82" s="450">
        <v>2032</v>
      </c>
      <c r="U82" s="450">
        <v>2033</v>
      </c>
      <c r="V82" s="450">
        <v>2034</v>
      </c>
      <c r="W82" s="450">
        <v>2035</v>
      </c>
      <c r="X82" s="450">
        <v>2036</v>
      </c>
      <c r="Y82" s="450">
        <v>2037</v>
      </c>
      <c r="Z82" s="450">
        <v>2038</v>
      </c>
      <c r="AA82" s="450">
        <v>2039</v>
      </c>
      <c r="AB82" s="450">
        <v>2040</v>
      </c>
      <c r="AC82" s="450">
        <v>2041</v>
      </c>
      <c r="AD82" s="450">
        <v>2042</v>
      </c>
      <c r="AE82" s="450">
        <v>2043</v>
      </c>
      <c r="AF82" s="450">
        <v>2044</v>
      </c>
      <c r="AG82" s="450">
        <v>2045</v>
      </c>
      <c r="AH82" s="423"/>
      <c r="AI82" s="423"/>
    </row>
    <row r="83" spans="1:35" hidden="1" x14ac:dyDescent="0.25">
      <c r="A83" s="451">
        <v>1</v>
      </c>
      <c r="B83" s="449" t="s">
        <v>122</v>
      </c>
      <c r="C83" s="451">
        <v>0</v>
      </c>
      <c r="D83" s="449"/>
      <c r="E83" s="541">
        <f t="shared" ref="E83:E93" si="32">$C83*E$6</f>
        <v>0</v>
      </c>
      <c r="F83" s="541">
        <f t="shared" ref="F83:AG92" si="33">$C83*F$6</f>
        <v>0</v>
      </c>
      <c r="G83" s="541">
        <f t="shared" si="33"/>
        <v>0</v>
      </c>
      <c r="H83" s="541">
        <f t="shared" si="33"/>
        <v>0</v>
      </c>
      <c r="I83" s="541">
        <f t="shared" si="33"/>
        <v>0</v>
      </c>
      <c r="J83" s="541">
        <f t="shared" si="33"/>
        <v>0</v>
      </c>
      <c r="K83" s="541">
        <f t="shared" si="33"/>
        <v>0</v>
      </c>
      <c r="L83" s="541">
        <f t="shared" si="33"/>
        <v>0</v>
      </c>
      <c r="M83" s="541">
        <f t="shared" si="33"/>
        <v>0</v>
      </c>
      <c r="N83" s="541">
        <f t="shared" si="33"/>
        <v>0</v>
      </c>
      <c r="O83" s="541">
        <f t="shared" si="33"/>
        <v>0</v>
      </c>
      <c r="P83" s="541">
        <f t="shared" si="33"/>
        <v>0</v>
      </c>
      <c r="Q83" s="541">
        <f t="shared" si="33"/>
        <v>0</v>
      </c>
      <c r="R83" s="541">
        <f t="shared" si="33"/>
        <v>0</v>
      </c>
      <c r="S83" s="541">
        <f t="shared" si="33"/>
        <v>0</v>
      </c>
      <c r="T83" s="541">
        <f t="shared" si="33"/>
        <v>0</v>
      </c>
      <c r="U83" s="541">
        <f t="shared" si="33"/>
        <v>0</v>
      </c>
      <c r="V83" s="541">
        <f t="shared" si="33"/>
        <v>0</v>
      </c>
      <c r="W83" s="541">
        <f t="shared" si="33"/>
        <v>0</v>
      </c>
      <c r="X83" s="541">
        <f t="shared" si="33"/>
        <v>0</v>
      </c>
      <c r="Y83" s="541">
        <f t="shared" si="33"/>
        <v>0</v>
      </c>
      <c r="Z83" s="541">
        <f t="shared" si="33"/>
        <v>0</v>
      </c>
      <c r="AA83" s="541">
        <f t="shared" si="33"/>
        <v>0</v>
      </c>
      <c r="AB83" s="541">
        <f t="shared" si="33"/>
        <v>0</v>
      </c>
      <c r="AC83" s="541">
        <f t="shared" si="33"/>
        <v>0</v>
      </c>
      <c r="AD83" s="541">
        <f t="shared" si="33"/>
        <v>0</v>
      </c>
      <c r="AE83" s="541">
        <f t="shared" si="33"/>
        <v>0</v>
      </c>
      <c r="AF83" s="541">
        <f t="shared" si="33"/>
        <v>0</v>
      </c>
      <c r="AG83" s="541">
        <f t="shared" si="33"/>
        <v>0</v>
      </c>
      <c r="AH83" s="423"/>
      <c r="AI83" s="423"/>
    </row>
    <row r="84" spans="1:35" hidden="1" x14ac:dyDescent="0.25">
      <c r="A84" s="451">
        <v>2</v>
      </c>
      <c r="B84" s="449" t="s">
        <v>83</v>
      </c>
      <c r="C84" s="451">
        <v>0</v>
      </c>
      <c r="D84" s="449"/>
      <c r="E84" s="541">
        <f t="shared" si="32"/>
        <v>0</v>
      </c>
      <c r="F84" s="541">
        <f t="shared" ref="F84:T84" si="34">$C84*F$6</f>
        <v>0</v>
      </c>
      <c r="G84" s="541">
        <f t="shared" si="34"/>
        <v>0</v>
      </c>
      <c r="H84" s="541">
        <f t="shared" si="34"/>
        <v>0</v>
      </c>
      <c r="I84" s="541">
        <f t="shared" si="34"/>
        <v>0</v>
      </c>
      <c r="J84" s="541">
        <f t="shared" si="34"/>
        <v>0</v>
      </c>
      <c r="K84" s="541">
        <f t="shared" si="34"/>
        <v>0</v>
      </c>
      <c r="L84" s="541">
        <f t="shared" si="34"/>
        <v>0</v>
      </c>
      <c r="M84" s="541">
        <f t="shared" si="34"/>
        <v>0</v>
      </c>
      <c r="N84" s="541">
        <f t="shared" si="34"/>
        <v>0</v>
      </c>
      <c r="O84" s="541">
        <f t="shared" si="34"/>
        <v>0</v>
      </c>
      <c r="P84" s="541">
        <f t="shared" si="34"/>
        <v>0</v>
      </c>
      <c r="Q84" s="541">
        <f t="shared" si="34"/>
        <v>0</v>
      </c>
      <c r="R84" s="541">
        <f t="shared" si="34"/>
        <v>0</v>
      </c>
      <c r="S84" s="541">
        <f t="shared" si="34"/>
        <v>0</v>
      </c>
      <c r="T84" s="541">
        <f t="shared" si="34"/>
        <v>0</v>
      </c>
      <c r="U84" s="541">
        <f t="shared" si="33"/>
        <v>0</v>
      </c>
      <c r="V84" s="541">
        <f t="shared" si="33"/>
        <v>0</v>
      </c>
      <c r="W84" s="541">
        <f t="shared" si="33"/>
        <v>0</v>
      </c>
      <c r="X84" s="541">
        <f t="shared" si="33"/>
        <v>0</v>
      </c>
      <c r="Y84" s="541">
        <f t="shared" si="33"/>
        <v>0</v>
      </c>
      <c r="Z84" s="541">
        <f t="shared" si="33"/>
        <v>0</v>
      </c>
      <c r="AA84" s="541">
        <f t="shared" si="33"/>
        <v>0</v>
      </c>
      <c r="AB84" s="541">
        <f t="shared" si="33"/>
        <v>0</v>
      </c>
      <c r="AC84" s="541">
        <f t="shared" si="33"/>
        <v>0</v>
      </c>
      <c r="AD84" s="541">
        <f t="shared" si="33"/>
        <v>0</v>
      </c>
      <c r="AE84" s="541">
        <f t="shared" si="33"/>
        <v>0</v>
      </c>
      <c r="AF84" s="541">
        <f t="shared" si="33"/>
        <v>0</v>
      </c>
      <c r="AG84" s="541">
        <f t="shared" si="33"/>
        <v>0</v>
      </c>
      <c r="AH84" s="423"/>
      <c r="AI84" s="423"/>
    </row>
    <row r="85" spans="1:35" hidden="1" x14ac:dyDescent="0.25">
      <c r="A85" s="451">
        <v>3</v>
      </c>
      <c r="B85" s="449" t="s">
        <v>84</v>
      </c>
      <c r="C85" s="451">
        <v>1</v>
      </c>
      <c r="D85" s="449"/>
      <c r="E85" s="541">
        <f t="shared" si="32"/>
        <v>0</v>
      </c>
      <c r="F85" s="541">
        <f>$C85*F$6</f>
        <v>0</v>
      </c>
      <c r="G85" s="541">
        <f t="shared" si="33"/>
        <v>0</v>
      </c>
      <c r="H85" s="541">
        <f t="shared" si="33"/>
        <v>0</v>
      </c>
      <c r="I85" s="541">
        <f t="shared" si="33"/>
        <v>0</v>
      </c>
      <c r="J85" s="541">
        <f t="shared" si="33"/>
        <v>0</v>
      </c>
      <c r="K85" s="541">
        <f t="shared" si="33"/>
        <v>0</v>
      </c>
      <c r="L85" s="541">
        <f t="shared" si="33"/>
        <v>0</v>
      </c>
      <c r="M85" s="541">
        <f t="shared" si="33"/>
        <v>0</v>
      </c>
      <c r="N85" s="541">
        <f t="shared" si="33"/>
        <v>0</v>
      </c>
      <c r="O85" s="541">
        <f t="shared" si="33"/>
        <v>0</v>
      </c>
      <c r="P85" s="541">
        <f t="shared" si="33"/>
        <v>0</v>
      </c>
      <c r="Q85" s="541">
        <f t="shared" si="33"/>
        <v>0</v>
      </c>
      <c r="R85" s="541">
        <f t="shared" si="33"/>
        <v>0</v>
      </c>
      <c r="S85" s="541">
        <f t="shared" si="33"/>
        <v>0</v>
      </c>
      <c r="T85" s="541">
        <f t="shared" si="33"/>
        <v>0</v>
      </c>
      <c r="U85" s="541">
        <f t="shared" si="33"/>
        <v>0</v>
      </c>
      <c r="V85" s="541">
        <f t="shared" si="33"/>
        <v>0</v>
      </c>
      <c r="W85" s="541">
        <f t="shared" si="33"/>
        <v>0</v>
      </c>
      <c r="X85" s="541">
        <f t="shared" si="33"/>
        <v>0</v>
      </c>
      <c r="Y85" s="541">
        <f t="shared" si="33"/>
        <v>0</v>
      </c>
      <c r="Z85" s="541">
        <f t="shared" si="33"/>
        <v>0</v>
      </c>
      <c r="AA85" s="541">
        <f t="shared" si="33"/>
        <v>0</v>
      </c>
      <c r="AB85" s="541">
        <f t="shared" si="33"/>
        <v>0</v>
      </c>
      <c r="AC85" s="541">
        <f t="shared" si="33"/>
        <v>0</v>
      </c>
      <c r="AD85" s="541">
        <f t="shared" si="33"/>
        <v>0</v>
      </c>
      <c r="AE85" s="541">
        <f t="shared" si="33"/>
        <v>0</v>
      </c>
      <c r="AF85" s="541">
        <f t="shared" si="33"/>
        <v>0</v>
      </c>
      <c r="AG85" s="541">
        <f t="shared" si="33"/>
        <v>0</v>
      </c>
      <c r="AH85" s="423"/>
      <c r="AI85" s="423"/>
    </row>
    <row r="86" spans="1:35" hidden="1" x14ac:dyDescent="0.25">
      <c r="A86" s="451">
        <v>4</v>
      </c>
      <c r="B86" s="449" t="s">
        <v>85</v>
      </c>
      <c r="C86" s="451">
        <v>0</v>
      </c>
      <c r="D86" s="449"/>
      <c r="E86" s="541">
        <f t="shared" si="32"/>
        <v>0</v>
      </c>
      <c r="F86" s="541">
        <f t="shared" si="33"/>
        <v>0</v>
      </c>
      <c r="G86" s="541">
        <f t="shared" si="33"/>
        <v>0</v>
      </c>
      <c r="H86" s="541">
        <f t="shared" si="33"/>
        <v>0</v>
      </c>
      <c r="I86" s="541">
        <f t="shared" si="33"/>
        <v>0</v>
      </c>
      <c r="J86" s="541">
        <f t="shared" si="33"/>
        <v>0</v>
      </c>
      <c r="K86" s="541">
        <f t="shared" si="33"/>
        <v>0</v>
      </c>
      <c r="L86" s="541">
        <f t="shared" si="33"/>
        <v>0</v>
      </c>
      <c r="M86" s="541">
        <f t="shared" si="33"/>
        <v>0</v>
      </c>
      <c r="N86" s="541">
        <f t="shared" si="33"/>
        <v>0</v>
      </c>
      <c r="O86" s="541">
        <f t="shared" si="33"/>
        <v>0</v>
      </c>
      <c r="P86" s="541">
        <f t="shared" si="33"/>
        <v>0</v>
      </c>
      <c r="Q86" s="541">
        <f t="shared" si="33"/>
        <v>0</v>
      </c>
      <c r="R86" s="541">
        <f t="shared" si="33"/>
        <v>0</v>
      </c>
      <c r="S86" s="541">
        <f t="shared" si="33"/>
        <v>0</v>
      </c>
      <c r="T86" s="541">
        <f t="shared" si="33"/>
        <v>0</v>
      </c>
      <c r="U86" s="541">
        <f t="shared" si="33"/>
        <v>0</v>
      </c>
      <c r="V86" s="541">
        <f t="shared" si="33"/>
        <v>0</v>
      </c>
      <c r="W86" s="541">
        <f t="shared" si="33"/>
        <v>0</v>
      </c>
      <c r="X86" s="541">
        <f t="shared" si="33"/>
        <v>0</v>
      </c>
      <c r="Y86" s="541">
        <f t="shared" si="33"/>
        <v>0</v>
      </c>
      <c r="Z86" s="541">
        <f t="shared" si="33"/>
        <v>0</v>
      </c>
      <c r="AA86" s="541">
        <f t="shared" si="33"/>
        <v>0</v>
      </c>
      <c r="AB86" s="541">
        <f t="shared" si="33"/>
        <v>0</v>
      </c>
      <c r="AC86" s="541">
        <f t="shared" si="33"/>
        <v>0</v>
      </c>
      <c r="AD86" s="541">
        <f t="shared" si="33"/>
        <v>0</v>
      </c>
      <c r="AE86" s="541">
        <f t="shared" si="33"/>
        <v>0</v>
      </c>
      <c r="AF86" s="541">
        <f t="shared" si="33"/>
        <v>0</v>
      </c>
      <c r="AG86" s="541">
        <f t="shared" si="33"/>
        <v>0</v>
      </c>
      <c r="AH86" s="423"/>
      <c r="AI86" s="423"/>
    </row>
    <row r="87" spans="1:35" hidden="1" x14ac:dyDescent="0.25">
      <c r="A87" s="451">
        <v>5</v>
      </c>
      <c r="B87" s="449" t="s">
        <v>86</v>
      </c>
      <c r="C87" s="451">
        <v>0</v>
      </c>
      <c r="D87" s="449"/>
      <c r="E87" s="541">
        <f t="shared" si="32"/>
        <v>0</v>
      </c>
      <c r="F87" s="541">
        <f t="shared" si="33"/>
        <v>0</v>
      </c>
      <c r="G87" s="541">
        <f t="shared" si="33"/>
        <v>0</v>
      </c>
      <c r="H87" s="541">
        <f t="shared" si="33"/>
        <v>0</v>
      </c>
      <c r="I87" s="541">
        <f t="shared" si="33"/>
        <v>0</v>
      </c>
      <c r="J87" s="541">
        <f t="shared" si="33"/>
        <v>0</v>
      </c>
      <c r="K87" s="541">
        <f t="shared" si="33"/>
        <v>0</v>
      </c>
      <c r="L87" s="541">
        <f t="shared" si="33"/>
        <v>0</v>
      </c>
      <c r="M87" s="541">
        <f t="shared" si="33"/>
        <v>0</v>
      </c>
      <c r="N87" s="541">
        <f t="shared" si="33"/>
        <v>0</v>
      </c>
      <c r="O87" s="541">
        <f t="shared" si="33"/>
        <v>0</v>
      </c>
      <c r="P87" s="541">
        <f t="shared" si="33"/>
        <v>0</v>
      </c>
      <c r="Q87" s="541">
        <f t="shared" si="33"/>
        <v>0</v>
      </c>
      <c r="R87" s="541">
        <f t="shared" si="33"/>
        <v>0</v>
      </c>
      <c r="S87" s="541">
        <f t="shared" si="33"/>
        <v>0</v>
      </c>
      <c r="T87" s="541">
        <f t="shared" si="33"/>
        <v>0</v>
      </c>
      <c r="U87" s="541">
        <f t="shared" si="33"/>
        <v>0</v>
      </c>
      <c r="V87" s="541">
        <f t="shared" si="33"/>
        <v>0</v>
      </c>
      <c r="W87" s="541">
        <f t="shared" si="33"/>
        <v>0</v>
      </c>
      <c r="X87" s="541">
        <f t="shared" si="33"/>
        <v>0</v>
      </c>
      <c r="Y87" s="541">
        <f t="shared" si="33"/>
        <v>0</v>
      </c>
      <c r="Z87" s="541">
        <f t="shared" si="33"/>
        <v>0</v>
      </c>
      <c r="AA87" s="541">
        <f t="shared" si="33"/>
        <v>0</v>
      </c>
      <c r="AB87" s="541">
        <f t="shared" si="33"/>
        <v>0</v>
      </c>
      <c r="AC87" s="541">
        <f t="shared" si="33"/>
        <v>0</v>
      </c>
      <c r="AD87" s="541">
        <f t="shared" si="33"/>
        <v>0</v>
      </c>
      <c r="AE87" s="541">
        <f t="shared" si="33"/>
        <v>0</v>
      </c>
      <c r="AF87" s="541">
        <f t="shared" si="33"/>
        <v>0</v>
      </c>
      <c r="AG87" s="541">
        <f t="shared" si="33"/>
        <v>0</v>
      </c>
      <c r="AH87" s="423"/>
      <c r="AI87" s="423"/>
    </row>
    <row r="88" spans="1:35" hidden="1" x14ac:dyDescent="0.25">
      <c r="A88" s="451">
        <v>6</v>
      </c>
      <c r="B88" s="449" t="s">
        <v>87</v>
      </c>
      <c r="C88" s="451">
        <v>0</v>
      </c>
      <c r="D88" s="449"/>
      <c r="E88" s="541">
        <f t="shared" si="32"/>
        <v>0</v>
      </c>
      <c r="F88" s="541">
        <f t="shared" si="33"/>
        <v>0</v>
      </c>
      <c r="G88" s="541">
        <f t="shared" si="33"/>
        <v>0</v>
      </c>
      <c r="H88" s="541">
        <f t="shared" si="33"/>
        <v>0</v>
      </c>
      <c r="I88" s="541">
        <f t="shared" si="33"/>
        <v>0</v>
      </c>
      <c r="J88" s="541">
        <f t="shared" si="33"/>
        <v>0</v>
      </c>
      <c r="K88" s="541">
        <f t="shared" si="33"/>
        <v>0</v>
      </c>
      <c r="L88" s="541">
        <f t="shared" si="33"/>
        <v>0</v>
      </c>
      <c r="M88" s="541">
        <f t="shared" si="33"/>
        <v>0</v>
      </c>
      <c r="N88" s="541">
        <f t="shared" si="33"/>
        <v>0</v>
      </c>
      <c r="O88" s="541">
        <f t="shared" si="33"/>
        <v>0</v>
      </c>
      <c r="P88" s="541">
        <f t="shared" si="33"/>
        <v>0</v>
      </c>
      <c r="Q88" s="541">
        <f t="shared" si="33"/>
        <v>0</v>
      </c>
      <c r="R88" s="541">
        <f t="shared" si="33"/>
        <v>0</v>
      </c>
      <c r="S88" s="541">
        <f t="shared" si="33"/>
        <v>0</v>
      </c>
      <c r="T88" s="541">
        <f t="shared" si="33"/>
        <v>0</v>
      </c>
      <c r="U88" s="541">
        <f t="shared" si="33"/>
        <v>0</v>
      </c>
      <c r="V88" s="541">
        <f t="shared" si="33"/>
        <v>0</v>
      </c>
      <c r="W88" s="541">
        <f t="shared" si="33"/>
        <v>0</v>
      </c>
      <c r="X88" s="541">
        <f t="shared" si="33"/>
        <v>0</v>
      </c>
      <c r="Y88" s="541">
        <f t="shared" si="33"/>
        <v>0</v>
      </c>
      <c r="Z88" s="541">
        <f t="shared" si="33"/>
        <v>0</v>
      </c>
      <c r="AA88" s="541">
        <f t="shared" si="33"/>
        <v>0</v>
      </c>
      <c r="AB88" s="541">
        <f t="shared" si="33"/>
        <v>0</v>
      </c>
      <c r="AC88" s="541">
        <f t="shared" si="33"/>
        <v>0</v>
      </c>
      <c r="AD88" s="541">
        <f t="shared" si="33"/>
        <v>0</v>
      </c>
      <c r="AE88" s="541">
        <f t="shared" si="33"/>
        <v>0</v>
      </c>
      <c r="AF88" s="541">
        <f t="shared" si="33"/>
        <v>0</v>
      </c>
      <c r="AG88" s="541">
        <f t="shared" si="33"/>
        <v>0</v>
      </c>
      <c r="AH88" s="423"/>
      <c r="AI88" s="423"/>
    </row>
    <row r="89" spans="1:35" hidden="1" x14ac:dyDescent="0.25">
      <c r="A89" s="451">
        <v>7</v>
      </c>
      <c r="B89" s="449" t="s">
        <v>88</v>
      </c>
      <c r="C89" s="451">
        <v>0</v>
      </c>
      <c r="D89" s="449"/>
      <c r="E89" s="541">
        <f t="shared" si="32"/>
        <v>0</v>
      </c>
      <c r="F89" s="541">
        <f t="shared" si="33"/>
        <v>0</v>
      </c>
      <c r="G89" s="541">
        <f t="shared" si="33"/>
        <v>0</v>
      </c>
      <c r="H89" s="541">
        <f t="shared" si="33"/>
        <v>0</v>
      </c>
      <c r="I89" s="541">
        <f t="shared" si="33"/>
        <v>0</v>
      </c>
      <c r="J89" s="541">
        <f t="shared" si="33"/>
        <v>0</v>
      </c>
      <c r="K89" s="541">
        <f t="shared" si="33"/>
        <v>0</v>
      </c>
      <c r="L89" s="541">
        <f t="shared" si="33"/>
        <v>0</v>
      </c>
      <c r="M89" s="541">
        <f t="shared" si="33"/>
        <v>0</v>
      </c>
      <c r="N89" s="541">
        <f t="shared" si="33"/>
        <v>0</v>
      </c>
      <c r="O89" s="541">
        <f t="shared" si="33"/>
        <v>0</v>
      </c>
      <c r="P89" s="541">
        <f t="shared" si="33"/>
        <v>0</v>
      </c>
      <c r="Q89" s="541">
        <f t="shared" si="33"/>
        <v>0</v>
      </c>
      <c r="R89" s="541">
        <f t="shared" si="33"/>
        <v>0</v>
      </c>
      <c r="S89" s="541">
        <f t="shared" si="33"/>
        <v>0</v>
      </c>
      <c r="T89" s="541">
        <f t="shared" si="33"/>
        <v>0</v>
      </c>
      <c r="U89" s="541">
        <f t="shared" si="33"/>
        <v>0</v>
      </c>
      <c r="V89" s="541">
        <f t="shared" si="33"/>
        <v>0</v>
      </c>
      <c r="W89" s="541">
        <f t="shared" si="33"/>
        <v>0</v>
      </c>
      <c r="X89" s="541">
        <f t="shared" si="33"/>
        <v>0</v>
      </c>
      <c r="Y89" s="541">
        <f t="shared" si="33"/>
        <v>0</v>
      </c>
      <c r="Z89" s="541">
        <f t="shared" si="33"/>
        <v>0</v>
      </c>
      <c r="AA89" s="541">
        <f t="shared" si="33"/>
        <v>0</v>
      </c>
      <c r="AB89" s="541">
        <f t="shared" si="33"/>
        <v>0</v>
      </c>
      <c r="AC89" s="541">
        <f t="shared" si="33"/>
        <v>0</v>
      </c>
      <c r="AD89" s="541">
        <f t="shared" si="33"/>
        <v>0</v>
      </c>
      <c r="AE89" s="541">
        <f t="shared" si="33"/>
        <v>0</v>
      </c>
      <c r="AF89" s="541">
        <f t="shared" si="33"/>
        <v>0</v>
      </c>
      <c r="AG89" s="541">
        <f t="shared" si="33"/>
        <v>0</v>
      </c>
      <c r="AH89" s="423"/>
      <c r="AI89" s="423"/>
    </row>
    <row r="90" spans="1:35" hidden="1" x14ac:dyDescent="0.25">
      <c r="A90" s="451">
        <v>8</v>
      </c>
      <c r="B90" s="449" t="s">
        <v>89</v>
      </c>
      <c r="C90" s="451">
        <v>0</v>
      </c>
      <c r="D90" s="449"/>
      <c r="E90" s="541">
        <f t="shared" si="32"/>
        <v>0</v>
      </c>
      <c r="F90" s="541">
        <f t="shared" si="33"/>
        <v>0</v>
      </c>
      <c r="G90" s="541">
        <f t="shared" si="33"/>
        <v>0</v>
      </c>
      <c r="H90" s="541">
        <f t="shared" si="33"/>
        <v>0</v>
      </c>
      <c r="I90" s="541">
        <f t="shared" si="33"/>
        <v>0</v>
      </c>
      <c r="J90" s="541">
        <f t="shared" si="33"/>
        <v>0</v>
      </c>
      <c r="K90" s="541">
        <f t="shared" si="33"/>
        <v>0</v>
      </c>
      <c r="L90" s="541">
        <f t="shared" si="33"/>
        <v>0</v>
      </c>
      <c r="M90" s="541">
        <f t="shared" si="33"/>
        <v>0</v>
      </c>
      <c r="N90" s="541">
        <f t="shared" si="33"/>
        <v>0</v>
      </c>
      <c r="O90" s="541">
        <f t="shared" si="33"/>
        <v>0</v>
      </c>
      <c r="P90" s="541">
        <f t="shared" si="33"/>
        <v>0</v>
      </c>
      <c r="Q90" s="541">
        <f t="shared" si="33"/>
        <v>0</v>
      </c>
      <c r="R90" s="541">
        <f t="shared" si="33"/>
        <v>0</v>
      </c>
      <c r="S90" s="541">
        <f t="shared" si="33"/>
        <v>0</v>
      </c>
      <c r="T90" s="541">
        <f t="shared" si="33"/>
        <v>0</v>
      </c>
      <c r="U90" s="541">
        <f t="shared" si="33"/>
        <v>0</v>
      </c>
      <c r="V90" s="541">
        <f t="shared" si="33"/>
        <v>0</v>
      </c>
      <c r="W90" s="541">
        <f t="shared" si="33"/>
        <v>0</v>
      </c>
      <c r="X90" s="541">
        <f t="shared" si="33"/>
        <v>0</v>
      </c>
      <c r="Y90" s="541">
        <f t="shared" si="33"/>
        <v>0</v>
      </c>
      <c r="Z90" s="541">
        <f t="shared" si="33"/>
        <v>0</v>
      </c>
      <c r="AA90" s="541">
        <f t="shared" si="33"/>
        <v>0</v>
      </c>
      <c r="AB90" s="541">
        <f t="shared" si="33"/>
        <v>0</v>
      </c>
      <c r="AC90" s="541">
        <f t="shared" si="33"/>
        <v>0</v>
      </c>
      <c r="AD90" s="541">
        <f t="shared" si="33"/>
        <v>0</v>
      </c>
      <c r="AE90" s="541">
        <f t="shared" si="33"/>
        <v>0</v>
      </c>
      <c r="AF90" s="541">
        <f t="shared" si="33"/>
        <v>0</v>
      </c>
      <c r="AG90" s="541">
        <f t="shared" si="33"/>
        <v>0</v>
      </c>
      <c r="AH90" s="423"/>
      <c r="AI90" s="423"/>
    </row>
    <row r="91" spans="1:35" hidden="1" x14ac:dyDescent="0.25">
      <c r="A91" s="451">
        <v>9</v>
      </c>
      <c r="B91" s="449" t="s">
        <v>90</v>
      </c>
      <c r="C91" s="451">
        <v>0</v>
      </c>
      <c r="D91" s="449"/>
      <c r="E91" s="541">
        <f t="shared" si="32"/>
        <v>0</v>
      </c>
      <c r="F91" s="541">
        <f t="shared" si="33"/>
        <v>0</v>
      </c>
      <c r="G91" s="541">
        <f t="shared" si="33"/>
        <v>0</v>
      </c>
      <c r="H91" s="541">
        <f t="shared" si="33"/>
        <v>0</v>
      </c>
      <c r="I91" s="541">
        <f t="shared" si="33"/>
        <v>0</v>
      </c>
      <c r="J91" s="541">
        <f t="shared" si="33"/>
        <v>0</v>
      </c>
      <c r="K91" s="541">
        <f t="shared" si="33"/>
        <v>0</v>
      </c>
      <c r="L91" s="541">
        <f t="shared" si="33"/>
        <v>0</v>
      </c>
      <c r="M91" s="541">
        <f t="shared" si="33"/>
        <v>0</v>
      </c>
      <c r="N91" s="541">
        <f t="shared" si="33"/>
        <v>0</v>
      </c>
      <c r="O91" s="541">
        <f t="shared" si="33"/>
        <v>0</v>
      </c>
      <c r="P91" s="541">
        <f t="shared" si="33"/>
        <v>0</v>
      </c>
      <c r="Q91" s="541">
        <f t="shared" si="33"/>
        <v>0</v>
      </c>
      <c r="R91" s="541">
        <f t="shared" si="33"/>
        <v>0</v>
      </c>
      <c r="S91" s="541">
        <f t="shared" si="33"/>
        <v>0</v>
      </c>
      <c r="T91" s="541">
        <f t="shared" si="33"/>
        <v>0</v>
      </c>
      <c r="U91" s="541">
        <f t="shared" si="33"/>
        <v>0</v>
      </c>
      <c r="V91" s="541">
        <f t="shared" si="33"/>
        <v>0</v>
      </c>
      <c r="W91" s="541">
        <f t="shared" si="33"/>
        <v>0</v>
      </c>
      <c r="X91" s="541">
        <f t="shared" si="33"/>
        <v>0</v>
      </c>
      <c r="Y91" s="541">
        <f t="shared" si="33"/>
        <v>0</v>
      </c>
      <c r="Z91" s="541">
        <f t="shared" si="33"/>
        <v>0</v>
      </c>
      <c r="AA91" s="541">
        <f t="shared" si="33"/>
        <v>0</v>
      </c>
      <c r="AB91" s="541">
        <f t="shared" si="33"/>
        <v>0</v>
      </c>
      <c r="AC91" s="541">
        <f t="shared" si="33"/>
        <v>0</v>
      </c>
      <c r="AD91" s="541">
        <f t="shared" si="33"/>
        <v>0</v>
      </c>
      <c r="AE91" s="541">
        <f t="shared" si="33"/>
        <v>0</v>
      </c>
      <c r="AF91" s="541">
        <f t="shared" si="33"/>
        <v>0</v>
      </c>
      <c r="AG91" s="541">
        <f t="shared" si="33"/>
        <v>0</v>
      </c>
      <c r="AH91" s="423"/>
      <c r="AI91" s="423"/>
    </row>
    <row r="92" spans="1:35" hidden="1" x14ac:dyDescent="0.25">
      <c r="A92" s="451">
        <v>10</v>
      </c>
      <c r="B92" s="449" t="s">
        <v>91</v>
      </c>
      <c r="C92" s="451">
        <v>0</v>
      </c>
      <c r="D92" s="449"/>
      <c r="E92" s="541">
        <f t="shared" si="32"/>
        <v>0</v>
      </c>
      <c r="F92" s="541">
        <f t="shared" si="33"/>
        <v>0</v>
      </c>
      <c r="G92" s="541">
        <f t="shared" si="33"/>
        <v>0</v>
      </c>
      <c r="H92" s="541">
        <f t="shared" si="33"/>
        <v>0</v>
      </c>
      <c r="I92" s="541">
        <f t="shared" si="33"/>
        <v>0</v>
      </c>
      <c r="J92" s="541">
        <f t="shared" si="33"/>
        <v>0</v>
      </c>
      <c r="K92" s="541">
        <f t="shared" si="33"/>
        <v>0</v>
      </c>
      <c r="L92" s="541">
        <f t="shared" si="33"/>
        <v>0</v>
      </c>
      <c r="M92" s="541">
        <f t="shared" si="33"/>
        <v>0</v>
      </c>
      <c r="N92" s="541">
        <f t="shared" si="33"/>
        <v>0</v>
      </c>
      <c r="O92" s="541">
        <f t="shared" si="33"/>
        <v>0</v>
      </c>
      <c r="P92" s="541">
        <f t="shared" si="33"/>
        <v>0</v>
      </c>
      <c r="Q92" s="541">
        <f t="shared" si="33"/>
        <v>0</v>
      </c>
      <c r="R92" s="541">
        <f t="shared" si="33"/>
        <v>0</v>
      </c>
      <c r="S92" s="541">
        <f t="shared" si="33"/>
        <v>0</v>
      </c>
      <c r="T92" s="541">
        <f t="shared" si="33"/>
        <v>0</v>
      </c>
      <c r="U92" s="541">
        <f t="shared" si="33"/>
        <v>0</v>
      </c>
      <c r="V92" s="541">
        <f t="shared" si="33"/>
        <v>0</v>
      </c>
      <c r="W92" s="541">
        <f t="shared" si="33"/>
        <v>0</v>
      </c>
      <c r="X92" s="541">
        <f t="shared" si="33"/>
        <v>0</v>
      </c>
      <c r="Y92" s="541">
        <f t="shared" ref="Y92:AG92" si="35">$C92*Y$6</f>
        <v>0</v>
      </c>
      <c r="Z92" s="541">
        <f t="shared" si="35"/>
        <v>0</v>
      </c>
      <c r="AA92" s="541">
        <f t="shared" si="35"/>
        <v>0</v>
      </c>
      <c r="AB92" s="541">
        <f t="shared" si="35"/>
        <v>0</v>
      </c>
      <c r="AC92" s="541">
        <f t="shared" si="35"/>
        <v>0</v>
      </c>
      <c r="AD92" s="541">
        <f t="shared" si="35"/>
        <v>0</v>
      </c>
      <c r="AE92" s="541">
        <f t="shared" si="35"/>
        <v>0</v>
      </c>
      <c r="AF92" s="541">
        <f t="shared" si="35"/>
        <v>0</v>
      </c>
      <c r="AG92" s="541">
        <f t="shared" si="35"/>
        <v>0</v>
      </c>
      <c r="AH92" s="423"/>
      <c r="AI92" s="423"/>
    </row>
    <row r="93" spans="1:35" ht="15.75" hidden="1" customHeight="1" x14ac:dyDescent="0.25">
      <c r="A93" s="451">
        <v>11</v>
      </c>
      <c r="B93" s="449" t="s">
        <v>92</v>
      </c>
      <c r="C93" s="451">
        <v>0</v>
      </c>
      <c r="D93" s="449"/>
      <c r="E93" s="541">
        <f t="shared" si="32"/>
        <v>0</v>
      </c>
      <c r="F93" s="541">
        <f t="shared" ref="F93:T93" si="36">$C93*F$6</f>
        <v>0</v>
      </c>
      <c r="G93" s="541">
        <f t="shared" si="36"/>
        <v>0</v>
      </c>
      <c r="H93" s="541">
        <f t="shared" si="36"/>
        <v>0</v>
      </c>
      <c r="I93" s="541">
        <f t="shared" si="36"/>
        <v>0</v>
      </c>
      <c r="J93" s="541">
        <f t="shared" si="36"/>
        <v>0</v>
      </c>
      <c r="K93" s="541">
        <f t="shared" si="36"/>
        <v>0</v>
      </c>
      <c r="L93" s="541">
        <f t="shared" si="36"/>
        <v>0</v>
      </c>
      <c r="M93" s="541">
        <f t="shared" si="36"/>
        <v>0</v>
      </c>
      <c r="N93" s="541">
        <f t="shared" si="36"/>
        <v>0</v>
      </c>
      <c r="O93" s="541">
        <f t="shared" si="36"/>
        <v>0</v>
      </c>
      <c r="P93" s="541">
        <f t="shared" si="36"/>
        <v>0</v>
      </c>
      <c r="Q93" s="541">
        <f t="shared" si="36"/>
        <v>0</v>
      </c>
      <c r="R93" s="541">
        <f t="shared" si="36"/>
        <v>0</v>
      </c>
      <c r="S93" s="541">
        <f t="shared" si="36"/>
        <v>0</v>
      </c>
      <c r="T93" s="541">
        <f t="shared" si="36"/>
        <v>0</v>
      </c>
      <c r="U93" s="541">
        <f t="shared" ref="U93:AG93" si="37">$C93*U$6</f>
        <v>0</v>
      </c>
      <c r="V93" s="541">
        <f t="shared" si="37"/>
        <v>0</v>
      </c>
      <c r="W93" s="541">
        <f t="shared" si="37"/>
        <v>0</v>
      </c>
      <c r="X93" s="541">
        <f t="shared" si="37"/>
        <v>0</v>
      </c>
      <c r="Y93" s="541">
        <f t="shared" si="37"/>
        <v>0</v>
      </c>
      <c r="Z93" s="541">
        <f t="shared" si="37"/>
        <v>0</v>
      </c>
      <c r="AA93" s="541">
        <f t="shared" si="37"/>
        <v>0</v>
      </c>
      <c r="AB93" s="541">
        <f t="shared" si="37"/>
        <v>0</v>
      </c>
      <c r="AC93" s="541">
        <f t="shared" si="37"/>
        <v>0</v>
      </c>
      <c r="AD93" s="541">
        <f t="shared" si="37"/>
        <v>0</v>
      </c>
      <c r="AE93" s="541">
        <f t="shared" si="37"/>
        <v>0</v>
      </c>
      <c r="AF93" s="541">
        <f t="shared" si="37"/>
        <v>0</v>
      </c>
      <c r="AG93" s="541">
        <f t="shared" si="37"/>
        <v>0</v>
      </c>
      <c r="AH93" s="423"/>
      <c r="AI93" s="423"/>
    </row>
    <row r="94" spans="1:35" hidden="1" x14ac:dyDescent="0.25">
      <c r="A94" s="449"/>
      <c r="B94" s="449" t="s">
        <v>67</v>
      </c>
      <c r="C94" s="451" t="s">
        <v>0</v>
      </c>
      <c r="D94" s="449"/>
      <c r="E94" s="541">
        <f t="shared" ref="E94:AG94" si="38">SUM(E83:E93)</f>
        <v>0</v>
      </c>
      <c r="F94" s="541">
        <f t="shared" si="38"/>
        <v>0</v>
      </c>
      <c r="G94" s="541">
        <f t="shared" si="38"/>
        <v>0</v>
      </c>
      <c r="H94" s="541">
        <f t="shared" si="38"/>
        <v>0</v>
      </c>
      <c r="I94" s="541">
        <f t="shared" si="38"/>
        <v>0</v>
      </c>
      <c r="J94" s="541">
        <f t="shared" si="38"/>
        <v>0</v>
      </c>
      <c r="K94" s="541">
        <f t="shared" si="38"/>
        <v>0</v>
      </c>
      <c r="L94" s="541">
        <f t="shared" si="38"/>
        <v>0</v>
      </c>
      <c r="M94" s="541">
        <f t="shared" si="38"/>
        <v>0</v>
      </c>
      <c r="N94" s="541">
        <f t="shared" si="38"/>
        <v>0</v>
      </c>
      <c r="O94" s="541">
        <f t="shared" si="38"/>
        <v>0</v>
      </c>
      <c r="P94" s="541">
        <f t="shared" si="38"/>
        <v>0</v>
      </c>
      <c r="Q94" s="541">
        <f t="shared" si="38"/>
        <v>0</v>
      </c>
      <c r="R94" s="541">
        <f t="shared" si="38"/>
        <v>0</v>
      </c>
      <c r="S94" s="541">
        <f t="shared" si="38"/>
        <v>0</v>
      </c>
      <c r="T94" s="541">
        <f t="shared" si="38"/>
        <v>0</v>
      </c>
      <c r="U94" s="541">
        <f t="shared" si="38"/>
        <v>0</v>
      </c>
      <c r="V94" s="541">
        <f t="shared" si="38"/>
        <v>0</v>
      </c>
      <c r="W94" s="541">
        <f t="shared" si="38"/>
        <v>0</v>
      </c>
      <c r="X94" s="541">
        <f t="shared" si="38"/>
        <v>0</v>
      </c>
      <c r="Y94" s="541">
        <f t="shared" si="38"/>
        <v>0</v>
      </c>
      <c r="Z94" s="541">
        <f t="shared" si="38"/>
        <v>0</v>
      </c>
      <c r="AA94" s="541">
        <f t="shared" si="38"/>
        <v>0</v>
      </c>
      <c r="AB94" s="541">
        <f t="shared" si="38"/>
        <v>0</v>
      </c>
      <c r="AC94" s="541">
        <f t="shared" si="38"/>
        <v>0</v>
      </c>
      <c r="AD94" s="541">
        <f t="shared" si="38"/>
        <v>0</v>
      </c>
      <c r="AE94" s="541">
        <f t="shared" si="38"/>
        <v>0</v>
      </c>
      <c r="AF94" s="541">
        <f t="shared" si="38"/>
        <v>0</v>
      </c>
      <c r="AG94" s="541">
        <f t="shared" si="38"/>
        <v>0</v>
      </c>
      <c r="AH94" s="423"/>
      <c r="AI94" s="423"/>
    </row>
    <row r="95" spans="1:35" hidden="1" x14ac:dyDescent="0.25">
      <c r="A95" s="449"/>
      <c r="B95" s="449"/>
      <c r="C95" s="451"/>
      <c r="D95" s="449"/>
      <c r="E95" s="538"/>
      <c r="F95" s="538"/>
      <c r="G95" s="538"/>
      <c r="H95" s="538"/>
      <c r="I95" s="538"/>
      <c r="J95" s="538"/>
      <c r="K95" s="538"/>
      <c r="L95" s="538"/>
      <c r="M95" s="538"/>
      <c r="N95" s="538"/>
      <c r="O95" s="538"/>
      <c r="P95" s="538"/>
      <c r="Q95" s="538"/>
      <c r="R95" s="538"/>
      <c r="S95" s="538"/>
      <c r="T95" s="538"/>
      <c r="U95" s="538"/>
      <c r="V95" s="538"/>
      <c r="W95" s="538"/>
      <c r="X95" s="538"/>
      <c r="Y95" s="538"/>
      <c r="Z95" s="538"/>
      <c r="AA95" s="538"/>
      <c r="AB95" s="538"/>
      <c r="AC95" s="538"/>
      <c r="AD95" s="538"/>
      <c r="AE95" s="538"/>
      <c r="AF95" s="538"/>
      <c r="AG95" s="538"/>
      <c r="AH95" s="423"/>
      <c r="AI95" s="423"/>
    </row>
    <row r="96" spans="1:35" hidden="1" x14ac:dyDescent="0.25">
      <c r="A96" s="449"/>
      <c r="B96" s="449" t="s">
        <v>46</v>
      </c>
      <c r="C96" s="451"/>
      <c r="D96" s="449"/>
      <c r="E96" s="538"/>
      <c r="F96" s="538"/>
      <c r="G96" s="538"/>
      <c r="H96" s="538"/>
      <c r="I96" s="538"/>
      <c r="J96" s="538"/>
      <c r="K96" s="538"/>
      <c r="L96" s="538"/>
      <c r="M96" s="538"/>
      <c r="N96" s="538"/>
      <c r="O96" s="538"/>
      <c r="P96" s="538"/>
      <c r="Q96" s="538"/>
      <c r="R96" s="538"/>
      <c r="S96" s="538"/>
      <c r="T96" s="538"/>
      <c r="U96" s="538"/>
      <c r="V96" s="538"/>
      <c r="W96" s="538"/>
      <c r="X96" s="538"/>
      <c r="Y96" s="538"/>
      <c r="Z96" s="538"/>
      <c r="AA96" s="538"/>
      <c r="AB96" s="538"/>
      <c r="AC96" s="538"/>
      <c r="AD96" s="538"/>
      <c r="AE96" s="538"/>
      <c r="AF96" s="538"/>
      <c r="AG96" s="538"/>
      <c r="AH96" s="423"/>
      <c r="AI96" s="423"/>
    </row>
    <row r="97" spans="1:35" hidden="1" x14ac:dyDescent="0.25">
      <c r="A97" s="449"/>
      <c r="B97" s="449" t="s">
        <v>80</v>
      </c>
      <c r="C97" s="451" t="s">
        <v>81</v>
      </c>
      <c r="D97" s="449"/>
      <c r="E97" s="450">
        <v>2017</v>
      </c>
      <c r="F97" s="450">
        <v>2018</v>
      </c>
      <c r="G97" s="450">
        <v>2019</v>
      </c>
      <c r="H97" s="450">
        <v>2020</v>
      </c>
      <c r="I97" s="450">
        <v>2021</v>
      </c>
      <c r="J97" s="450">
        <v>2022</v>
      </c>
      <c r="K97" s="450">
        <v>2023</v>
      </c>
      <c r="L97" s="450">
        <v>2024</v>
      </c>
      <c r="M97" s="450">
        <v>2025</v>
      </c>
      <c r="N97" s="450">
        <v>2026</v>
      </c>
      <c r="O97" s="450">
        <v>2027</v>
      </c>
      <c r="P97" s="450">
        <v>2028</v>
      </c>
      <c r="Q97" s="450">
        <v>2029</v>
      </c>
      <c r="R97" s="450">
        <v>2030</v>
      </c>
      <c r="S97" s="450">
        <v>2031</v>
      </c>
      <c r="T97" s="450">
        <v>2032</v>
      </c>
      <c r="U97" s="450">
        <v>2033</v>
      </c>
      <c r="V97" s="450">
        <v>2034</v>
      </c>
      <c r="W97" s="450">
        <v>2035</v>
      </c>
      <c r="X97" s="450">
        <v>2036</v>
      </c>
      <c r="Y97" s="450">
        <v>2037</v>
      </c>
      <c r="Z97" s="450">
        <v>2038</v>
      </c>
      <c r="AA97" s="450">
        <v>2039</v>
      </c>
      <c r="AB97" s="450">
        <v>2040</v>
      </c>
      <c r="AC97" s="450">
        <v>2041</v>
      </c>
      <c r="AD97" s="450">
        <v>2042</v>
      </c>
      <c r="AE97" s="450">
        <v>2043</v>
      </c>
      <c r="AF97" s="450">
        <v>2044</v>
      </c>
      <c r="AG97" s="450">
        <v>2045</v>
      </c>
      <c r="AH97" s="423"/>
      <c r="AI97" s="423"/>
    </row>
    <row r="98" spans="1:35" hidden="1" x14ac:dyDescent="0.25">
      <c r="A98" s="451">
        <v>1</v>
      </c>
      <c r="B98" s="449" t="s">
        <v>122</v>
      </c>
      <c r="C98" s="540">
        <v>1.2240391145302229E-3</v>
      </c>
      <c r="D98" s="449"/>
      <c r="E98" s="541">
        <f t="shared" ref="E98:E108" si="39">$C98*E$7</f>
        <v>0</v>
      </c>
      <c r="F98" s="541">
        <f t="shared" ref="F98:AG107" si="40">$C98*F$7</f>
        <v>0</v>
      </c>
      <c r="G98" s="541">
        <f t="shared" si="40"/>
        <v>0</v>
      </c>
      <c r="H98" s="541">
        <f t="shared" si="40"/>
        <v>0</v>
      </c>
      <c r="I98" s="541">
        <f t="shared" si="40"/>
        <v>0</v>
      </c>
      <c r="J98" s="541">
        <f t="shared" si="40"/>
        <v>0</v>
      </c>
      <c r="K98" s="541">
        <f t="shared" si="40"/>
        <v>0</v>
      </c>
      <c r="L98" s="541">
        <f t="shared" si="40"/>
        <v>0</v>
      </c>
      <c r="M98" s="541">
        <f t="shared" si="40"/>
        <v>0</v>
      </c>
      <c r="N98" s="541">
        <f t="shared" si="40"/>
        <v>0</v>
      </c>
      <c r="O98" s="541">
        <f t="shared" si="40"/>
        <v>0</v>
      </c>
      <c r="P98" s="541">
        <f t="shared" si="40"/>
        <v>0</v>
      </c>
      <c r="Q98" s="541">
        <f t="shared" si="40"/>
        <v>0</v>
      </c>
      <c r="R98" s="541">
        <f t="shared" si="40"/>
        <v>0</v>
      </c>
      <c r="S98" s="541">
        <f t="shared" si="40"/>
        <v>0</v>
      </c>
      <c r="T98" s="541">
        <f t="shared" si="40"/>
        <v>0</v>
      </c>
      <c r="U98" s="541">
        <f t="shared" si="40"/>
        <v>0</v>
      </c>
      <c r="V98" s="541">
        <f t="shared" si="40"/>
        <v>0</v>
      </c>
      <c r="W98" s="541">
        <f t="shared" si="40"/>
        <v>0</v>
      </c>
      <c r="X98" s="541">
        <f t="shared" si="40"/>
        <v>0</v>
      </c>
      <c r="Y98" s="541">
        <f t="shared" si="40"/>
        <v>0</v>
      </c>
      <c r="Z98" s="541">
        <f t="shared" si="40"/>
        <v>0</v>
      </c>
      <c r="AA98" s="541">
        <f t="shared" si="40"/>
        <v>0</v>
      </c>
      <c r="AB98" s="541">
        <f t="shared" si="40"/>
        <v>0</v>
      </c>
      <c r="AC98" s="541">
        <f t="shared" si="40"/>
        <v>0</v>
      </c>
      <c r="AD98" s="541">
        <f t="shared" si="40"/>
        <v>0</v>
      </c>
      <c r="AE98" s="541">
        <f t="shared" si="40"/>
        <v>0</v>
      </c>
      <c r="AF98" s="541">
        <f t="shared" si="40"/>
        <v>0</v>
      </c>
      <c r="AG98" s="541">
        <f t="shared" si="40"/>
        <v>0</v>
      </c>
      <c r="AH98" s="423"/>
      <c r="AI98" s="423"/>
    </row>
    <row r="99" spans="1:35" hidden="1" x14ac:dyDescent="0.25">
      <c r="A99" s="451">
        <v>2</v>
      </c>
      <c r="B99" s="449" t="s">
        <v>83</v>
      </c>
      <c r="C99" s="540">
        <v>4.0430304847560288E-4</v>
      </c>
      <c r="D99" s="449"/>
      <c r="E99" s="541">
        <f t="shared" si="39"/>
        <v>0</v>
      </c>
      <c r="F99" s="541">
        <f t="shared" ref="F99:T99" si="41">$C99*F$7</f>
        <v>0</v>
      </c>
      <c r="G99" s="541">
        <f t="shared" si="41"/>
        <v>0</v>
      </c>
      <c r="H99" s="541">
        <f t="shared" si="41"/>
        <v>0</v>
      </c>
      <c r="I99" s="541">
        <f t="shared" si="41"/>
        <v>0</v>
      </c>
      <c r="J99" s="541">
        <f t="shared" si="41"/>
        <v>0</v>
      </c>
      <c r="K99" s="541">
        <f t="shared" si="41"/>
        <v>0</v>
      </c>
      <c r="L99" s="541">
        <f t="shared" si="41"/>
        <v>0</v>
      </c>
      <c r="M99" s="541">
        <f t="shared" si="41"/>
        <v>0</v>
      </c>
      <c r="N99" s="541">
        <f t="shared" si="41"/>
        <v>0</v>
      </c>
      <c r="O99" s="541">
        <f t="shared" si="41"/>
        <v>0</v>
      </c>
      <c r="P99" s="541">
        <f t="shared" si="41"/>
        <v>0</v>
      </c>
      <c r="Q99" s="541">
        <f t="shared" si="41"/>
        <v>0</v>
      </c>
      <c r="R99" s="541">
        <f t="shared" si="41"/>
        <v>0</v>
      </c>
      <c r="S99" s="541">
        <f t="shared" si="41"/>
        <v>0</v>
      </c>
      <c r="T99" s="541">
        <f t="shared" si="41"/>
        <v>0</v>
      </c>
      <c r="U99" s="541">
        <f t="shared" si="40"/>
        <v>0</v>
      </c>
      <c r="V99" s="541">
        <f t="shared" si="40"/>
        <v>0</v>
      </c>
      <c r="W99" s="541">
        <f t="shared" si="40"/>
        <v>0</v>
      </c>
      <c r="X99" s="541">
        <f t="shared" si="40"/>
        <v>0</v>
      </c>
      <c r="Y99" s="541">
        <f t="shared" si="40"/>
        <v>0</v>
      </c>
      <c r="Z99" s="541">
        <f t="shared" si="40"/>
        <v>0</v>
      </c>
      <c r="AA99" s="541">
        <f t="shared" si="40"/>
        <v>0</v>
      </c>
      <c r="AB99" s="541">
        <f t="shared" si="40"/>
        <v>0</v>
      </c>
      <c r="AC99" s="541">
        <f t="shared" si="40"/>
        <v>0</v>
      </c>
      <c r="AD99" s="541">
        <f t="shared" si="40"/>
        <v>0</v>
      </c>
      <c r="AE99" s="541">
        <f t="shared" si="40"/>
        <v>0</v>
      </c>
      <c r="AF99" s="541">
        <f t="shared" si="40"/>
        <v>0</v>
      </c>
      <c r="AG99" s="541">
        <f t="shared" si="40"/>
        <v>0</v>
      </c>
      <c r="AH99" s="423"/>
      <c r="AI99" s="423"/>
    </row>
    <row r="100" spans="1:35" hidden="1" x14ac:dyDescent="0.25">
      <c r="A100" s="451">
        <v>3</v>
      </c>
      <c r="B100" s="449" t="s">
        <v>84</v>
      </c>
      <c r="C100" s="540">
        <v>1.0179322248246867E-3</v>
      </c>
      <c r="D100" s="449"/>
      <c r="E100" s="541">
        <f t="shared" si="39"/>
        <v>0</v>
      </c>
      <c r="F100" s="541">
        <f t="shared" si="40"/>
        <v>0</v>
      </c>
      <c r="G100" s="541">
        <f t="shared" si="40"/>
        <v>0</v>
      </c>
      <c r="H100" s="541">
        <f t="shared" si="40"/>
        <v>0</v>
      </c>
      <c r="I100" s="541">
        <f t="shared" si="40"/>
        <v>0</v>
      </c>
      <c r="J100" s="541">
        <f t="shared" si="40"/>
        <v>0</v>
      </c>
      <c r="K100" s="541">
        <f t="shared" si="40"/>
        <v>0</v>
      </c>
      <c r="L100" s="541">
        <f t="shared" si="40"/>
        <v>0</v>
      </c>
      <c r="M100" s="541">
        <f t="shared" si="40"/>
        <v>0</v>
      </c>
      <c r="N100" s="541">
        <f t="shared" si="40"/>
        <v>0</v>
      </c>
      <c r="O100" s="541">
        <f t="shared" si="40"/>
        <v>0</v>
      </c>
      <c r="P100" s="541">
        <f t="shared" si="40"/>
        <v>0</v>
      </c>
      <c r="Q100" s="541">
        <f t="shared" si="40"/>
        <v>0</v>
      </c>
      <c r="R100" s="541">
        <f t="shared" si="40"/>
        <v>0</v>
      </c>
      <c r="S100" s="541">
        <f t="shared" si="40"/>
        <v>0</v>
      </c>
      <c r="T100" s="541">
        <f t="shared" si="40"/>
        <v>0</v>
      </c>
      <c r="U100" s="541">
        <f t="shared" si="40"/>
        <v>0</v>
      </c>
      <c r="V100" s="541">
        <f t="shared" si="40"/>
        <v>0</v>
      </c>
      <c r="W100" s="541">
        <f t="shared" si="40"/>
        <v>0</v>
      </c>
      <c r="X100" s="541">
        <f t="shared" si="40"/>
        <v>0</v>
      </c>
      <c r="Y100" s="541">
        <f t="shared" si="40"/>
        <v>0</v>
      </c>
      <c r="Z100" s="541">
        <f t="shared" si="40"/>
        <v>0</v>
      </c>
      <c r="AA100" s="541">
        <f t="shared" si="40"/>
        <v>0</v>
      </c>
      <c r="AB100" s="541">
        <f t="shared" si="40"/>
        <v>0</v>
      </c>
      <c r="AC100" s="541">
        <f t="shared" si="40"/>
        <v>0</v>
      </c>
      <c r="AD100" s="541">
        <f t="shared" si="40"/>
        <v>0</v>
      </c>
      <c r="AE100" s="541">
        <f t="shared" si="40"/>
        <v>0</v>
      </c>
      <c r="AF100" s="541">
        <f t="shared" si="40"/>
        <v>0</v>
      </c>
      <c r="AG100" s="541">
        <f t="shared" si="40"/>
        <v>0</v>
      </c>
      <c r="AH100" s="423"/>
      <c r="AI100" s="423"/>
    </row>
    <row r="101" spans="1:35" hidden="1" x14ac:dyDescent="0.25">
      <c r="A101" s="451">
        <v>4</v>
      </c>
      <c r="B101" s="449" t="s">
        <v>85</v>
      </c>
      <c r="C101" s="540">
        <v>0.45427734583901763</v>
      </c>
      <c r="D101" s="449"/>
      <c r="E101" s="541">
        <f t="shared" si="39"/>
        <v>0</v>
      </c>
      <c r="F101" s="541">
        <f t="shared" si="40"/>
        <v>0</v>
      </c>
      <c r="G101" s="541">
        <f t="shared" si="40"/>
        <v>0</v>
      </c>
      <c r="H101" s="541">
        <f t="shared" si="40"/>
        <v>0</v>
      </c>
      <c r="I101" s="541">
        <f t="shared" si="40"/>
        <v>0</v>
      </c>
      <c r="J101" s="541">
        <f t="shared" si="40"/>
        <v>0</v>
      </c>
      <c r="K101" s="541">
        <f t="shared" si="40"/>
        <v>0</v>
      </c>
      <c r="L101" s="541">
        <f t="shared" si="40"/>
        <v>0</v>
      </c>
      <c r="M101" s="541">
        <f t="shared" si="40"/>
        <v>0</v>
      </c>
      <c r="N101" s="541">
        <f t="shared" si="40"/>
        <v>0</v>
      </c>
      <c r="O101" s="541">
        <f t="shared" si="40"/>
        <v>0</v>
      </c>
      <c r="P101" s="541">
        <f t="shared" si="40"/>
        <v>0</v>
      </c>
      <c r="Q101" s="541">
        <f t="shared" si="40"/>
        <v>0</v>
      </c>
      <c r="R101" s="541">
        <f t="shared" si="40"/>
        <v>0</v>
      </c>
      <c r="S101" s="541">
        <f t="shared" si="40"/>
        <v>0</v>
      </c>
      <c r="T101" s="541">
        <f t="shared" si="40"/>
        <v>0</v>
      </c>
      <c r="U101" s="541">
        <f t="shared" si="40"/>
        <v>0</v>
      </c>
      <c r="V101" s="541">
        <f t="shared" si="40"/>
        <v>0</v>
      </c>
      <c r="W101" s="541">
        <f t="shared" si="40"/>
        <v>0</v>
      </c>
      <c r="X101" s="541">
        <f t="shared" si="40"/>
        <v>0</v>
      </c>
      <c r="Y101" s="541">
        <f t="shared" si="40"/>
        <v>0</v>
      </c>
      <c r="Z101" s="541">
        <f t="shared" si="40"/>
        <v>0</v>
      </c>
      <c r="AA101" s="541">
        <f t="shared" si="40"/>
        <v>0</v>
      </c>
      <c r="AB101" s="541">
        <f t="shared" si="40"/>
        <v>0</v>
      </c>
      <c r="AC101" s="541">
        <f t="shared" si="40"/>
        <v>0</v>
      </c>
      <c r="AD101" s="541">
        <f t="shared" si="40"/>
        <v>0</v>
      </c>
      <c r="AE101" s="541">
        <f t="shared" si="40"/>
        <v>0</v>
      </c>
      <c r="AF101" s="541">
        <f t="shared" si="40"/>
        <v>0</v>
      </c>
      <c r="AG101" s="541">
        <f t="shared" si="40"/>
        <v>0</v>
      </c>
      <c r="AH101" s="423"/>
      <c r="AI101" s="423"/>
    </row>
    <row r="102" spans="1:35" hidden="1" x14ac:dyDescent="0.25">
      <c r="A102" s="451">
        <v>5</v>
      </c>
      <c r="B102" s="449" t="s">
        <v>86</v>
      </c>
      <c r="C102" s="540">
        <v>0.23161740298243108</v>
      </c>
      <c r="D102" s="449"/>
      <c r="E102" s="541">
        <f t="shared" si="39"/>
        <v>0</v>
      </c>
      <c r="F102" s="541">
        <f t="shared" si="40"/>
        <v>0</v>
      </c>
      <c r="G102" s="541">
        <f t="shared" si="40"/>
        <v>0</v>
      </c>
      <c r="H102" s="541">
        <f t="shared" si="40"/>
        <v>0</v>
      </c>
      <c r="I102" s="541">
        <f t="shared" si="40"/>
        <v>0</v>
      </c>
      <c r="J102" s="541">
        <f t="shared" si="40"/>
        <v>0</v>
      </c>
      <c r="K102" s="541">
        <f t="shared" si="40"/>
        <v>0</v>
      </c>
      <c r="L102" s="541">
        <f t="shared" si="40"/>
        <v>0</v>
      </c>
      <c r="M102" s="541">
        <f t="shared" si="40"/>
        <v>0</v>
      </c>
      <c r="N102" s="541">
        <f t="shared" si="40"/>
        <v>0</v>
      </c>
      <c r="O102" s="541">
        <f t="shared" si="40"/>
        <v>0</v>
      </c>
      <c r="P102" s="541">
        <f t="shared" si="40"/>
        <v>0</v>
      </c>
      <c r="Q102" s="541">
        <f t="shared" si="40"/>
        <v>0</v>
      </c>
      <c r="R102" s="541">
        <f t="shared" si="40"/>
        <v>0</v>
      </c>
      <c r="S102" s="541">
        <f t="shared" si="40"/>
        <v>0</v>
      </c>
      <c r="T102" s="541">
        <f t="shared" si="40"/>
        <v>0</v>
      </c>
      <c r="U102" s="541">
        <f t="shared" si="40"/>
        <v>0</v>
      </c>
      <c r="V102" s="541">
        <f t="shared" si="40"/>
        <v>0</v>
      </c>
      <c r="W102" s="541">
        <f t="shared" si="40"/>
        <v>0</v>
      </c>
      <c r="X102" s="541">
        <f t="shared" si="40"/>
        <v>0</v>
      </c>
      <c r="Y102" s="541">
        <f t="shared" si="40"/>
        <v>0</v>
      </c>
      <c r="Z102" s="541">
        <f t="shared" si="40"/>
        <v>0</v>
      </c>
      <c r="AA102" s="541">
        <f t="shared" si="40"/>
        <v>0</v>
      </c>
      <c r="AB102" s="541">
        <f t="shared" si="40"/>
        <v>0</v>
      </c>
      <c r="AC102" s="541">
        <f t="shared" si="40"/>
        <v>0</v>
      </c>
      <c r="AD102" s="541">
        <f t="shared" si="40"/>
        <v>0</v>
      </c>
      <c r="AE102" s="541">
        <f t="shared" si="40"/>
        <v>0</v>
      </c>
      <c r="AF102" s="541">
        <f t="shared" si="40"/>
        <v>0</v>
      </c>
      <c r="AG102" s="541">
        <f t="shared" si="40"/>
        <v>0</v>
      </c>
      <c r="AH102" s="423"/>
      <c r="AI102" s="423"/>
    </row>
    <row r="103" spans="1:35" hidden="1" x14ac:dyDescent="0.25">
      <c r="A103" s="451">
        <v>6</v>
      </c>
      <c r="B103" s="449" t="s">
        <v>87</v>
      </c>
      <c r="C103" s="540">
        <v>0.30821570965716849</v>
      </c>
      <c r="D103" s="449"/>
      <c r="E103" s="541">
        <f t="shared" si="39"/>
        <v>0</v>
      </c>
      <c r="F103" s="541">
        <f t="shared" si="40"/>
        <v>0</v>
      </c>
      <c r="G103" s="541">
        <f t="shared" si="40"/>
        <v>0</v>
      </c>
      <c r="H103" s="541">
        <f t="shared" si="40"/>
        <v>0</v>
      </c>
      <c r="I103" s="541">
        <f t="shared" si="40"/>
        <v>0</v>
      </c>
      <c r="J103" s="541">
        <f t="shared" si="40"/>
        <v>0</v>
      </c>
      <c r="K103" s="541">
        <f t="shared" si="40"/>
        <v>0</v>
      </c>
      <c r="L103" s="541">
        <f t="shared" si="40"/>
        <v>0</v>
      </c>
      <c r="M103" s="541">
        <f t="shared" si="40"/>
        <v>0</v>
      </c>
      <c r="N103" s="541">
        <f t="shared" si="40"/>
        <v>0</v>
      </c>
      <c r="O103" s="541">
        <f t="shared" si="40"/>
        <v>0</v>
      </c>
      <c r="P103" s="541">
        <f t="shared" si="40"/>
        <v>0</v>
      </c>
      <c r="Q103" s="541">
        <f t="shared" si="40"/>
        <v>0</v>
      </c>
      <c r="R103" s="541">
        <f t="shared" si="40"/>
        <v>0</v>
      </c>
      <c r="S103" s="541">
        <f t="shared" si="40"/>
        <v>0</v>
      </c>
      <c r="T103" s="541">
        <f t="shared" si="40"/>
        <v>0</v>
      </c>
      <c r="U103" s="541">
        <f t="shared" si="40"/>
        <v>0</v>
      </c>
      <c r="V103" s="541">
        <f t="shared" si="40"/>
        <v>0</v>
      </c>
      <c r="W103" s="541">
        <f t="shared" si="40"/>
        <v>0</v>
      </c>
      <c r="X103" s="541">
        <f t="shared" si="40"/>
        <v>0</v>
      </c>
      <c r="Y103" s="541">
        <f t="shared" si="40"/>
        <v>0</v>
      </c>
      <c r="Z103" s="541">
        <f t="shared" si="40"/>
        <v>0</v>
      </c>
      <c r="AA103" s="541">
        <f t="shared" si="40"/>
        <v>0</v>
      </c>
      <c r="AB103" s="541">
        <f t="shared" si="40"/>
        <v>0</v>
      </c>
      <c r="AC103" s="541">
        <f t="shared" si="40"/>
        <v>0</v>
      </c>
      <c r="AD103" s="541">
        <f t="shared" si="40"/>
        <v>0</v>
      </c>
      <c r="AE103" s="541">
        <f t="shared" si="40"/>
        <v>0</v>
      </c>
      <c r="AF103" s="541">
        <f t="shared" si="40"/>
        <v>0</v>
      </c>
      <c r="AG103" s="541">
        <f t="shared" si="40"/>
        <v>0</v>
      </c>
      <c r="AH103" s="423"/>
      <c r="AI103" s="423"/>
    </row>
    <row r="104" spans="1:35" hidden="1" x14ac:dyDescent="0.25">
      <c r="A104" s="451">
        <v>7</v>
      </c>
      <c r="B104" s="449" t="s">
        <v>88</v>
      </c>
      <c r="C104" s="540">
        <v>2.6793340449485408E-3</v>
      </c>
      <c r="D104" s="449"/>
      <c r="E104" s="541">
        <f t="shared" si="39"/>
        <v>0</v>
      </c>
      <c r="F104" s="541">
        <f t="shared" si="40"/>
        <v>0</v>
      </c>
      <c r="G104" s="541">
        <f t="shared" si="40"/>
        <v>0</v>
      </c>
      <c r="H104" s="541">
        <f t="shared" si="40"/>
        <v>0</v>
      </c>
      <c r="I104" s="541">
        <f t="shared" si="40"/>
        <v>0</v>
      </c>
      <c r="J104" s="541">
        <f t="shared" si="40"/>
        <v>0</v>
      </c>
      <c r="K104" s="541">
        <f t="shared" si="40"/>
        <v>0</v>
      </c>
      <c r="L104" s="541">
        <f t="shared" si="40"/>
        <v>0</v>
      </c>
      <c r="M104" s="541">
        <f t="shared" si="40"/>
        <v>0</v>
      </c>
      <c r="N104" s="541">
        <f t="shared" si="40"/>
        <v>0</v>
      </c>
      <c r="O104" s="541">
        <f t="shared" si="40"/>
        <v>0</v>
      </c>
      <c r="P104" s="541">
        <f t="shared" si="40"/>
        <v>0</v>
      </c>
      <c r="Q104" s="541">
        <f t="shared" si="40"/>
        <v>0</v>
      </c>
      <c r="R104" s="541">
        <f t="shared" si="40"/>
        <v>0</v>
      </c>
      <c r="S104" s="541">
        <f t="shared" si="40"/>
        <v>0</v>
      </c>
      <c r="T104" s="541">
        <f t="shared" si="40"/>
        <v>0</v>
      </c>
      <c r="U104" s="541">
        <f t="shared" si="40"/>
        <v>0</v>
      </c>
      <c r="V104" s="541">
        <f t="shared" si="40"/>
        <v>0</v>
      </c>
      <c r="W104" s="541">
        <f t="shared" si="40"/>
        <v>0</v>
      </c>
      <c r="X104" s="541">
        <f t="shared" si="40"/>
        <v>0</v>
      </c>
      <c r="Y104" s="541">
        <f t="shared" si="40"/>
        <v>0</v>
      </c>
      <c r="Z104" s="541">
        <f t="shared" si="40"/>
        <v>0</v>
      </c>
      <c r="AA104" s="541">
        <f t="shared" si="40"/>
        <v>0</v>
      </c>
      <c r="AB104" s="541">
        <f t="shared" si="40"/>
        <v>0</v>
      </c>
      <c r="AC104" s="541">
        <f t="shared" si="40"/>
        <v>0</v>
      </c>
      <c r="AD104" s="541">
        <f t="shared" si="40"/>
        <v>0</v>
      </c>
      <c r="AE104" s="541">
        <f t="shared" si="40"/>
        <v>0</v>
      </c>
      <c r="AF104" s="541">
        <f t="shared" si="40"/>
        <v>0</v>
      </c>
      <c r="AG104" s="541">
        <f t="shared" si="40"/>
        <v>0</v>
      </c>
      <c r="AH104" s="423"/>
      <c r="AI104" s="423"/>
    </row>
    <row r="105" spans="1:35" hidden="1" x14ac:dyDescent="0.25">
      <c r="A105" s="451">
        <v>8</v>
      </c>
      <c r="B105" s="449" t="s">
        <v>89</v>
      </c>
      <c r="C105" s="540">
        <v>1.7043331237619784E-5</v>
      </c>
      <c r="D105" s="449"/>
      <c r="E105" s="541">
        <f t="shared" si="39"/>
        <v>0</v>
      </c>
      <c r="F105" s="541">
        <f t="shared" si="40"/>
        <v>0</v>
      </c>
      <c r="G105" s="541">
        <f t="shared" si="40"/>
        <v>0</v>
      </c>
      <c r="H105" s="541">
        <f t="shared" si="40"/>
        <v>0</v>
      </c>
      <c r="I105" s="541">
        <f t="shared" si="40"/>
        <v>0</v>
      </c>
      <c r="J105" s="541">
        <f t="shared" si="40"/>
        <v>0</v>
      </c>
      <c r="K105" s="541">
        <f t="shared" si="40"/>
        <v>0</v>
      </c>
      <c r="L105" s="541">
        <f t="shared" si="40"/>
        <v>0</v>
      </c>
      <c r="M105" s="541">
        <f t="shared" si="40"/>
        <v>0</v>
      </c>
      <c r="N105" s="541">
        <f t="shared" si="40"/>
        <v>0</v>
      </c>
      <c r="O105" s="541">
        <f t="shared" si="40"/>
        <v>0</v>
      </c>
      <c r="P105" s="541">
        <f t="shared" si="40"/>
        <v>0</v>
      </c>
      <c r="Q105" s="541">
        <f t="shared" si="40"/>
        <v>0</v>
      </c>
      <c r="R105" s="541">
        <f t="shared" si="40"/>
        <v>0</v>
      </c>
      <c r="S105" s="541">
        <f t="shared" si="40"/>
        <v>0</v>
      </c>
      <c r="T105" s="541">
        <f t="shared" si="40"/>
        <v>0</v>
      </c>
      <c r="U105" s="541">
        <f t="shared" si="40"/>
        <v>0</v>
      </c>
      <c r="V105" s="541">
        <f t="shared" si="40"/>
        <v>0</v>
      </c>
      <c r="W105" s="541">
        <f t="shared" si="40"/>
        <v>0</v>
      </c>
      <c r="X105" s="541">
        <f t="shared" si="40"/>
        <v>0</v>
      </c>
      <c r="Y105" s="541">
        <f t="shared" si="40"/>
        <v>0</v>
      </c>
      <c r="Z105" s="541">
        <f t="shared" si="40"/>
        <v>0</v>
      </c>
      <c r="AA105" s="541">
        <f t="shared" si="40"/>
        <v>0</v>
      </c>
      <c r="AB105" s="541">
        <f t="shared" si="40"/>
        <v>0</v>
      </c>
      <c r="AC105" s="541">
        <f t="shared" si="40"/>
        <v>0</v>
      </c>
      <c r="AD105" s="541">
        <f t="shared" si="40"/>
        <v>0</v>
      </c>
      <c r="AE105" s="541">
        <f t="shared" si="40"/>
        <v>0</v>
      </c>
      <c r="AF105" s="541">
        <f t="shared" si="40"/>
        <v>0</v>
      </c>
      <c r="AG105" s="541">
        <f t="shared" si="40"/>
        <v>0</v>
      </c>
      <c r="AH105" s="423"/>
      <c r="AI105" s="423"/>
    </row>
    <row r="106" spans="1:35" hidden="1" x14ac:dyDescent="0.25">
      <c r="A106" s="451">
        <v>9</v>
      </c>
      <c r="B106" s="449" t="s">
        <v>90</v>
      </c>
      <c r="C106" s="540">
        <v>1.858374774123498E-8</v>
      </c>
      <c r="D106" s="449"/>
      <c r="E106" s="541">
        <f t="shared" si="39"/>
        <v>0</v>
      </c>
      <c r="F106" s="541">
        <f t="shared" si="40"/>
        <v>0</v>
      </c>
      <c r="G106" s="541">
        <f t="shared" si="40"/>
        <v>0</v>
      </c>
      <c r="H106" s="541">
        <f t="shared" si="40"/>
        <v>0</v>
      </c>
      <c r="I106" s="541">
        <f t="shared" si="40"/>
        <v>0</v>
      </c>
      <c r="J106" s="541">
        <f t="shared" si="40"/>
        <v>0</v>
      </c>
      <c r="K106" s="541">
        <f t="shared" si="40"/>
        <v>0</v>
      </c>
      <c r="L106" s="541">
        <f t="shared" si="40"/>
        <v>0</v>
      </c>
      <c r="M106" s="541">
        <f t="shared" si="40"/>
        <v>0</v>
      </c>
      <c r="N106" s="541">
        <f t="shared" si="40"/>
        <v>0</v>
      </c>
      <c r="O106" s="541">
        <f t="shared" si="40"/>
        <v>0</v>
      </c>
      <c r="P106" s="541">
        <f t="shared" si="40"/>
        <v>0</v>
      </c>
      <c r="Q106" s="541">
        <f t="shared" si="40"/>
        <v>0</v>
      </c>
      <c r="R106" s="541">
        <f t="shared" si="40"/>
        <v>0</v>
      </c>
      <c r="S106" s="541">
        <f t="shared" si="40"/>
        <v>0</v>
      </c>
      <c r="T106" s="541">
        <f t="shared" si="40"/>
        <v>0</v>
      </c>
      <c r="U106" s="541">
        <f t="shared" si="40"/>
        <v>0</v>
      </c>
      <c r="V106" s="541">
        <f t="shared" si="40"/>
        <v>0</v>
      </c>
      <c r="W106" s="541">
        <f t="shared" si="40"/>
        <v>0</v>
      </c>
      <c r="X106" s="541">
        <f t="shared" si="40"/>
        <v>0</v>
      </c>
      <c r="Y106" s="541">
        <f t="shared" si="40"/>
        <v>0</v>
      </c>
      <c r="Z106" s="541">
        <f t="shared" si="40"/>
        <v>0</v>
      </c>
      <c r="AA106" s="541">
        <f t="shared" si="40"/>
        <v>0</v>
      </c>
      <c r="AB106" s="541">
        <f t="shared" si="40"/>
        <v>0</v>
      </c>
      <c r="AC106" s="541">
        <f t="shared" si="40"/>
        <v>0</v>
      </c>
      <c r="AD106" s="541">
        <f t="shared" si="40"/>
        <v>0</v>
      </c>
      <c r="AE106" s="541">
        <f t="shared" si="40"/>
        <v>0</v>
      </c>
      <c r="AF106" s="541">
        <f t="shared" si="40"/>
        <v>0</v>
      </c>
      <c r="AG106" s="541">
        <f t="shared" si="40"/>
        <v>0</v>
      </c>
      <c r="AH106" s="423"/>
      <c r="AI106" s="423"/>
    </row>
    <row r="107" spans="1:35" hidden="1" x14ac:dyDescent="0.25">
      <c r="A107" s="451">
        <v>10</v>
      </c>
      <c r="B107" s="449" t="s">
        <v>91</v>
      </c>
      <c r="C107" s="540">
        <v>9.1989823647385555E-5</v>
      </c>
      <c r="D107" s="449"/>
      <c r="E107" s="541">
        <f t="shared" si="39"/>
        <v>0</v>
      </c>
      <c r="F107" s="541">
        <f t="shared" si="40"/>
        <v>0</v>
      </c>
      <c r="G107" s="541">
        <f t="shared" si="40"/>
        <v>0</v>
      </c>
      <c r="H107" s="541">
        <f t="shared" si="40"/>
        <v>0</v>
      </c>
      <c r="I107" s="541">
        <f t="shared" si="40"/>
        <v>0</v>
      </c>
      <c r="J107" s="541">
        <f t="shared" si="40"/>
        <v>0</v>
      </c>
      <c r="K107" s="541">
        <f t="shared" si="40"/>
        <v>0</v>
      </c>
      <c r="L107" s="541">
        <f t="shared" si="40"/>
        <v>0</v>
      </c>
      <c r="M107" s="541">
        <f t="shared" si="40"/>
        <v>0</v>
      </c>
      <c r="N107" s="541">
        <f t="shared" si="40"/>
        <v>0</v>
      </c>
      <c r="O107" s="541">
        <f t="shared" si="40"/>
        <v>0</v>
      </c>
      <c r="P107" s="541">
        <f t="shared" si="40"/>
        <v>0</v>
      </c>
      <c r="Q107" s="541">
        <f t="shared" si="40"/>
        <v>0</v>
      </c>
      <c r="R107" s="541">
        <f t="shared" si="40"/>
        <v>0</v>
      </c>
      <c r="S107" s="541">
        <f t="shared" si="40"/>
        <v>0</v>
      </c>
      <c r="T107" s="541">
        <f t="shared" si="40"/>
        <v>0</v>
      </c>
      <c r="U107" s="541">
        <f t="shared" si="40"/>
        <v>0</v>
      </c>
      <c r="V107" s="541">
        <f t="shared" si="40"/>
        <v>0</v>
      </c>
      <c r="W107" s="541">
        <f t="shared" si="40"/>
        <v>0</v>
      </c>
      <c r="X107" s="541">
        <f t="shared" ref="X107:AG107" si="42">$C107*X$7</f>
        <v>0</v>
      </c>
      <c r="Y107" s="541">
        <f t="shared" si="42"/>
        <v>0</v>
      </c>
      <c r="Z107" s="541">
        <f t="shared" si="42"/>
        <v>0</v>
      </c>
      <c r="AA107" s="541">
        <f t="shared" si="42"/>
        <v>0</v>
      </c>
      <c r="AB107" s="541">
        <f t="shared" si="42"/>
        <v>0</v>
      </c>
      <c r="AC107" s="541">
        <f t="shared" si="42"/>
        <v>0</v>
      </c>
      <c r="AD107" s="541">
        <f t="shared" si="42"/>
        <v>0</v>
      </c>
      <c r="AE107" s="541">
        <f t="shared" si="42"/>
        <v>0</v>
      </c>
      <c r="AF107" s="541">
        <f t="shared" si="42"/>
        <v>0</v>
      </c>
      <c r="AG107" s="541">
        <f t="shared" si="42"/>
        <v>0</v>
      </c>
      <c r="AH107" s="423"/>
      <c r="AI107" s="423"/>
    </row>
    <row r="108" spans="1:35" ht="15.75" hidden="1" customHeight="1" x14ac:dyDescent="0.25">
      <c r="A108" s="451">
        <v>11</v>
      </c>
      <c r="B108" s="449" t="s">
        <v>92</v>
      </c>
      <c r="C108" s="540">
        <v>6.7893171253253205E-5</v>
      </c>
      <c r="D108" s="449"/>
      <c r="E108" s="541">
        <f t="shared" si="39"/>
        <v>0</v>
      </c>
      <c r="F108" s="541">
        <f t="shared" ref="F108:T108" si="43">$C108*F$7</f>
        <v>0</v>
      </c>
      <c r="G108" s="541">
        <f t="shared" si="43"/>
        <v>0</v>
      </c>
      <c r="H108" s="541">
        <f t="shared" si="43"/>
        <v>0</v>
      </c>
      <c r="I108" s="541">
        <f t="shared" si="43"/>
        <v>0</v>
      </c>
      <c r="J108" s="541">
        <f t="shared" si="43"/>
        <v>0</v>
      </c>
      <c r="K108" s="541">
        <f t="shared" si="43"/>
        <v>0</v>
      </c>
      <c r="L108" s="541">
        <f t="shared" si="43"/>
        <v>0</v>
      </c>
      <c r="M108" s="541">
        <f t="shared" si="43"/>
        <v>0</v>
      </c>
      <c r="N108" s="541">
        <f t="shared" si="43"/>
        <v>0</v>
      </c>
      <c r="O108" s="541">
        <f t="shared" si="43"/>
        <v>0</v>
      </c>
      <c r="P108" s="541">
        <f t="shared" si="43"/>
        <v>0</v>
      </c>
      <c r="Q108" s="541">
        <f t="shared" si="43"/>
        <v>0</v>
      </c>
      <c r="R108" s="541">
        <f t="shared" si="43"/>
        <v>0</v>
      </c>
      <c r="S108" s="541">
        <f t="shared" si="43"/>
        <v>0</v>
      </c>
      <c r="T108" s="541">
        <f t="shared" si="43"/>
        <v>0</v>
      </c>
      <c r="U108" s="541">
        <f t="shared" ref="U108:AG108" si="44">$C108*U$7</f>
        <v>0</v>
      </c>
      <c r="V108" s="541">
        <f t="shared" si="44"/>
        <v>0</v>
      </c>
      <c r="W108" s="541">
        <f t="shared" si="44"/>
        <v>0</v>
      </c>
      <c r="X108" s="541">
        <f t="shared" si="44"/>
        <v>0</v>
      </c>
      <c r="Y108" s="541">
        <f t="shared" si="44"/>
        <v>0</v>
      </c>
      <c r="Z108" s="541">
        <f t="shared" si="44"/>
        <v>0</v>
      </c>
      <c r="AA108" s="541">
        <f t="shared" si="44"/>
        <v>0</v>
      </c>
      <c r="AB108" s="541">
        <f t="shared" si="44"/>
        <v>0</v>
      </c>
      <c r="AC108" s="541">
        <f t="shared" si="44"/>
        <v>0</v>
      </c>
      <c r="AD108" s="541">
        <f t="shared" si="44"/>
        <v>0</v>
      </c>
      <c r="AE108" s="541">
        <f t="shared" si="44"/>
        <v>0</v>
      </c>
      <c r="AF108" s="541">
        <f t="shared" si="44"/>
        <v>0</v>
      </c>
      <c r="AG108" s="541">
        <f t="shared" si="44"/>
        <v>0</v>
      </c>
      <c r="AH108" s="423"/>
      <c r="AI108" s="423"/>
    </row>
    <row r="109" spans="1:35" hidden="1" x14ac:dyDescent="0.25">
      <c r="A109" s="449"/>
      <c r="B109" s="449" t="s">
        <v>67</v>
      </c>
      <c r="C109" s="451" t="s">
        <v>0</v>
      </c>
      <c r="D109" s="449"/>
      <c r="E109" s="541">
        <f t="shared" ref="E109:AG109" si="45">SUM(E98:E108)</f>
        <v>0</v>
      </c>
      <c r="F109" s="541">
        <f t="shared" si="45"/>
        <v>0</v>
      </c>
      <c r="G109" s="541">
        <f t="shared" si="45"/>
        <v>0</v>
      </c>
      <c r="H109" s="541">
        <f t="shared" si="45"/>
        <v>0</v>
      </c>
      <c r="I109" s="541">
        <f t="shared" si="45"/>
        <v>0</v>
      </c>
      <c r="J109" s="541">
        <f t="shared" si="45"/>
        <v>0</v>
      </c>
      <c r="K109" s="541">
        <f t="shared" si="45"/>
        <v>0</v>
      </c>
      <c r="L109" s="541">
        <f t="shared" si="45"/>
        <v>0</v>
      </c>
      <c r="M109" s="541">
        <f t="shared" si="45"/>
        <v>0</v>
      </c>
      <c r="N109" s="541">
        <f t="shared" si="45"/>
        <v>0</v>
      </c>
      <c r="O109" s="541">
        <f t="shared" si="45"/>
        <v>0</v>
      </c>
      <c r="P109" s="541">
        <f t="shared" si="45"/>
        <v>0</v>
      </c>
      <c r="Q109" s="541">
        <f t="shared" si="45"/>
        <v>0</v>
      </c>
      <c r="R109" s="541">
        <f t="shared" si="45"/>
        <v>0</v>
      </c>
      <c r="S109" s="541">
        <f t="shared" si="45"/>
        <v>0</v>
      </c>
      <c r="T109" s="541">
        <f t="shared" si="45"/>
        <v>0</v>
      </c>
      <c r="U109" s="541">
        <f t="shared" si="45"/>
        <v>0</v>
      </c>
      <c r="V109" s="541">
        <f t="shared" si="45"/>
        <v>0</v>
      </c>
      <c r="W109" s="541">
        <f t="shared" si="45"/>
        <v>0</v>
      </c>
      <c r="X109" s="541">
        <f t="shared" si="45"/>
        <v>0</v>
      </c>
      <c r="Y109" s="541">
        <f t="shared" si="45"/>
        <v>0</v>
      </c>
      <c r="Z109" s="541">
        <f t="shared" si="45"/>
        <v>0</v>
      </c>
      <c r="AA109" s="541">
        <f t="shared" si="45"/>
        <v>0</v>
      </c>
      <c r="AB109" s="541">
        <f t="shared" si="45"/>
        <v>0</v>
      </c>
      <c r="AC109" s="541">
        <f t="shared" si="45"/>
        <v>0</v>
      </c>
      <c r="AD109" s="541">
        <f t="shared" si="45"/>
        <v>0</v>
      </c>
      <c r="AE109" s="541">
        <f t="shared" si="45"/>
        <v>0</v>
      </c>
      <c r="AF109" s="541">
        <f t="shared" si="45"/>
        <v>0</v>
      </c>
      <c r="AG109" s="541">
        <f t="shared" si="45"/>
        <v>0</v>
      </c>
      <c r="AH109" s="423"/>
      <c r="AI109" s="423"/>
    </row>
    <row r="110" spans="1:35" hidden="1" x14ac:dyDescent="0.25">
      <c r="A110" s="449"/>
      <c r="B110" s="449"/>
      <c r="C110" s="451"/>
      <c r="D110" s="449"/>
      <c r="E110" s="538"/>
      <c r="F110" s="538"/>
      <c r="G110" s="538"/>
      <c r="H110" s="538"/>
      <c r="I110" s="538"/>
      <c r="J110" s="538"/>
      <c r="K110" s="538"/>
      <c r="L110" s="538"/>
      <c r="M110" s="538"/>
      <c r="N110" s="538"/>
      <c r="O110" s="538"/>
      <c r="P110" s="538"/>
      <c r="Q110" s="538"/>
      <c r="R110" s="538"/>
      <c r="S110" s="538"/>
      <c r="T110" s="538"/>
      <c r="U110" s="538"/>
      <c r="V110" s="538"/>
      <c r="W110" s="538"/>
      <c r="X110" s="538"/>
      <c r="Y110" s="538"/>
      <c r="Z110" s="538"/>
      <c r="AA110" s="538"/>
      <c r="AB110" s="538"/>
      <c r="AC110" s="538"/>
      <c r="AD110" s="538"/>
      <c r="AE110" s="538"/>
      <c r="AF110" s="538"/>
      <c r="AG110" s="538"/>
      <c r="AH110" s="423"/>
      <c r="AI110" s="423"/>
    </row>
    <row r="111" spans="1:35" hidden="1" x14ac:dyDescent="0.25">
      <c r="A111" s="449"/>
      <c r="B111" s="449" t="s">
        <v>47</v>
      </c>
      <c r="C111" s="451"/>
      <c r="D111" s="449"/>
      <c r="E111" s="538"/>
      <c r="F111" s="538"/>
      <c r="G111" s="538"/>
      <c r="H111" s="538"/>
      <c r="I111" s="538"/>
      <c r="J111" s="538"/>
      <c r="K111" s="538"/>
      <c r="L111" s="538"/>
      <c r="M111" s="538"/>
      <c r="N111" s="538"/>
      <c r="O111" s="538"/>
      <c r="P111" s="538"/>
      <c r="Q111" s="538"/>
      <c r="R111" s="538"/>
      <c r="S111" s="538"/>
      <c r="T111" s="538"/>
      <c r="U111" s="538"/>
      <c r="V111" s="538"/>
      <c r="W111" s="538"/>
      <c r="X111" s="538"/>
      <c r="Y111" s="538"/>
      <c r="Z111" s="538"/>
      <c r="AA111" s="538"/>
      <c r="AB111" s="538"/>
      <c r="AC111" s="538"/>
      <c r="AD111" s="538"/>
      <c r="AE111" s="538"/>
      <c r="AF111" s="538"/>
      <c r="AG111" s="538"/>
      <c r="AH111" s="423"/>
      <c r="AI111" s="423"/>
    </row>
    <row r="112" spans="1:35" hidden="1" x14ac:dyDescent="0.25">
      <c r="A112" s="449"/>
      <c r="B112" s="449" t="s">
        <v>80</v>
      </c>
      <c r="C112" s="451" t="s">
        <v>81</v>
      </c>
      <c r="D112" s="449"/>
      <c r="E112" s="450">
        <v>2017</v>
      </c>
      <c r="F112" s="450">
        <v>2018</v>
      </c>
      <c r="G112" s="450">
        <v>2019</v>
      </c>
      <c r="H112" s="450">
        <v>2020</v>
      </c>
      <c r="I112" s="450">
        <v>2021</v>
      </c>
      <c r="J112" s="450">
        <v>2022</v>
      </c>
      <c r="K112" s="450">
        <v>2023</v>
      </c>
      <c r="L112" s="450">
        <v>2024</v>
      </c>
      <c r="M112" s="450">
        <v>2025</v>
      </c>
      <c r="N112" s="450">
        <v>2026</v>
      </c>
      <c r="O112" s="450">
        <v>2027</v>
      </c>
      <c r="P112" s="450">
        <v>2028</v>
      </c>
      <c r="Q112" s="450">
        <v>2029</v>
      </c>
      <c r="R112" s="450">
        <v>2030</v>
      </c>
      <c r="S112" s="450">
        <v>2031</v>
      </c>
      <c r="T112" s="450">
        <v>2032</v>
      </c>
      <c r="U112" s="450">
        <v>2033</v>
      </c>
      <c r="V112" s="450">
        <v>2034</v>
      </c>
      <c r="W112" s="450">
        <v>2035</v>
      </c>
      <c r="X112" s="450">
        <v>2036</v>
      </c>
      <c r="Y112" s="450">
        <v>2037</v>
      </c>
      <c r="Z112" s="450">
        <v>2038</v>
      </c>
      <c r="AA112" s="450">
        <v>2039</v>
      </c>
      <c r="AB112" s="450">
        <v>2040</v>
      </c>
      <c r="AC112" s="450">
        <v>2041</v>
      </c>
      <c r="AD112" s="450">
        <v>2042</v>
      </c>
      <c r="AE112" s="450">
        <v>2043</v>
      </c>
      <c r="AF112" s="450">
        <v>2044</v>
      </c>
      <c r="AG112" s="450">
        <v>2045</v>
      </c>
      <c r="AH112" s="423"/>
      <c r="AI112" s="423"/>
    </row>
    <row r="113" spans="1:35" hidden="1" x14ac:dyDescent="0.25">
      <c r="A113" s="451">
        <v>1</v>
      </c>
      <c r="B113" s="449" t="s">
        <v>122</v>
      </c>
      <c r="C113" s="540">
        <v>0</v>
      </c>
      <c r="D113" s="449"/>
      <c r="E113" s="541">
        <f t="shared" ref="E113:E123" si="46">$C113*E$8</f>
        <v>0</v>
      </c>
      <c r="F113" s="541">
        <f t="shared" ref="F113:AG122" si="47">$C113*F$8</f>
        <v>0</v>
      </c>
      <c r="G113" s="541">
        <f t="shared" si="47"/>
        <v>0</v>
      </c>
      <c r="H113" s="541">
        <f t="shared" si="47"/>
        <v>0</v>
      </c>
      <c r="I113" s="541">
        <f t="shared" si="47"/>
        <v>0</v>
      </c>
      <c r="J113" s="541">
        <f t="shared" si="47"/>
        <v>0</v>
      </c>
      <c r="K113" s="541">
        <f t="shared" si="47"/>
        <v>0</v>
      </c>
      <c r="L113" s="541">
        <f t="shared" si="47"/>
        <v>0</v>
      </c>
      <c r="M113" s="541">
        <f t="shared" si="47"/>
        <v>0</v>
      </c>
      <c r="N113" s="541">
        <f t="shared" si="47"/>
        <v>0</v>
      </c>
      <c r="O113" s="541">
        <f t="shared" si="47"/>
        <v>0</v>
      </c>
      <c r="P113" s="541">
        <f t="shared" si="47"/>
        <v>0</v>
      </c>
      <c r="Q113" s="541">
        <f t="shared" si="47"/>
        <v>0</v>
      </c>
      <c r="R113" s="541">
        <f t="shared" si="47"/>
        <v>0</v>
      </c>
      <c r="S113" s="541">
        <f t="shared" si="47"/>
        <v>0</v>
      </c>
      <c r="T113" s="541">
        <f t="shared" si="47"/>
        <v>0</v>
      </c>
      <c r="U113" s="541">
        <f t="shared" si="47"/>
        <v>0</v>
      </c>
      <c r="V113" s="541">
        <f t="shared" si="47"/>
        <v>0</v>
      </c>
      <c r="W113" s="541">
        <f t="shared" si="47"/>
        <v>0</v>
      </c>
      <c r="X113" s="541">
        <f t="shared" si="47"/>
        <v>0</v>
      </c>
      <c r="Y113" s="541">
        <f t="shared" si="47"/>
        <v>0</v>
      </c>
      <c r="Z113" s="541">
        <f t="shared" si="47"/>
        <v>0</v>
      </c>
      <c r="AA113" s="541">
        <f t="shared" si="47"/>
        <v>0</v>
      </c>
      <c r="AB113" s="541">
        <f t="shared" si="47"/>
        <v>0</v>
      </c>
      <c r="AC113" s="541">
        <f t="shared" si="47"/>
        <v>0</v>
      </c>
      <c r="AD113" s="541">
        <f t="shared" si="47"/>
        <v>0</v>
      </c>
      <c r="AE113" s="541">
        <f t="shared" si="47"/>
        <v>0</v>
      </c>
      <c r="AF113" s="541">
        <f t="shared" si="47"/>
        <v>0</v>
      </c>
      <c r="AG113" s="541">
        <f t="shared" si="47"/>
        <v>0</v>
      </c>
      <c r="AH113" s="423"/>
      <c r="AI113" s="423"/>
    </row>
    <row r="114" spans="1:35" hidden="1" x14ac:dyDescent="0.25">
      <c r="A114" s="451">
        <v>2</v>
      </c>
      <c r="B114" s="449" t="s">
        <v>83</v>
      </c>
      <c r="C114" s="540">
        <v>5.9580200500179958E-5</v>
      </c>
      <c r="D114" s="449"/>
      <c r="E114" s="541">
        <f t="shared" si="46"/>
        <v>0</v>
      </c>
      <c r="F114" s="541">
        <f t="shared" ref="F114:T114" si="48">$C114*F$8</f>
        <v>0</v>
      </c>
      <c r="G114" s="541">
        <f t="shared" si="48"/>
        <v>0</v>
      </c>
      <c r="H114" s="541">
        <f t="shared" si="48"/>
        <v>0</v>
      </c>
      <c r="I114" s="541">
        <f t="shared" si="48"/>
        <v>0</v>
      </c>
      <c r="J114" s="541">
        <f t="shared" si="48"/>
        <v>0</v>
      </c>
      <c r="K114" s="541">
        <f t="shared" si="48"/>
        <v>0</v>
      </c>
      <c r="L114" s="541">
        <f t="shared" si="48"/>
        <v>0</v>
      </c>
      <c r="M114" s="541">
        <f t="shared" si="48"/>
        <v>0</v>
      </c>
      <c r="N114" s="541">
        <f t="shared" si="48"/>
        <v>0</v>
      </c>
      <c r="O114" s="541">
        <f t="shared" si="48"/>
        <v>0</v>
      </c>
      <c r="P114" s="541">
        <f t="shared" si="48"/>
        <v>0</v>
      </c>
      <c r="Q114" s="541">
        <f t="shared" si="48"/>
        <v>0</v>
      </c>
      <c r="R114" s="541">
        <f t="shared" si="48"/>
        <v>0</v>
      </c>
      <c r="S114" s="541">
        <f t="shared" si="48"/>
        <v>0</v>
      </c>
      <c r="T114" s="541">
        <f t="shared" si="48"/>
        <v>0</v>
      </c>
      <c r="U114" s="541">
        <f t="shared" si="47"/>
        <v>0</v>
      </c>
      <c r="V114" s="541">
        <f t="shared" si="47"/>
        <v>0</v>
      </c>
      <c r="W114" s="541">
        <f t="shared" si="47"/>
        <v>0</v>
      </c>
      <c r="X114" s="541">
        <f t="shared" si="47"/>
        <v>0</v>
      </c>
      <c r="Y114" s="541">
        <f t="shared" si="47"/>
        <v>0</v>
      </c>
      <c r="Z114" s="541">
        <f t="shared" si="47"/>
        <v>0</v>
      </c>
      <c r="AA114" s="541">
        <f t="shared" si="47"/>
        <v>0</v>
      </c>
      <c r="AB114" s="541">
        <f t="shared" si="47"/>
        <v>0</v>
      </c>
      <c r="AC114" s="541">
        <f t="shared" si="47"/>
        <v>0</v>
      </c>
      <c r="AD114" s="541">
        <f t="shared" si="47"/>
        <v>0</v>
      </c>
      <c r="AE114" s="541">
        <f t="shared" si="47"/>
        <v>0</v>
      </c>
      <c r="AF114" s="541">
        <f t="shared" si="47"/>
        <v>0</v>
      </c>
      <c r="AG114" s="541">
        <f t="shared" si="47"/>
        <v>0</v>
      </c>
      <c r="AH114" s="423"/>
      <c r="AI114" s="423"/>
    </row>
    <row r="115" spans="1:35" hidden="1" x14ac:dyDescent="0.25">
      <c r="A115" s="451">
        <v>3</v>
      </c>
      <c r="B115" s="449" t="s">
        <v>84</v>
      </c>
      <c r="C115" s="540">
        <v>0</v>
      </c>
      <c r="D115" s="449"/>
      <c r="E115" s="541">
        <f t="shared" si="46"/>
        <v>0</v>
      </c>
      <c r="F115" s="541">
        <f t="shared" si="47"/>
        <v>0</v>
      </c>
      <c r="G115" s="541">
        <f t="shared" si="47"/>
        <v>0</v>
      </c>
      <c r="H115" s="541">
        <f t="shared" si="47"/>
        <v>0</v>
      </c>
      <c r="I115" s="541">
        <f t="shared" si="47"/>
        <v>0</v>
      </c>
      <c r="J115" s="541">
        <f t="shared" si="47"/>
        <v>0</v>
      </c>
      <c r="K115" s="541">
        <f t="shared" si="47"/>
        <v>0</v>
      </c>
      <c r="L115" s="541">
        <f t="shared" si="47"/>
        <v>0</v>
      </c>
      <c r="M115" s="541">
        <f t="shared" si="47"/>
        <v>0</v>
      </c>
      <c r="N115" s="541">
        <f t="shared" si="47"/>
        <v>0</v>
      </c>
      <c r="O115" s="541">
        <f t="shared" si="47"/>
        <v>0</v>
      </c>
      <c r="P115" s="541">
        <f t="shared" si="47"/>
        <v>0</v>
      </c>
      <c r="Q115" s="541">
        <f t="shared" si="47"/>
        <v>0</v>
      </c>
      <c r="R115" s="541">
        <f t="shared" si="47"/>
        <v>0</v>
      </c>
      <c r="S115" s="541">
        <f t="shared" si="47"/>
        <v>0</v>
      </c>
      <c r="T115" s="541">
        <f t="shared" si="47"/>
        <v>0</v>
      </c>
      <c r="U115" s="541">
        <f t="shared" si="47"/>
        <v>0</v>
      </c>
      <c r="V115" s="541">
        <f t="shared" si="47"/>
        <v>0</v>
      </c>
      <c r="W115" s="541">
        <f t="shared" si="47"/>
        <v>0</v>
      </c>
      <c r="X115" s="541">
        <f t="shared" si="47"/>
        <v>0</v>
      </c>
      <c r="Y115" s="541">
        <f t="shared" si="47"/>
        <v>0</v>
      </c>
      <c r="Z115" s="541">
        <f t="shared" si="47"/>
        <v>0</v>
      </c>
      <c r="AA115" s="541">
        <f t="shared" si="47"/>
        <v>0</v>
      </c>
      <c r="AB115" s="541">
        <f t="shared" si="47"/>
        <v>0</v>
      </c>
      <c r="AC115" s="541">
        <f t="shared" si="47"/>
        <v>0</v>
      </c>
      <c r="AD115" s="541">
        <f t="shared" si="47"/>
        <v>0</v>
      </c>
      <c r="AE115" s="541">
        <f t="shared" si="47"/>
        <v>0</v>
      </c>
      <c r="AF115" s="541">
        <f t="shared" si="47"/>
        <v>0</v>
      </c>
      <c r="AG115" s="541">
        <f t="shared" si="47"/>
        <v>0</v>
      </c>
      <c r="AH115" s="423"/>
      <c r="AI115" s="423"/>
    </row>
    <row r="116" spans="1:35" hidden="1" x14ac:dyDescent="0.25">
      <c r="A116" s="451">
        <v>4</v>
      </c>
      <c r="B116" s="449" t="s">
        <v>85</v>
      </c>
      <c r="C116" s="540">
        <v>0</v>
      </c>
      <c r="D116" s="449"/>
      <c r="E116" s="541">
        <f t="shared" si="46"/>
        <v>0</v>
      </c>
      <c r="F116" s="541">
        <f t="shared" si="47"/>
        <v>0</v>
      </c>
      <c r="G116" s="541">
        <f t="shared" si="47"/>
        <v>0</v>
      </c>
      <c r="H116" s="541">
        <f t="shared" si="47"/>
        <v>0</v>
      </c>
      <c r="I116" s="541">
        <f t="shared" si="47"/>
        <v>0</v>
      </c>
      <c r="J116" s="541">
        <f t="shared" si="47"/>
        <v>0</v>
      </c>
      <c r="K116" s="541">
        <f t="shared" si="47"/>
        <v>0</v>
      </c>
      <c r="L116" s="541">
        <f t="shared" si="47"/>
        <v>0</v>
      </c>
      <c r="M116" s="541">
        <f t="shared" si="47"/>
        <v>0</v>
      </c>
      <c r="N116" s="541">
        <f t="shared" si="47"/>
        <v>0</v>
      </c>
      <c r="O116" s="541">
        <f t="shared" si="47"/>
        <v>0</v>
      </c>
      <c r="P116" s="541">
        <f t="shared" si="47"/>
        <v>0</v>
      </c>
      <c r="Q116" s="541">
        <f t="shared" si="47"/>
        <v>0</v>
      </c>
      <c r="R116" s="541">
        <f t="shared" si="47"/>
        <v>0</v>
      </c>
      <c r="S116" s="541">
        <f t="shared" si="47"/>
        <v>0</v>
      </c>
      <c r="T116" s="541">
        <f t="shared" si="47"/>
        <v>0</v>
      </c>
      <c r="U116" s="541">
        <f t="shared" si="47"/>
        <v>0</v>
      </c>
      <c r="V116" s="541">
        <f t="shared" si="47"/>
        <v>0</v>
      </c>
      <c r="W116" s="541">
        <f t="shared" si="47"/>
        <v>0</v>
      </c>
      <c r="X116" s="541">
        <f t="shared" si="47"/>
        <v>0</v>
      </c>
      <c r="Y116" s="541">
        <f t="shared" si="47"/>
        <v>0</v>
      </c>
      <c r="Z116" s="541">
        <f t="shared" si="47"/>
        <v>0</v>
      </c>
      <c r="AA116" s="541">
        <f t="shared" si="47"/>
        <v>0</v>
      </c>
      <c r="AB116" s="541">
        <f t="shared" si="47"/>
        <v>0</v>
      </c>
      <c r="AC116" s="541">
        <f t="shared" si="47"/>
        <v>0</v>
      </c>
      <c r="AD116" s="541">
        <f t="shared" si="47"/>
        <v>0</v>
      </c>
      <c r="AE116" s="541">
        <f t="shared" si="47"/>
        <v>0</v>
      </c>
      <c r="AF116" s="541">
        <f t="shared" si="47"/>
        <v>0</v>
      </c>
      <c r="AG116" s="541">
        <f t="shared" si="47"/>
        <v>0</v>
      </c>
      <c r="AH116" s="423"/>
      <c r="AI116" s="423"/>
    </row>
    <row r="117" spans="1:35" hidden="1" x14ac:dyDescent="0.25">
      <c r="A117" s="451">
        <v>5</v>
      </c>
      <c r="B117" s="449" t="s">
        <v>86</v>
      </c>
      <c r="C117" s="540">
        <v>5.9580200500179958E-5</v>
      </c>
      <c r="D117" s="449"/>
      <c r="E117" s="541">
        <f t="shared" si="46"/>
        <v>0</v>
      </c>
      <c r="F117" s="541">
        <f t="shared" si="47"/>
        <v>0</v>
      </c>
      <c r="G117" s="541">
        <f t="shared" si="47"/>
        <v>0</v>
      </c>
      <c r="H117" s="541">
        <f t="shared" si="47"/>
        <v>0</v>
      </c>
      <c r="I117" s="541">
        <f t="shared" si="47"/>
        <v>0</v>
      </c>
      <c r="J117" s="541">
        <f t="shared" si="47"/>
        <v>0</v>
      </c>
      <c r="K117" s="541">
        <f t="shared" si="47"/>
        <v>0</v>
      </c>
      <c r="L117" s="541">
        <f t="shared" si="47"/>
        <v>0</v>
      </c>
      <c r="M117" s="541">
        <f t="shared" si="47"/>
        <v>0</v>
      </c>
      <c r="N117" s="541">
        <f t="shared" si="47"/>
        <v>0</v>
      </c>
      <c r="O117" s="541">
        <f t="shared" si="47"/>
        <v>0</v>
      </c>
      <c r="P117" s="541">
        <f t="shared" si="47"/>
        <v>0</v>
      </c>
      <c r="Q117" s="541">
        <f t="shared" si="47"/>
        <v>0</v>
      </c>
      <c r="R117" s="541">
        <f t="shared" si="47"/>
        <v>0</v>
      </c>
      <c r="S117" s="541">
        <f t="shared" si="47"/>
        <v>0</v>
      </c>
      <c r="T117" s="541">
        <f t="shared" si="47"/>
        <v>0</v>
      </c>
      <c r="U117" s="541">
        <f t="shared" si="47"/>
        <v>0</v>
      </c>
      <c r="V117" s="541">
        <f t="shared" si="47"/>
        <v>0</v>
      </c>
      <c r="W117" s="541">
        <f t="shared" si="47"/>
        <v>0</v>
      </c>
      <c r="X117" s="541">
        <f t="shared" si="47"/>
        <v>0</v>
      </c>
      <c r="Y117" s="541">
        <f t="shared" si="47"/>
        <v>0</v>
      </c>
      <c r="Z117" s="541">
        <f t="shared" si="47"/>
        <v>0</v>
      </c>
      <c r="AA117" s="541">
        <f t="shared" si="47"/>
        <v>0</v>
      </c>
      <c r="AB117" s="541">
        <f t="shared" si="47"/>
        <v>0</v>
      </c>
      <c r="AC117" s="541">
        <f t="shared" si="47"/>
        <v>0</v>
      </c>
      <c r="AD117" s="541">
        <f t="shared" si="47"/>
        <v>0</v>
      </c>
      <c r="AE117" s="541">
        <f t="shared" si="47"/>
        <v>0</v>
      </c>
      <c r="AF117" s="541">
        <f t="shared" si="47"/>
        <v>0</v>
      </c>
      <c r="AG117" s="541">
        <f t="shared" si="47"/>
        <v>0</v>
      </c>
      <c r="AH117" s="423"/>
      <c r="AI117" s="423"/>
    </row>
    <row r="118" spans="1:35" hidden="1" x14ac:dyDescent="0.25">
      <c r="A118" s="451">
        <v>6</v>
      </c>
      <c r="B118" s="449" t="s">
        <v>87</v>
      </c>
      <c r="C118" s="540">
        <v>1.4895050125044985E-4</v>
      </c>
      <c r="D118" s="449"/>
      <c r="E118" s="541">
        <f t="shared" si="46"/>
        <v>0</v>
      </c>
      <c r="F118" s="541">
        <f t="shared" si="47"/>
        <v>0</v>
      </c>
      <c r="G118" s="541">
        <f t="shared" si="47"/>
        <v>0</v>
      </c>
      <c r="H118" s="541">
        <f t="shared" si="47"/>
        <v>0</v>
      </c>
      <c r="I118" s="541">
        <f t="shared" si="47"/>
        <v>0</v>
      </c>
      <c r="J118" s="541">
        <f t="shared" si="47"/>
        <v>0</v>
      </c>
      <c r="K118" s="541">
        <f t="shared" si="47"/>
        <v>0</v>
      </c>
      <c r="L118" s="541">
        <f t="shared" si="47"/>
        <v>0</v>
      </c>
      <c r="M118" s="541">
        <f t="shared" si="47"/>
        <v>0</v>
      </c>
      <c r="N118" s="541">
        <f t="shared" si="47"/>
        <v>0</v>
      </c>
      <c r="O118" s="541">
        <f t="shared" si="47"/>
        <v>0</v>
      </c>
      <c r="P118" s="541">
        <f t="shared" si="47"/>
        <v>0</v>
      </c>
      <c r="Q118" s="541">
        <f t="shared" si="47"/>
        <v>0</v>
      </c>
      <c r="R118" s="541">
        <f t="shared" si="47"/>
        <v>0</v>
      </c>
      <c r="S118" s="541">
        <f t="shared" si="47"/>
        <v>0</v>
      </c>
      <c r="T118" s="541">
        <f t="shared" si="47"/>
        <v>0</v>
      </c>
      <c r="U118" s="541">
        <f t="shared" si="47"/>
        <v>0</v>
      </c>
      <c r="V118" s="541">
        <f t="shared" si="47"/>
        <v>0</v>
      </c>
      <c r="W118" s="541">
        <f t="shared" si="47"/>
        <v>0</v>
      </c>
      <c r="X118" s="541">
        <f t="shared" si="47"/>
        <v>0</v>
      </c>
      <c r="Y118" s="541">
        <f t="shared" si="47"/>
        <v>0</v>
      </c>
      <c r="Z118" s="541">
        <f t="shared" si="47"/>
        <v>0</v>
      </c>
      <c r="AA118" s="541">
        <f t="shared" si="47"/>
        <v>0</v>
      </c>
      <c r="AB118" s="541">
        <f t="shared" si="47"/>
        <v>0</v>
      </c>
      <c r="AC118" s="541">
        <f t="shared" si="47"/>
        <v>0</v>
      </c>
      <c r="AD118" s="541">
        <f t="shared" si="47"/>
        <v>0</v>
      </c>
      <c r="AE118" s="541">
        <f t="shared" si="47"/>
        <v>0</v>
      </c>
      <c r="AF118" s="541">
        <f t="shared" si="47"/>
        <v>0</v>
      </c>
      <c r="AG118" s="541">
        <f t="shared" si="47"/>
        <v>0</v>
      </c>
      <c r="AH118" s="423"/>
      <c r="AI118" s="423"/>
    </row>
    <row r="119" spans="1:35" hidden="1" x14ac:dyDescent="0.25">
      <c r="A119" s="451">
        <v>7</v>
      </c>
      <c r="B119" s="449" t="s">
        <v>88</v>
      </c>
      <c r="C119" s="540">
        <v>0.28248700483774403</v>
      </c>
      <c r="D119" s="449"/>
      <c r="E119" s="541">
        <f t="shared" si="46"/>
        <v>0</v>
      </c>
      <c r="F119" s="541">
        <f t="shared" si="47"/>
        <v>0</v>
      </c>
      <c r="G119" s="541">
        <f t="shared" si="47"/>
        <v>0</v>
      </c>
      <c r="H119" s="541">
        <f t="shared" si="47"/>
        <v>0</v>
      </c>
      <c r="I119" s="541">
        <f t="shared" si="47"/>
        <v>0</v>
      </c>
      <c r="J119" s="541">
        <f t="shared" si="47"/>
        <v>0</v>
      </c>
      <c r="K119" s="541">
        <f t="shared" si="47"/>
        <v>0</v>
      </c>
      <c r="L119" s="541">
        <f t="shared" si="47"/>
        <v>0</v>
      </c>
      <c r="M119" s="541">
        <f t="shared" si="47"/>
        <v>0</v>
      </c>
      <c r="N119" s="541">
        <f t="shared" si="47"/>
        <v>0</v>
      </c>
      <c r="O119" s="541">
        <f t="shared" si="47"/>
        <v>0</v>
      </c>
      <c r="P119" s="541">
        <f t="shared" si="47"/>
        <v>0</v>
      </c>
      <c r="Q119" s="541">
        <f t="shared" si="47"/>
        <v>0</v>
      </c>
      <c r="R119" s="541">
        <f t="shared" si="47"/>
        <v>0</v>
      </c>
      <c r="S119" s="541">
        <f t="shared" si="47"/>
        <v>0</v>
      </c>
      <c r="T119" s="541">
        <f t="shared" si="47"/>
        <v>0</v>
      </c>
      <c r="U119" s="541">
        <f t="shared" si="47"/>
        <v>0</v>
      </c>
      <c r="V119" s="541">
        <f t="shared" si="47"/>
        <v>0</v>
      </c>
      <c r="W119" s="541">
        <f t="shared" si="47"/>
        <v>0</v>
      </c>
      <c r="X119" s="541">
        <f t="shared" si="47"/>
        <v>0</v>
      </c>
      <c r="Y119" s="541">
        <f t="shared" si="47"/>
        <v>0</v>
      </c>
      <c r="Z119" s="541">
        <f t="shared" si="47"/>
        <v>0</v>
      </c>
      <c r="AA119" s="541">
        <f t="shared" si="47"/>
        <v>0</v>
      </c>
      <c r="AB119" s="541">
        <f t="shared" si="47"/>
        <v>0</v>
      </c>
      <c r="AC119" s="541">
        <f t="shared" si="47"/>
        <v>0</v>
      </c>
      <c r="AD119" s="541">
        <f t="shared" si="47"/>
        <v>0</v>
      </c>
      <c r="AE119" s="541">
        <f t="shared" si="47"/>
        <v>0</v>
      </c>
      <c r="AF119" s="541">
        <f t="shared" si="47"/>
        <v>0</v>
      </c>
      <c r="AG119" s="541">
        <f t="shared" si="47"/>
        <v>0</v>
      </c>
      <c r="AH119" s="423"/>
      <c r="AI119" s="423"/>
    </row>
    <row r="120" spans="1:35" hidden="1" x14ac:dyDescent="0.25">
      <c r="A120" s="451">
        <v>8</v>
      </c>
      <c r="B120" s="449" t="s">
        <v>89</v>
      </c>
      <c r="C120" s="540">
        <v>0.24884985504317014</v>
      </c>
      <c r="D120" s="449"/>
      <c r="E120" s="541">
        <f t="shared" si="46"/>
        <v>0</v>
      </c>
      <c r="F120" s="541">
        <f t="shared" si="47"/>
        <v>0</v>
      </c>
      <c r="G120" s="541">
        <f t="shared" si="47"/>
        <v>0</v>
      </c>
      <c r="H120" s="541">
        <f t="shared" si="47"/>
        <v>0</v>
      </c>
      <c r="I120" s="541">
        <f t="shared" si="47"/>
        <v>0</v>
      </c>
      <c r="J120" s="541">
        <f t="shared" si="47"/>
        <v>0</v>
      </c>
      <c r="K120" s="541">
        <f t="shared" si="47"/>
        <v>0</v>
      </c>
      <c r="L120" s="541">
        <f t="shared" si="47"/>
        <v>0</v>
      </c>
      <c r="M120" s="541">
        <f t="shared" si="47"/>
        <v>0</v>
      </c>
      <c r="N120" s="541">
        <f t="shared" si="47"/>
        <v>0</v>
      </c>
      <c r="O120" s="541">
        <f t="shared" si="47"/>
        <v>0</v>
      </c>
      <c r="P120" s="541">
        <f t="shared" si="47"/>
        <v>0</v>
      </c>
      <c r="Q120" s="541">
        <f t="shared" si="47"/>
        <v>0</v>
      </c>
      <c r="R120" s="541">
        <f t="shared" si="47"/>
        <v>0</v>
      </c>
      <c r="S120" s="541">
        <f t="shared" si="47"/>
        <v>0</v>
      </c>
      <c r="T120" s="541">
        <f t="shared" si="47"/>
        <v>0</v>
      </c>
      <c r="U120" s="541">
        <f t="shared" si="47"/>
        <v>0</v>
      </c>
      <c r="V120" s="541">
        <f t="shared" si="47"/>
        <v>0</v>
      </c>
      <c r="W120" s="541">
        <f t="shared" si="47"/>
        <v>0</v>
      </c>
      <c r="X120" s="541">
        <f t="shared" si="47"/>
        <v>0</v>
      </c>
      <c r="Y120" s="541">
        <f t="shared" si="47"/>
        <v>0</v>
      </c>
      <c r="Z120" s="541">
        <f t="shared" si="47"/>
        <v>0</v>
      </c>
      <c r="AA120" s="541">
        <f t="shared" si="47"/>
        <v>0</v>
      </c>
      <c r="AB120" s="541">
        <f t="shared" si="47"/>
        <v>0</v>
      </c>
      <c r="AC120" s="541">
        <f t="shared" si="47"/>
        <v>0</v>
      </c>
      <c r="AD120" s="541">
        <f t="shared" si="47"/>
        <v>0</v>
      </c>
      <c r="AE120" s="541">
        <f t="shared" si="47"/>
        <v>0</v>
      </c>
      <c r="AF120" s="541">
        <f t="shared" si="47"/>
        <v>0</v>
      </c>
      <c r="AG120" s="541">
        <f t="shared" si="47"/>
        <v>0</v>
      </c>
      <c r="AH120" s="423"/>
      <c r="AI120" s="423"/>
    </row>
    <row r="121" spans="1:35" hidden="1" x14ac:dyDescent="0.25">
      <c r="A121" s="451">
        <v>9</v>
      </c>
      <c r="B121" s="449" t="s">
        <v>90</v>
      </c>
      <c r="C121" s="540">
        <v>7.0397404954886791E-2</v>
      </c>
      <c r="D121" s="449"/>
      <c r="E121" s="541">
        <f t="shared" si="46"/>
        <v>0</v>
      </c>
      <c r="F121" s="541">
        <f t="shared" si="47"/>
        <v>0</v>
      </c>
      <c r="G121" s="541">
        <f t="shared" si="47"/>
        <v>0</v>
      </c>
      <c r="H121" s="541">
        <f t="shared" si="47"/>
        <v>0</v>
      </c>
      <c r="I121" s="541">
        <f t="shared" si="47"/>
        <v>0</v>
      </c>
      <c r="J121" s="541">
        <f t="shared" si="47"/>
        <v>0</v>
      </c>
      <c r="K121" s="541">
        <f t="shared" si="47"/>
        <v>0</v>
      </c>
      <c r="L121" s="541">
        <f t="shared" si="47"/>
        <v>0</v>
      </c>
      <c r="M121" s="541">
        <f t="shared" si="47"/>
        <v>0</v>
      </c>
      <c r="N121" s="541">
        <f t="shared" si="47"/>
        <v>0</v>
      </c>
      <c r="O121" s="541">
        <f t="shared" si="47"/>
        <v>0</v>
      </c>
      <c r="P121" s="541">
        <f t="shared" si="47"/>
        <v>0</v>
      </c>
      <c r="Q121" s="541">
        <f t="shared" si="47"/>
        <v>0</v>
      </c>
      <c r="R121" s="541">
        <f t="shared" si="47"/>
        <v>0</v>
      </c>
      <c r="S121" s="541">
        <f t="shared" si="47"/>
        <v>0</v>
      </c>
      <c r="T121" s="541">
        <f t="shared" si="47"/>
        <v>0</v>
      </c>
      <c r="U121" s="541">
        <f t="shared" si="47"/>
        <v>0</v>
      </c>
      <c r="V121" s="541">
        <f t="shared" si="47"/>
        <v>0</v>
      </c>
      <c r="W121" s="541">
        <f t="shared" si="47"/>
        <v>0</v>
      </c>
      <c r="X121" s="541">
        <f t="shared" si="47"/>
        <v>0</v>
      </c>
      <c r="Y121" s="541">
        <f t="shared" si="47"/>
        <v>0</v>
      </c>
      <c r="Z121" s="541">
        <f t="shared" si="47"/>
        <v>0</v>
      </c>
      <c r="AA121" s="541">
        <f t="shared" si="47"/>
        <v>0</v>
      </c>
      <c r="AB121" s="541">
        <f t="shared" si="47"/>
        <v>0</v>
      </c>
      <c r="AC121" s="541">
        <f t="shared" si="47"/>
        <v>0</v>
      </c>
      <c r="AD121" s="541">
        <f t="shared" si="47"/>
        <v>0</v>
      </c>
      <c r="AE121" s="541">
        <f t="shared" si="47"/>
        <v>0</v>
      </c>
      <c r="AF121" s="541">
        <f t="shared" si="47"/>
        <v>0</v>
      </c>
      <c r="AG121" s="541">
        <f t="shared" si="47"/>
        <v>0</v>
      </c>
      <c r="AH121" s="423"/>
      <c r="AI121" s="423"/>
    </row>
    <row r="122" spans="1:35" hidden="1" x14ac:dyDescent="0.25">
      <c r="A122" s="451">
        <v>10</v>
      </c>
      <c r="B122" s="449" t="s">
        <v>91</v>
      </c>
      <c r="C122" s="540">
        <v>0.39799762426194846</v>
      </c>
      <c r="D122" s="449"/>
      <c r="E122" s="541">
        <f t="shared" si="46"/>
        <v>0</v>
      </c>
      <c r="F122" s="541">
        <f t="shared" si="47"/>
        <v>0</v>
      </c>
      <c r="G122" s="541">
        <f t="shared" si="47"/>
        <v>0</v>
      </c>
      <c r="H122" s="541">
        <f t="shared" si="47"/>
        <v>0</v>
      </c>
      <c r="I122" s="541">
        <f t="shared" si="47"/>
        <v>0</v>
      </c>
      <c r="J122" s="541">
        <f t="shared" si="47"/>
        <v>0</v>
      </c>
      <c r="K122" s="541">
        <f t="shared" si="47"/>
        <v>0</v>
      </c>
      <c r="L122" s="541">
        <f t="shared" si="47"/>
        <v>0</v>
      </c>
      <c r="M122" s="541">
        <f t="shared" si="47"/>
        <v>0</v>
      </c>
      <c r="N122" s="541">
        <f t="shared" si="47"/>
        <v>0</v>
      </c>
      <c r="O122" s="541">
        <f t="shared" si="47"/>
        <v>0</v>
      </c>
      <c r="P122" s="541">
        <f t="shared" si="47"/>
        <v>0</v>
      </c>
      <c r="Q122" s="541">
        <f t="shared" si="47"/>
        <v>0</v>
      </c>
      <c r="R122" s="541">
        <f t="shared" si="47"/>
        <v>0</v>
      </c>
      <c r="S122" s="541">
        <f t="shared" si="47"/>
        <v>0</v>
      </c>
      <c r="T122" s="541">
        <f t="shared" si="47"/>
        <v>0</v>
      </c>
      <c r="U122" s="541">
        <f t="shared" si="47"/>
        <v>0</v>
      </c>
      <c r="V122" s="541">
        <f t="shared" si="47"/>
        <v>0</v>
      </c>
      <c r="W122" s="541">
        <f t="shared" si="47"/>
        <v>0</v>
      </c>
      <c r="X122" s="541">
        <f t="shared" ref="X122:AG122" si="49">$C122*X$8</f>
        <v>0</v>
      </c>
      <c r="Y122" s="541">
        <f t="shared" si="49"/>
        <v>0</v>
      </c>
      <c r="Z122" s="541">
        <f t="shared" si="49"/>
        <v>0</v>
      </c>
      <c r="AA122" s="541">
        <f t="shared" si="49"/>
        <v>0</v>
      </c>
      <c r="AB122" s="541">
        <f t="shared" si="49"/>
        <v>0</v>
      </c>
      <c r="AC122" s="541">
        <f t="shared" si="49"/>
        <v>0</v>
      </c>
      <c r="AD122" s="541">
        <f t="shared" si="49"/>
        <v>0</v>
      </c>
      <c r="AE122" s="541">
        <f t="shared" si="49"/>
        <v>0</v>
      </c>
      <c r="AF122" s="541">
        <f t="shared" si="49"/>
        <v>0</v>
      </c>
      <c r="AG122" s="541">
        <f t="shared" si="49"/>
        <v>0</v>
      </c>
      <c r="AH122" s="423"/>
      <c r="AI122" s="423"/>
    </row>
    <row r="123" spans="1:35" ht="15.75" hidden="1" customHeight="1" x14ac:dyDescent="0.25">
      <c r="A123" s="451">
        <v>11</v>
      </c>
      <c r="B123" s="449" t="s">
        <v>92</v>
      </c>
      <c r="C123" s="540">
        <v>0</v>
      </c>
      <c r="D123" s="449"/>
      <c r="E123" s="541">
        <f t="shared" si="46"/>
        <v>0</v>
      </c>
      <c r="F123" s="541">
        <f t="shared" ref="F123:T123" si="50">$C123*F$8</f>
        <v>0</v>
      </c>
      <c r="G123" s="541">
        <f t="shared" si="50"/>
        <v>0</v>
      </c>
      <c r="H123" s="541">
        <f t="shared" si="50"/>
        <v>0</v>
      </c>
      <c r="I123" s="541">
        <f t="shared" si="50"/>
        <v>0</v>
      </c>
      <c r="J123" s="541">
        <f t="shared" si="50"/>
        <v>0</v>
      </c>
      <c r="K123" s="541">
        <f t="shared" si="50"/>
        <v>0</v>
      </c>
      <c r="L123" s="541">
        <f t="shared" si="50"/>
        <v>0</v>
      </c>
      <c r="M123" s="541">
        <f t="shared" si="50"/>
        <v>0</v>
      </c>
      <c r="N123" s="541">
        <f t="shared" si="50"/>
        <v>0</v>
      </c>
      <c r="O123" s="541">
        <f t="shared" si="50"/>
        <v>0</v>
      </c>
      <c r="P123" s="541">
        <f t="shared" si="50"/>
        <v>0</v>
      </c>
      <c r="Q123" s="541">
        <f t="shared" si="50"/>
        <v>0</v>
      </c>
      <c r="R123" s="541">
        <f t="shared" si="50"/>
        <v>0</v>
      </c>
      <c r="S123" s="541">
        <f t="shared" si="50"/>
        <v>0</v>
      </c>
      <c r="T123" s="541">
        <f t="shared" si="50"/>
        <v>0</v>
      </c>
      <c r="U123" s="541">
        <f t="shared" ref="U123:AG123" si="51">$C123*U$8</f>
        <v>0</v>
      </c>
      <c r="V123" s="541">
        <f t="shared" si="51"/>
        <v>0</v>
      </c>
      <c r="W123" s="541">
        <f t="shared" si="51"/>
        <v>0</v>
      </c>
      <c r="X123" s="541">
        <f t="shared" si="51"/>
        <v>0</v>
      </c>
      <c r="Y123" s="541">
        <f t="shared" si="51"/>
        <v>0</v>
      </c>
      <c r="Z123" s="541">
        <f t="shared" si="51"/>
        <v>0</v>
      </c>
      <c r="AA123" s="541">
        <f t="shared" si="51"/>
        <v>0</v>
      </c>
      <c r="AB123" s="541">
        <f t="shared" si="51"/>
        <v>0</v>
      </c>
      <c r="AC123" s="541">
        <f t="shared" si="51"/>
        <v>0</v>
      </c>
      <c r="AD123" s="541">
        <f t="shared" si="51"/>
        <v>0</v>
      </c>
      <c r="AE123" s="541">
        <f t="shared" si="51"/>
        <v>0</v>
      </c>
      <c r="AF123" s="541">
        <f t="shared" si="51"/>
        <v>0</v>
      </c>
      <c r="AG123" s="541">
        <f t="shared" si="51"/>
        <v>0</v>
      </c>
      <c r="AH123" s="423"/>
      <c r="AI123" s="423"/>
    </row>
    <row r="124" spans="1:35" hidden="1" x14ac:dyDescent="0.25">
      <c r="A124" s="449"/>
      <c r="B124" s="449" t="s">
        <v>67</v>
      </c>
      <c r="C124" s="451" t="s">
        <v>0</v>
      </c>
      <c r="D124" s="449"/>
      <c r="E124" s="541">
        <f t="shared" ref="E124:AG124" si="52">SUM(E113:E123)</f>
        <v>0</v>
      </c>
      <c r="F124" s="541">
        <f t="shared" si="52"/>
        <v>0</v>
      </c>
      <c r="G124" s="541">
        <f t="shared" si="52"/>
        <v>0</v>
      </c>
      <c r="H124" s="541">
        <f t="shared" si="52"/>
        <v>0</v>
      </c>
      <c r="I124" s="541">
        <f t="shared" si="52"/>
        <v>0</v>
      </c>
      <c r="J124" s="541">
        <f t="shared" si="52"/>
        <v>0</v>
      </c>
      <c r="K124" s="541">
        <f t="shared" si="52"/>
        <v>0</v>
      </c>
      <c r="L124" s="541">
        <f t="shared" si="52"/>
        <v>0</v>
      </c>
      <c r="M124" s="541">
        <f t="shared" si="52"/>
        <v>0</v>
      </c>
      <c r="N124" s="541">
        <f t="shared" si="52"/>
        <v>0</v>
      </c>
      <c r="O124" s="541">
        <f t="shared" si="52"/>
        <v>0</v>
      </c>
      <c r="P124" s="541">
        <f t="shared" si="52"/>
        <v>0</v>
      </c>
      <c r="Q124" s="541">
        <f t="shared" si="52"/>
        <v>0</v>
      </c>
      <c r="R124" s="541">
        <f t="shared" si="52"/>
        <v>0</v>
      </c>
      <c r="S124" s="541">
        <f t="shared" si="52"/>
        <v>0</v>
      </c>
      <c r="T124" s="541">
        <f t="shared" si="52"/>
        <v>0</v>
      </c>
      <c r="U124" s="541">
        <f t="shared" si="52"/>
        <v>0</v>
      </c>
      <c r="V124" s="541">
        <f t="shared" si="52"/>
        <v>0</v>
      </c>
      <c r="W124" s="541">
        <f t="shared" si="52"/>
        <v>0</v>
      </c>
      <c r="X124" s="541">
        <f t="shared" si="52"/>
        <v>0</v>
      </c>
      <c r="Y124" s="541">
        <f t="shared" si="52"/>
        <v>0</v>
      </c>
      <c r="Z124" s="541">
        <f t="shared" si="52"/>
        <v>0</v>
      </c>
      <c r="AA124" s="541">
        <f t="shared" si="52"/>
        <v>0</v>
      </c>
      <c r="AB124" s="541">
        <f t="shared" si="52"/>
        <v>0</v>
      </c>
      <c r="AC124" s="541">
        <f t="shared" si="52"/>
        <v>0</v>
      </c>
      <c r="AD124" s="541">
        <f t="shared" si="52"/>
        <v>0</v>
      </c>
      <c r="AE124" s="541">
        <f t="shared" si="52"/>
        <v>0</v>
      </c>
      <c r="AF124" s="541">
        <f t="shared" si="52"/>
        <v>0</v>
      </c>
      <c r="AG124" s="541">
        <f t="shared" si="52"/>
        <v>0</v>
      </c>
      <c r="AH124" s="423"/>
      <c r="AI124" s="423"/>
    </row>
    <row r="125" spans="1:35" hidden="1" x14ac:dyDescent="0.25">
      <c r="A125" s="449"/>
      <c r="B125" s="449"/>
      <c r="C125" s="451"/>
      <c r="D125" s="449"/>
      <c r="E125" s="538"/>
      <c r="F125" s="538"/>
      <c r="G125" s="538"/>
      <c r="H125" s="538"/>
      <c r="I125" s="538"/>
      <c r="J125" s="538"/>
      <c r="K125" s="538"/>
      <c r="L125" s="538"/>
      <c r="M125" s="538"/>
      <c r="N125" s="538"/>
      <c r="O125" s="538"/>
      <c r="P125" s="538"/>
      <c r="Q125" s="538"/>
      <c r="R125" s="538"/>
      <c r="S125" s="538"/>
      <c r="T125" s="538"/>
      <c r="U125" s="538"/>
      <c r="V125" s="538"/>
      <c r="W125" s="538"/>
      <c r="X125" s="538"/>
      <c r="Y125" s="538"/>
      <c r="Z125" s="538"/>
      <c r="AA125" s="538"/>
      <c r="AB125" s="538"/>
      <c r="AC125" s="538"/>
      <c r="AD125" s="538"/>
      <c r="AE125" s="538"/>
      <c r="AF125" s="538"/>
      <c r="AG125" s="538"/>
      <c r="AH125" s="423"/>
      <c r="AI125" s="423"/>
    </row>
    <row r="126" spans="1:35" hidden="1" x14ac:dyDescent="0.25">
      <c r="A126" s="449"/>
      <c r="B126" s="449" t="s">
        <v>49</v>
      </c>
      <c r="C126" s="451"/>
      <c r="D126" s="449"/>
      <c r="E126" s="538"/>
      <c r="F126" s="538"/>
      <c r="G126" s="538"/>
      <c r="H126" s="538"/>
      <c r="I126" s="538"/>
      <c r="J126" s="538"/>
      <c r="K126" s="538"/>
      <c r="L126" s="538"/>
      <c r="M126" s="538"/>
      <c r="N126" s="538"/>
      <c r="O126" s="538"/>
      <c r="P126" s="538"/>
      <c r="Q126" s="538"/>
      <c r="R126" s="538"/>
      <c r="S126" s="538"/>
      <c r="T126" s="538"/>
      <c r="U126" s="538"/>
      <c r="V126" s="538"/>
      <c r="W126" s="538"/>
      <c r="X126" s="538"/>
      <c r="Y126" s="538"/>
      <c r="Z126" s="538"/>
      <c r="AA126" s="538"/>
      <c r="AB126" s="538"/>
      <c r="AC126" s="538"/>
      <c r="AD126" s="538"/>
      <c r="AE126" s="538"/>
      <c r="AF126" s="538"/>
      <c r="AG126" s="538"/>
      <c r="AH126" s="423"/>
      <c r="AI126" s="423"/>
    </row>
    <row r="127" spans="1:35" hidden="1" x14ac:dyDescent="0.25">
      <c r="A127" s="449"/>
      <c r="B127" s="449" t="s">
        <v>80</v>
      </c>
      <c r="C127" s="451" t="s">
        <v>81</v>
      </c>
      <c r="D127" s="449"/>
      <c r="E127" s="450">
        <v>2017</v>
      </c>
      <c r="F127" s="450">
        <v>2018</v>
      </c>
      <c r="G127" s="450">
        <v>2019</v>
      </c>
      <c r="H127" s="450">
        <v>2020</v>
      </c>
      <c r="I127" s="450">
        <v>2021</v>
      </c>
      <c r="J127" s="450">
        <v>2022</v>
      </c>
      <c r="K127" s="450">
        <v>2023</v>
      </c>
      <c r="L127" s="450">
        <v>2024</v>
      </c>
      <c r="M127" s="450">
        <v>2025</v>
      </c>
      <c r="N127" s="450">
        <v>2026</v>
      </c>
      <c r="O127" s="450">
        <v>2027</v>
      </c>
      <c r="P127" s="450">
        <v>2028</v>
      </c>
      <c r="Q127" s="450">
        <v>2029</v>
      </c>
      <c r="R127" s="450">
        <v>2030</v>
      </c>
      <c r="S127" s="450">
        <v>2031</v>
      </c>
      <c r="T127" s="450">
        <v>2032</v>
      </c>
      <c r="U127" s="450">
        <v>2033</v>
      </c>
      <c r="V127" s="450">
        <v>2034</v>
      </c>
      <c r="W127" s="450">
        <v>2035</v>
      </c>
      <c r="X127" s="450">
        <v>2036</v>
      </c>
      <c r="Y127" s="450">
        <v>2037</v>
      </c>
      <c r="Z127" s="450">
        <v>2038</v>
      </c>
      <c r="AA127" s="450">
        <v>2039</v>
      </c>
      <c r="AB127" s="450">
        <v>2040</v>
      </c>
      <c r="AC127" s="450">
        <v>2041</v>
      </c>
      <c r="AD127" s="450">
        <v>2042</v>
      </c>
      <c r="AE127" s="450">
        <v>2043</v>
      </c>
      <c r="AF127" s="450">
        <v>2044</v>
      </c>
      <c r="AG127" s="450">
        <v>2045</v>
      </c>
      <c r="AH127" s="423"/>
      <c r="AI127" s="423"/>
    </row>
    <row r="128" spans="1:35" hidden="1" x14ac:dyDescent="0.25">
      <c r="A128" s="451">
        <v>1</v>
      </c>
      <c r="B128" s="449" t="s">
        <v>122</v>
      </c>
      <c r="C128" s="451">
        <v>0</v>
      </c>
      <c r="D128" s="449"/>
      <c r="E128" s="541">
        <f t="shared" ref="E128:E138" si="53">$C128*E$9</f>
        <v>0</v>
      </c>
      <c r="F128" s="541">
        <f t="shared" ref="F128:AG137" si="54">$C128*F$9</f>
        <v>0</v>
      </c>
      <c r="G128" s="541">
        <f t="shared" si="54"/>
        <v>0</v>
      </c>
      <c r="H128" s="541">
        <f t="shared" si="54"/>
        <v>0</v>
      </c>
      <c r="I128" s="541">
        <f t="shared" si="54"/>
        <v>0</v>
      </c>
      <c r="J128" s="541">
        <f t="shared" si="54"/>
        <v>0</v>
      </c>
      <c r="K128" s="541">
        <f t="shared" si="54"/>
        <v>0</v>
      </c>
      <c r="L128" s="541">
        <f t="shared" si="54"/>
        <v>0</v>
      </c>
      <c r="M128" s="541">
        <f t="shared" si="54"/>
        <v>0</v>
      </c>
      <c r="N128" s="541">
        <f t="shared" si="54"/>
        <v>0</v>
      </c>
      <c r="O128" s="541">
        <f t="shared" si="54"/>
        <v>0</v>
      </c>
      <c r="P128" s="541">
        <f t="shared" si="54"/>
        <v>0</v>
      </c>
      <c r="Q128" s="541">
        <f t="shared" si="54"/>
        <v>0</v>
      </c>
      <c r="R128" s="541">
        <f t="shared" si="54"/>
        <v>0</v>
      </c>
      <c r="S128" s="541">
        <f t="shared" si="54"/>
        <v>0</v>
      </c>
      <c r="T128" s="541">
        <f t="shared" si="54"/>
        <v>0</v>
      </c>
      <c r="U128" s="541">
        <f t="shared" si="54"/>
        <v>0</v>
      </c>
      <c r="V128" s="541">
        <f t="shared" si="54"/>
        <v>0</v>
      </c>
      <c r="W128" s="541">
        <f t="shared" si="54"/>
        <v>0</v>
      </c>
      <c r="X128" s="541">
        <f t="shared" si="54"/>
        <v>0</v>
      </c>
      <c r="Y128" s="541">
        <f t="shared" si="54"/>
        <v>0</v>
      </c>
      <c r="Z128" s="541">
        <f t="shared" si="54"/>
        <v>0</v>
      </c>
      <c r="AA128" s="541">
        <f t="shared" si="54"/>
        <v>0</v>
      </c>
      <c r="AB128" s="541">
        <f t="shared" si="54"/>
        <v>0</v>
      </c>
      <c r="AC128" s="541">
        <f t="shared" si="54"/>
        <v>0</v>
      </c>
      <c r="AD128" s="541">
        <f t="shared" si="54"/>
        <v>0</v>
      </c>
      <c r="AE128" s="541">
        <f t="shared" si="54"/>
        <v>0</v>
      </c>
      <c r="AF128" s="541">
        <f t="shared" si="54"/>
        <v>0</v>
      </c>
      <c r="AG128" s="541">
        <f t="shared" si="54"/>
        <v>0</v>
      </c>
      <c r="AH128" s="423"/>
      <c r="AI128" s="423"/>
    </row>
    <row r="129" spans="1:35" hidden="1" x14ac:dyDescent="0.25">
      <c r="A129" s="451">
        <v>2</v>
      </c>
      <c r="B129" s="449" t="s">
        <v>83</v>
      </c>
      <c r="C129" s="451">
        <v>0</v>
      </c>
      <c r="D129" s="449"/>
      <c r="E129" s="541">
        <f t="shared" si="53"/>
        <v>0</v>
      </c>
      <c r="F129" s="541">
        <f t="shared" ref="F129:T129" si="55">$C129*F$9</f>
        <v>0</v>
      </c>
      <c r="G129" s="541">
        <f t="shared" si="55"/>
        <v>0</v>
      </c>
      <c r="H129" s="541">
        <f t="shared" si="55"/>
        <v>0</v>
      </c>
      <c r="I129" s="541">
        <f t="shared" si="55"/>
        <v>0</v>
      </c>
      <c r="J129" s="541">
        <f t="shared" si="55"/>
        <v>0</v>
      </c>
      <c r="K129" s="541">
        <f t="shared" si="55"/>
        <v>0</v>
      </c>
      <c r="L129" s="541">
        <f t="shared" si="55"/>
        <v>0</v>
      </c>
      <c r="M129" s="541">
        <f t="shared" si="55"/>
        <v>0</v>
      </c>
      <c r="N129" s="541">
        <f t="shared" si="55"/>
        <v>0</v>
      </c>
      <c r="O129" s="541">
        <f t="shared" si="55"/>
        <v>0</v>
      </c>
      <c r="P129" s="541">
        <f t="shared" si="55"/>
        <v>0</v>
      </c>
      <c r="Q129" s="541">
        <f t="shared" si="55"/>
        <v>0</v>
      </c>
      <c r="R129" s="541">
        <f t="shared" si="55"/>
        <v>0</v>
      </c>
      <c r="S129" s="541">
        <f t="shared" si="55"/>
        <v>0</v>
      </c>
      <c r="T129" s="541">
        <f t="shared" si="55"/>
        <v>0</v>
      </c>
      <c r="U129" s="541">
        <f t="shared" si="54"/>
        <v>0</v>
      </c>
      <c r="V129" s="541">
        <f t="shared" si="54"/>
        <v>0</v>
      </c>
      <c r="W129" s="541">
        <f t="shared" si="54"/>
        <v>0</v>
      </c>
      <c r="X129" s="541">
        <f t="shared" si="54"/>
        <v>0</v>
      </c>
      <c r="Y129" s="541">
        <f t="shared" si="54"/>
        <v>0</v>
      </c>
      <c r="Z129" s="541">
        <f t="shared" si="54"/>
        <v>0</v>
      </c>
      <c r="AA129" s="541">
        <f t="shared" si="54"/>
        <v>0</v>
      </c>
      <c r="AB129" s="541">
        <f t="shared" si="54"/>
        <v>0</v>
      </c>
      <c r="AC129" s="541">
        <f t="shared" si="54"/>
        <v>0</v>
      </c>
      <c r="AD129" s="541">
        <f t="shared" si="54"/>
        <v>0</v>
      </c>
      <c r="AE129" s="541">
        <f t="shared" si="54"/>
        <v>0</v>
      </c>
      <c r="AF129" s="541">
        <f t="shared" si="54"/>
        <v>0</v>
      </c>
      <c r="AG129" s="541">
        <f t="shared" si="54"/>
        <v>0</v>
      </c>
      <c r="AH129" s="423"/>
      <c r="AI129" s="423"/>
    </row>
    <row r="130" spans="1:35" hidden="1" x14ac:dyDescent="0.25">
      <c r="A130" s="451">
        <v>3</v>
      </c>
      <c r="B130" s="449" t="s">
        <v>84</v>
      </c>
      <c r="C130" s="451">
        <v>0</v>
      </c>
      <c r="D130" s="449"/>
      <c r="E130" s="541">
        <f t="shared" si="53"/>
        <v>0</v>
      </c>
      <c r="F130" s="541">
        <f t="shared" si="54"/>
        <v>0</v>
      </c>
      <c r="G130" s="541">
        <f t="shared" si="54"/>
        <v>0</v>
      </c>
      <c r="H130" s="541">
        <f t="shared" si="54"/>
        <v>0</v>
      </c>
      <c r="I130" s="541">
        <f t="shared" si="54"/>
        <v>0</v>
      </c>
      <c r="J130" s="541">
        <f t="shared" si="54"/>
        <v>0</v>
      </c>
      <c r="K130" s="541">
        <f t="shared" si="54"/>
        <v>0</v>
      </c>
      <c r="L130" s="541">
        <f t="shared" si="54"/>
        <v>0</v>
      </c>
      <c r="M130" s="541">
        <f t="shared" si="54"/>
        <v>0</v>
      </c>
      <c r="N130" s="541">
        <f t="shared" si="54"/>
        <v>0</v>
      </c>
      <c r="O130" s="541">
        <f t="shared" si="54"/>
        <v>0</v>
      </c>
      <c r="P130" s="541">
        <f t="shared" si="54"/>
        <v>0</v>
      </c>
      <c r="Q130" s="541">
        <f t="shared" si="54"/>
        <v>0</v>
      </c>
      <c r="R130" s="541">
        <f t="shared" si="54"/>
        <v>0</v>
      </c>
      <c r="S130" s="541">
        <f t="shared" si="54"/>
        <v>0</v>
      </c>
      <c r="T130" s="541">
        <f t="shared" si="54"/>
        <v>0</v>
      </c>
      <c r="U130" s="541">
        <f t="shared" si="54"/>
        <v>0</v>
      </c>
      <c r="V130" s="541">
        <f t="shared" si="54"/>
        <v>0</v>
      </c>
      <c r="W130" s="541">
        <f t="shared" si="54"/>
        <v>0</v>
      </c>
      <c r="X130" s="541">
        <f t="shared" si="54"/>
        <v>0</v>
      </c>
      <c r="Y130" s="541">
        <f t="shared" si="54"/>
        <v>0</v>
      </c>
      <c r="Z130" s="541">
        <f t="shared" si="54"/>
        <v>0</v>
      </c>
      <c r="AA130" s="541">
        <f t="shared" si="54"/>
        <v>0</v>
      </c>
      <c r="AB130" s="541">
        <f t="shared" si="54"/>
        <v>0</v>
      </c>
      <c r="AC130" s="541">
        <f t="shared" si="54"/>
        <v>0</v>
      </c>
      <c r="AD130" s="541">
        <f t="shared" si="54"/>
        <v>0</v>
      </c>
      <c r="AE130" s="541">
        <f t="shared" si="54"/>
        <v>0</v>
      </c>
      <c r="AF130" s="541">
        <f t="shared" si="54"/>
        <v>0</v>
      </c>
      <c r="AG130" s="541">
        <f t="shared" si="54"/>
        <v>0</v>
      </c>
      <c r="AH130" s="423"/>
      <c r="AI130" s="423"/>
    </row>
    <row r="131" spans="1:35" hidden="1" x14ac:dyDescent="0.25">
      <c r="A131" s="451">
        <v>4</v>
      </c>
      <c r="B131" s="449" t="s">
        <v>85</v>
      </c>
      <c r="C131" s="451">
        <v>0</v>
      </c>
      <c r="D131" s="449"/>
      <c r="E131" s="541">
        <f t="shared" si="53"/>
        <v>0</v>
      </c>
      <c r="F131" s="541">
        <f t="shared" si="54"/>
        <v>0</v>
      </c>
      <c r="G131" s="541">
        <f t="shared" si="54"/>
        <v>0</v>
      </c>
      <c r="H131" s="541">
        <f t="shared" si="54"/>
        <v>0</v>
      </c>
      <c r="I131" s="541">
        <f t="shared" si="54"/>
        <v>0</v>
      </c>
      <c r="J131" s="541">
        <f t="shared" si="54"/>
        <v>0</v>
      </c>
      <c r="K131" s="541">
        <f t="shared" si="54"/>
        <v>0</v>
      </c>
      <c r="L131" s="541">
        <f t="shared" si="54"/>
        <v>0</v>
      </c>
      <c r="M131" s="541">
        <f t="shared" si="54"/>
        <v>0</v>
      </c>
      <c r="N131" s="541">
        <f t="shared" si="54"/>
        <v>0</v>
      </c>
      <c r="O131" s="541">
        <f t="shared" si="54"/>
        <v>0</v>
      </c>
      <c r="P131" s="541">
        <f t="shared" si="54"/>
        <v>0</v>
      </c>
      <c r="Q131" s="541">
        <f t="shared" si="54"/>
        <v>0</v>
      </c>
      <c r="R131" s="541">
        <f t="shared" si="54"/>
        <v>0</v>
      </c>
      <c r="S131" s="541">
        <f t="shared" si="54"/>
        <v>0</v>
      </c>
      <c r="T131" s="541">
        <f t="shared" si="54"/>
        <v>0</v>
      </c>
      <c r="U131" s="541">
        <f t="shared" si="54"/>
        <v>0</v>
      </c>
      <c r="V131" s="541">
        <f t="shared" si="54"/>
        <v>0</v>
      </c>
      <c r="W131" s="541">
        <f t="shared" si="54"/>
        <v>0</v>
      </c>
      <c r="X131" s="541">
        <f t="shared" si="54"/>
        <v>0</v>
      </c>
      <c r="Y131" s="541">
        <f t="shared" si="54"/>
        <v>0</v>
      </c>
      <c r="Z131" s="541">
        <f t="shared" si="54"/>
        <v>0</v>
      </c>
      <c r="AA131" s="541">
        <f t="shared" si="54"/>
        <v>0</v>
      </c>
      <c r="AB131" s="541">
        <f t="shared" si="54"/>
        <v>0</v>
      </c>
      <c r="AC131" s="541">
        <f t="shared" si="54"/>
        <v>0</v>
      </c>
      <c r="AD131" s="541">
        <f t="shared" si="54"/>
        <v>0</v>
      </c>
      <c r="AE131" s="541">
        <f t="shared" si="54"/>
        <v>0</v>
      </c>
      <c r="AF131" s="541">
        <f t="shared" si="54"/>
        <v>0</v>
      </c>
      <c r="AG131" s="541">
        <f t="shared" si="54"/>
        <v>0</v>
      </c>
      <c r="AH131" s="423"/>
      <c r="AI131" s="423"/>
    </row>
    <row r="132" spans="1:35" hidden="1" x14ac:dyDescent="0.25">
      <c r="A132" s="451">
        <v>5</v>
      </c>
      <c r="B132" s="449" t="s">
        <v>86</v>
      </c>
      <c r="C132" s="451">
        <v>0</v>
      </c>
      <c r="D132" s="449"/>
      <c r="E132" s="541">
        <f t="shared" si="53"/>
        <v>0</v>
      </c>
      <c r="F132" s="541">
        <f t="shared" si="54"/>
        <v>0</v>
      </c>
      <c r="G132" s="541">
        <f t="shared" si="54"/>
        <v>0</v>
      </c>
      <c r="H132" s="541">
        <f t="shared" si="54"/>
        <v>0</v>
      </c>
      <c r="I132" s="541">
        <f t="shared" si="54"/>
        <v>0</v>
      </c>
      <c r="J132" s="541">
        <f t="shared" si="54"/>
        <v>0</v>
      </c>
      <c r="K132" s="541">
        <f t="shared" si="54"/>
        <v>0</v>
      </c>
      <c r="L132" s="541">
        <f t="shared" si="54"/>
        <v>0</v>
      </c>
      <c r="M132" s="541">
        <f t="shared" si="54"/>
        <v>0</v>
      </c>
      <c r="N132" s="541">
        <f t="shared" si="54"/>
        <v>0</v>
      </c>
      <c r="O132" s="541">
        <f t="shared" si="54"/>
        <v>0</v>
      </c>
      <c r="P132" s="541">
        <f t="shared" si="54"/>
        <v>0</v>
      </c>
      <c r="Q132" s="541">
        <f t="shared" si="54"/>
        <v>0</v>
      </c>
      <c r="R132" s="541">
        <f t="shared" si="54"/>
        <v>0</v>
      </c>
      <c r="S132" s="541">
        <f t="shared" si="54"/>
        <v>0</v>
      </c>
      <c r="T132" s="541">
        <f t="shared" si="54"/>
        <v>0</v>
      </c>
      <c r="U132" s="541">
        <f t="shared" si="54"/>
        <v>0</v>
      </c>
      <c r="V132" s="541">
        <f t="shared" si="54"/>
        <v>0</v>
      </c>
      <c r="W132" s="541">
        <f t="shared" si="54"/>
        <v>0</v>
      </c>
      <c r="X132" s="541">
        <f t="shared" si="54"/>
        <v>0</v>
      </c>
      <c r="Y132" s="541">
        <f t="shared" si="54"/>
        <v>0</v>
      </c>
      <c r="Z132" s="541">
        <f t="shared" si="54"/>
        <v>0</v>
      </c>
      <c r="AA132" s="541">
        <f t="shared" si="54"/>
        <v>0</v>
      </c>
      <c r="AB132" s="541">
        <f t="shared" si="54"/>
        <v>0</v>
      </c>
      <c r="AC132" s="541">
        <f t="shared" si="54"/>
        <v>0</v>
      </c>
      <c r="AD132" s="541">
        <f t="shared" si="54"/>
        <v>0</v>
      </c>
      <c r="AE132" s="541">
        <f t="shared" si="54"/>
        <v>0</v>
      </c>
      <c r="AF132" s="541">
        <f t="shared" si="54"/>
        <v>0</v>
      </c>
      <c r="AG132" s="541">
        <f t="shared" si="54"/>
        <v>0</v>
      </c>
      <c r="AH132" s="423"/>
      <c r="AI132" s="423"/>
    </row>
    <row r="133" spans="1:35" hidden="1" x14ac:dyDescent="0.25">
      <c r="A133" s="451">
        <v>6</v>
      </c>
      <c r="B133" s="449" t="s">
        <v>87</v>
      </c>
      <c r="C133" s="451">
        <v>0</v>
      </c>
      <c r="D133" s="449"/>
      <c r="E133" s="541">
        <f t="shared" si="53"/>
        <v>0</v>
      </c>
      <c r="F133" s="541">
        <f t="shared" si="54"/>
        <v>0</v>
      </c>
      <c r="G133" s="541">
        <f t="shared" si="54"/>
        <v>0</v>
      </c>
      <c r="H133" s="541">
        <f t="shared" si="54"/>
        <v>0</v>
      </c>
      <c r="I133" s="541">
        <f t="shared" si="54"/>
        <v>0</v>
      </c>
      <c r="J133" s="541">
        <f t="shared" si="54"/>
        <v>0</v>
      </c>
      <c r="K133" s="541">
        <f t="shared" si="54"/>
        <v>0</v>
      </c>
      <c r="L133" s="541">
        <f t="shared" si="54"/>
        <v>0</v>
      </c>
      <c r="M133" s="541">
        <f t="shared" si="54"/>
        <v>0</v>
      </c>
      <c r="N133" s="541">
        <f t="shared" si="54"/>
        <v>0</v>
      </c>
      <c r="O133" s="541">
        <f t="shared" si="54"/>
        <v>0</v>
      </c>
      <c r="P133" s="541">
        <f t="shared" si="54"/>
        <v>0</v>
      </c>
      <c r="Q133" s="541">
        <f t="shared" si="54"/>
        <v>0</v>
      </c>
      <c r="R133" s="541">
        <f t="shared" si="54"/>
        <v>0</v>
      </c>
      <c r="S133" s="541">
        <f t="shared" si="54"/>
        <v>0</v>
      </c>
      <c r="T133" s="541">
        <f t="shared" si="54"/>
        <v>0</v>
      </c>
      <c r="U133" s="541">
        <f t="shared" si="54"/>
        <v>0</v>
      </c>
      <c r="V133" s="541">
        <f t="shared" si="54"/>
        <v>0</v>
      </c>
      <c r="W133" s="541">
        <f t="shared" si="54"/>
        <v>0</v>
      </c>
      <c r="X133" s="541">
        <f t="shared" si="54"/>
        <v>0</v>
      </c>
      <c r="Y133" s="541">
        <f t="shared" si="54"/>
        <v>0</v>
      </c>
      <c r="Z133" s="541">
        <f t="shared" si="54"/>
        <v>0</v>
      </c>
      <c r="AA133" s="541">
        <f t="shared" si="54"/>
        <v>0</v>
      </c>
      <c r="AB133" s="541">
        <f t="shared" si="54"/>
        <v>0</v>
      </c>
      <c r="AC133" s="541">
        <f t="shared" si="54"/>
        <v>0</v>
      </c>
      <c r="AD133" s="541">
        <f t="shared" si="54"/>
        <v>0</v>
      </c>
      <c r="AE133" s="541">
        <f t="shared" si="54"/>
        <v>0</v>
      </c>
      <c r="AF133" s="541">
        <f t="shared" si="54"/>
        <v>0</v>
      </c>
      <c r="AG133" s="541">
        <f t="shared" si="54"/>
        <v>0</v>
      </c>
      <c r="AH133" s="423"/>
      <c r="AI133" s="423"/>
    </row>
    <row r="134" spans="1:35" hidden="1" x14ac:dyDescent="0.25">
      <c r="A134" s="451">
        <v>7</v>
      </c>
      <c r="B134" s="449" t="s">
        <v>88</v>
      </c>
      <c r="C134" s="451">
        <v>0</v>
      </c>
      <c r="D134" s="449"/>
      <c r="E134" s="541">
        <f t="shared" si="53"/>
        <v>0</v>
      </c>
      <c r="F134" s="541">
        <f t="shared" si="54"/>
        <v>0</v>
      </c>
      <c r="G134" s="541">
        <f t="shared" si="54"/>
        <v>0</v>
      </c>
      <c r="H134" s="541">
        <f t="shared" si="54"/>
        <v>0</v>
      </c>
      <c r="I134" s="541">
        <f t="shared" si="54"/>
        <v>0</v>
      </c>
      <c r="J134" s="541">
        <f t="shared" si="54"/>
        <v>0</v>
      </c>
      <c r="K134" s="541">
        <f t="shared" si="54"/>
        <v>0</v>
      </c>
      <c r="L134" s="541">
        <f t="shared" si="54"/>
        <v>0</v>
      </c>
      <c r="M134" s="541">
        <f t="shared" si="54"/>
        <v>0</v>
      </c>
      <c r="N134" s="541">
        <f t="shared" si="54"/>
        <v>0</v>
      </c>
      <c r="O134" s="541">
        <f t="shared" si="54"/>
        <v>0</v>
      </c>
      <c r="P134" s="541">
        <f t="shared" si="54"/>
        <v>0</v>
      </c>
      <c r="Q134" s="541">
        <f t="shared" si="54"/>
        <v>0</v>
      </c>
      <c r="R134" s="541">
        <f t="shared" si="54"/>
        <v>0</v>
      </c>
      <c r="S134" s="541">
        <f t="shared" si="54"/>
        <v>0</v>
      </c>
      <c r="T134" s="541">
        <f t="shared" si="54"/>
        <v>0</v>
      </c>
      <c r="U134" s="541">
        <f t="shared" si="54"/>
        <v>0</v>
      </c>
      <c r="V134" s="541">
        <f t="shared" si="54"/>
        <v>0</v>
      </c>
      <c r="W134" s="541">
        <f t="shared" si="54"/>
        <v>0</v>
      </c>
      <c r="X134" s="541">
        <f t="shared" si="54"/>
        <v>0</v>
      </c>
      <c r="Y134" s="541">
        <f t="shared" si="54"/>
        <v>0</v>
      </c>
      <c r="Z134" s="541">
        <f t="shared" si="54"/>
        <v>0</v>
      </c>
      <c r="AA134" s="541">
        <f t="shared" si="54"/>
        <v>0</v>
      </c>
      <c r="AB134" s="541">
        <f t="shared" si="54"/>
        <v>0</v>
      </c>
      <c r="AC134" s="541">
        <f t="shared" si="54"/>
        <v>0</v>
      </c>
      <c r="AD134" s="541">
        <f t="shared" si="54"/>
        <v>0</v>
      </c>
      <c r="AE134" s="541">
        <f t="shared" si="54"/>
        <v>0</v>
      </c>
      <c r="AF134" s="541">
        <f t="shared" si="54"/>
        <v>0</v>
      </c>
      <c r="AG134" s="541">
        <f t="shared" si="54"/>
        <v>0</v>
      </c>
      <c r="AH134" s="423"/>
      <c r="AI134" s="423"/>
    </row>
    <row r="135" spans="1:35" hidden="1" x14ac:dyDescent="0.25">
      <c r="A135" s="451">
        <v>8</v>
      </c>
      <c r="B135" s="449" t="s">
        <v>89</v>
      </c>
      <c r="C135" s="451">
        <v>0</v>
      </c>
      <c r="D135" s="449"/>
      <c r="E135" s="541">
        <f t="shared" si="53"/>
        <v>0</v>
      </c>
      <c r="F135" s="541">
        <f t="shared" si="54"/>
        <v>0</v>
      </c>
      <c r="G135" s="541">
        <f t="shared" si="54"/>
        <v>0</v>
      </c>
      <c r="H135" s="541">
        <f t="shared" si="54"/>
        <v>0</v>
      </c>
      <c r="I135" s="541">
        <f t="shared" si="54"/>
        <v>0</v>
      </c>
      <c r="J135" s="541">
        <f t="shared" si="54"/>
        <v>0</v>
      </c>
      <c r="K135" s="541">
        <f t="shared" si="54"/>
        <v>0</v>
      </c>
      <c r="L135" s="541">
        <f t="shared" si="54"/>
        <v>0</v>
      </c>
      <c r="M135" s="541">
        <f t="shared" si="54"/>
        <v>0</v>
      </c>
      <c r="N135" s="541">
        <f t="shared" si="54"/>
        <v>0</v>
      </c>
      <c r="O135" s="541">
        <f t="shared" si="54"/>
        <v>0</v>
      </c>
      <c r="P135" s="541">
        <f t="shared" si="54"/>
        <v>0</v>
      </c>
      <c r="Q135" s="541">
        <f t="shared" si="54"/>
        <v>0</v>
      </c>
      <c r="R135" s="541">
        <f t="shared" si="54"/>
        <v>0</v>
      </c>
      <c r="S135" s="541">
        <f t="shared" si="54"/>
        <v>0</v>
      </c>
      <c r="T135" s="541">
        <f t="shared" si="54"/>
        <v>0</v>
      </c>
      <c r="U135" s="541">
        <f t="shared" si="54"/>
        <v>0</v>
      </c>
      <c r="V135" s="541">
        <f t="shared" si="54"/>
        <v>0</v>
      </c>
      <c r="W135" s="541">
        <f t="shared" si="54"/>
        <v>0</v>
      </c>
      <c r="X135" s="541">
        <f t="shared" si="54"/>
        <v>0</v>
      </c>
      <c r="Y135" s="541">
        <f t="shared" si="54"/>
        <v>0</v>
      </c>
      <c r="Z135" s="541">
        <f t="shared" si="54"/>
        <v>0</v>
      </c>
      <c r="AA135" s="541">
        <f t="shared" si="54"/>
        <v>0</v>
      </c>
      <c r="AB135" s="541">
        <f t="shared" si="54"/>
        <v>0</v>
      </c>
      <c r="AC135" s="541">
        <f t="shared" si="54"/>
        <v>0</v>
      </c>
      <c r="AD135" s="541">
        <f t="shared" si="54"/>
        <v>0</v>
      </c>
      <c r="AE135" s="541">
        <f t="shared" si="54"/>
        <v>0</v>
      </c>
      <c r="AF135" s="541">
        <f t="shared" si="54"/>
        <v>0</v>
      </c>
      <c r="AG135" s="541">
        <f t="shared" si="54"/>
        <v>0</v>
      </c>
      <c r="AH135" s="423"/>
      <c r="AI135" s="423"/>
    </row>
    <row r="136" spans="1:35" hidden="1" x14ac:dyDescent="0.25">
      <c r="A136" s="451">
        <v>9</v>
      </c>
      <c r="B136" s="449" t="s">
        <v>90</v>
      </c>
      <c r="C136" s="451">
        <v>0</v>
      </c>
      <c r="D136" s="449"/>
      <c r="E136" s="541">
        <f t="shared" si="53"/>
        <v>0</v>
      </c>
      <c r="F136" s="541">
        <f t="shared" si="54"/>
        <v>0</v>
      </c>
      <c r="G136" s="541">
        <f t="shared" si="54"/>
        <v>0</v>
      </c>
      <c r="H136" s="541">
        <f t="shared" si="54"/>
        <v>0</v>
      </c>
      <c r="I136" s="541">
        <f t="shared" si="54"/>
        <v>0</v>
      </c>
      <c r="J136" s="541">
        <f t="shared" si="54"/>
        <v>0</v>
      </c>
      <c r="K136" s="541">
        <f t="shared" si="54"/>
        <v>0</v>
      </c>
      <c r="L136" s="541">
        <f t="shared" si="54"/>
        <v>0</v>
      </c>
      <c r="M136" s="541">
        <f t="shared" si="54"/>
        <v>0</v>
      </c>
      <c r="N136" s="541">
        <f t="shared" si="54"/>
        <v>0</v>
      </c>
      <c r="O136" s="541">
        <f t="shared" si="54"/>
        <v>0</v>
      </c>
      <c r="P136" s="541">
        <f t="shared" si="54"/>
        <v>0</v>
      </c>
      <c r="Q136" s="541">
        <f t="shared" si="54"/>
        <v>0</v>
      </c>
      <c r="R136" s="541">
        <f t="shared" si="54"/>
        <v>0</v>
      </c>
      <c r="S136" s="541">
        <f t="shared" si="54"/>
        <v>0</v>
      </c>
      <c r="T136" s="541">
        <f t="shared" si="54"/>
        <v>0</v>
      </c>
      <c r="U136" s="541">
        <f t="shared" si="54"/>
        <v>0</v>
      </c>
      <c r="V136" s="541">
        <f t="shared" si="54"/>
        <v>0</v>
      </c>
      <c r="W136" s="541">
        <f t="shared" si="54"/>
        <v>0</v>
      </c>
      <c r="X136" s="541">
        <f t="shared" si="54"/>
        <v>0</v>
      </c>
      <c r="Y136" s="541">
        <f t="shared" si="54"/>
        <v>0</v>
      </c>
      <c r="Z136" s="541">
        <f t="shared" si="54"/>
        <v>0</v>
      </c>
      <c r="AA136" s="541">
        <f t="shared" si="54"/>
        <v>0</v>
      </c>
      <c r="AB136" s="541">
        <f t="shared" si="54"/>
        <v>0</v>
      </c>
      <c r="AC136" s="541">
        <f t="shared" si="54"/>
        <v>0</v>
      </c>
      <c r="AD136" s="541">
        <f t="shared" si="54"/>
        <v>0</v>
      </c>
      <c r="AE136" s="541">
        <f t="shared" si="54"/>
        <v>0</v>
      </c>
      <c r="AF136" s="541">
        <f t="shared" si="54"/>
        <v>0</v>
      </c>
      <c r="AG136" s="541">
        <f t="shared" si="54"/>
        <v>0</v>
      </c>
      <c r="AH136" s="423"/>
      <c r="AI136" s="423"/>
    </row>
    <row r="137" spans="1:35" hidden="1" x14ac:dyDescent="0.25">
      <c r="A137" s="451">
        <v>10</v>
      </c>
      <c r="B137" s="449" t="s">
        <v>91</v>
      </c>
      <c r="C137" s="451">
        <v>1</v>
      </c>
      <c r="D137" s="449"/>
      <c r="E137" s="541">
        <f t="shared" si="53"/>
        <v>0</v>
      </c>
      <c r="F137" s="541">
        <f t="shared" si="54"/>
        <v>0</v>
      </c>
      <c r="G137" s="541">
        <f t="shared" si="54"/>
        <v>0</v>
      </c>
      <c r="H137" s="541">
        <f t="shared" si="54"/>
        <v>0</v>
      </c>
      <c r="I137" s="541">
        <f t="shared" si="54"/>
        <v>0</v>
      </c>
      <c r="J137" s="541">
        <f t="shared" si="54"/>
        <v>0</v>
      </c>
      <c r="K137" s="541">
        <f t="shared" si="54"/>
        <v>0</v>
      </c>
      <c r="L137" s="541">
        <f t="shared" si="54"/>
        <v>0</v>
      </c>
      <c r="M137" s="541">
        <f t="shared" si="54"/>
        <v>0</v>
      </c>
      <c r="N137" s="541">
        <f t="shared" si="54"/>
        <v>0</v>
      </c>
      <c r="O137" s="541">
        <f t="shared" si="54"/>
        <v>0</v>
      </c>
      <c r="P137" s="541">
        <f t="shared" si="54"/>
        <v>0</v>
      </c>
      <c r="Q137" s="541">
        <f t="shared" si="54"/>
        <v>0</v>
      </c>
      <c r="R137" s="541">
        <f t="shared" si="54"/>
        <v>0</v>
      </c>
      <c r="S137" s="541">
        <f t="shared" si="54"/>
        <v>0</v>
      </c>
      <c r="T137" s="541">
        <f t="shared" si="54"/>
        <v>0</v>
      </c>
      <c r="U137" s="541">
        <f t="shared" si="54"/>
        <v>0</v>
      </c>
      <c r="V137" s="541">
        <f t="shared" si="54"/>
        <v>0</v>
      </c>
      <c r="W137" s="541">
        <f t="shared" si="54"/>
        <v>0</v>
      </c>
      <c r="X137" s="541">
        <f t="shared" ref="X137:AG137" si="56">$C137*X$9</f>
        <v>0</v>
      </c>
      <c r="Y137" s="541">
        <f t="shared" si="56"/>
        <v>0</v>
      </c>
      <c r="Z137" s="541">
        <f t="shared" si="56"/>
        <v>0</v>
      </c>
      <c r="AA137" s="541">
        <f t="shared" si="56"/>
        <v>0</v>
      </c>
      <c r="AB137" s="541">
        <f t="shared" si="56"/>
        <v>0</v>
      </c>
      <c r="AC137" s="541">
        <f t="shared" si="56"/>
        <v>0</v>
      </c>
      <c r="AD137" s="541">
        <f t="shared" si="56"/>
        <v>0</v>
      </c>
      <c r="AE137" s="541">
        <f t="shared" si="56"/>
        <v>0</v>
      </c>
      <c r="AF137" s="541">
        <f t="shared" si="56"/>
        <v>0</v>
      </c>
      <c r="AG137" s="541">
        <f t="shared" si="56"/>
        <v>0</v>
      </c>
      <c r="AH137" s="423"/>
      <c r="AI137" s="423"/>
    </row>
    <row r="138" spans="1:35" ht="15.75" hidden="1" customHeight="1" x14ac:dyDescent="0.25">
      <c r="A138" s="451">
        <v>11</v>
      </c>
      <c r="B138" s="449" t="s">
        <v>92</v>
      </c>
      <c r="C138" s="451">
        <v>0</v>
      </c>
      <c r="D138" s="449"/>
      <c r="E138" s="541">
        <f t="shared" si="53"/>
        <v>0</v>
      </c>
      <c r="F138" s="541">
        <f t="shared" ref="F138:T138" si="57">$C138*F$9</f>
        <v>0</v>
      </c>
      <c r="G138" s="541">
        <f t="shared" si="57"/>
        <v>0</v>
      </c>
      <c r="H138" s="541">
        <f t="shared" si="57"/>
        <v>0</v>
      </c>
      <c r="I138" s="541">
        <f t="shared" si="57"/>
        <v>0</v>
      </c>
      <c r="J138" s="541">
        <f t="shared" si="57"/>
        <v>0</v>
      </c>
      <c r="K138" s="541">
        <f t="shared" si="57"/>
        <v>0</v>
      </c>
      <c r="L138" s="541">
        <f t="shared" si="57"/>
        <v>0</v>
      </c>
      <c r="M138" s="541">
        <f t="shared" si="57"/>
        <v>0</v>
      </c>
      <c r="N138" s="541">
        <f t="shared" si="57"/>
        <v>0</v>
      </c>
      <c r="O138" s="541">
        <f t="shared" si="57"/>
        <v>0</v>
      </c>
      <c r="P138" s="541">
        <f t="shared" si="57"/>
        <v>0</v>
      </c>
      <c r="Q138" s="541">
        <f t="shared" si="57"/>
        <v>0</v>
      </c>
      <c r="R138" s="541">
        <f t="shared" si="57"/>
        <v>0</v>
      </c>
      <c r="S138" s="541">
        <f t="shared" si="57"/>
        <v>0</v>
      </c>
      <c r="T138" s="541">
        <f t="shared" si="57"/>
        <v>0</v>
      </c>
      <c r="U138" s="541">
        <f t="shared" ref="U138:AG138" si="58">$C138*U$9</f>
        <v>0</v>
      </c>
      <c r="V138" s="541">
        <f t="shared" si="58"/>
        <v>0</v>
      </c>
      <c r="W138" s="541">
        <f t="shared" si="58"/>
        <v>0</v>
      </c>
      <c r="X138" s="541">
        <f t="shared" si="58"/>
        <v>0</v>
      </c>
      <c r="Y138" s="541">
        <f t="shared" si="58"/>
        <v>0</v>
      </c>
      <c r="Z138" s="541">
        <f t="shared" si="58"/>
        <v>0</v>
      </c>
      <c r="AA138" s="541">
        <f t="shared" si="58"/>
        <v>0</v>
      </c>
      <c r="AB138" s="541">
        <f t="shared" si="58"/>
        <v>0</v>
      </c>
      <c r="AC138" s="541">
        <f t="shared" si="58"/>
        <v>0</v>
      </c>
      <c r="AD138" s="541">
        <f t="shared" si="58"/>
        <v>0</v>
      </c>
      <c r="AE138" s="541">
        <f t="shared" si="58"/>
        <v>0</v>
      </c>
      <c r="AF138" s="541">
        <f t="shared" si="58"/>
        <v>0</v>
      </c>
      <c r="AG138" s="541">
        <f t="shared" si="58"/>
        <v>0</v>
      </c>
      <c r="AH138" s="423"/>
      <c r="AI138" s="423"/>
    </row>
    <row r="139" spans="1:35" hidden="1" x14ac:dyDescent="0.25">
      <c r="A139" s="449"/>
      <c r="B139" s="449" t="s">
        <v>67</v>
      </c>
      <c r="C139" s="451" t="s">
        <v>0</v>
      </c>
      <c r="D139" s="449"/>
      <c r="E139" s="541">
        <f t="shared" ref="E139:AG139" si="59">SUM(E128:E138)</f>
        <v>0</v>
      </c>
      <c r="F139" s="541">
        <f t="shared" si="59"/>
        <v>0</v>
      </c>
      <c r="G139" s="541">
        <f t="shared" si="59"/>
        <v>0</v>
      </c>
      <c r="H139" s="541">
        <f t="shared" si="59"/>
        <v>0</v>
      </c>
      <c r="I139" s="541">
        <f t="shared" si="59"/>
        <v>0</v>
      </c>
      <c r="J139" s="541">
        <f t="shared" si="59"/>
        <v>0</v>
      </c>
      <c r="K139" s="541">
        <f t="shared" si="59"/>
        <v>0</v>
      </c>
      <c r="L139" s="541">
        <f t="shared" si="59"/>
        <v>0</v>
      </c>
      <c r="M139" s="541">
        <f t="shared" si="59"/>
        <v>0</v>
      </c>
      <c r="N139" s="541">
        <f t="shared" si="59"/>
        <v>0</v>
      </c>
      <c r="O139" s="541">
        <f t="shared" si="59"/>
        <v>0</v>
      </c>
      <c r="P139" s="541">
        <f t="shared" si="59"/>
        <v>0</v>
      </c>
      <c r="Q139" s="541">
        <f t="shared" si="59"/>
        <v>0</v>
      </c>
      <c r="R139" s="541">
        <f t="shared" si="59"/>
        <v>0</v>
      </c>
      <c r="S139" s="541">
        <f t="shared" si="59"/>
        <v>0</v>
      </c>
      <c r="T139" s="541">
        <f t="shared" si="59"/>
        <v>0</v>
      </c>
      <c r="U139" s="541">
        <f t="shared" si="59"/>
        <v>0</v>
      </c>
      <c r="V139" s="541">
        <f t="shared" si="59"/>
        <v>0</v>
      </c>
      <c r="W139" s="541">
        <f t="shared" si="59"/>
        <v>0</v>
      </c>
      <c r="X139" s="541">
        <f t="shared" si="59"/>
        <v>0</v>
      </c>
      <c r="Y139" s="541">
        <f t="shared" si="59"/>
        <v>0</v>
      </c>
      <c r="Z139" s="541">
        <f t="shared" si="59"/>
        <v>0</v>
      </c>
      <c r="AA139" s="541">
        <f t="shared" si="59"/>
        <v>0</v>
      </c>
      <c r="AB139" s="541">
        <f t="shared" si="59"/>
        <v>0</v>
      </c>
      <c r="AC139" s="541">
        <f t="shared" si="59"/>
        <v>0</v>
      </c>
      <c r="AD139" s="541">
        <f t="shared" si="59"/>
        <v>0</v>
      </c>
      <c r="AE139" s="541">
        <f t="shared" si="59"/>
        <v>0</v>
      </c>
      <c r="AF139" s="541">
        <f t="shared" si="59"/>
        <v>0</v>
      </c>
      <c r="AG139" s="541">
        <f t="shared" si="59"/>
        <v>0</v>
      </c>
      <c r="AH139" s="423"/>
      <c r="AI139" s="423"/>
    </row>
    <row r="140" spans="1:35" hidden="1" x14ac:dyDescent="0.25">
      <c r="A140" s="449"/>
      <c r="B140" s="449"/>
      <c r="C140" s="451"/>
      <c r="D140" s="449"/>
      <c r="E140" s="538"/>
      <c r="F140" s="538"/>
      <c r="G140" s="538"/>
      <c r="H140" s="538"/>
      <c r="I140" s="538"/>
      <c r="J140" s="538"/>
      <c r="K140" s="538"/>
      <c r="L140" s="538"/>
      <c r="M140" s="538"/>
      <c r="N140" s="538"/>
      <c r="O140" s="538"/>
      <c r="P140" s="538"/>
      <c r="Q140" s="538"/>
      <c r="R140" s="538"/>
      <c r="S140" s="538"/>
      <c r="T140" s="538"/>
      <c r="U140" s="538"/>
      <c r="V140" s="538"/>
      <c r="W140" s="538"/>
      <c r="X140" s="538"/>
      <c r="Y140" s="538"/>
      <c r="Z140" s="538"/>
      <c r="AA140" s="538"/>
      <c r="AB140" s="538"/>
      <c r="AC140" s="538"/>
      <c r="AD140" s="538"/>
      <c r="AE140" s="538"/>
      <c r="AF140" s="538"/>
      <c r="AG140" s="538"/>
      <c r="AH140" s="423"/>
      <c r="AI140" s="423"/>
    </row>
    <row r="141" spans="1:35" hidden="1" x14ac:dyDescent="0.25">
      <c r="A141" s="449"/>
      <c r="B141" s="449" t="s">
        <v>50</v>
      </c>
      <c r="C141" s="451"/>
      <c r="D141" s="449"/>
      <c r="E141" s="538"/>
      <c r="F141" s="538"/>
      <c r="G141" s="538"/>
      <c r="H141" s="538"/>
      <c r="I141" s="538"/>
      <c r="J141" s="538"/>
      <c r="K141" s="538"/>
      <c r="L141" s="538"/>
      <c r="M141" s="538"/>
      <c r="N141" s="538"/>
      <c r="O141" s="538"/>
      <c r="P141" s="538"/>
      <c r="Q141" s="538"/>
      <c r="R141" s="538"/>
      <c r="S141" s="538"/>
      <c r="T141" s="538"/>
      <c r="U141" s="538"/>
      <c r="V141" s="538"/>
      <c r="W141" s="538"/>
      <c r="X141" s="538"/>
      <c r="Y141" s="538"/>
      <c r="Z141" s="538"/>
      <c r="AA141" s="538"/>
      <c r="AB141" s="538"/>
      <c r="AC141" s="538"/>
      <c r="AD141" s="538"/>
      <c r="AE141" s="538"/>
      <c r="AF141" s="538"/>
      <c r="AG141" s="538"/>
      <c r="AH141" s="423"/>
      <c r="AI141" s="423"/>
    </row>
    <row r="142" spans="1:35" hidden="1" x14ac:dyDescent="0.25">
      <c r="A142" s="449"/>
      <c r="B142" s="449" t="s">
        <v>80</v>
      </c>
      <c r="C142" s="451" t="s">
        <v>81</v>
      </c>
      <c r="D142" s="449"/>
      <c r="E142" s="450">
        <v>2017</v>
      </c>
      <c r="F142" s="450">
        <v>2018</v>
      </c>
      <c r="G142" s="450">
        <v>2019</v>
      </c>
      <c r="H142" s="450">
        <v>2020</v>
      </c>
      <c r="I142" s="450">
        <v>2021</v>
      </c>
      <c r="J142" s="450">
        <v>2022</v>
      </c>
      <c r="K142" s="450">
        <v>2023</v>
      </c>
      <c r="L142" s="450">
        <v>2024</v>
      </c>
      <c r="M142" s="450">
        <v>2025</v>
      </c>
      <c r="N142" s="450">
        <v>2026</v>
      </c>
      <c r="O142" s="450">
        <v>2027</v>
      </c>
      <c r="P142" s="450">
        <v>2028</v>
      </c>
      <c r="Q142" s="450">
        <v>2029</v>
      </c>
      <c r="R142" s="450">
        <v>2030</v>
      </c>
      <c r="S142" s="450">
        <v>2031</v>
      </c>
      <c r="T142" s="450">
        <v>2032</v>
      </c>
      <c r="U142" s="450">
        <v>2033</v>
      </c>
      <c r="V142" s="450">
        <v>2034</v>
      </c>
      <c r="W142" s="450">
        <v>2035</v>
      </c>
      <c r="X142" s="450">
        <v>2036</v>
      </c>
      <c r="Y142" s="450">
        <v>2037</v>
      </c>
      <c r="Z142" s="450">
        <v>2038</v>
      </c>
      <c r="AA142" s="450">
        <v>2039</v>
      </c>
      <c r="AB142" s="450">
        <v>2040</v>
      </c>
      <c r="AC142" s="450">
        <v>2041</v>
      </c>
      <c r="AD142" s="450">
        <v>2042</v>
      </c>
      <c r="AE142" s="450">
        <v>2043</v>
      </c>
      <c r="AF142" s="450">
        <v>2044</v>
      </c>
      <c r="AG142" s="450">
        <v>2045</v>
      </c>
      <c r="AH142" s="423"/>
      <c r="AI142" s="423"/>
    </row>
    <row r="143" spans="1:35" hidden="1" x14ac:dyDescent="0.25">
      <c r="A143" s="451">
        <v>1</v>
      </c>
      <c r="B143" s="449" t="s">
        <v>122</v>
      </c>
      <c r="C143" s="451">
        <v>0</v>
      </c>
      <c r="D143" s="449"/>
      <c r="E143" s="541">
        <f t="shared" ref="E143:E153" si="60">$C143*E$10</f>
        <v>0</v>
      </c>
      <c r="F143" s="541">
        <f t="shared" ref="F143:AG152" si="61">$C143*F$10</f>
        <v>0</v>
      </c>
      <c r="G143" s="541">
        <f t="shared" si="61"/>
        <v>0</v>
      </c>
      <c r="H143" s="541">
        <f t="shared" si="61"/>
        <v>0</v>
      </c>
      <c r="I143" s="541">
        <f t="shared" si="61"/>
        <v>0</v>
      </c>
      <c r="J143" s="541">
        <f t="shared" si="61"/>
        <v>0</v>
      </c>
      <c r="K143" s="541">
        <f t="shared" si="61"/>
        <v>0</v>
      </c>
      <c r="L143" s="541">
        <f t="shared" si="61"/>
        <v>0</v>
      </c>
      <c r="M143" s="541">
        <f t="shared" si="61"/>
        <v>0</v>
      </c>
      <c r="N143" s="541">
        <f t="shared" si="61"/>
        <v>0</v>
      </c>
      <c r="O143" s="541">
        <f t="shared" si="61"/>
        <v>0</v>
      </c>
      <c r="P143" s="541">
        <f t="shared" si="61"/>
        <v>0</v>
      </c>
      <c r="Q143" s="541">
        <f t="shared" si="61"/>
        <v>0</v>
      </c>
      <c r="R143" s="541">
        <f t="shared" si="61"/>
        <v>0</v>
      </c>
      <c r="S143" s="541">
        <f t="shared" si="61"/>
        <v>0</v>
      </c>
      <c r="T143" s="541">
        <f t="shared" si="61"/>
        <v>0</v>
      </c>
      <c r="U143" s="541">
        <f t="shared" si="61"/>
        <v>0</v>
      </c>
      <c r="V143" s="541">
        <f t="shared" si="61"/>
        <v>0</v>
      </c>
      <c r="W143" s="541">
        <f t="shared" si="61"/>
        <v>0</v>
      </c>
      <c r="X143" s="541">
        <f t="shared" si="61"/>
        <v>0</v>
      </c>
      <c r="Y143" s="541">
        <f t="shared" si="61"/>
        <v>0</v>
      </c>
      <c r="Z143" s="541">
        <f t="shared" si="61"/>
        <v>0</v>
      </c>
      <c r="AA143" s="541">
        <f t="shared" si="61"/>
        <v>0</v>
      </c>
      <c r="AB143" s="541">
        <f t="shared" si="61"/>
        <v>0</v>
      </c>
      <c r="AC143" s="541">
        <f t="shared" si="61"/>
        <v>0</v>
      </c>
      <c r="AD143" s="541">
        <f t="shared" si="61"/>
        <v>0</v>
      </c>
      <c r="AE143" s="541">
        <f t="shared" si="61"/>
        <v>0</v>
      </c>
      <c r="AF143" s="541">
        <f t="shared" si="61"/>
        <v>0</v>
      </c>
      <c r="AG143" s="541">
        <f t="shared" si="61"/>
        <v>0</v>
      </c>
      <c r="AH143" s="423"/>
      <c r="AI143" s="423"/>
    </row>
    <row r="144" spans="1:35" hidden="1" x14ac:dyDescent="0.25">
      <c r="A144" s="451">
        <v>2</v>
      </c>
      <c r="B144" s="449" t="s">
        <v>83</v>
      </c>
      <c r="C144" s="451">
        <v>0</v>
      </c>
      <c r="D144" s="449"/>
      <c r="E144" s="541">
        <f t="shared" si="60"/>
        <v>0</v>
      </c>
      <c r="F144" s="541">
        <f t="shared" ref="F144:T144" si="62">$C144*F$10</f>
        <v>0</v>
      </c>
      <c r="G144" s="541">
        <f t="shared" si="62"/>
        <v>0</v>
      </c>
      <c r="H144" s="541">
        <f t="shared" si="62"/>
        <v>0</v>
      </c>
      <c r="I144" s="541">
        <f t="shared" si="62"/>
        <v>0</v>
      </c>
      <c r="J144" s="541">
        <f t="shared" si="62"/>
        <v>0</v>
      </c>
      <c r="K144" s="541">
        <f t="shared" si="62"/>
        <v>0</v>
      </c>
      <c r="L144" s="541">
        <f t="shared" si="62"/>
        <v>0</v>
      </c>
      <c r="M144" s="541">
        <f t="shared" si="62"/>
        <v>0</v>
      </c>
      <c r="N144" s="541">
        <f t="shared" si="62"/>
        <v>0</v>
      </c>
      <c r="O144" s="541">
        <f t="shared" si="62"/>
        <v>0</v>
      </c>
      <c r="P144" s="541">
        <f t="shared" si="62"/>
        <v>0</v>
      </c>
      <c r="Q144" s="541">
        <f t="shared" si="62"/>
        <v>0</v>
      </c>
      <c r="R144" s="541">
        <f t="shared" si="62"/>
        <v>0</v>
      </c>
      <c r="S144" s="541">
        <f t="shared" si="62"/>
        <v>0</v>
      </c>
      <c r="T144" s="541">
        <f t="shared" si="62"/>
        <v>0</v>
      </c>
      <c r="U144" s="541">
        <f t="shared" si="61"/>
        <v>0</v>
      </c>
      <c r="V144" s="541">
        <f t="shared" si="61"/>
        <v>0</v>
      </c>
      <c r="W144" s="541">
        <f t="shared" si="61"/>
        <v>0</v>
      </c>
      <c r="X144" s="541">
        <f t="shared" si="61"/>
        <v>0</v>
      </c>
      <c r="Y144" s="541">
        <f t="shared" si="61"/>
        <v>0</v>
      </c>
      <c r="Z144" s="541">
        <f t="shared" si="61"/>
        <v>0</v>
      </c>
      <c r="AA144" s="541">
        <f t="shared" si="61"/>
        <v>0</v>
      </c>
      <c r="AB144" s="541">
        <f t="shared" si="61"/>
        <v>0</v>
      </c>
      <c r="AC144" s="541">
        <f t="shared" si="61"/>
        <v>0</v>
      </c>
      <c r="AD144" s="541">
        <f t="shared" si="61"/>
        <v>0</v>
      </c>
      <c r="AE144" s="541">
        <f t="shared" si="61"/>
        <v>0</v>
      </c>
      <c r="AF144" s="541">
        <f t="shared" si="61"/>
        <v>0</v>
      </c>
      <c r="AG144" s="541">
        <f t="shared" si="61"/>
        <v>0</v>
      </c>
      <c r="AH144" s="423"/>
      <c r="AI144" s="423"/>
    </row>
    <row r="145" spans="1:35" hidden="1" x14ac:dyDescent="0.25">
      <c r="A145" s="451">
        <v>3</v>
      </c>
      <c r="B145" s="449" t="s">
        <v>84</v>
      </c>
      <c r="C145" s="451">
        <v>0</v>
      </c>
      <c r="D145" s="449"/>
      <c r="E145" s="541">
        <f t="shared" si="60"/>
        <v>0</v>
      </c>
      <c r="F145" s="541">
        <f t="shared" si="61"/>
        <v>0</v>
      </c>
      <c r="G145" s="541">
        <f t="shared" si="61"/>
        <v>0</v>
      </c>
      <c r="H145" s="541">
        <f t="shared" si="61"/>
        <v>0</v>
      </c>
      <c r="I145" s="541">
        <f t="shared" si="61"/>
        <v>0</v>
      </c>
      <c r="J145" s="541">
        <f t="shared" si="61"/>
        <v>0</v>
      </c>
      <c r="K145" s="541">
        <f t="shared" si="61"/>
        <v>0</v>
      </c>
      <c r="L145" s="541">
        <f t="shared" si="61"/>
        <v>0</v>
      </c>
      <c r="M145" s="541">
        <f t="shared" si="61"/>
        <v>0</v>
      </c>
      <c r="N145" s="541">
        <f t="shared" si="61"/>
        <v>0</v>
      </c>
      <c r="O145" s="541">
        <f t="shared" si="61"/>
        <v>0</v>
      </c>
      <c r="P145" s="541">
        <f t="shared" si="61"/>
        <v>0</v>
      </c>
      <c r="Q145" s="541">
        <f t="shared" si="61"/>
        <v>0</v>
      </c>
      <c r="R145" s="541">
        <f t="shared" si="61"/>
        <v>0</v>
      </c>
      <c r="S145" s="541">
        <f t="shared" si="61"/>
        <v>0</v>
      </c>
      <c r="T145" s="541">
        <f t="shared" si="61"/>
        <v>0</v>
      </c>
      <c r="U145" s="541">
        <f t="shared" si="61"/>
        <v>0</v>
      </c>
      <c r="V145" s="541">
        <f t="shared" si="61"/>
        <v>0</v>
      </c>
      <c r="W145" s="541">
        <f t="shared" si="61"/>
        <v>0</v>
      </c>
      <c r="X145" s="541">
        <f t="shared" si="61"/>
        <v>0</v>
      </c>
      <c r="Y145" s="541">
        <f t="shared" si="61"/>
        <v>0</v>
      </c>
      <c r="Z145" s="541">
        <f t="shared" si="61"/>
        <v>0</v>
      </c>
      <c r="AA145" s="541">
        <f t="shared" si="61"/>
        <v>0</v>
      </c>
      <c r="AB145" s="541">
        <f t="shared" si="61"/>
        <v>0</v>
      </c>
      <c r="AC145" s="541">
        <f t="shared" si="61"/>
        <v>0</v>
      </c>
      <c r="AD145" s="541">
        <f t="shared" si="61"/>
        <v>0</v>
      </c>
      <c r="AE145" s="541">
        <f t="shared" si="61"/>
        <v>0</v>
      </c>
      <c r="AF145" s="541">
        <f t="shared" si="61"/>
        <v>0</v>
      </c>
      <c r="AG145" s="541">
        <f t="shared" si="61"/>
        <v>0</v>
      </c>
      <c r="AH145" s="423"/>
      <c r="AI145" s="423"/>
    </row>
    <row r="146" spans="1:35" hidden="1" x14ac:dyDescent="0.25">
      <c r="A146" s="451">
        <v>4</v>
      </c>
      <c r="B146" s="449" t="s">
        <v>85</v>
      </c>
      <c r="C146" s="451">
        <v>0</v>
      </c>
      <c r="D146" s="449"/>
      <c r="E146" s="541">
        <f t="shared" si="60"/>
        <v>0</v>
      </c>
      <c r="F146" s="541">
        <f t="shared" si="61"/>
        <v>0</v>
      </c>
      <c r="G146" s="541">
        <f t="shared" si="61"/>
        <v>0</v>
      </c>
      <c r="H146" s="541">
        <f t="shared" si="61"/>
        <v>0</v>
      </c>
      <c r="I146" s="541">
        <f t="shared" si="61"/>
        <v>0</v>
      </c>
      <c r="J146" s="541">
        <f t="shared" si="61"/>
        <v>0</v>
      </c>
      <c r="K146" s="541">
        <f t="shared" si="61"/>
        <v>0</v>
      </c>
      <c r="L146" s="541">
        <f t="shared" si="61"/>
        <v>0</v>
      </c>
      <c r="M146" s="541">
        <f t="shared" si="61"/>
        <v>0</v>
      </c>
      <c r="N146" s="541">
        <f t="shared" si="61"/>
        <v>0</v>
      </c>
      <c r="O146" s="541">
        <f t="shared" si="61"/>
        <v>0</v>
      </c>
      <c r="P146" s="541">
        <f t="shared" si="61"/>
        <v>0</v>
      </c>
      <c r="Q146" s="541">
        <f t="shared" si="61"/>
        <v>0</v>
      </c>
      <c r="R146" s="541">
        <f t="shared" si="61"/>
        <v>0</v>
      </c>
      <c r="S146" s="541">
        <f t="shared" si="61"/>
        <v>0</v>
      </c>
      <c r="T146" s="541">
        <f t="shared" si="61"/>
        <v>0</v>
      </c>
      <c r="U146" s="541">
        <f t="shared" si="61"/>
        <v>0</v>
      </c>
      <c r="V146" s="541">
        <f t="shared" si="61"/>
        <v>0</v>
      </c>
      <c r="W146" s="541">
        <f t="shared" si="61"/>
        <v>0</v>
      </c>
      <c r="X146" s="541">
        <f t="shared" si="61"/>
        <v>0</v>
      </c>
      <c r="Y146" s="541">
        <f t="shared" si="61"/>
        <v>0</v>
      </c>
      <c r="Z146" s="541">
        <f t="shared" si="61"/>
        <v>0</v>
      </c>
      <c r="AA146" s="541">
        <f t="shared" si="61"/>
        <v>0</v>
      </c>
      <c r="AB146" s="541">
        <f t="shared" si="61"/>
        <v>0</v>
      </c>
      <c r="AC146" s="541">
        <f t="shared" si="61"/>
        <v>0</v>
      </c>
      <c r="AD146" s="541">
        <f t="shared" si="61"/>
        <v>0</v>
      </c>
      <c r="AE146" s="541">
        <f t="shared" si="61"/>
        <v>0</v>
      </c>
      <c r="AF146" s="541">
        <f t="shared" si="61"/>
        <v>0</v>
      </c>
      <c r="AG146" s="541">
        <f t="shared" si="61"/>
        <v>0</v>
      </c>
      <c r="AH146" s="423"/>
      <c r="AI146" s="423"/>
    </row>
    <row r="147" spans="1:35" hidden="1" x14ac:dyDescent="0.25">
      <c r="A147" s="451">
        <v>5</v>
      </c>
      <c r="B147" s="449" t="s">
        <v>86</v>
      </c>
      <c r="C147" s="451">
        <v>0</v>
      </c>
      <c r="D147" s="449"/>
      <c r="E147" s="541">
        <f t="shared" si="60"/>
        <v>0</v>
      </c>
      <c r="F147" s="541">
        <f t="shared" si="61"/>
        <v>0</v>
      </c>
      <c r="G147" s="541">
        <f t="shared" si="61"/>
        <v>0</v>
      </c>
      <c r="H147" s="541">
        <f t="shared" si="61"/>
        <v>0</v>
      </c>
      <c r="I147" s="541">
        <f t="shared" si="61"/>
        <v>0</v>
      </c>
      <c r="J147" s="541">
        <f t="shared" si="61"/>
        <v>0</v>
      </c>
      <c r="K147" s="541">
        <f t="shared" si="61"/>
        <v>0</v>
      </c>
      <c r="L147" s="541">
        <f t="shared" si="61"/>
        <v>0</v>
      </c>
      <c r="M147" s="541">
        <f t="shared" si="61"/>
        <v>0</v>
      </c>
      <c r="N147" s="541">
        <f t="shared" si="61"/>
        <v>0</v>
      </c>
      <c r="O147" s="541">
        <f t="shared" si="61"/>
        <v>0</v>
      </c>
      <c r="P147" s="541">
        <f t="shared" si="61"/>
        <v>0</v>
      </c>
      <c r="Q147" s="541">
        <f t="shared" si="61"/>
        <v>0</v>
      </c>
      <c r="R147" s="541">
        <f t="shared" si="61"/>
        <v>0</v>
      </c>
      <c r="S147" s="541">
        <f t="shared" si="61"/>
        <v>0</v>
      </c>
      <c r="T147" s="541">
        <f t="shared" si="61"/>
        <v>0</v>
      </c>
      <c r="U147" s="541">
        <f t="shared" si="61"/>
        <v>0</v>
      </c>
      <c r="V147" s="541">
        <f t="shared" si="61"/>
        <v>0</v>
      </c>
      <c r="W147" s="541">
        <f t="shared" si="61"/>
        <v>0</v>
      </c>
      <c r="X147" s="541">
        <f t="shared" si="61"/>
        <v>0</v>
      </c>
      <c r="Y147" s="541">
        <f t="shared" si="61"/>
        <v>0</v>
      </c>
      <c r="Z147" s="541">
        <f t="shared" si="61"/>
        <v>0</v>
      </c>
      <c r="AA147" s="541">
        <f t="shared" si="61"/>
        <v>0</v>
      </c>
      <c r="AB147" s="541">
        <f t="shared" si="61"/>
        <v>0</v>
      </c>
      <c r="AC147" s="541">
        <f t="shared" si="61"/>
        <v>0</v>
      </c>
      <c r="AD147" s="541">
        <f t="shared" si="61"/>
        <v>0</v>
      </c>
      <c r="AE147" s="541">
        <f t="shared" si="61"/>
        <v>0</v>
      </c>
      <c r="AF147" s="541">
        <f t="shared" si="61"/>
        <v>0</v>
      </c>
      <c r="AG147" s="541">
        <f t="shared" si="61"/>
        <v>0</v>
      </c>
      <c r="AH147" s="423"/>
      <c r="AI147" s="423"/>
    </row>
    <row r="148" spans="1:35" hidden="1" x14ac:dyDescent="0.25">
      <c r="A148" s="451">
        <v>6</v>
      </c>
      <c r="B148" s="449" t="s">
        <v>87</v>
      </c>
      <c r="C148" s="451">
        <v>0</v>
      </c>
      <c r="D148" s="449"/>
      <c r="E148" s="541">
        <f t="shared" si="60"/>
        <v>0</v>
      </c>
      <c r="F148" s="541">
        <f t="shared" si="61"/>
        <v>0</v>
      </c>
      <c r="G148" s="541">
        <f t="shared" si="61"/>
        <v>0</v>
      </c>
      <c r="H148" s="541">
        <f t="shared" si="61"/>
        <v>0</v>
      </c>
      <c r="I148" s="541">
        <f t="shared" si="61"/>
        <v>0</v>
      </c>
      <c r="J148" s="541">
        <f t="shared" si="61"/>
        <v>0</v>
      </c>
      <c r="K148" s="541">
        <f t="shared" si="61"/>
        <v>0</v>
      </c>
      <c r="L148" s="541">
        <f t="shared" si="61"/>
        <v>0</v>
      </c>
      <c r="M148" s="541">
        <f t="shared" si="61"/>
        <v>0</v>
      </c>
      <c r="N148" s="541">
        <f t="shared" si="61"/>
        <v>0</v>
      </c>
      <c r="O148" s="541">
        <f t="shared" si="61"/>
        <v>0</v>
      </c>
      <c r="P148" s="541">
        <f t="shared" si="61"/>
        <v>0</v>
      </c>
      <c r="Q148" s="541">
        <f t="shared" si="61"/>
        <v>0</v>
      </c>
      <c r="R148" s="541">
        <f t="shared" si="61"/>
        <v>0</v>
      </c>
      <c r="S148" s="541">
        <f t="shared" si="61"/>
        <v>0</v>
      </c>
      <c r="T148" s="541">
        <f t="shared" si="61"/>
        <v>0</v>
      </c>
      <c r="U148" s="541">
        <f t="shared" si="61"/>
        <v>0</v>
      </c>
      <c r="V148" s="541">
        <f t="shared" si="61"/>
        <v>0</v>
      </c>
      <c r="W148" s="541">
        <f t="shared" si="61"/>
        <v>0</v>
      </c>
      <c r="X148" s="541">
        <f t="shared" si="61"/>
        <v>0</v>
      </c>
      <c r="Y148" s="541">
        <f t="shared" si="61"/>
        <v>0</v>
      </c>
      <c r="Z148" s="541">
        <f t="shared" si="61"/>
        <v>0</v>
      </c>
      <c r="AA148" s="541">
        <f t="shared" si="61"/>
        <v>0</v>
      </c>
      <c r="AB148" s="541">
        <f t="shared" si="61"/>
        <v>0</v>
      </c>
      <c r="AC148" s="541">
        <f t="shared" si="61"/>
        <v>0</v>
      </c>
      <c r="AD148" s="541">
        <f t="shared" si="61"/>
        <v>0</v>
      </c>
      <c r="AE148" s="541">
        <f t="shared" si="61"/>
        <v>0</v>
      </c>
      <c r="AF148" s="541">
        <f t="shared" si="61"/>
        <v>0</v>
      </c>
      <c r="AG148" s="541">
        <f t="shared" si="61"/>
        <v>0</v>
      </c>
      <c r="AH148" s="423"/>
      <c r="AI148" s="423"/>
    </row>
    <row r="149" spans="1:35" hidden="1" x14ac:dyDescent="0.25">
      <c r="A149" s="451">
        <v>7</v>
      </c>
      <c r="B149" s="449" t="s">
        <v>88</v>
      </c>
      <c r="C149" s="451">
        <v>0</v>
      </c>
      <c r="D149" s="449"/>
      <c r="E149" s="541">
        <f t="shared" si="60"/>
        <v>0</v>
      </c>
      <c r="F149" s="541">
        <f t="shared" si="61"/>
        <v>0</v>
      </c>
      <c r="G149" s="541">
        <f t="shared" si="61"/>
        <v>0</v>
      </c>
      <c r="H149" s="541">
        <f t="shared" si="61"/>
        <v>0</v>
      </c>
      <c r="I149" s="541">
        <f t="shared" si="61"/>
        <v>0</v>
      </c>
      <c r="J149" s="541">
        <f t="shared" si="61"/>
        <v>0</v>
      </c>
      <c r="K149" s="541">
        <f t="shared" si="61"/>
        <v>0</v>
      </c>
      <c r="L149" s="541">
        <f t="shared" si="61"/>
        <v>0</v>
      </c>
      <c r="M149" s="541">
        <f t="shared" si="61"/>
        <v>0</v>
      </c>
      <c r="N149" s="541">
        <f t="shared" si="61"/>
        <v>0</v>
      </c>
      <c r="O149" s="541">
        <f t="shared" si="61"/>
        <v>0</v>
      </c>
      <c r="P149" s="541">
        <f t="shared" si="61"/>
        <v>0</v>
      </c>
      <c r="Q149" s="541">
        <f t="shared" si="61"/>
        <v>0</v>
      </c>
      <c r="R149" s="541">
        <f t="shared" si="61"/>
        <v>0</v>
      </c>
      <c r="S149" s="541">
        <f t="shared" si="61"/>
        <v>0</v>
      </c>
      <c r="T149" s="541">
        <f t="shared" si="61"/>
        <v>0</v>
      </c>
      <c r="U149" s="541">
        <f t="shared" si="61"/>
        <v>0</v>
      </c>
      <c r="V149" s="541">
        <f t="shared" si="61"/>
        <v>0</v>
      </c>
      <c r="W149" s="541">
        <f t="shared" si="61"/>
        <v>0</v>
      </c>
      <c r="X149" s="541">
        <f t="shared" si="61"/>
        <v>0</v>
      </c>
      <c r="Y149" s="541">
        <f t="shared" si="61"/>
        <v>0</v>
      </c>
      <c r="Z149" s="541">
        <f t="shared" si="61"/>
        <v>0</v>
      </c>
      <c r="AA149" s="541">
        <f t="shared" si="61"/>
        <v>0</v>
      </c>
      <c r="AB149" s="541">
        <f t="shared" si="61"/>
        <v>0</v>
      </c>
      <c r="AC149" s="541">
        <f t="shared" si="61"/>
        <v>0</v>
      </c>
      <c r="AD149" s="541">
        <f t="shared" si="61"/>
        <v>0</v>
      </c>
      <c r="AE149" s="541">
        <f t="shared" si="61"/>
        <v>0</v>
      </c>
      <c r="AF149" s="541">
        <f t="shared" si="61"/>
        <v>0</v>
      </c>
      <c r="AG149" s="541">
        <f t="shared" si="61"/>
        <v>0</v>
      </c>
      <c r="AH149" s="423"/>
      <c r="AI149" s="423"/>
    </row>
    <row r="150" spans="1:35" hidden="1" x14ac:dyDescent="0.25">
      <c r="A150" s="451">
        <v>8</v>
      </c>
      <c r="B150" s="449" t="s">
        <v>89</v>
      </c>
      <c r="C150" s="451">
        <v>0</v>
      </c>
      <c r="D150" s="449"/>
      <c r="E150" s="541">
        <f t="shared" si="60"/>
        <v>0</v>
      </c>
      <c r="F150" s="541">
        <f t="shared" si="61"/>
        <v>0</v>
      </c>
      <c r="G150" s="541">
        <f t="shared" si="61"/>
        <v>0</v>
      </c>
      <c r="H150" s="541">
        <f t="shared" si="61"/>
        <v>0</v>
      </c>
      <c r="I150" s="541">
        <f t="shared" si="61"/>
        <v>0</v>
      </c>
      <c r="J150" s="541">
        <f t="shared" si="61"/>
        <v>0</v>
      </c>
      <c r="K150" s="541">
        <f t="shared" si="61"/>
        <v>0</v>
      </c>
      <c r="L150" s="541">
        <f t="shared" si="61"/>
        <v>0</v>
      </c>
      <c r="M150" s="541">
        <f t="shared" si="61"/>
        <v>0</v>
      </c>
      <c r="N150" s="541">
        <f t="shared" si="61"/>
        <v>0</v>
      </c>
      <c r="O150" s="541">
        <f t="shared" si="61"/>
        <v>0</v>
      </c>
      <c r="P150" s="541">
        <f t="shared" si="61"/>
        <v>0</v>
      </c>
      <c r="Q150" s="541">
        <f t="shared" si="61"/>
        <v>0</v>
      </c>
      <c r="R150" s="541">
        <f t="shared" si="61"/>
        <v>0</v>
      </c>
      <c r="S150" s="541">
        <f t="shared" si="61"/>
        <v>0</v>
      </c>
      <c r="T150" s="541">
        <f t="shared" si="61"/>
        <v>0</v>
      </c>
      <c r="U150" s="541">
        <f t="shared" si="61"/>
        <v>0</v>
      </c>
      <c r="V150" s="541">
        <f t="shared" si="61"/>
        <v>0</v>
      </c>
      <c r="W150" s="541">
        <f t="shared" si="61"/>
        <v>0</v>
      </c>
      <c r="X150" s="541">
        <f t="shared" si="61"/>
        <v>0</v>
      </c>
      <c r="Y150" s="541">
        <f t="shared" si="61"/>
        <v>0</v>
      </c>
      <c r="Z150" s="541">
        <f t="shared" si="61"/>
        <v>0</v>
      </c>
      <c r="AA150" s="541">
        <f t="shared" si="61"/>
        <v>0</v>
      </c>
      <c r="AB150" s="541">
        <f t="shared" si="61"/>
        <v>0</v>
      </c>
      <c r="AC150" s="541">
        <f t="shared" si="61"/>
        <v>0</v>
      </c>
      <c r="AD150" s="541">
        <f t="shared" si="61"/>
        <v>0</v>
      </c>
      <c r="AE150" s="541">
        <f t="shared" si="61"/>
        <v>0</v>
      </c>
      <c r="AF150" s="541">
        <f t="shared" si="61"/>
        <v>0</v>
      </c>
      <c r="AG150" s="541">
        <f t="shared" si="61"/>
        <v>0</v>
      </c>
      <c r="AH150" s="423"/>
      <c r="AI150" s="423"/>
    </row>
    <row r="151" spans="1:35" hidden="1" x14ac:dyDescent="0.25">
      <c r="A151" s="451">
        <v>9</v>
      </c>
      <c r="B151" s="449" t="s">
        <v>90</v>
      </c>
      <c r="C151" s="451">
        <v>0</v>
      </c>
      <c r="D151" s="449"/>
      <c r="E151" s="541">
        <f t="shared" si="60"/>
        <v>0</v>
      </c>
      <c r="F151" s="541">
        <f t="shared" si="61"/>
        <v>0</v>
      </c>
      <c r="G151" s="541">
        <f t="shared" si="61"/>
        <v>0</v>
      </c>
      <c r="H151" s="541">
        <f t="shared" si="61"/>
        <v>0</v>
      </c>
      <c r="I151" s="541">
        <f t="shared" si="61"/>
        <v>0</v>
      </c>
      <c r="J151" s="541">
        <f t="shared" si="61"/>
        <v>0</v>
      </c>
      <c r="K151" s="541">
        <f t="shared" si="61"/>
        <v>0</v>
      </c>
      <c r="L151" s="541">
        <f t="shared" si="61"/>
        <v>0</v>
      </c>
      <c r="M151" s="541">
        <f t="shared" si="61"/>
        <v>0</v>
      </c>
      <c r="N151" s="541">
        <f t="shared" si="61"/>
        <v>0</v>
      </c>
      <c r="O151" s="541">
        <f t="shared" si="61"/>
        <v>0</v>
      </c>
      <c r="P151" s="541">
        <f t="shared" si="61"/>
        <v>0</v>
      </c>
      <c r="Q151" s="541">
        <f t="shared" si="61"/>
        <v>0</v>
      </c>
      <c r="R151" s="541">
        <f t="shared" si="61"/>
        <v>0</v>
      </c>
      <c r="S151" s="541">
        <f t="shared" si="61"/>
        <v>0</v>
      </c>
      <c r="T151" s="541">
        <f t="shared" si="61"/>
        <v>0</v>
      </c>
      <c r="U151" s="541">
        <f t="shared" si="61"/>
        <v>0</v>
      </c>
      <c r="V151" s="541">
        <f t="shared" si="61"/>
        <v>0</v>
      </c>
      <c r="W151" s="541">
        <f t="shared" si="61"/>
        <v>0</v>
      </c>
      <c r="X151" s="541">
        <f t="shared" si="61"/>
        <v>0</v>
      </c>
      <c r="Y151" s="541">
        <f t="shared" si="61"/>
        <v>0</v>
      </c>
      <c r="Z151" s="541">
        <f t="shared" si="61"/>
        <v>0</v>
      </c>
      <c r="AA151" s="541">
        <f t="shared" si="61"/>
        <v>0</v>
      </c>
      <c r="AB151" s="541">
        <f t="shared" si="61"/>
        <v>0</v>
      </c>
      <c r="AC151" s="541">
        <f t="shared" si="61"/>
        <v>0</v>
      </c>
      <c r="AD151" s="541">
        <f t="shared" si="61"/>
        <v>0</v>
      </c>
      <c r="AE151" s="541">
        <f t="shared" si="61"/>
        <v>0</v>
      </c>
      <c r="AF151" s="541">
        <f t="shared" si="61"/>
        <v>0</v>
      </c>
      <c r="AG151" s="541">
        <f t="shared" si="61"/>
        <v>0</v>
      </c>
      <c r="AH151" s="423"/>
      <c r="AI151" s="423"/>
    </row>
    <row r="152" spans="1:35" hidden="1" x14ac:dyDescent="0.25">
      <c r="A152" s="451">
        <v>10</v>
      </c>
      <c r="B152" s="449" t="s">
        <v>91</v>
      </c>
      <c r="C152" s="451">
        <v>0</v>
      </c>
      <c r="D152" s="449"/>
      <c r="E152" s="541">
        <f t="shared" si="60"/>
        <v>0</v>
      </c>
      <c r="F152" s="541">
        <f t="shared" si="61"/>
        <v>0</v>
      </c>
      <c r="G152" s="541">
        <f t="shared" si="61"/>
        <v>0</v>
      </c>
      <c r="H152" s="541">
        <f t="shared" si="61"/>
        <v>0</v>
      </c>
      <c r="I152" s="541">
        <f t="shared" si="61"/>
        <v>0</v>
      </c>
      <c r="J152" s="541">
        <f t="shared" si="61"/>
        <v>0</v>
      </c>
      <c r="K152" s="541">
        <f t="shared" si="61"/>
        <v>0</v>
      </c>
      <c r="L152" s="541">
        <f t="shared" si="61"/>
        <v>0</v>
      </c>
      <c r="M152" s="541">
        <f t="shared" si="61"/>
        <v>0</v>
      </c>
      <c r="N152" s="541">
        <f t="shared" si="61"/>
        <v>0</v>
      </c>
      <c r="O152" s="541">
        <f t="shared" si="61"/>
        <v>0</v>
      </c>
      <c r="P152" s="541">
        <f t="shared" si="61"/>
        <v>0</v>
      </c>
      <c r="Q152" s="541">
        <f t="shared" si="61"/>
        <v>0</v>
      </c>
      <c r="R152" s="541">
        <f t="shared" si="61"/>
        <v>0</v>
      </c>
      <c r="S152" s="541">
        <f t="shared" si="61"/>
        <v>0</v>
      </c>
      <c r="T152" s="541">
        <f t="shared" si="61"/>
        <v>0</v>
      </c>
      <c r="U152" s="541">
        <f t="shared" si="61"/>
        <v>0</v>
      </c>
      <c r="V152" s="541">
        <f t="shared" si="61"/>
        <v>0</v>
      </c>
      <c r="W152" s="541">
        <f t="shared" si="61"/>
        <v>0</v>
      </c>
      <c r="X152" s="541">
        <f t="shared" ref="X152:AG152" si="63">$C152*X$10</f>
        <v>0</v>
      </c>
      <c r="Y152" s="541">
        <f t="shared" si="63"/>
        <v>0</v>
      </c>
      <c r="Z152" s="541">
        <f t="shared" si="63"/>
        <v>0</v>
      </c>
      <c r="AA152" s="541">
        <f t="shared" si="63"/>
        <v>0</v>
      </c>
      <c r="AB152" s="541">
        <f t="shared" si="63"/>
        <v>0</v>
      </c>
      <c r="AC152" s="541">
        <f t="shared" si="63"/>
        <v>0</v>
      </c>
      <c r="AD152" s="541">
        <f t="shared" si="63"/>
        <v>0</v>
      </c>
      <c r="AE152" s="541">
        <f t="shared" si="63"/>
        <v>0</v>
      </c>
      <c r="AF152" s="541">
        <f t="shared" si="63"/>
        <v>0</v>
      </c>
      <c r="AG152" s="541">
        <f t="shared" si="63"/>
        <v>0</v>
      </c>
      <c r="AH152" s="423"/>
      <c r="AI152" s="423"/>
    </row>
    <row r="153" spans="1:35" ht="15.75" hidden="1" customHeight="1" x14ac:dyDescent="0.25">
      <c r="A153" s="451">
        <v>11</v>
      </c>
      <c r="B153" s="449" t="s">
        <v>92</v>
      </c>
      <c r="C153" s="451">
        <v>1</v>
      </c>
      <c r="D153" s="449"/>
      <c r="E153" s="541">
        <f t="shared" si="60"/>
        <v>0</v>
      </c>
      <c r="F153" s="541">
        <f t="shared" ref="F153:T153" si="64">$C153*F$10</f>
        <v>0</v>
      </c>
      <c r="G153" s="541">
        <f t="shared" si="64"/>
        <v>0</v>
      </c>
      <c r="H153" s="541">
        <f t="shared" si="64"/>
        <v>0</v>
      </c>
      <c r="I153" s="541">
        <f t="shared" si="64"/>
        <v>0</v>
      </c>
      <c r="J153" s="541">
        <f t="shared" si="64"/>
        <v>0</v>
      </c>
      <c r="K153" s="541">
        <f t="shared" si="64"/>
        <v>0</v>
      </c>
      <c r="L153" s="541">
        <f t="shared" si="64"/>
        <v>0</v>
      </c>
      <c r="M153" s="541">
        <f t="shared" si="64"/>
        <v>0</v>
      </c>
      <c r="N153" s="541">
        <f t="shared" si="64"/>
        <v>0</v>
      </c>
      <c r="O153" s="541">
        <f t="shared" si="64"/>
        <v>0</v>
      </c>
      <c r="P153" s="541">
        <f t="shared" si="64"/>
        <v>0</v>
      </c>
      <c r="Q153" s="541">
        <f t="shared" si="64"/>
        <v>0</v>
      </c>
      <c r="R153" s="541">
        <f t="shared" si="64"/>
        <v>0</v>
      </c>
      <c r="S153" s="541">
        <f t="shared" si="64"/>
        <v>0</v>
      </c>
      <c r="T153" s="541">
        <f t="shared" si="64"/>
        <v>0</v>
      </c>
      <c r="U153" s="541">
        <f t="shared" ref="U153:AG153" si="65">$C153*U$10</f>
        <v>0</v>
      </c>
      <c r="V153" s="541">
        <f t="shared" si="65"/>
        <v>0</v>
      </c>
      <c r="W153" s="541">
        <f t="shared" si="65"/>
        <v>0</v>
      </c>
      <c r="X153" s="541">
        <f t="shared" si="65"/>
        <v>0</v>
      </c>
      <c r="Y153" s="541">
        <f t="shared" si="65"/>
        <v>0</v>
      </c>
      <c r="Z153" s="541">
        <f t="shared" si="65"/>
        <v>0</v>
      </c>
      <c r="AA153" s="541">
        <f t="shared" si="65"/>
        <v>0</v>
      </c>
      <c r="AB153" s="541">
        <f t="shared" si="65"/>
        <v>0</v>
      </c>
      <c r="AC153" s="541">
        <f t="shared" si="65"/>
        <v>0</v>
      </c>
      <c r="AD153" s="541">
        <f t="shared" si="65"/>
        <v>0</v>
      </c>
      <c r="AE153" s="541">
        <f t="shared" si="65"/>
        <v>0</v>
      </c>
      <c r="AF153" s="541">
        <f t="shared" si="65"/>
        <v>0</v>
      </c>
      <c r="AG153" s="541">
        <f t="shared" si="65"/>
        <v>0</v>
      </c>
      <c r="AH153" s="423"/>
      <c r="AI153" s="423"/>
    </row>
    <row r="154" spans="1:35" hidden="1" x14ac:dyDescent="0.25">
      <c r="A154" s="449"/>
      <c r="B154" s="449" t="s">
        <v>67</v>
      </c>
      <c r="C154" s="451" t="s">
        <v>0</v>
      </c>
      <c r="D154" s="449"/>
      <c r="E154" s="541">
        <f t="shared" ref="E154:AG154" si="66">SUM(E143:E153)</f>
        <v>0</v>
      </c>
      <c r="F154" s="541">
        <f t="shared" si="66"/>
        <v>0</v>
      </c>
      <c r="G154" s="541">
        <f t="shared" si="66"/>
        <v>0</v>
      </c>
      <c r="H154" s="541">
        <f t="shared" si="66"/>
        <v>0</v>
      </c>
      <c r="I154" s="541">
        <f t="shared" si="66"/>
        <v>0</v>
      </c>
      <c r="J154" s="541">
        <f t="shared" si="66"/>
        <v>0</v>
      </c>
      <c r="K154" s="541">
        <f t="shared" si="66"/>
        <v>0</v>
      </c>
      <c r="L154" s="541">
        <f t="shared" si="66"/>
        <v>0</v>
      </c>
      <c r="M154" s="541">
        <f t="shared" si="66"/>
        <v>0</v>
      </c>
      <c r="N154" s="541">
        <f t="shared" si="66"/>
        <v>0</v>
      </c>
      <c r="O154" s="541">
        <f t="shared" si="66"/>
        <v>0</v>
      </c>
      <c r="P154" s="541">
        <f t="shared" si="66"/>
        <v>0</v>
      </c>
      <c r="Q154" s="541">
        <f t="shared" si="66"/>
        <v>0</v>
      </c>
      <c r="R154" s="541">
        <f t="shared" si="66"/>
        <v>0</v>
      </c>
      <c r="S154" s="541">
        <f t="shared" si="66"/>
        <v>0</v>
      </c>
      <c r="T154" s="541">
        <f t="shared" si="66"/>
        <v>0</v>
      </c>
      <c r="U154" s="541">
        <f t="shared" si="66"/>
        <v>0</v>
      </c>
      <c r="V154" s="541">
        <f t="shared" si="66"/>
        <v>0</v>
      </c>
      <c r="W154" s="541">
        <f t="shared" si="66"/>
        <v>0</v>
      </c>
      <c r="X154" s="541">
        <f t="shared" si="66"/>
        <v>0</v>
      </c>
      <c r="Y154" s="541">
        <f t="shared" si="66"/>
        <v>0</v>
      </c>
      <c r="Z154" s="541">
        <f t="shared" si="66"/>
        <v>0</v>
      </c>
      <c r="AA154" s="541">
        <f t="shared" si="66"/>
        <v>0</v>
      </c>
      <c r="AB154" s="541">
        <f t="shared" si="66"/>
        <v>0</v>
      </c>
      <c r="AC154" s="541">
        <f t="shared" si="66"/>
        <v>0</v>
      </c>
      <c r="AD154" s="541">
        <f t="shared" si="66"/>
        <v>0</v>
      </c>
      <c r="AE154" s="541">
        <f t="shared" si="66"/>
        <v>0</v>
      </c>
      <c r="AF154" s="541">
        <f t="shared" si="66"/>
        <v>0</v>
      </c>
      <c r="AG154" s="541">
        <f t="shared" si="66"/>
        <v>0</v>
      </c>
      <c r="AH154" s="423"/>
      <c r="AI154" s="423"/>
    </row>
    <row r="155" spans="1:35" hidden="1" x14ac:dyDescent="0.25">
      <c r="A155" s="449"/>
      <c r="B155" s="449"/>
      <c r="C155" s="451"/>
      <c r="D155" s="449"/>
      <c r="E155" s="450"/>
      <c r="F155" s="450"/>
      <c r="G155" s="450"/>
      <c r="H155" s="450"/>
      <c r="I155" s="450"/>
      <c r="J155" s="450"/>
      <c r="K155" s="450"/>
      <c r="L155" s="450"/>
      <c r="M155" s="450"/>
      <c r="N155" s="450"/>
      <c r="O155" s="450"/>
      <c r="P155" s="450"/>
      <c r="Q155" s="450"/>
      <c r="R155" s="450"/>
      <c r="S155" s="450"/>
      <c r="T155" s="450"/>
      <c r="U155" s="450"/>
      <c r="V155" s="450"/>
      <c r="W155" s="450"/>
      <c r="X155" s="450"/>
      <c r="Y155" s="450"/>
      <c r="Z155" s="450"/>
      <c r="AA155" s="450"/>
      <c r="AB155" s="450"/>
      <c r="AC155" s="450"/>
      <c r="AD155" s="450"/>
      <c r="AE155" s="450"/>
      <c r="AF155" s="450"/>
      <c r="AG155" s="450"/>
      <c r="AH155" s="423"/>
      <c r="AI155" s="423"/>
    </row>
    <row r="156" spans="1:35" hidden="1" x14ac:dyDescent="0.25">
      <c r="A156" s="449"/>
      <c r="B156" s="449"/>
      <c r="C156" s="451"/>
      <c r="D156" s="449"/>
      <c r="E156" s="450"/>
      <c r="F156" s="450"/>
      <c r="G156" s="450"/>
      <c r="H156" s="450"/>
      <c r="I156" s="450"/>
      <c r="J156" s="450"/>
      <c r="K156" s="450"/>
      <c r="L156" s="450"/>
      <c r="M156" s="450"/>
      <c r="N156" s="450"/>
      <c r="O156" s="450"/>
      <c r="P156" s="450"/>
      <c r="Q156" s="450"/>
      <c r="R156" s="450"/>
      <c r="S156" s="450"/>
      <c r="T156" s="450"/>
      <c r="U156" s="450"/>
      <c r="V156" s="450"/>
      <c r="W156" s="450"/>
      <c r="X156" s="450"/>
      <c r="Y156" s="450"/>
      <c r="Z156" s="450"/>
      <c r="AA156" s="450"/>
      <c r="AB156" s="450"/>
      <c r="AC156" s="450"/>
      <c r="AD156" s="450"/>
      <c r="AE156" s="450"/>
      <c r="AF156" s="450"/>
      <c r="AG156" s="450"/>
      <c r="AH156" s="423"/>
      <c r="AI156" s="423"/>
    </row>
    <row r="157" spans="1:35" hidden="1" x14ac:dyDescent="0.25">
      <c r="A157" s="449"/>
      <c r="B157" s="449" t="s">
        <v>93</v>
      </c>
      <c r="C157" s="451"/>
      <c r="D157" s="449"/>
      <c r="E157" s="450"/>
      <c r="F157" s="450"/>
      <c r="G157" s="450"/>
      <c r="H157" s="450"/>
      <c r="I157" s="450"/>
      <c r="J157" s="450"/>
      <c r="K157" s="450"/>
      <c r="L157" s="450"/>
      <c r="M157" s="450"/>
      <c r="N157" s="450"/>
      <c r="O157" s="450"/>
      <c r="P157" s="450"/>
      <c r="Q157" s="450"/>
      <c r="R157" s="450"/>
      <c r="S157" s="450"/>
      <c r="T157" s="450"/>
      <c r="U157" s="450"/>
      <c r="V157" s="450"/>
      <c r="W157" s="450"/>
      <c r="X157" s="450"/>
      <c r="Y157" s="450"/>
      <c r="Z157" s="450"/>
      <c r="AA157" s="450"/>
      <c r="AB157" s="450"/>
      <c r="AC157" s="450"/>
      <c r="AD157" s="450"/>
      <c r="AE157" s="450"/>
      <c r="AF157" s="450"/>
      <c r="AG157" s="450"/>
      <c r="AH157" s="423"/>
      <c r="AI157" s="423"/>
    </row>
    <row r="158" spans="1:35" hidden="1" x14ac:dyDescent="0.25">
      <c r="A158" s="449"/>
      <c r="B158" s="449" t="s">
        <v>80</v>
      </c>
      <c r="C158" s="451" t="s">
        <v>81</v>
      </c>
      <c r="D158" s="449"/>
      <c r="E158" s="450">
        <v>2017</v>
      </c>
      <c r="F158" s="450">
        <v>2018</v>
      </c>
      <c r="G158" s="450">
        <v>2019</v>
      </c>
      <c r="H158" s="450">
        <v>2020</v>
      </c>
      <c r="I158" s="450">
        <v>2021</v>
      </c>
      <c r="J158" s="450">
        <v>2022</v>
      </c>
      <c r="K158" s="450">
        <v>2023</v>
      </c>
      <c r="L158" s="450">
        <v>2024</v>
      </c>
      <c r="M158" s="450">
        <v>2025</v>
      </c>
      <c r="N158" s="450">
        <v>2026</v>
      </c>
      <c r="O158" s="450">
        <v>2027</v>
      </c>
      <c r="P158" s="450">
        <v>2028</v>
      </c>
      <c r="Q158" s="450">
        <v>2029</v>
      </c>
      <c r="R158" s="450">
        <v>2030</v>
      </c>
      <c r="S158" s="450">
        <v>2031</v>
      </c>
      <c r="T158" s="450">
        <v>2032</v>
      </c>
      <c r="U158" s="450">
        <v>2033</v>
      </c>
      <c r="V158" s="450">
        <v>2034</v>
      </c>
      <c r="W158" s="450">
        <v>2035</v>
      </c>
      <c r="X158" s="450">
        <v>2036</v>
      </c>
      <c r="Y158" s="450">
        <v>2037</v>
      </c>
      <c r="Z158" s="450">
        <v>2038</v>
      </c>
      <c r="AA158" s="450">
        <v>2039</v>
      </c>
      <c r="AB158" s="450">
        <v>2040</v>
      </c>
      <c r="AC158" s="450">
        <v>2041</v>
      </c>
      <c r="AD158" s="450">
        <v>2042</v>
      </c>
      <c r="AE158" s="450">
        <v>2043</v>
      </c>
      <c r="AF158" s="450">
        <v>2044</v>
      </c>
      <c r="AG158" s="450">
        <v>2045</v>
      </c>
      <c r="AH158" s="423"/>
      <c r="AI158" s="423"/>
    </row>
    <row r="159" spans="1:35" hidden="1" x14ac:dyDescent="0.25">
      <c r="A159" s="451">
        <v>1</v>
      </c>
      <c r="B159" s="449" t="s">
        <v>122</v>
      </c>
      <c r="C159" s="540">
        <v>4.6367224158670582E-2</v>
      </c>
      <c r="D159" s="449"/>
      <c r="E159" s="541">
        <f t="shared" ref="E159:E169" si="67">$C159*E$11</f>
        <v>173613.17086357533</v>
      </c>
      <c r="F159" s="541">
        <f t="shared" ref="F159:AG168" si="68">$C159*F$11</f>
        <v>179481.44188747415</v>
      </c>
      <c r="G159" s="541">
        <f t="shared" si="68"/>
        <v>177426.07313092088</v>
      </c>
      <c r="H159" s="541">
        <f t="shared" si="68"/>
        <v>129683.07465036541</v>
      </c>
      <c r="I159" s="541">
        <f t="shared" si="68"/>
        <v>148306.6221235152</v>
      </c>
      <c r="J159" s="541">
        <f t="shared" si="68"/>
        <v>155701.51821308493</v>
      </c>
      <c r="K159" s="541">
        <f t="shared" si="68"/>
        <v>157417.61285516186</v>
      </c>
      <c r="L159" s="541">
        <f t="shared" si="68"/>
        <v>157662.09183209421</v>
      </c>
      <c r="M159" s="541">
        <f t="shared" si="68"/>
        <v>158418.2248621835</v>
      </c>
      <c r="N159" s="541">
        <f t="shared" si="68"/>
        <v>159130.99171549472</v>
      </c>
      <c r="O159" s="541">
        <f t="shared" si="68"/>
        <v>159780.19489237972</v>
      </c>
      <c r="P159" s="541">
        <f t="shared" si="68"/>
        <v>160510.96625372311</v>
      </c>
      <c r="Q159" s="541">
        <f t="shared" si="68"/>
        <v>161314.20245925445</v>
      </c>
      <c r="R159" s="541">
        <f t="shared" si="68"/>
        <v>162141.5307114512</v>
      </c>
      <c r="S159" s="541">
        <f t="shared" si="68"/>
        <v>162938.58798002612</v>
      </c>
      <c r="T159" s="541">
        <f t="shared" si="68"/>
        <v>163810.75990848965</v>
      </c>
      <c r="U159" s="541">
        <f t="shared" si="68"/>
        <v>164762.66445006125</v>
      </c>
      <c r="V159" s="541">
        <f t="shared" si="68"/>
        <v>165796.94046962957</v>
      </c>
      <c r="W159" s="541">
        <f t="shared" si="68"/>
        <v>166818.27891353137</v>
      </c>
      <c r="X159" s="541">
        <f t="shared" si="68"/>
        <v>167794.47955486708</v>
      </c>
      <c r="Y159" s="541">
        <f t="shared" si="68"/>
        <v>168848.12526428059</v>
      </c>
      <c r="Z159" s="541">
        <f t="shared" si="68"/>
        <v>169908.01055443165</v>
      </c>
      <c r="AA159" s="541">
        <f t="shared" si="68"/>
        <v>171125.25402261977</v>
      </c>
      <c r="AB159" s="541">
        <f t="shared" si="68"/>
        <v>172164.50794954589</v>
      </c>
      <c r="AC159" s="541">
        <f t="shared" si="68"/>
        <v>173330.84105631334</v>
      </c>
      <c r="AD159" s="541">
        <f t="shared" si="68"/>
        <v>174620.87939090887</v>
      </c>
      <c r="AE159" s="541">
        <f t="shared" si="68"/>
        <v>175763.45114664925</v>
      </c>
      <c r="AF159" s="541">
        <f t="shared" si="68"/>
        <v>176884.97682497956</v>
      </c>
      <c r="AG159" s="541">
        <f t="shared" si="68"/>
        <v>178268.26189056173</v>
      </c>
      <c r="AH159" s="423"/>
      <c r="AI159" s="423"/>
    </row>
    <row r="160" spans="1:35" hidden="1" x14ac:dyDescent="0.25">
      <c r="A160" s="451">
        <v>2</v>
      </c>
      <c r="B160" s="449" t="s">
        <v>83</v>
      </c>
      <c r="C160" s="540">
        <v>1.0601109734818632E-2</v>
      </c>
      <c r="D160" s="449"/>
      <c r="E160" s="541">
        <f t="shared" si="67"/>
        <v>39693.820562480461</v>
      </c>
      <c r="F160" s="541">
        <f t="shared" ref="F160:T160" si="69">$C160*F$11</f>
        <v>41035.505043421603</v>
      </c>
      <c r="G160" s="541">
        <f t="shared" si="69"/>
        <v>40565.578492304907</v>
      </c>
      <c r="H160" s="541">
        <f t="shared" si="69"/>
        <v>29649.920392314838</v>
      </c>
      <c r="I160" s="541">
        <f t="shared" si="69"/>
        <v>33907.8908444353</v>
      </c>
      <c r="J160" s="541">
        <f t="shared" si="69"/>
        <v>35598.613253325719</v>
      </c>
      <c r="K160" s="541">
        <f t="shared" si="69"/>
        <v>35990.970310408462</v>
      </c>
      <c r="L160" s="541">
        <f t="shared" si="69"/>
        <v>36046.866441982937</v>
      </c>
      <c r="M160" s="541">
        <f t="shared" si="69"/>
        <v>36219.743929724427</v>
      </c>
      <c r="N160" s="541">
        <f t="shared" si="69"/>
        <v>36382.706448279256</v>
      </c>
      <c r="O160" s="541">
        <f t="shared" si="69"/>
        <v>36531.136168695542</v>
      </c>
      <c r="P160" s="541">
        <f t="shared" si="69"/>
        <v>36698.215124428454</v>
      </c>
      <c r="Q160" s="541">
        <f t="shared" si="69"/>
        <v>36881.861985165204</v>
      </c>
      <c r="R160" s="541">
        <f t="shared" si="69"/>
        <v>37071.017099524433</v>
      </c>
      <c r="S160" s="541">
        <f t="shared" si="69"/>
        <v>37253.251247080523</v>
      </c>
      <c r="T160" s="541">
        <f t="shared" si="69"/>
        <v>37452.659136792237</v>
      </c>
      <c r="U160" s="541">
        <f t="shared" si="68"/>
        <v>37670.296588362333</v>
      </c>
      <c r="V160" s="541">
        <f t="shared" si="68"/>
        <v>37906.766935217995</v>
      </c>
      <c r="W160" s="541">
        <f t="shared" si="68"/>
        <v>38140.279316359047</v>
      </c>
      <c r="X160" s="541">
        <f t="shared" si="68"/>
        <v>38363.471674965338</v>
      </c>
      <c r="Y160" s="541">
        <f t="shared" si="68"/>
        <v>38604.370585559809</v>
      </c>
      <c r="Z160" s="541">
        <f t="shared" si="68"/>
        <v>38846.696074546628</v>
      </c>
      <c r="AA160" s="541">
        <f t="shared" si="68"/>
        <v>39124.998945041858</v>
      </c>
      <c r="AB160" s="541">
        <f t="shared" si="68"/>
        <v>39362.607409244578</v>
      </c>
      <c r="AC160" s="541">
        <f t="shared" si="68"/>
        <v>39629.270455750921</v>
      </c>
      <c r="AD160" s="541">
        <f t="shared" si="68"/>
        <v>39924.216685449093</v>
      </c>
      <c r="AE160" s="541">
        <f t="shared" si="68"/>
        <v>40185.447086498309</v>
      </c>
      <c r="AF160" s="541">
        <f t="shared" si="68"/>
        <v>40441.865645127356</v>
      </c>
      <c r="AG160" s="541">
        <f t="shared" si="68"/>
        <v>40758.131219374161</v>
      </c>
      <c r="AH160" s="423"/>
      <c r="AI160" s="423"/>
    </row>
    <row r="161" spans="1:35" hidden="1" x14ac:dyDescent="0.25">
      <c r="A161" s="451">
        <v>3</v>
      </c>
      <c r="B161" s="449" t="s">
        <v>84</v>
      </c>
      <c r="C161" s="540">
        <v>2.5711438772427278E-2</v>
      </c>
      <c r="D161" s="449"/>
      <c r="E161" s="541">
        <f t="shared" si="67"/>
        <v>96271.547278101236</v>
      </c>
      <c r="F161" s="541">
        <f t="shared" si="68"/>
        <v>99525.606451767962</v>
      </c>
      <c r="G161" s="541">
        <f t="shared" si="68"/>
        <v>98385.868438596503</v>
      </c>
      <c r="H161" s="541">
        <f t="shared" si="68"/>
        <v>71911.538682642306</v>
      </c>
      <c r="I161" s="541">
        <f t="shared" si="68"/>
        <v>82238.622291155931</v>
      </c>
      <c r="J161" s="541">
        <f t="shared" si="68"/>
        <v>86339.22183070975</v>
      </c>
      <c r="K161" s="541">
        <f t="shared" si="68"/>
        <v>87290.826398765406</v>
      </c>
      <c r="L161" s="541">
        <f t="shared" si="68"/>
        <v>87426.394278029242</v>
      </c>
      <c r="M161" s="541">
        <f t="shared" si="68"/>
        <v>87845.683300818753</v>
      </c>
      <c r="N161" s="541">
        <f t="shared" si="68"/>
        <v>88240.925018227004</v>
      </c>
      <c r="O161" s="541">
        <f t="shared" si="68"/>
        <v>88600.919562567709</v>
      </c>
      <c r="P161" s="541">
        <f t="shared" si="68"/>
        <v>89006.145095360596</v>
      </c>
      <c r="Q161" s="541">
        <f t="shared" si="68"/>
        <v>89451.553654812902</v>
      </c>
      <c r="R161" s="541">
        <f t="shared" si="68"/>
        <v>89910.321676557374</v>
      </c>
      <c r="S161" s="541">
        <f t="shared" si="68"/>
        <v>90352.303907129404</v>
      </c>
      <c r="T161" s="541">
        <f t="shared" si="68"/>
        <v>90835.938533627239</v>
      </c>
      <c r="U161" s="541">
        <f t="shared" si="68"/>
        <v>91363.786292079618</v>
      </c>
      <c r="V161" s="541">
        <f t="shared" si="68"/>
        <v>91937.310479335662</v>
      </c>
      <c r="W161" s="541">
        <f t="shared" si="68"/>
        <v>92503.660554044574</v>
      </c>
      <c r="X161" s="541">
        <f t="shared" si="68"/>
        <v>93044.980925810101</v>
      </c>
      <c r="Y161" s="541">
        <f t="shared" si="68"/>
        <v>93629.245945702409</v>
      </c>
      <c r="Z161" s="541">
        <f t="shared" si="68"/>
        <v>94216.970922514898</v>
      </c>
      <c r="AA161" s="541">
        <f t="shared" si="68"/>
        <v>94891.953768077467</v>
      </c>
      <c r="AB161" s="541">
        <f t="shared" si="68"/>
        <v>95468.238292243186</v>
      </c>
      <c r="AC161" s="541">
        <f t="shared" si="68"/>
        <v>96114.990449764751</v>
      </c>
      <c r="AD161" s="541">
        <f t="shared" si="68"/>
        <v>96830.339325093839</v>
      </c>
      <c r="AE161" s="541">
        <f t="shared" si="68"/>
        <v>97463.915396852943</v>
      </c>
      <c r="AF161" s="541">
        <f t="shared" si="68"/>
        <v>98085.821049678241</v>
      </c>
      <c r="AG161" s="541">
        <f t="shared" si="68"/>
        <v>98852.876872274384</v>
      </c>
      <c r="AH161" s="423"/>
      <c r="AI161" s="423"/>
    </row>
    <row r="162" spans="1:35" hidden="1" x14ac:dyDescent="0.25">
      <c r="A162" s="451">
        <v>4</v>
      </c>
      <c r="B162" s="449" t="s">
        <v>85</v>
      </c>
      <c r="C162" s="540">
        <v>0.3196900612520609</v>
      </c>
      <c r="D162" s="449"/>
      <c r="E162" s="541">
        <f t="shared" si="67"/>
        <v>1197018.0711618483</v>
      </c>
      <c r="F162" s="541">
        <f t="shared" si="68"/>
        <v>1237478.2875563873</v>
      </c>
      <c r="G162" s="541">
        <f t="shared" si="68"/>
        <v>1223307.0496701268</v>
      </c>
      <c r="H162" s="541">
        <f t="shared" si="68"/>
        <v>894131.37902020093</v>
      </c>
      <c r="I162" s="541">
        <f t="shared" si="68"/>
        <v>1022535.9393632549</v>
      </c>
      <c r="J162" s="541">
        <f t="shared" si="68"/>
        <v>1073521.8421582379</v>
      </c>
      <c r="K162" s="541">
        <f t="shared" si="68"/>
        <v>1085353.8724596964</v>
      </c>
      <c r="L162" s="541">
        <f t="shared" si="68"/>
        <v>1087039.4920008378</v>
      </c>
      <c r="M162" s="541">
        <f t="shared" si="68"/>
        <v>1092252.8343798588</v>
      </c>
      <c r="N162" s="541">
        <f t="shared" si="68"/>
        <v>1097167.178145915</v>
      </c>
      <c r="O162" s="541">
        <f t="shared" si="68"/>
        <v>1101643.2667440413</v>
      </c>
      <c r="P162" s="541">
        <f t="shared" si="68"/>
        <v>1106681.7469530285</v>
      </c>
      <c r="Q162" s="541">
        <f t="shared" si="68"/>
        <v>1112219.8535877378</v>
      </c>
      <c r="R162" s="541">
        <f t="shared" si="68"/>
        <v>1117924.0686754307</v>
      </c>
      <c r="S162" s="541">
        <f t="shared" si="68"/>
        <v>1123419.5731322027</v>
      </c>
      <c r="T162" s="541">
        <f t="shared" si="68"/>
        <v>1129432.9738110679</v>
      </c>
      <c r="U162" s="541">
        <f t="shared" si="68"/>
        <v>1135996.1103093787</v>
      </c>
      <c r="V162" s="541">
        <f t="shared" si="68"/>
        <v>1143127.1769204796</v>
      </c>
      <c r="W162" s="541">
        <f t="shared" si="68"/>
        <v>1150169.0422815096</v>
      </c>
      <c r="X162" s="541">
        <f t="shared" si="68"/>
        <v>1156899.6941263336</v>
      </c>
      <c r="Y162" s="541">
        <f t="shared" si="68"/>
        <v>1164164.3097571442</v>
      </c>
      <c r="Z162" s="541">
        <f t="shared" si="68"/>
        <v>1171471.9456891343</v>
      </c>
      <c r="AA162" s="541">
        <f t="shared" si="68"/>
        <v>1179864.5257058307</v>
      </c>
      <c r="AB162" s="541">
        <f t="shared" si="68"/>
        <v>1187029.9137053045</v>
      </c>
      <c r="AC162" s="541">
        <f t="shared" si="68"/>
        <v>1195071.4799001415</v>
      </c>
      <c r="AD162" s="541">
        <f t="shared" si="68"/>
        <v>1203965.961760713</v>
      </c>
      <c r="AE162" s="541">
        <f t="shared" si="68"/>
        <v>1211843.6995637689</v>
      </c>
      <c r="AF162" s="541">
        <f t="shared" si="68"/>
        <v>1219576.3300868778</v>
      </c>
      <c r="AG162" s="541">
        <f t="shared" si="68"/>
        <v>1229113.7241269378</v>
      </c>
      <c r="AH162" s="423"/>
      <c r="AI162" s="423"/>
    </row>
    <row r="163" spans="1:35" hidden="1" x14ac:dyDescent="0.25">
      <c r="A163" s="451">
        <v>5</v>
      </c>
      <c r="B163" s="449" t="s">
        <v>86</v>
      </c>
      <c r="C163" s="540">
        <v>0.15554891567461715</v>
      </c>
      <c r="D163" s="449"/>
      <c r="E163" s="541">
        <f t="shared" si="67"/>
        <v>582423.05776700738</v>
      </c>
      <c r="F163" s="541">
        <f t="shared" si="68"/>
        <v>602109.44640068081</v>
      </c>
      <c r="G163" s="541">
        <f t="shared" si="68"/>
        <v>595214.26586756785</v>
      </c>
      <c r="H163" s="541">
        <f t="shared" si="68"/>
        <v>435050.01667093829</v>
      </c>
      <c r="I163" s="541">
        <f t="shared" si="68"/>
        <v>497526.74819901056</v>
      </c>
      <c r="J163" s="541">
        <f t="shared" si="68"/>
        <v>522334.5319111165</v>
      </c>
      <c r="K163" s="541">
        <f t="shared" si="68"/>
        <v>528091.54380073538</v>
      </c>
      <c r="L163" s="541">
        <f t="shared" si="68"/>
        <v>528911.70158367557</v>
      </c>
      <c r="M163" s="541">
        <f t="shared" si="68"/>
        <v>531448.31392289326</v>
      </c>
      <c r="N163" s="541">
        <f t="shared" si="68"/>
        <v>533839.44501113694</v>
      </c>
      <c r="O163" s="541">
        <f t="shared" si="68"/>
        <v>536017.33795274177</v>
      </c>
      <c r="P163" s="541">
        <f t="shared" si="68"/>
        <v>538468.86907037022</v>
      </c>
      <c r="Q163" s="541">
        <f t="shared" si="68"/>
        <v>541163.4992335526</v>
      </c>
      <c r="R163" s="541">
        <f t="shared" si="68"/>
        <v>543938.95139553235</v>
      </c>
      <c r="S163" s="541">
        <f t="shared" si="68"/>
        <v>546612.85297379224</v>
      </c>
      <c r="T163" s="541">
        <f t="shared" si="68"/>
        <v>549538.74297941546</v>
      </c>
      <c r="U163" s="541">
        <f t="shared" si="68"/>
        <v>552732.11333862669</v>
      </c>
      <c r="V163" s="541">
        <f t="shared" si="68"/>
        <v>556201.81669636001</v>
      </c>
      <c r="W163" s="541">
        <f t="shared" si="68"/>
        <v>559628.11814891349</v>
      </c>
      <c r="X163" s="541">
        <f t="shared" si="68"/>
        <v>562902.99504732364</v>
      </c>
      <c r="Y163" s="541">
        <f t="shared" si="68"/>
        <v>566437.6782330937</v>
      </c>
      <c r="Z163" s="541">
        <f t="shared" si="68"/>
        <v>569993.29344651045</v>
      </c>
      <c r="AA163" s="541">
        <f t="shared" si="68"/>
        <v>574076.80081673258</v>
      </c>
      <c r="AB163" s="541">
        <f t="shared" si="68"/>
        <v>577563.20364496217</v>
      </c>
      <c r="AC163" s="541">
        <f t="shared" si="68"/>
        <v>581475.92115964997</v>
      </c>
      <c r="AD163" s="541">
        <f t="shared" si="68"/>
        <v>585803.63470658008</v>
      </c>
      <c r="AE163" s="541">
        <f t="shared" si="68"/>
        <v>589636.63961275422</v>
      </c>
      <c r="AF163" s="541">
        <f t="shared" si="68"/>
        <v>593399.04088500934</v>
      </c>
      <c r="AG163" s="541">
        <f t="shared" si="68"/>
        <v>598039.57082667423</v>
      </c>
      <c r="AH163" s="423"/>
      <c r="AI163" s="423"/>
    </row>
    <row r="164" spans="1:35" hidden="1" x14ac:dyDescent="0.25">
      <c r="A164" s="451">
        <v>6</v>
      </c>
      <c r="B164" s="449" t="s">
        <v>87</v>
      </c>
      <c r="C164" s="540">
        <v>0.24557936059020258</v>
      </c>
      <c r="D164" s="449"/>
      <c r="E164" s="541">
        <f t="shared" si="67"/>
        <v>919524.77777865005</v>
      </c>
      <c r="F164" s="541">
        <f t="shared" si="68"/>
        <v>950605.48774065869</v>
      </c>
      <c r="G164" s="541">
        <f t="shared" si="68"/>
        <v>939719.43289976218</v>
      </c>
      <c r="H164" s="541">
        <f t="shared" si="68"/>
        <v>686853.42135265237</v>
      </c>
      <c r="I164" s="541">
        <f t="shared" si="68"/>
        <v>785491.17600293073</v>
      </c>
      <c r="J164" s="541">
        <f t="shared" si="68"/>
        <v>824657.50278352422</v>
      </c>
      <c r="K164" s="541">
        <f t="shared" si="68"/>
        <v>833746.62624434102</v>
      </c>
      <c r="L164" s="541">
        <f t="shared" si="68"/>
        <v>835041.48466906231</v>
      </c>
      <c r="M164" s="541">
        <f t="shared" si="68"/>
        <v>839046.26756085292</v>
      </c>
      <c r="N164" s="541">
        <f t="shared" si="68"/>
        <v>842821.36583904736</v>
      </c>
      <c r="O164" s="541">
        <f t="shared" si="68"/>
        <v>846259.80546888092</v>
      </c>
      <c r="P164" s="541">
        <f t="shared" si="68"/>
        <v>850130.26282130333</v>
      </c>
      <c r="Q164" s="541">
        <f t="shared" si="68"/>
        <v>854384.52296597487</v>
      </c>
      <c r="R164" s="541">
        <f t="shared" si="68"/>
        <v>858766.38422377664</v>
      </c>
      <c r="S164" s="541">
        <f t="shared" si="68"/>
        <v>862987.91824747773</v>
      </c>
      <c r="T164" s="541">
        <f t="shared" si="68"/>
        <v>867607.28954699403</v>
      </c>
      <c r="U164" s="541">
        <f t="shared" si="68"/>
        <v>872648.95664921461</v>
      </c>
      <c r="V164" s="541">
        <f t="shared" si="68"/>
        <v>878126.89603782631</v>
      </c>
      <c r="W164" s="541">
        <f t="shared" si="68"/>
        <v>883536.31285219674</v>
      </c>
      <c r="X164" s="541">
        <f t="shared" si="68"/>
        <v>888706.66181435564</v>
      </c>
      <c r="Y164" s="541">
        <f t="shared" si="68"/>
        <v>894287.19082598935</v>
      </c>
      <c r="Z164" s="541">
        <f t="shared" si="68"/>
        <v>899900.7671523086</v>
      </c>
      <c r="AA164" s="541">
        <f t="shared" si="68"/>
        <v>906347.77531430894</v>
      </c>
      <c r="AB164" s="541">
        <f t="shared" si="68"/>
        <v>911852.07969086582</v>
      </c>
      <c r="AC164" s="541">
        <f t="shared" si="68"/>
        <v>918029.44622061471</v>
      </c>
      <c r="AD164" s="541">
        <f t="shared" si="68"/>
        <v>924862.00510450848</v>
      </c>
      <c r="AE164" s="541">
        <f t="shared" si="68"/>
        <v>930913.52201746742</v>
      </c>
      <c r="AF164" s="541">
        <f t="shared" si="68"/>
        <v>936853.5704885025</v>
      </c>
      <c r="AG164" s="541">
        <f t="shared" si="68"/>
        <v>944180.00134744623</v>
      </c>
      <c r="AH164" s="423"/>
      <c r="AI164" s="423"/>
    </row>
    <row r="165" spans="1:35" hidden="1" x14ac:dyDescent="0.25">
      <c r="A165" s="451">
        <v>7</v>
      </c>
      <c r="B165" s="449" t="s">
        <v>88</v>
      </c>
      <c r="C165" s="540">
        <v>5.8207133746097393E-2</v>
      </c>
      <c r="D165" s="449"/>
      <c r="E165" s="541">
        <f t="shared" si="67"/>
        <v>217945.43969159463</v>
      </c>
      <c r="F165" s="541">
        <f t="shared" si="68"/>
        <v>225312.17864447093</v>
      </c>
      <c r="G165" s="541">
        <f t="shared" si="68"/>
        <v>222731.96975163658</v>
      </c>
      <c r="H165" s="541">
        <f t="shared" si="68"/>
        <v>162797.75655639288</v>
      </c>
      <c r="I165" s="541">
        <f t="shared" si="68"/>
        <v>186176.84250052556</v>
      </c>
      <c r="J165" s="541">
        <f t="shared" si="68"/>
        <v>195460.03151031202</v>
      </c>
      <c r="K165" s="541">
        <f t="shared" si="68"/>
        <v>197614.33235891382</v>
      </c>
      <c r="L165" s="541">
        <f t="shared" si="68"/>
        <v>197921.23924770477</v>
      </c>
      <c r="M165" s="541">
        <f t="shared" si="68"/>
        <v>198870.45148136443</v>
      </c>
      <c r="N165" s="541">
        <f t="shared" si="68"/>
        <v>199765.22394862483</v>
      </c>
      <c r="O165" s="541">
        <f t="shared" si="68"/>
        <v>200580.2017013586</v>
      </c>
      <c r="P165" s="541">
        <f t="shared" si="68"/>
        <v>201497.57614288165</v>
      </c>
      <c r="Q165" s="541">
        <f t="shared" si="68"/>
        <v>202505.91938734837</v>
      </c>
      <c r="R165" s="541">
        <f t="shared" si="68"/>
        <v>203544.5066028079</v>
      </c>
      <c r="S165" s="541">
        <f t="shared" si="68"/>
        <v>204545.09311358276</v>
      </c>
      <c r="T165" s="541">
        <f t="shared" si="68"/>
        <v>205639.97487566416</v>
      </c>
      <c r="U165" s="541">
        <f t="shared" si="68"/>
        <v>206834.94904050024</v>
      </c>
      <c r="V165" s="541">
        <f t="shared" si="68"/>
        <v>208133.32830934279</v>
      </c>
      <c r="W165" s="541">
        <f t="shared" si="68"/>
        <v>209415.46638171878</v>
      </c>
      <c r="X165" s="541">
        <f t="shared" si="68"/>
        <v>210640.94067577634</v>
      </c>
      <c r="Y165" s="541">
        <f t="shared" si="68"/>
        <v>211963.63570101574</v>
      </c>
      <c r="Z165" s="541">
        <f t="shared" si="68"/>
        <v>213294.16358916851</v>
      </c>
      <c r="AA165" s="541">
        <f t="shared" si="68"/>
        <v>214822.23119813151</v>
      </c>
      <c r="AB165" s="541">
        <f t="shared" si="68"/>
        <v>216126.85948715176</v>
      </c>
      <c r="AC165" s="541">
        <f t="shared" si="68"/>
        <v>217591.01673119541</v>
      </c>
      <c r="AD165" s="541">
        <f t="shared" si="68"/>
        <v>219210.46743677219</v>
      </c>
      <c r="AE165" s="541">
        <f t="shared" si="68"/>
        <v>220644.79584887013</v>
      </c>
      <c r="AF165" s="541">
        <f t="shared" si="68"/>
        <v>222052.70405003525</v>
      </c>
      <c r="AG165" s="541">
        <f t="shared" si="68"/>
        <v>223789.21211758288</v>
      </c>
      <c r="AH165" s="423"/>
      <c r="AI165" s="423"/>
    </row>
    <row r="166" spans="1:35" hidden="1" x14ac:dyDescent="0.25">
      <c r="A166" s="451">
        <v>8</v>
      </c>
      <c r="B166" s="449" t="s">
        <v>89</v>
      </c>
      <c r="C166" s="540">
        <v>2.2974214130219391E-2</v>
      </c>
      <c r="D166" s="449"/>
      <c r="E166" s="541">
        <f t="shared" si="67"/>
        <v>86022.535004400954</v>
      </c>
      <c r="F166" s="541">
        <f t="shared" si="68"/>
        <v>88930.168953240704</v>
      </c>
      <c r="G166" s="541">
        <f t="shared" si="68"/>
        <v>87911.766778289995</v>
      </c>
      <c r="H166" s="541">
        <f t="shared" si="68"/>
        <v>64255.878589738379</v>
      </c>
      <c r="I166" s="541">
        <f t="shared" si="68"/>
        <v>73483.546954104779</v>
      </c>
      <c r="J166" s="541">
        <f t="shared" si="68"/>
        <v>77147.599079613065</v>
      </c>
      <c r="K166" s="541">
        <f t="shared" si="68"/>
        <v>77997.896385310742</v>
      </c>
      <c r="L166" s="541">
        <f t="shared" si="68"/>
        <v>78119.031787921005</v>
      </c>
      <c r="M166" s="541">
        <f t="shared" si="68"/>
        <v>78493.683548068584</v>
      </c>
      <c r="N166" s="541">
        <f t="shared" si="68"/>
        <v>78846.848064815524</v>
      </c>
      <c r="O166" s="541">
        <f t="shared" si="68"/>
        <v>79168.517801799026</v>
      </c>
      <c r="P166" s="541">
        <f t="shared" si="68"/>
        <v>79530.603262819583</v>
      </c>
      <c r="Q166" s="541">
        <f t="shared" si="68"/>
        <v>79928.593889126481</v>
      </c>
      <c r="R166" s="541">
        <f t="shared" si="68"/>
        <v>80338.521737231102</v>
      </c>
      <c r="S166" s="541">
        <f t="shared" si="68"/>
        <v>80733.450799614133</v>
      </c>
      <c r="T166" s="541">
        <f t="shared" si="68"/>
        <v>81165.597968362446</v>
      </c>
      <c r="U166" s="541">
        <f t="shared" si="68"/>
        <v>81637.251365053962</v>
      </c>
      <c r="V166" s="541">
        <f t="shared" si="68"/>
        <v>82149.718504816308</v>
      </c>
      <c r="W166" s="541">
        <f t="shared" si="68"/>
        <v>82655.775283831783</v>
      </c>
      <c r="X166" s="541">
        <f t="shared" si="68"/>
        <v>83139.46700735089</v>
      </c>
      <c r="Y166" s="541">
        <f t="shared" si="68"/>
        <v>83661.53151702731</v>
      </c>
      <c r="Z166" s="541">
        <f t="shared" si="68"/>
        <v>84186.687638646166</v>
      </c>
      <c r="AA166" s="541">
        <f t="shared" si="68"/>
        <v>84789.812207653522</v>
      </c>
      <c r="AB166" s="541">
        <f t="shared" si="68"/>
        <v>85304.745820482422</v>
      </c>
      <c r="AC166" s="541">
        <f t="shared" si="68"/>
        <v>85882.645123885697</v>
      </c>
      <c r="AD166" s="541">
        <f t="shared" si="68"/>
        <v>86521.838378883403</v>
      </c>
      <c r="AE166" s="541">
        <f t="shared" si="68"/>
        <v>87087.964314861223</v>
      </c>
      <c r="AF166" s="541">
        <f t="shared" si="68"/>
        <v>87643.662257837655</v>
      </c>
      <c r="AG166" s="541">
        <f t="shared" si="68"/>
        <v>88329.057768922532</v>
      </c>
      <c r="AH166" s="423"/>
      <c r="AI166" s="423"/>
    </row>
    <row r="167" spans="1:35" hidden="1" x14ac:dyDescent="0.25">
      <c r="A167" s="451">
        <v>9</v>
      </c>
      <c r="B167" s="449" t="s">
        <v>90</v>
      </c>
      <c r="C167" s="540">
        <v>2.5050677827977218E-5</v>
      </c>
      <c r="D167" s="449"/>
      <c r="E167" s="541">
        <f t="shared" si="67"/>
        <v>93.797454751962078</v>
      </c>
      <c r="F167" s="541">
        <f t="shared" si="68"/>
        <v>96.967887519813104</v>
      </c>
      <c r="G167" s="541">
        <f t="shared" si="68"/>
        <v>95.857439752616386</v>
      </c>
      <c r="H167" s="541">
        <f t="shared" si="68"/>
        <v>70.063476556000211</v>
      </c>
      <c r="I167" s="541">
        <f t="shared" si="68"/>
        <v>80.125163366653823</v>
      </c>
      <c r="J167" s="541">
        <f t="shared" si="68"/>
        <v>84.120381171309447</v>
      </c>
      <c r="K167" s="541">
        <f t="shared" si="68"/>
        <v>85.047530354402141</v>
      </c>
      <c r="L167" s="541">
        <f t="shared" si="68"/>
        <v>85.179614260608986</v>
      </c>
      <c r="M167" s="541">
        <f t="shared" si="68"/>
        <v>85.588127931106925</v>
      </c>
      <c r="N167" s="541">
        <f t="shared" si="68"/>
        <v>85.973212290430624</v>
      </c>
      <c r="O167" s="541">
        <f t="shared" si="68"/>
        <v>86.323955297460614</v>
      </c>
      <c r="P167" s="541">
        <f t="shared" si="68"/>
        <v>86.718766897056938</v>
      </c>
      <c r="Q167" s="541">
        <f t="shared" si="68"/>
        <v>87.152728855523023</v>
      </c>
      <c r="R167" s="541">
        <f t="shared" si="68"/>
        <v>87.599706950067599</v>
      </c>
      <c r="S167" s="541">
        <f t="shared" si="68"/>
        <v>88.030330633236346</v>
      </c>
      <c r="T167" s="541">
        <f t="shared" si="68"/>
        <v>88.501536283067338</v>
      </c>
      <c r="U167" s="541">
        <f t="shared" si="68"/>
        <v>89.015818826967248</v>
      </c>
      <c r="V167" s="541">
        <f t="shared" si="68"/>
        <v>89.574603956366971</v>
      </c>
      <c r="W167" s="541">
        <f t="shared" si="68"/>
        <v>90.126399341485509</v>
      </c>
      <c r="X167" s="541">
        <f t="shared" si="68"/>
        <v>90.653808264605033</v>
      </c>
      <c r="Y167" s="541">
        <f t="shared" si="68"/>
        <v>91.223058196863761</v>
      </c>
      <c r="Z167" s="541">
        <f t="shared" si="68"/>
        <v>91.795679168249237</v>
      </c>
      <c r="AA167" s="541">
        <f t="shared" si="68"/>
        <v>92.453315559322448</v>
      </c>
      <c r="AB167" s="541">
        <f t="shared" si="68"/>
        <v>93.014790087445945</v>
      </c>
      <c r="AC167" s="541">
        <f t="shared" si="68"/>
        <v>93.644921293872102</v>
      </c>
      <c r="AD167" s="541">
        <f t="shared" si="68"/>
        <v>94.341886343906253</v>
      </c>
      <c r="AE167" s="541">
        <f t="shared" si="68"/>
        <v>94.959180078171059</v>
      </c>
      <c r="AF167" s="541">
        <f t="shared" si="68"/>
        <v>95.565103312814443</v>
      </c>
      <c r="AG167" s="541">
        <f t="shared" si="68"/>
        <v>96.31244648788936</v>
      </c>
      <c r="AH167" s="423"/>
      <c r="AI167" s="423"/>
    </row>
    <row r="168" spans="1:35" hidden="1" x14ac:dyDescent="0.25">
      <c r="A168" s="451">
        <v>10</v>
      </c>
      <c r="B168" s="449" t="s">
        <v>91</v>
      </c>
      <c r="C168" s="540">
        <v>5.5849238137733237E-2</v>
      </c>
      <c r="D168" s="449"/>
      <c r="E168" s="541">
        <f t="shared" si="67"/>
        <v>209116.75217446944</v>
      </c>
      <c r="F168" s="541">
        <f t="shared" si="68"/>
        <v>216185.07407247546</v>
      </c>
      <c r="G168" s="541">
        <f t="shared" si="68"/>
        <v>213709.38610045493</v>
      </c>
      <c r="H168" s="541">
        <f t="shared" si="68"/>
        <v>156203.03026544934</v>
      </c>
      <c r="I168" s="541">
        <f t="shared" si="68"/>
        <v>178635.05971448473</v>
      </c>
      <c r="J168" s="541">
        <f t="shared" si="68"/>
        <v>187542.19875944607</v>
      </c>
      <c r="K168" s="541">
        <f t="shared" si="68"/>
        <v>189609.23167054437</v>
      </c>
      <c r="L168" s="541">
        <f t="shared" si="68"/>
        <v>189903.70615872246</v>
      </c>
      <c r="M168" s="541">
        <f t="shared" si="68"/>
        <v>190814.46703405009</v>
      </c>
      <c r="N168" s="541">
        <f t="shared" si="68"/>
        <v>191672.99342741445</v>
      </c>
      <c r="O168" s="541">
        <f t="shared" si="68"/>
        <v>192454.95748680149</v>
      </c>
      <c r="P168" s="541">
        <f t="shared" si="68"/>
        <v>193335.17027772122</v>
      </c>
      <c r="Q168" s="541">
        <f t="shared" si="68"/>
        <v>194302.66684318427</v>
      </c>
      <c r="R168" s="541">
        <f t="shared" si="68"/>
        <v>195299.18223554187</v>
      </c>
      <c r="S168" s="541">
        <f t="shared" si="68"/>
        <v>196259.23628254971</v>
      </c>
      <c r="T168" s="541">
        <f t="shared" si="68"/>
        <v>197309.76580234841</v>
      </c>
      <c r="U168" s="541">
        <f t="shared" si="68"/>
        <v>198456.33311128835</v>
      </c>
      <c r="V168" s="541">
        <f t="shared" si="68"/>
        <v>199702.11671738361</v>
      </c>
      <c r="W168" s="541">
        <f t="shared" si="68"/>
        <v>200932.31703684846</v>
      </c>
      <c r="X168" s="541">
        <f t="shared" ref="X168:AG168" si="70">$C168*X$11</f>
        <v>202108.14895427349</v>
      </c>
      <c r="Y168" s="541">
        <f t="shared" si="70"/>
        <v>203377.26331696351</v>
      </c>
      <c r="Z168" s="541">
        <f t="shared" si="70"/>
        <v>204653.89324343402</v>
      </c>
      <c r="AA168" s="541">
        <f t="shared" si="70"/>
        <v>206120.06081244361</v>
      </c>
      <c r="AB168" s="541">
        <f t="shared" si="70"/>
        <v>207371.84029900184</v>
      </c>
      <c r="AC168" s="541">
        <f t="shared" si="70"/>
        <v>208776.68642920945</v>
      </c>
      <c r="AD168" s="541">
        <f t="shared" si="70"/>
        <v>210330.53528393235</v>
      </c>
      <c r="AE168" s="541">
        <f t="shared" si="70"/>
        <v>211706.76090954727</v>
      </c>
      <c r="AF168" s="541">
        <f t="shared" si="70"/>
        <v>213057.63657275945</v>
      </c>
      <c r="AG168" s="541">
        <f t="shared" si="70"/>
        <v>214723.80094731197</v>
      </c>
      <c r="AH168" s="423"/>
      <c r="AI168" s="423"/>
    </row>
    <row r="169" spans="1:35" ht="15.75" hidden="1" customHeight="1" x14ac:dyDescent="0.25">
      <c r="A169" s="451">
        <v>11</v>
      </c>
      <c r="B169" s="449" t="s">
        <v>92</v>
      </c>
      <c r="C169" s="540">
        <v>5.9446253125324866E-2</v>
      </c>
      <c r="D169" s="449"/>
      <c r="E169" s="541">
        <f t="shared" si="67"/>
        <v>222585.08436322756</v>
      </c>
      <c r="F169" s="541">
        <f t="shared" ref="F169:T169" si="71">$C169*F$11</f>
        <v>230108.64720367128</v>
      </c>
      <c r="G169" s="541">
        <f t="shared" si="71"/>
        <v>227473.51056167972</v>
      </c>
      <c r="H169" s="541">
        <f t="shared" si="71"/>
        <v>166263.41174435869</v>
      </c>
      <c r="I169" s="541">
        <f t="shared" si="71"/>
        <v>190140.19404626713</v>
      </c>
      <c r="J169" s="541">
        <f t="shared" si="71"/>
        <v>199621.00452721614</v>
      </c>
      <c r="K169" s="541">
        <f t="shared" si="71"/>
        <v>201821.16635124121</v>
      </c>
      <c r="L169" s="541">
        <f t="shared" si="71"/>
        <v>202134.60670507405</v>
      </c>
      <c r="M169" s="541">
        <f t="shared" si="71"/>
        <v>203104.02586523964</v>
      </c>
      <c r="N169" s="541">
        <f t="shared" si="71"/>
        <v>204017.84633972571</v>
      </c>
      <c r="O169" s="541">
        <f t="shared" si="71"/>
        <v>204850.17342169216</v>
      </c>
      <c r="P169" s="541">
        <f t="shared" si="71"/>
        <v>205787.07702356618</v>
      </c>
      <c r="Q169" s="541">
        <f t="shared" si="71"/>
        <v>206816.88598150684</v>
      </c>
      <c r="R169" s="541">
        <f t="shared" si="71"/>
        <v>207877.58274716869</v>
      </c>
      <c r="S169" s="541">
        <f t="shared" si="71"/>
        <v>208899.46984528226</v>
      </c>
      <c r="T169" s="541">
        <f t="shared" si="71"/>
        <v>210017.65956159614</v>
      </c>
      <c r="U169" s="541">
        <f t="shared" ref="U169:AG169" si="72">$C169*U$11</f>
        <v>211238.07245790772</v>
      </c>
      <c r="V169" s="541">
        <f t="shared" si="72"/>
        <v>212564.09175658971</v>
      </c>
      <c r="W169" s="541">
        <f t="shared" si="72"/>
        <v>213873.52411456403</v>
      </c>
      <c r="X169" s="541">
        <f t="shared" si="72"/>
        <v>215125.0864299479</v>
      </c>
      <c r="Y169" s="541">
        <f t="shared" si="72"/>
        <v>216475.93912132032</v>
      </c>
      <c r="Z169" s="541">
        <f t="shared" si="72"/>
        <v>217834.79142238791</v>
      </c>
      <c r="AA169" s="541">
        <f t="shared" si="72"/>
        <v>219395.38868991984</v>
      </c>
      <c r="AB169" s="541">
        <f t="shared" si="72"/>
        <v>220727.79003855618</v>
      </c>
      <c r="AC169" s="541">
        <f t="shared" si="72"/>
        <v>222223.11641082464</v>
      </c>
      <c r="AD169" s="541">
        <f t="shared" si="72"/>
        <v>223877.04214761901</v>
      </c>
      <c r="AE169" s="541">
        <f t="shared" si="72"/>
        <v>225341.90468873558</v>
      </c>
      <c r="AF169" s="541">
        <f t="shared" si="72"/>
        <v>226779.7845827837</v>
      </c>
      <c r="AG169" s="541">
        <f t="shared" si="72"/>
        <v>228553.259610568</v>
      </c>
      <c r="AH169" s="423"/>
      <c r="AI169" s="423"/>
    </row>
    <row r="170" spans="1:35" hidden="1" x14ac:dyDescent="0.25">
      <c r="A170" s="449"/>
      <c r="B170" s="449" t="s">
        <v>67</v>
      </c>
      <c r="C170" s="451" t="s">
        <v>0</v>
      </c>
      <c r="D170" s="449"/>
      <c r="E170" s="541">
        <f t="shared" ref="E170:AG170" si="73">SUM(E159:E169)</f>
        <v>3744308.0541001083</v>
      </c>
      <c r="F170" s="541">
        <f t="shared" si="73"/>
        <v>3870868.8118417691</v>
      </c>
      <c r="G170" s="541">
        <f t="shared" si="73"/>
        <v>3826540.7591310916</v>
      </c>
      <c r="H170" s="541">
        <f t="shared" si="73"/>
        <v>2796869.4914016095</v>
      </c>
      <c r="I170" s="541">
        <f t="shared" si="73"/>
        <v>3198522.7672030516</v>
      </c>
      <c r="J170" s="541">
        <f t="shared" si="73"/>
        <v>3358008.1844077581</v>
      </c>
      <c r="K170" s="541">
        <f t="shared" si="73"/>
        <v>3395019.126365473</v>
      </c>
      <c r="L170" s="541">
        <f t="shared" si="73"/>
        <v>3400291.7943193652</v>
      </c>
      <c r="M170" s="541">
        <f t="shared" si="73"/>
        <v>3416599.2840129854</v>
      </c>
      <c r="N170" s="541">
        <f t="shared" si="73"/>
        <v>3431971.4971709717</v>
      </c>
      <c r="O170" s="541">
        <f t="shared" si="73"/>
        <v>3445972.8351562554</v>
      </c>
      <c r="P170" s="541">
        <f t="shared" si="73"/>
        <v>3461733.3507921002</v>
      </c>
      <c r="Q170" s="541">
        <f t="shared" si="73"/>
        <v>3479056.7127165194</v>
      </c>
      <c r="R170" s="541">
        <f t="shared" si="73"/>
        <v>3496899.6668119724</v>
      </c>
      <c r="S170" s="541">
        <f t="shared" si="73"/>
        <v>3514089.7678593709</v>
      </c>
      <c r="T170" s="541">
        <f t="shared" si="73"/>
        <v>3532899.8636606415</v>
      </c>
      <c r="U170" s="541">
        <f t="shared" si="73"/>
        <v>3553429.5494213006</v>
      </c>
      <c r="V170" s="541">
        <f t="shared" si="73"/>
        <v>3575735.7374309376</v>
      </c>
      <c r="W170" s="541">
        <f t="shared" si="73"/>
        <v>3597762.9012828595</v>
      </c>
      <c r="X170" s="541">
        <f t="shared" si="73"/>
        <v>3618816.5800192691</v>
      </c>
      <c r="Y170" s="541">
        <f t="shared" si="73"/>
        <v>3641540.5133262938</v>
      </c>
      <c r="Z170" s="541">
        <f t="shared" si="73"/>
        <v>3664399.015412251</v>
      </c>
      <c r="AA170" s="541">
        <f t="shared" si="73"/>
        <v>3690651.2547963187</v>
      </c>
      <c r="AB170" s="541">
        <f t="shared" si="73"/>
        <v>3713064.8011274459</v>
      </c>
      <c r="AC170" s="541">
        <f t="shared" si="73"/>
        <v>3738219.0588586442</v>
      </c>
      <c r="AD170" s="541">
        <f t="shared" si="73"/>
        <v>3766041.2621068042</v>
      </c>
      <c r="AE170" s="541">
        <f t="shared" si="73"/>
        <v>3790683.059766083</v>
      </c>
      <c r="AF170" s="541">
        <f t="shared" si="73"/>
        <v>3814870.9575469038</v>
      </c>
      <c r="AG170" s="541">
        <f t="shared" si="73"/>
        <v>3844704.2091741427</v>
      </c>
      <c r="AH170" s="423"/>
      <c r="AI170" s="423"/>
    </row>
    <row r="171" spans="1:35" hidden="1" x14ac:dyDescent="0.25">
      <c r="A171" s="449"/>
      <c r="B171" s="449"/>
      <c r="C171" s="451"/>
      <c r="D171" s="449"/>
      <c r="E171" s="538"/>
      <c r="F171" s="538"/>
      <c r="G171" s="538"/>
      <c r="H171" s="538"/>
      <c r="I171" s="538"/>
      <c r="J171" s="538"/>
      <c r="K171" s="538"/>
      <c r="L171" s="538"/>
      <c r="M171" s="538"/>
      <c r="N171" s="538"/>
      <c r="O171" s="538"/>
      <c r="P171" s="538"/>
      <c r="Q171" s="538"/>
      <c r="R171" s="538"/>
      <c r="S171" s="538"/>
      <c r="T171" s="538"/>
      <c r="U171" s="538"/>
      <c r="V171" s="538"/>
      <c r="W171" s="538"/>
      <c r="X171" s="538"/>
      <c r="Y171" s="538"/>
      <c r="Z171" s="538"/>
      <c r="AA171" s="538"/>
      <c r="AB171" s="538"/>
      <c r="AC171" s="538"/>
      <c r="AD171" s="538"/>
      <c r="AE171" s="538"/>
      <c r="AF171" s="538"/>
      <c r="AG171" s="538"/>
      <c r="AH171" s="423"/>
      <c r="AI171" s="423"/>
    </row>
    <row r="172" spans="1:35" hidden="1" x14ac:dyDescent="0.25">
      <c r="A172" s="449"/>
      <c r="B172" s="449"/>
      <c r="C172" s="451"/>
      <c r="D172" s="449"/>
      <c r="E172" s="538"/>
      <c r="F172" s="538"/>
      <c r="G172" s="538"/>
      <c r="H172" s="538"/>
      <c r="I172" s="538"/>
      <c r="J172" s="538"/>
      <c r="K172" s="538"/>
      <c r="L172" s="538"/>
      <c r="M172" s="538"/>
      <c r="N172" s="538"/>
      <c r="O172" s="538"/>
      <c r="P172" s="538"/>
      <c r="Q172" s="538"/>
      <c r="R172" s="538"/>
      <c r="S172" s="538"/>
      <c r="T172" s="538"/>
      <c r="U172" s="538"/>
      <c r="V172" s="538"/>
      <c r="W172" s="538"/>
      <c r="X172" s="538"/>
      <c r="Y172" s="538"/>
      <c r="Z172" s="538"/>
      <c r="AA172" s="538"/>
      <c r="AB172" s="538"/>
      <c r="AC172" s="538"/>
      <c r="AD172" s="538"/>
      <c r="AE172" s="538"/>
      <c r="AF172" s="538"/>
      <c r="AG172" s="538"/>
      <c r="AH172" s="423"/>
      <c r="AI172" s="423"/>
    </row>
    <row r="173" spans="1:35" hidden="1" x14ac:dyDescent="0.25">
      <c r="A173" s="449"/>
      <c r="B173" s="449" t="s">
        <v>52</v>
      </c>
      <c r="C173" s="451"/>
      <c r="D173" s="449"/>
      <c r="E173" s="538"/>
      <c r="F173" s="538"/>
      <c r="G173" s="538"/>
      <c r="H173" s="538"/>
      <c r="I173" s="538"/>
      <c r="J173" s="538"/>
      <c r="K173" s="538"/>
      <c r="L173" s="538"/>
      <c r="M173" s="538"/>
      <c r="N173" s="538"/>
      <c r="O173" s="538"/>
      <c r="P173" s="538"/>
      <c r="Q173" s="538"/>
      <c r="R173" s="538"/>
      <c r="S173" s="538"/>
      <c r="T173" s="538"/>
      <c r="U173" s="538"/>
      <c r="V173" s="538"/>
      <c r="W173" s="538"/>
      <c r="X173" s="538"/>
      <c r="Y173" s="538"/>
      <c r="Z173" s="538"/>
      <c r="AA173" s="538"/>
      <c r="AB173" s="538"/>
      <c r="AC173" s="538"/>
      <c r="AD173" s="538"/>
      <c r="AE173" s="538"/>
      <c r="AF173" s="538"/>
      <c r="AG173" s="538"/>
      <c r="AH173" s="423"/>
      <c r="AI173" s="423"/>
    </row>
    <row r="174" spans="1:35" hidden="1" x14ac:dyDescent="0.25">
      <c r="A174" s="449"/>
      <c r="B174" s="449" t="s">
        <v>80</v>
      </c>
      <c r="C174" s="451" t="s">
        <v>81</v>
      </c>
      <c r="D174" s="449"/>
      <c r="E174" s="450">
        <v>2017</v>
      </c>
      <c r="F174" s="450">
        <v>2018</v>
      </c>
      <c r="G174" s="450">
        <v>2019</v>
      </c>
      <c r="H174" s="450">
        <v>2020</v>
      </c>
      <c r="I174" s="450">
        <v>2021</v>
      </c>
      <c r="J174" s="450">
        <v>2022</v>
      </c>
      <c r="K174" s="450">
        <v>2023</v>
      </c>
      <c r="L174" s="450">
        <v>2024</v>
      </c>
      <c r="M174" s="450">
        <v>2025</v>
      </c>
      <c r="N174" s="450">
        <v>2026</v>
      </c>
      <c r="O174" s="450">
        <v>2027</v>
      </c>
      <c r="P174" s="450">
        <v>2028</v>
      </c>
      <c r="Q174" s="450">
        <v>2029</v>
      </c>
      <c r="R174" s="450">
        <v>2030</v>
      </c>
      <c r="S174" s="450">
        <v>2031</v>
      </c>
      <c r="T174" s="450">
        <v>2032</v>
      </c>
      <c r="U174" s="450">
        <v>2033</v>
      </c>
      <c r="V174" s="450">
        <v>2034</v>
      </c>
      <c r="W174" s="450">
        <v>2035</v>
      </c>
      <c r="X174" s="450">
        <v>2036</v>
      </c>
      <c r="Y174" s="450">
        <v>2037</v>
      </c>
      <c r="Z174" s="450">
        <v>2038</v>
      </c>
      <c r="AA174" s="450">
        <v>2039</v>
      </c>
      <c r="AB174" s="450">
        <v>2040</v>
      </c>
      <c r="AC174" s="450">
        <v>2041</v>
      </c>
      <c r="AD174" s="450">
        <v>2042</v>
      </c>
      <c r="AE174" s="450">
        <v>2043</v>
      </c>
      <c r="AF174" s="450">
        <v>2044</v>
      </c>
      <c r="AG174" s="450">
        <v>2045</v>
      </c>
      <c r="AH174" s="423"/>
      <c r="AI174" s="423"/>
    </row>
    <row r="175" spans="1:35" hidden="1" x14ac:dyDescent="0.25">
      <c r="A175" s="451">
        <v>1</v>
      </c>
      <c r="B175" s="449" t="s">
        <v>82</v>
      </c>
      <c r="C175" s="540">
        <v>7.7225963564417729E-2</v>
      </c>
      <c r="D175" s="449"/>
      <c r="E175" s="541">
        <f t="shared" ref="E175:E185" si="74">$C175*E$13</f>
        <v>101760.96489318836</v>
      </c>
      <c r="F175" s="541">
        <f t="shared" ref="F175:AG184" si="75">$C175*F$13</f>
        <v>102200.57366317796</v>
      </c>
      <c r="G175" s="541">
        <f t="shared" si="75"/>
        <v>115918.35520578311</v>
      </c>
      <c r="H175" s="541">
        <f t="shared" si="75"/>
        <v>118678.4671751772</v>
      </c>
      <c r="I175" s="541">
        <f t="shared" si="75"/>
        <v>121013.9505681759</v>
      </c>
      <c r="J175" s="541">
        <f t="shared" si="75"/>
        <v>122303.94664700203</v>
      </c>
      <c r="K175" s="541">
        <f t="shared" si="75"/>
        <v>142055.01196515412</v>
      </c>
      <c r="L175" s="541">
        <f t="shared" si="75"/>
        <v>152391.26903902454</v>
      </c>
      <c r="M175" s="541">
        <f t="shared" si="75"/>
        <v>154741.90380838371</v>
      </c>
      <c r="N175" s="541">
        <f t="shared" si="75"/>
        <v>156332.88221935241</v>
      </c>
      <c r="O175" s="541">
        <f t="shared" si="75"/>
        <v>159701.16984617806</v>
      </c>
      <c r="P175" s="541">
        <f t="shared" si="75"/>
        <v>167180.61448601328</v>
      </c>
      <c r="Q175" s="541">
        <f t="shared" si="75"/>
        <v>174660.05912584843</v>
      </c>
      <c r="R175" s="541">
        <f t="shared" si="75"/>
        <v>182139.50376568365</v>
      </c>
      <c r="S175" s="541">
        <f t="shared" si="75"/>
        <v>189618.94840551887</v>
      </c>
      <c r="T175" s="541">
        <f t="shared" si="75"/>
        <v>197098.39304535408</v>
      </c>
      <c r="U175" s="541">
        <f t="shared" si="75"/>
        <v>204577.8376851893</v>
      </c>
      <c r="V175" s="541">
        <f t="shared" si="75"/>
        <v>212057.28232502448</v>
      </c>
      <c r="W175" s="541">
        <f t="shared" si="75"/>
        <v>219536.7269648597</v>
      </c>
      <c r="X175" s="541">
        <f t="shared" si="75"/>
        <v>227016.17160469492</v>
      </c>
      <c r="Y175" s="541">
        <f t="shared" si="75"/>
        <v>234495.6162445301</v>
      </c>
      <c r="Z175" s="541">
        <f t="shared" si="75"/>
        <v>241975.06088436532</v>
      </c>
      <c r="AA175" s="541">
        <f t="shared" si="75"/>
        <v>249454.50552420053</v>
      </c>
      <c r="AB175" s="541">
        <f t="shared" si="75"/>
        <v>256933.95016403572</v>
      </c>
      <c r="AC175" s="541">
        <f t="shared" si="75"/>
        <v>264413.39480387093</v>
      </c>
      <c r="AD175" s="541">
        <f t="shared" si="75"/>
        <v>271892.83944370615</v>
      </c>
      <c r="AE175" s="541">
        <f t="shared" si="75"/>
        <v>279372.28408354137</v>
      </c>
      <c r="AF175" s="541">
        <f t="shared" si="75"/>
        <v>286851.72872337658</v>
      </c>
      <c r="AG175" s="541">
        <f t="shared" si="75"/>
        <v>294331.1733632118</v>
      </c>
      <c r="AH175" s="423"/>
      <c r="AI175" s="423"/>
    </row>
    <row r="176" spans="1:35" hidden="1" x14ac:dyDescent="0.25">
      <c r="A176" s="451">
        <v>2</v>
      </c>
      <c r="B176" s="449" t="s">
        <v>83</v>
      </c>
      <c r="C176" s="540">
        <v>7.5315324736975487E-3</v>
      </c>
      <c r="D176" s="449"/>
      <c r="E176" s="541">
        <f t="shared" si="74"/>
        <v>9924.3308373684649</v>
      </c>
      <c r="F176" s="541">
        <f t="shared" ref="F176:T176" si="76">$C176*F$13</f>
        <v>9967.2040832831899</v>
      </c>
      <c r="G176" s="541">
        <f t="shared" si="76"/>
        <v>11305.043229427854</v>
      </c>
      <c r="H176" s="541">
        <f t="shared" si="76"/>
        <v>11574.225664570833</v>
      </c>
      <c r="I176" s="541">
        <f t="shared" si="76"/>
        <v>11801.995810831017</v>
      </c>
      <c r="J176" s="541">
        <f t="shared" si="76"/>
        <v>11927.803854009619</v>
      </c>
      <c r="K176" s="541">
        <f t="shared" si="76"/>
        <v>13854.044498578589</v>
      </c>
      <c r="L176" s="541">
        <f t="shared" si="76"/>
        <v>14862.097389280363</v>
      </c>
      <c r="M176" s="541">
        <f t="shared" si="76"/>
        <v>15091.345187327759</v>
      </c>
      <c r="N176" s="541">
        <f t="shared" si="76"/>
        <v>15246.506806737885</v>
      </c>
      <c r="O176" s="541">
        <f t="shared" si="76"/>
        <v>15575.002127110678</v>
      </c>
      <c r="P176" s="541">
        <f t="shared" si="76"/>
        <v>16304.441781730889</v>
      </c>
      <c r="Q176" s="541">
        <f t="shared" si="76"/>
        <v>17033.881436351097</v>
      </c>
      <c r="R176" s="541">
        <f t="shared" si="76"/>
        <v>17763.321090971313</v>
      </c>
      <c r="S176" s="541">
        <f t="shared" si="76"/>
        <v>18492.760745591524</v>
      </c>
      <c r="T176" s="541">
        <f t="shared" si="76"/>
        <v>19222.200400211736</v>
      </c>
      <c r="U176" s="541">
        <f t="shared" si="75"/>
        <v>19951.640054831947</v>
      </c>
      <c r="V176" s="541">
        <f t="shared" si="75"/>
        <v>20681.079709452159</v>
      </c>
      <c r="W176" s="541">
        <f t="shared" si="75"/>
        <v>21410.51936407237</v>
      </c>
      <c r="X176" s="541">
        <f t="shared" si="75"/>
        <v>22139.959018692582</v>
      </c>
      <c r="Y176" s="541">
        <f t="shared" si="75"/>
        <v>22869.398673312793</v>
      </c>
      <c r="Z176" s="541">
        <f t="shared" si="75"/>
        <v>23598.838327933005</v>
      </c>
      <c r="AA176" s="541">
        <f t="shared" si="75"/>
        <v>24328.27798255322</v>
      </c>
      <c r="AB176" s="541">
        <f t="shared" si="75"/>
        <v>25057.717637173428</v>
      </c>
      <c r="AC176" s="541">
        <f t="shared" si="75"/>
        <v>25787.157291793639</v>
      </c>
      <c r="AD176" s="541">
        <f t="shared" si="75"/>
        <v>26516.596946413851</v>
      </c>
      <c r="AE176" s="541">
        <f t="shared" si="75"/>
        <v>27246.036601034066</v>
      </c>
      <c r="AF176" s="541">
        <f t="shared" si="75"/>
        <v>27975.476255654277</v>
      </c>
      <c r="AG176" s="541">
        <f t="shared" si="75"/>
        <v>28704.915910274489</v>
      </c>
      <c r="AH176" s="423"/>
      <c r="AI176" s="423"/>
    </row>
    <row r="177" spans="1:35" hidden="1" x14ac:dyDescent="0.25">
      <c r="A177" s="451">
        <v>3</v>
      </c>
      <c r="B177" s="449" t="s">
        <v>84</v>
      </c>
      <c r="C177" s="540">
        <v>8.150786497214435E-2</v>
      </c>
      <c r="D177" s="449"/>
      <c r="E177" s="541">
        <f t="shared" si="74"/>
        <v>107403.24371647944</v>
      </c>
      <c r="F177" s="541">
        <f t="shared" si="75"/>
        <v>107867.22720870216</v>
      </c>
      <c r="G177" s="541">
        <f t="shared" si="75"/>
        <v>122345.61030792202</v>
      </c>
      <c r="H177" s="541">
        <f t="shared" si="75"/>
        <v>125258.76054037867</v>
      </c>
      <c r="I177" s="541">
        <f t="shared" si="75"/>
        <v>127723.7380719628</v>
      </c>
      <c r="J177" s="541">
        <f t="shared" si="75"/>
        <v>129085.25978505674</v>
      </c>
      <c r="K177" s="541">
        <f t="shared" si="75"/>
        <v>149931.45050516445</v>
      </c>
      <c r="L177" s="541">
        <f t="shared" si="75"/>
        <v>160840.81578866328</v>
      </c>
      <c r="M177" s="541">
        <f t="shared" si="75"/>
        <v>163321.78478583141</v>
      </c>
      <c r="N177" s="541">
        <f t="shared" si="75"/>
        <v>165000.97721684151</v>
      </c>
      <c r="O177" s="541">
        <f t="shared" si="75"/>
        <v>168556.02425546656</v>
      </c>
      <c r="P177" s="541">
        <f t="shared" si="75"/>
        <v>176450.17714954854</v>
      </c>
      <c r="Q177" s="541">
        <f t="shared" si="75"/>
        <v>184344.33004363047</v>
      </c>
      <c r="R177" s="541">
        <f t="shared" si="75"/>
        <v>192238.48293771246</v>
      </c>
      <c r="S177" s="541">
        <f t="shared" si="75"/>
        <v>200132.63583179444</v>
      </c>
      <c r="T177" s="541">
        <f t="shared" si="75"/>
        <v>208026.78872587639</v>
      </c>
      <c r="U177" s="541">
        <f t="shared" si="75"/>
        <v>215920.94161995838</v>
      </c>
      <c r="V177" s="541">
        <f t="shared" si="75"/>
        <v>223815.09451404031</v>
      </c>
      <c r="W177" s="541">
        <f t="shared" si="75"/>
        <v>231709.24740812229</v>
      </c>
      <c r="X177" s="541">
        <f t="shared" si="75"/>
        <v>239603.40030220427</v>
      </c>
      <c r="Y177" s="541">
        <f t="shared" si="75"/>
        <v>247497.55319628623</v>
      </c>
      <c r="Z177" s="541">
        <f t="shared" si="75"/>
        <v>255391.70609036821</v>
      </c>
      <c r="AA177" s="541">
        <f t="shared" si="75"/>
        <v>263285.85898445017</v>
      </c>
      <c r="AB177" s="541">
        <f t="shared" si="75"/>
        <v>271180.01187853212</v>
      </c>
      <c r="AC177" s="541">
        <f t="shared" si="75"/>
        <v>279074.16477261408</v>
      </c>
      <c r="AD177" s="541">
        <f t="shared" si="75"/>
        <v>286968.31766669609</v>
      </c>
      <c r="AE177" s="541">
        <f t="shared" si="75"/>
        <v>294862.47056077805</v>
      </c>
      <c r="AF177" s="541">
        <f t="shared" si="75"/>
        <v>302756.62345486</v>
      </c>
      <c r="AG177" s="541">
        <f t="shared" si="75"/>
        <v>310650.77634894202</v>
      </c>
      <c r="AH177" s="423"/>
      <c r="AI177" s="423"/>
    </row>
    <row r="178" spans="1:35" hidden="1" x14ac:dyDescent="0.25">
      <c r="A178" s="451">
        <v>4</v>
      </c>
      <c r="B178" s="449" t="s">
        <v>85</v>
      </c>
      <c r="C178" s="540">
        <v>0.39650671084253258</v>
      </c>
      <c r="D178" s="449"/>
      <c r="E178" s="541">
        <f t="shared" si="74"/>
        <v>522478.49841722811</v>
      </c>
      <c r="F178" s="541">
        <f t="shared" si="75"/>
        <v>524735.61272698629</v>
      </c>
      <c r="G178" s="541">
        <f t="shared" si="75"/>
        <v>595167.78590379213</v>
      </c>
      <c r="H178" s="541">
        <f t="shared" si="75"/>
        <v>609339.22343630891</v>
      </c>
      <c r="I178" s="541">
        <f t="shared" si="75"/>
        <v>621330.46052346833</v>
      </c>
      <c r="J178" s="541">
        <f t="shared" si="75"/>
        <v>627953.77836382727</v>
      </c>
      <c r="K178" s="541">
        <f t="shared" si="75"/>
        <v>729363.06590743863</v>
      </c>
      <c r="L178" s="541">
        <f t="shared" si="75"/>
        <v>782433.23953323695</v>
      </c>
      <c r="M178" s="541">
        <f t="shared" si="75"/>
        <v>794502.26940054644</v>
      </c>
      <c r="N178" s="541">
        <f t="shared" si="75"/>
        <v>802670.9420546398</v>
      </c>
      <c r="O178" s="541">
        <f t="shared" si="75"/>
        <v>819964.97875474778</v>
      </c>
      <c r="P178" s="541">
        <f t="shared" si="75"/>
        <v>858367.21883293195</v>
      </c>
      <c r="Q178" s="541">
        <f t="shared" si="75"/>
        <v>896769.45891111589</v>
      </c>
      <c r="R178" s="541">
        <f t="shared" si="75"/>
        <v>935171.69898930006</v>
      </c>
      <c r="S178" s="541">
        <f t="shared" si="75"/>
        <v>973573.93906748411</v>
      </c>
      <c r="T178" s="541">
        <f t="shared" si="75"/>
        <v>1011976.1791456683</v>
      </c>
      <c r="U178" s="541">
        <f t="shared" si="75"/>
        <v>1050378.4192238525</v>
      </c>
      <c r="V178" s="541">
        <f t="shared" si="75"/>
        <v>1088780.6593020363</v>
      </c>
      <c r="W178" s="541">
        <f t="shared" si="75"/>
        <v>1127182.8993802206</v>
      </c>
      <c r="X178" s="541">
        <f t="shared" si="75"/>
        <v>1165585.1394584046</v>
      </c>
      <c r="Y178" s="541">
        <f t="shared" si="75"/>
        <v>1203987.3795365889</v>
      </c>
      <c r="Z178" s="541">
        <f t="shared" si="75"/>
        <v>1242389.619614773</v>
      </c>
      <c r="AA178" s="541">
        <f t="shared" si="75"/>
        <v>1280791.859692957</v>
      </c>
      <c r="AB178" s="541">
        <f t="shared" si="75"/>
        <v>1319194.0997711411</v>
      </c>
      <c r="AC178" s="541">
        <f t="shared" si="75"/>
        <v>1357596.3398493251</v>
      </c>
      <c r="AD178" s="541">
        <f t="shared" si="75"/>
        <v>1395998.5799275094</v>
      </c>
      <c r="AE178" s="541">
        <f t="shared" si="75"/>
        <v>1434400.8200056935</v>
      </c>
      <c r="AF178" s="541">
        <f t="shared" si="75"/>
        <v>1472803.0600838775</v>
      </c>
      <c r="AG178" s="541">
        <f t="shared" si="75"/>
        <v>1511205.3001620618</v>
      </c>
      <c r="AH178" s="423"/>
      <c r="AI178" s="423"/>
    </row>
    <row r="179" spans="1:35" hidden="1" x14ac:dyDescent="0.25">
      <c r="A179" s="451">
        <v>5</v>
      </c>
      <c r="B179" s="449" t="s">
        <v>86</v>
      </c>
      <c r="C179" s="540">
        <v>0.20538201068373008</v>
      </c>
      <c r="D179" s="449"/>
      <c r="E179" s="541">
        <f t="shared" si="74"/>
        <v>270632.70711340423</v>
      </c>
      <c r="F179" s="541">
        <f t="shared" si="75"/>
        <v>271801.84413581708</v>
      </c>
      <c r="G179" s="541">
        <f t="shared" si="75"/>
        <v>308284.20609417965</v>
      </c>
      <c r="H179" s="541">
        <f t="shared" si="75"/>
        <v>315624.70817174233</v>
      </c>
      <c r="I179" s="541">
        <f t="shared" si="75"/>
        <v>321835.91296651866</v>
      </c>
      <c r="J179" s="541">
        <f t="shared" si="75"/>
        <v>325266.65019807732</v>
      </c>
      <c r="K179" s="541">
        <f t="shared" si="75"/>
        <v>377794.49602811394</v>
      </c>
      <c r="L179" s="541">
        <f t="shared" si="75"/>
        <v>405283.71290275536</v>
      </c>
      <c r="M179" s="541">
        <f t="shared" si="75"/>
        <v>411535.21269675106</v>
      </c>
      <c r="N179" s="541">
        <f t="shared" si="75"/>
        <v>415766.41072805296</v>
      </c>
      <c r="O179" s="541">
        <f t="shared" si="75"/>
        <v>424724.35250603454</v>
      </c>
      <c r="P179" s="541">
        <f t="shared" si="75"/>
        <v>444615.89296762599</v>
      </c>
      <c r="Q179" s="541">
        <f t="shared" si="75"/>
        <v>464507.43342921737</v>
      </c>
      <c r="R179" s="541">
        <f t="shared" si="75"/>
        <v>484398.97389080882</v>
      </c>
      <c r="S179" s="541">
        <f t="shared" si="75"/>
        <v>504290.51435240026</v>
      </c>
      <c r="T179" s="541">
        <f t="shared" si="75"/>
        <v>524182.05481399171</v>
      </c>
      <c r="U179" s="541">
        <f t="shared" si="75"/>
        <v>544073.59527558321</v>
      </c>
      <c r="V179" s="541">
        <f t="shared" si="75"/>
        <v>563965.13573717454</v>
      </c>
      <c r="W179" s="541">
        <f t="shared" si="75"/>
        <v>583856.67619876598</v>
      </c>
      <c r="X179" s="541">
        <f t="shared" si="75"/>
        <v>603748.21666035743</v>
      </c>
      <c r="Y179" s="541">
        <f t="shared" si="75"/>
        <v>623639.75712194899</v>
      </c>
      <c r="Z179" s="541">
        <f t="shared" si="75"/>
        <v>643531.29758354044</v>
      </c>
      <c r="AA179" s="541">
        <f t="shared" si="75"/>
        <v>663422.83804513188</v>
      </c>
      <c r="AB179" s="541">
        <f t="shared" si="75"/>
        <v>683314.37850672321</v>
      </c>
      <c r="AC179" s="541">
        <f t="shared" si="75"/>
        <v>703205.91896831465</v>
      </c>
      <c r="AD179" s="541">
        <f t="shared" si="75"/>
        <v>723097.45942990622</v>
      </c>
      <c r="AE179" s="541">
        <f t="shared" si="75"/>
        <v>742988.99989149766</v>
      </c>
      <c r="AF179" s="541">
        <f t="shared" si="75"/>
        <v>762880.54035308911</v>
      </c>
      <c r="AG179" s="541">
        <f t="shared" si="75"/>
        <v>782772.08081468055</v>
      </c>
      <c r="AH179" s="423"/>
      <c r="AI179" s="423"/>
    </row>
    <row r="180" spans="1:35" hidden="1" x14ac:dyDescent="0.25">
      <c r="A180" s="451">
        <v>6</v>
      </c>
      <c r="B180" s="449" t="s">
        <v>87</v>
      </c>
      <c r="C180" s="540">
        <v>0.14957402267583572</v>
      </c>
      <c r="D180" s="449"/>
      <c r="E180" s="541">
        <f t="shared" si="74"/>
        <v>197094.29533698614</v>
      </c>
      <c r="F180" s="541">
        <f t="shared" si="75"/>
        <v>197945.74540761003</v>
      </c>
      <c r="G180" s="541">
        <f t="shared" si="75"/>
        <v>224514.83788392809</v>
      </c>
      <c r="H180" s="541">
        <f t="shared" si="75"/>
        <v>229860.72197838328</v>
      </c>
      <c r="I180" s="541">
        <f t="shared" si="75"/>
        <v>234384.17017973898</v>
      </c>
      <c r="J180" s="541">
        <f t="shared" si="75"/>
        <v>236882.68096342287</v>
      </c>
      <c r="K180" s="541">
        <f t="shared" si="75"/>
        <v>275137.25436612207</v>
      </c>
      <c r="L180" s="541">
        <f t="shared" si="75"/>
        <v>295156.88867810759</v>
      </c>
      <c r="M180" s="541">
        <f t="shared" si="75"/>
        <v>299709.68260992377</v>
      </c>
      <c r="N180" s="541">
        <f t="shared" si="75"/>
        <v>302791.14679548226</v>
      </c>
      <c r="O180" s="541">
        <f t="shared" si="75"/>
        <v>309314.96736851154</v>
      </c>
      <c r="P180" s="541">
        <f t="shared" si="75"/>
        <v>323801.42464952928</v>
      </c>
      <c r="Q180" s="541">
        <f t="shared" si="75"/>
        <v>338287.88193054695</v>
      </c>
      <c r="R180" s="541">
        <f t="shared" si="75"/>
        <v>352774.33921156469</v>
      </c>
      <c r="S180" s="541">
        <f t="shared" si="75"/>
        <v>367260.79649258242</v>
      </c>
      <c r="T180" s="541">
        <f t="shared" si="75"/>
        <v>381747.25377360015</v>
      </c>
      <c r="U180" s="541">
        <f t="shared" si="75"/>
        <v>396233.71105461789</v>
      </c>
      <c r="V180" s="541">
        <f t="shared" si="75"/>
        <v>410720.16833563556</v>
      </c>
      <c r="W180" s="541">
        <f t="shared" si="75"/>
        <v>425206.6256166533</v>
      </c>
      <c r="X180" s="541">
        <f t="shared" si="75"/>
        <v>439693.08289767103</v>
      </c>
      <c r="Y180" s="541">
        <f t="shared" si="75"/>
        <v>454179.54017868877</v>
      </c>
      <c r="Z180" s="541">
        <f t="shared" si="75"/>
        <v>468665.9974597065</v>
      </c>
      <c r="AA180" s="541">
        <f t="shared" si="75"/>
        <v>483152.45474072429</v>
      </c>
      <c r="AB180" s="541">
        <f t="shared" si="75"/>
        <v>497638.91202174197</v>
      </c>
      <c r="AC180" s="541">
        <f t="shared" si="75"/>
        <v>512125.3693027597</v>
      </c>
      <c r="AD180" s="541">
        <f t="shared" si="75"/>
        <v>526611.82658377744</v>
      </c>
      <c r="AE180" s="541">
        <f t="shared" si="75"/>
        <v>541098.28386479511</v>
      </c>
      <c r="AF180" s="541">
        <f t="shared" si="75"/>
        <v>555584.74114581291</v>
      </c>
      <c r="AG180" s="541">
        <f t="shared" si="75"/>
        <v>570071.1984268307</v>
      </c>
      <c r="AH180" s="423"/>
      <c r="AI180" s="423"/>
    </row>
    <row r="181" spans="1:35" hidden="1" x14ac:dyDescent="0.25">
      <c r="A181" s="451">
        <v>7</v>
      </c>
      <c r="B181" s="449" t="s">
        <v>88</v>
      </c>
      <c r="C181" s="540">
        <v>3.8427827426417781E-2</v>
      </c>
      <c r="D181" s="449"/>
      <c r="E181" s="541">
        <f t="shared" si="74"/>
        <v>50636.503802238891</v>
      </c>
      <c r="F181" s="541">
        <f t="shared" si="75"/>
        <v>50855.254196129528</v>
      </c>
      <c r="G181" s="541">
        <f t="shared" si="75"/>
        <v>57681.255678815003</v>
      </c>
      <c r="H181" s="541">
        <f t="shared" si="75"/>
        <v>59054.694112496603</v>
      </c>
      <c r="I181" s="541">
        <f t="shared" si="75"/>
        <v>60216.836333079664</v>
      </c>
      <c r="J181" s="541">
        <f t="shared" si="75"/>
        <v>60858.741521566379</v>
      </c>
      <c r="K181" s="541">
        <f t="shared" si="75"/>
        <v>70686.919695099234</v>
      </c>
      <c r="L181" s="541">
        <f t="shared" si="75"/>
        <v>75830.266372003563</v>
      </c>
      <c r="M181" s="541">
        <f t="shared" si="75"/>
        <v>76999.947954339834</v>
      </c>
      <c r="N181" s="541">
        <f t="shared" si="75"/>
        <v>77791.62268384792</v>
      </c>
      <c r="O181" s="541">
        <f t="shared" si="75"/>
        <v>79467.690804878555</v>
      </c>
      <c r="P181" s="541">
        <f t="shared" si="75"/>
        <v>83189.480661541005</v>
      </c>
      <c r="Q181" s="541">
        <f t="shared" si="75"/>
        <v>86911.270518203426</v>
      </c>
      <c r="R181" s="541">
        <f t="shared" si="75"/>
        <v>90633.060374865861</v>
      </c>
      <c r="S181" s="541">
        <f t="shared" si="75"/>
        <v>94354.850231528297</v>
      </c>
      <c r="T181" s="541">
        <f t="shared" si="75"/>
        <v>98076.640088190747</v>
      </c>
      <c r="U181" s="541">
        <f t="shared" si="75"/>
        <v>101798.42994485318</v>
      </c>
      <c r="V181" s="541">
        <f t="shared" si="75"/>
        <v>105520.2198015156</v>
      </c>
      <c r="W181" s="541">
        <f t="shared" si="75"/>
        <v>109242.00965817804</v>
      </c>
      <c r="X181" s="541">
        <f t="shared" si="75"/>
        <v>112963.79951484047</v>
      </c>
      <c r="Y181" s="541">
        <f t="shared" si="75"/>
        <v>116685.58937150292</v>
      </c>
      <c r="Z181" s="541">
        <f t="shared" si="75"/>
        <v>120407.37922816536</v>
      </c>
      <c r="AA181" s="541">
        <f t="shared" si="75"/>
        <v>124129.16908482779</v>
      </c>
      <c r="AB181" s="541">
        <f t="shared" si="75"/>
        <v>127850.95894149021</v>
      </c>
      <c r="AC181" s="541">
        <f t="shared" si="75"/>
        <v>131572.74879815266</v>
      </c>
      <c r="AD181" s="541">
        <f t="shared" si="75"/>
        <v>135294.53865481511</v>
      </c>
      <c r="AE181" s="541">
        <f t="shared" si="75"/>
        <v>139016.32851147754</v>
      </c>
      <c r="AF181" s="541">
        <f t="shared" si="75"/>
        <v>142738.11836813999</v>
      </c>
      <c r="AG181" s="541">
        <f t="shared" si="75"/>
        <v>146459.90822480241</v>
      </c>
      <c r="AH181" s="423"/>
      <c r="AI181" s="423"/>
    </row>
    <row r="182" spans="1:35" hidden="1" x14ac:dyDescent="0.25">
      <c r="A182" s="451">
        <v>8</v>
      </c>
      <c r="B182" s="449" t="s">
        <v>89</v>
      </c>
      <c r="C182" s="540">
        <v>3.7258166361989063E-3</v>
      </c>
      <c r="D182" s="449"/>
      <c r="E182" s="541">
        <f t="shared" si="74"/>
        <v>4909.523668143469</v>
      </c>
      <c r="F182" s="541">
        <f t="shared" si="75"/>
        <v>4930.7328780134112</v>
      </c>
      <c r="G182" s="541">
        <f t="shared" si="75"/>
        <v>5592.5561343920435</v>
      </c>
      <c r="H182" s="541">
        <f t="shared" si="75"/>
        <v>5725.7195242507169</v>
      </c>
      <c r="I182" s="541">
        <f t="shared" si="75"/>
        <v>5838.396433382999</v>
      </c>
      <c r="J182" s="541">
        <f t="shared" si="75"/>
        <v>5900.6331298162213</v>
      </c>
      <c r="K182" s="541">
        <f t="shared" si="75"/>
        <v>6853.5360700772171</v>
      </c>
      <c r="L182" s="541">
        <f t="shared" si="75"/>
        <v>7352.2154880391736</v>
      </c>
      <c r="M182" s="541">
        <f t="shared" si="75"/>
        <v>7465.6233851384513</v>
      </c>
      <c r="N182" s="541">
        <f t="shared" si="75"/>
        <v>7542.3811691507653</v>
      </c>
      <c r="O182" s="541">
        <f t="shared" si="75"/>
        <v>7704.886387555217</v>
      </c>
      <c r="P182" s="541">
        <f t="shared" si="75"/>
        <v>8065.7370391030172</v>
      </c>
      <c r="Q182" s="541">
        <f t="shared" si="75"/>
        <v>8426.5876906508147</v>
      </c>
      <c r="R182" s="541">
        <f t="shared" si="75"/>
        <v>8787.4383421986149</v>
      </c>
      <c r="S182" s="541">
        <f t="shared" si="75"/>
        <v>9148.2889937464133</v>
      </c>
      <c r="T182" s="541">
        <f t="shared" si="75"/>
        <v>9509.1396452942136</v>
      </c>
      <c r="U182" s="541">
        <f t="shared" si="75"/>
        <v>9869.9902968420138</v>
      </c>
      <c r="V182" s="541">
        <f t="shared" si="75"/>
        <v>10230.84094838981</v>
      </c>
      <c r="W182" s="541">
        <f t="shared" si="75"/>
        <v>10591.691599937611</v>
      </c>
      <c r="X182" s="541">
        <f t="shared" si="75"/>
        <v>10952.542251485411</v>
      </c>
      <c r="Y182" s="541">
        <f t="shared" si="75"/>
        <v>11313.392903033209</v>
      </c>
      <c r="Z182" s="541">
        <f t="shared" si="75"/>
        <v>11674.243554581009</v>
      </c>
      <c r="AA182" s="541">
        <f t="shared" si="75"/>
        <v>12035.09420612881</v>
      </c>
      <c r="AB182" s="541">
        <f t="shared" si="75"/>
        <v>12395.944857676608</v>
      </c>
      <c r="AC182" s="541">
        <f t="shared" si="75"/>
        <v>12756.795509224406</v>
      </c>
      <c r="AD182" s="541">
        <f t="shared" si="75"/>
        <v>13117.646160772207</v>
      </c>
      <c r="AE182" s="541">
        <f t="shared" si="75"/>
        <v>13478.496812320007</v>
      </c>
      <c r="AF182" s="541">
        <f t="shared" si="75"/>
        <v>13839.347463867805</v>
      </c>
      <c r="AG182" s="541">
        <f t="shared" si="75"/>
        <v>14200.198115415606</v>
      </c>
      <c r="AH182" s="423"/>
      <c r="AI182" s="423"/>
    </row>
    <row r="183" spans="1:35" hidden="1" x14ac:dyDescent="0.25">
      <c r="A183" s="451">
        <v>9</v>
      </c>
      <c r="B183" s="449" t="s">
        <v>90</v>
      </c>
      <c r="C183" s="540">
        <v>4.0625647376015503E-6</v>
      </c>
      <c r="D183" s="449"/>
      <c r="E183" s="541">
        <f t="shared" si="74"/>
        <v>5.3532580049264338</v>
      </c>
      <c r="F183" s="541">
        <f t="shared" si="75"/>
        <v>5.3763841532432552</v>
      </c>
      <c r="G183" s="541">
        <f t="shared" si="75"/>
        <v>6.0980245575953829</v>
      </c>
      <c r="H183" s="541">
        <f t="shared" si="75"/>
        <v>6.2432235689270961</v>
      </c>
      <c r="I183" s="541">
        <f t="shared" si="75"/>
        <v>6.366084483051349</v>
      </c>
      <c r="J183" s="541">
        <f t="shared" si="75"/>
        <v>6.4339462790017716</v>
      </c>
      <c r="K183" s="541">
        <f t="shared" si="75"/>
        <v>7.4729748360835835</v>
      </c>
      <c r="L183" s="541">
        <f t="shared" si="75"/>
        <v>8.0167260768442556</v>
      </c>
      <c r="M183" s="541">
        <f t="shared" si="75"/>
        <v>8.1403840473532671</v>
      </c>
      <c r="N183" s="541">
        <f t="shared" si="75"/>
        <v>8.224079381051439</v>
      </c>
      <c r="O183" s="541">
        <f t="shared" si="75"/>
        <v>8.4012722046466681</v>
      </c>
      <c r="P183" s="541">
        <f t="shared" si="75"/>
        <v>8.7947373897756478</v>
      </c>
      <c r="Q183" s="541">
        <f t="shared" si="75"/>
        <v>9.1882025749046257</v>
      </c>
      <c r="R183" s="541">
        <f t="shared" si="75"/>
        <v>9.5816677600336053</v>
      </c>
      <c r="S183" s="541">
        <f t="shared" si="75"/>
        <v>9.975132945162585</v>
      </c>
      <c r="T183" s="541">
        <f t="shared" si="75"/>
        <v>10.368598130291565</v>
      </c>
      <c r="U183" s="541">
        <f t="shared" si="75"/>
        <v>10.762063315420544</v>
      </c>
      <c r="V183" s="541">
        <f t="shared" si="75"/>
        <v>11.155528500549522</v>
      </c>
      <c r="W183" s="541">
        <f t="shared" si="75"/>
        <v>11.548993685678502</v>
      </c>
      <c r="X183" s="541">
        <f t="shared" si="75"/>
        <v>11.942458870807481</v>
      </c>
      <c r="Y183" s="541">
        <f t="shared" si="75"/>
        <v>12.335924055936461</v>
      </c>
      <c r="Z183" s="541">
        <f t="shared" si="75"/>
        <v>12.729389241065441</v>
      </c>
      <c r="AA183" s="541">
        <f t="shared" si="75"/>
        <v>13.12285442619442</v>
      </c>
      <c r="AB183" s="541">
        <f t="shared" si="75"/>
        <v>13.516319611323398</v>
      </c>
      <c r="AC183" s="541">
        <f t="shared" si="75"/>
        <v>13.909784796452378</v>
      </c>
      <c r="AD183" s="541">
        <f t="shared" si="75"/>
        <v>14.303249981581358</v>
      </c>
      <c r="AE183" s="541">
        <f t="shared" si="75"/>
        <v>14.696715166710337</v>
      </c>
      <c r="AF183" s="541">
        <f t="shared" si="75"/>
        <v>15.090180351839317</v>
      </c>
      <c r="AG183" s="541">
        <f t="shared" si="75"/>
        <v>15.483645536968297</v>
      </c>
      <c r="AH183" s="423"/>
      <c r="AI183" s="423"/>
    </row>
    <row r="184" spans="1:35" hidden="1" x14ac:dyDescent="0.25">
      <c r="A184" s="451">
        <v>10</v>
      </c>
      <c r="B184" s="449" t="s">
        <v>91</v>
      </c>
      <c r="C184" s="540">
        <v>2.3551362053310917E-2</v>
      </c>
      <c r="D184" s="449"/>
      <c r="E184" s="541">
        <f t="shared" si="74"/>
        <v>31033.725142122941</v>
      </c>
      <c r="F184" s="541">
        <f t="shared" si="75"/>
        <v>31167.79126219407</v>
      </c>
      <c r="G184" s="541">
        <f t="shared" si="75"/>
        <v>35351.26045786983</v>
      </c>
      <c r="H184" s="541">
        <f t="shared" si="75"/>
        <v>36193.003225438588</v>
      </c>
      <c r="I184" s="541">
        <f t="shared" si="75"/>
        <v>36905.2483360111</v>
      </c>
      <c r="J184" s="541">
        <f t="shared" si="75"/>
        <v>37298.654430250936</v>
      </c>
      <c r="K184" s="541">
        <f t="shared" si="75"/>
        <v>43322.07542464717</v>
      </c>
      <c r="L184" s="541">
        <f t="shared" si="75"/>
        <v>46474.291614475085</v>
      </c>
      <c r="M184" s="541">
        <f t="shared" si="75"/>
        <v>47191.157393198584</v>
      </c>
      <c r="N184" s="541">
        <f t="shared" si="75"/>
        <v>47676.353133676072</v>
      </c>
      <c r="O184" s="541">
        <f t="shared" si="75"/>
        <v>48703.569340993286</v>
      </c>
      <c r="P184" s="541">
        <f t="shared" si="75"/>
        <v>50984.552323141754</v>
      </c>
      <c r="Q184" s="541">
        <f t="shared" si="75"/>
        <v>53265.535305290214</v>
      </c>
      <c r="R184" s="541">
        <f t="shared" si="75"/>
        <v>55546.518287438688</v>
      </c>
      <c r="S184" s="541">
        <f t="shared" si="75"/>
        <v>57827.501269587156</v>
      </c>
      <c r="T184" s="541">
        <f t="shared" si="75"/>
        <v>60108.48425173563</v>
      </c>
      <c r="U184" s="541">
        <f t="shared" si="75"/>
        <v>62389.467233884105</v>
      </c>
      <c r="V184" s="541">
        <f t="shared" si="75"/>
        <v>64670.450216032565</v>
      </c>
      <c r="W184" s="541">
        <f t="shared" si="75"/>
        <v>66951.433198181039</v>
      </c>
      <c r="X184" s="541">
        <f t="shared" ref="X184:AG184" si="77">$C184*X$13</f>
        <v>69232.416180329499</v>
      </c>
      <c r="Y184" s="541">
        <f t="shared" si="77"/>
        <v>71513.399162477974</v>
      </c>
      <c r="Z184" s="541">
        <f t="shared" si="77"/>
        <v>73794.382144626448</v>
      </c>
      <c r="AA184" s="541">
        <f t="shared" si="77"/>
        <v>76075.365126774923</v>
      </c>
      <c r="AB184" s="541">
        <f t="shared" si="77"/>
        <v>78356.348108923383</v>
      </c>
      <c r="AC184" s="541">
        <f t="shared" si="77"/>
        <v>80637.331091071857</v>
      </c>
      <c r="AD184" s="541">
        <f t="shared" si="77"/>
        <v>82918.314073220332</v>
      </c>
      <c r="AE184" s="541">
        <f t="shared" si="77"/>
        <v>85199.297055368792</v>
      </c>
      <c r="AF184" s="541">
        <f t="shared" si="77"/>
        <v>87480.280037517266</v>
      </c>
      <c r="AG184" s="541">
        <f t="shared" si="77"/>
        <v>89761.263019665741</v>
      </c>
      <c r="AH184" s="423"/>
      <c r="AI184" s="423"/>
    </row>
    <row r="185" spans="1:35" ht="15.75" hidden="1" customHeight="1" x14ac:dyDescent="0.25">
      <c r="A185" s="451">
        <v>11</v>
      </c>
      <c r="B185" s="449" t="s">
        <v>92</v>
      </c>
      <c r="C185" s="540">
        <v>1.6562826106976635E-2</v>
      </c>
      <c r="D185" s="449"/>
      <c r="E185" s="541">
        <f t="shared" si="74"/>
        <v>21824.903027569508</v>
      </c>
      <c r="F185" s="541">
        <f t="shared" ref="F185:T185" si="78">$C185*F$13</f>
        <v>21919.186909263855</v>
      </c>
      <c r="G185" s="541">
        <f t="shared" si="78"/>
        <v>24861.270371571718</v>
      </c>
      <c r="H185" s="541">
        <f t="shared" si="78"/>
        <v>25453.237793858731</v>
      </c>
      <c r="I185" s="541">
        <f t="shared" si="78"/>
        <v>25954.134170265905</v>
      </c>
      <c r="J185" s="541">
        <f t="shared" si="78"/>
        <v>26230.802530829078</v>
      </c>
      <c r="K185" s="541">
        <f t="shared" si="78"/>
        <v>30466.857934905882</v>
      </c>
      <c r="L185" s="541">
        <f t="shared" si="78"/>
        <v>32683.698238474502</v>
      </c>
      <c r="M185" s="541">
        <f t="shared" si="78"/>
        <v>33187.844164649105</v>
      </c>
      <c r="N185" s="541">
        <f t="shared" si="78"/>
        <v>33529.064882974591</v>
      </c>
      <c r="O185" s="541">
        <f t="shared" si="78"/>
        <v>34251.469106456483</v>
      </c>
      <c r="P185" s="541">
        <f t="shared" si="78"/>
        <v>35855.602421581963</v>
      </c>
      <c r="Q185" s="541">
        <f t="shared" si="78"/>
        <v>37459.735736707436</v>
      </c>
      <c r="R185" s="541">
        <f t="shared" si="78"/>
        <v>39063.869051832924</v>
      </c>
      <c r="S185" s="541">
        <f t="shared" si="78"/>
        <v>40668.002366958404</v>
      </c>
      <c r="T185" s="541">
        <f t="shared" si="78"/>
        <v>42272.135682083885</v>
      </c>
      <c r="U185" s="541">
        <f t="shared" ref="U185:AG185" si="79">$C185*U$13</f>
        <v>43876.268997209365</v>
      </c>
      <c r="V185" s="541">
        <f t="shared" si="79"/>
        <v>45480.402312334845</v>
      </c>
      <c r="W185" s="541">
        <f t="shared" si="79"/>
        <v>47084.535627460325</v>
      </c>
      <c r="X185" s="541">
        <f t="shared" si="79"/>
        <v>48688.668942585806</v>
      </c>
      <c r="Y185" s="541">
        <f t="shared" si="79"/>
        <v>50292.802257711286</v>
      </c>
      <c r="Z185" s="541">
        <f t="shared" si="79"/>
        <v>51896.935572836774</v>
      </c>
      <c r="AA185" s="541">
        <f t="shared" si="79"/>
        <v>53501.068887962254</v>
      </c>
      <c r="AB185" s="541">
        <f t="shared" si="79"/>
        <v>55105.202203087727</v>
      </c>
      <c r="AC185" s="541">
        <f t="shared" si="79"/>
        <v>56709.335518213207</v>
      </c>
      <c r="AD185" s="541">
        <f t="shared" si="79"/>
        <v>58313.468833338695</v>
      </c>
      <c r="AE185" s="541">
        <f t="shared" si="79"/>
        <v>59917.602148464175</v>
      </c>
      <c r="AF185" s="541">
        <f t="shared" si="79"/>
        <v>61521.735463589655</v>
      </c>
      <c r="AG185" s="541">
        <f t="shared" si="79"/>
        <v>63125.868778715136</v>
      </c>
      <c r="AH185" s="423"/>
      <c r="AI185" s="423"/>
    </row>
    <row r="186" spans="1:35" hidden="1" x14ac:dyDescent="0.25">
      <c r="A186" s="449"/>
      <c r="B186" s="449" t="s">
        <v>67</v>
      </c>
      <c r="C186" s="451" t="s">
        <v>0</v>
      </c>
      <c r="D186" s="449"/>
      <c r="E186" s="541">
        <f t="shared" ref="E186:AG186" si="80">SUM(E175:E185)</f>
        <v>1317704.0492127344</v>
      </c>
      <c r="F186" s="541">
        <f t="shared" si="80"/>
        <v>1323396.548855331</v>
      </c>
      <c r="G186" s="541">
        <f t="shared" si="80"/>
        <v>1501028.2792922389</v>
      </c>
      <c r="H186" s="541">
        <f t="shared" si="80"/>
        <v>1536769.0048461747</v>
      </c>
      <c r="I186" s="541">
        <f t="shared" si="80"/>
        <v>1567011.2094779182</v>
      </c>
      <c r="J186" s="541">
        <f t="shared" si="80"/>
        <v>1583715.3853701376</v>
      </c>
      <c r="K186" s="541">
        <f t="shared" si="80"/>
        <v>1839472.1853701377</v>
      </c>
      <c r="L186" s="541">
        <f t="shared" si="80"/>
        <v>1973316.5117701376</v>
      </c>
      <c r="M186" s="541">
        <f t="shared" si="80"/>
        <v>2003754.9117701373</v>
      </c>
      <c r="N186" s="541">
        <f t="shared" si="80"/>
        <v>2024356.5117701374</v>
      </c>
      <c r="O186" s="541">
        <f t="shared" si="80"/>
        <v>2067972.5117701371</v>
      </c>
      <c r="P186" s="541">
        <f t="shared" si="80"/>
        <v>2164823.9370501367</v>
      </c>
      <c r="Q186" s="541">
        <f t="shared" si="80"/>
        <v>2261675.3623301364</v>
      </c>
      <c r="R186" s="541">
        <f t="shared" si="80"/>
        <v>2358526.7876101369</v>
      </c>
      <c r="S186" s="541">
        <f t="shared" si="80"/>
        <v>2455378.212890137</v>
      </c>
      <c r="T186" s="541">
        <f t="shared" si="80"/>
        <v>2552229.6381701371</v>
      </c>
      <c r="U186" s="541">
        <f t="shared" si="80"/>
        <v>2649081.0634501376</v>
      </c>
      <c r="V186" s="541">
        <f t="shared" si="80"/>
        <v>2745932.4887301372</v>
      </c>
      <c r="W186" s="541">
        <f t="shared" si="80"/>
        <v>2842783.9140101364</v>
      </c>
      <c r="X186" s="541">
        <f t="shared" si="80"/>
        <v>2939635.3392901365</v>
      </c>
      <c r="Y186" s="541">
        <f t="shared" si="80"/>
        <v>3036486.7645701366</v>
      </c>
      <c r="Z186" s="541">
        <f t="shared" si="80"/>
        <v>3133338.1898501362</v>
      </c>
      <c r="AA186" s="541">
        <f t="shared" si="80"/>
        <v>3230189.6151301367</v>
      </c>
      <c r="AB186" s="541">
        <f t="shared" si="80"/>
        <v>3327041.0404101363</v>
      </c>
      <c r="AC186" s="541">
        <f t="shared" si="80"/>
        <v>3423892.4656901369</v>
      </c>
      <c r="AD186" s="541">
        <f t="shared" si="80"/>
        <v>3520743.890970137</v>
      </c>
      <c r="AE186" s="541">
        <f t="shared" si="80"/>
        <v>3617595.3162501366</v>
      </c>
      <c r="AF186" s="541">
        <f t="shared" si="80"/>
        <v>3714446.7415301367</v>
      </c>
      <c r="AG186" s="541">
        <f t="shared" si="80"/>
        <v>3811298.1668101368</v>
      </c>
      <c r="AH186" s="423"/>
      <c r="AI186" s="423"/>
    </row>
    <row r="187" spans="1:35" hidden="1" x14ac:dyDescent="0.25">
      <c r="A187" s="449"/>
      <c r="B187" s="449"/>
      <c r="C187" s="451"/>
      <c r="D187" s="449"/>
      <c r="E187" s="538"/>
      <c r="F187" s="538"/>
      <c r="G187" s="538"/>
      <c r="H187" s="538"/>
      <c r="I187" s="538"/>
      <c r="J187" s="538"/>
      <c r="K187" s="538"/>
      <c r="L187" s="538"/>
      <c r="M187" s="538"/>
      <c r="N187" s="538"/>
      <c r="O187" s="538"/>
      <c r="P187" s="538"/>
      <c r="Q187" s="538"/>
      <c r="R187" s="538"/>
      <c r="S187" s="538"/>
      <c r="T187" s="538"/>
      <c r="U187" s="538"/>
      <c r="V187" s="538"/>
      <c r="W187" s="538"/>
      <c r="X187" s="538"/>
      <c r="Y187" s="538"/>
      <c r="Z187" s="538"/>
      <c r="AA187" s="538"/>
      <c r="AB187" s="538"/>
      <c r="AC187" s="538"/>
      <c r="AD187" s="538"/>
      <c r="AE187" s="538"/>
      <c r="AF187" s="538"/>
      <c r="AG187" s="538"/>
      <c r="AH187" s="423"/>
      <c r="AI187" s="423"/>
    </row>
    <row r="188" spans="1:35" hidden="1" x14ac:dyDescent="0.25">
      <c r="A188" s="449"/>
      <c r="B188" s="449"/>
      <c r="C188" s="451"/>
      <c r="D188" s="449"/>
      <c r="E188" s="538"/>
      <c r="F188" s="538"/>
      <c r="G188" s="538"/>
      <c r="H188" s="538"/>
      <c r="I188" s="538"/>
      <c r="J188" s="538"/>
      <c r="K188" s="538"/>
      <c r="L188" s="538"/>
      <c r="M188" s="538"/>
      <c r="N188" s="538"/>
      <c r="O188" s="538"/>
      <c r="P188" s="538"/>
      <c r="Q188" s="538"/>
      <c r="R188" s="538"/>
      <c r="S188" s="538"/>
      <c r="T188" s="538"/>
      <c r="U188" s="538"/>
      <c r="V188" s="538"/>
      <c r="W188" s="538"/>
      <c r="X188" s="538"/>
      <c r="Y188" s="538"/>
      <c r="Z188" s="538"/>
      <c r="AA188" s="538"/>
      <c r="AB188" s="538"/>
      <c r="AC188" s="538"/>
      <c r="AD188" s="538"/>
      <c r="AE188" s="538"/>
      <c r="AF188" s="538"/>
      <c r="AG188" s="538"/>
      <c r="AH188" s="423"/>
      <c r="AI188" s="423"/>
    </row>
    <row r="189" spans="1:35" hidden="1" x14ac:dyDescent="0.25">
      <c r="A189" s="449"/>
      <c r="B189" s="449" t="s">
        <v>53</v>
      </c>
      <c r="C189" s="451"/>
      <c r="D189" s="449"/>
      <c r="E189" s="538"/>
      <c r="F189" s="538"/>
      <c r="G189" s="538"/>
      <c r="H189" s="538"/>
      <c r="I189" s="538"/>
      <c r="J189" s="538"/>
      <c r="K189" s="538"/>
      <c r="L189" s="538"/>
      <c r="M189" s="538"/>
      <c r="N189" s="538"/>
      <c r="O189" s="538"/>
      <c r="P189" s="538"/>
      <c r="Q189" s="538"/>
      <c r="R189" s="538"/>
      <c r="S189" s="538"/>
      <c r="T189" s="538"/>
      <c r="U189" s="538"/>
      <c r="V189" s="538"/>
      <c r="W189" s="538"/>
      <c r="X189" s="538"/>
      <c r="Y189" s="538"/>
      <c r="Z189" s="538"/>
      <c r="AA189" s="538"/>
      <c r="AB189" s="538"/>
      <c r="AC189" s="538"/>
      <c r="AD189" s="538"/>
      <c r="AE189" s="538"/>
      <c r="AF189" s="538"/>
      <c r="AG189" s="538"/>
      <c r="AH189" s="423"/>
      <c r="AI189" s="423"/>
    </row>
    <row r="190" spans="1:35" hidden="1" x14ac:dyDescent="0.25">
      <c r="A190" s="449"/>
      <c r="B190" s="449" t="s">
        <v>80</v>
      </c>
      <c r="C190" s="451" t="s">
        <v>81</v>
      </c>
      <c r="D190" s="449"/>
      <c r="E190" s="450">
        <v>2017</v>
      </c>
      <c r="F190" s="450">
        <v>2018</v>
      </c>
      <c r="G190" s="450">
        <v>2019</v>
      </c>
      <c r="H190" s="450">
        <v>2020</v>
      </c>
      <c r="I190" s="450">
        <v>2021</v>
      </c>
      <c r="J190" s="450">
        <v>2022</v>
      </c>
      <c r="K190" s="450">
        <v>2023</v>
      </c>
      <c r="L190" s="450">
        <v>2024</v>
      </c>
      <c r="M190" s="450">
        <v>2025</v>
      </c>
      <c r="N190" s="450">
        <v>2026</v>
      </c>
      <c r="O190" s="450">
        <v>2027</v>
      </c>
      <c r="P190" s="450">
        <v>2028</v>
      </c>
      <c r="Q190" s="450">
        <v>2029</v>
      </c>
      <c r="R190" s="450">
        <v>2030</v>
      </c>
      <c r="S190" s="450">
        <v>2031</v>
      </c>
      <c r="T190" s="450">
        <v>2032</v>
      </c>
      <c r="U190" s="450">
        <v>2033</v>
      </c>
      <c r="V190" s="450">
        <v>2034</v>
      </c>
      <c r="W190" s="450">
        <v>2035</v>
      </c>
      <c r="X190" s="450">
        <v>2036</v>
      </c>
      <c r="Y190" s="450">
        <v>2037</v>
      </c>
      <c r="Z190" s="450">
        <v>2038</v>
      </c>
      <c r="AA190" s="450">
        <v>2039</v>
      </c>
      <c r="AB190" s="450">
        <v>2040</v>
      </c>
      <c r="AC190" s="450">
        <v>2041</v>
      </c>
      <c r="AD190" s="450">
        <v>2042</v>
      </c>
      <c r="AE190" s="450">
        <v>2043</v>
      </c>
      <c r="AF190" s="450">
        <v>2044</v>
      </c>
      <c r="AG190" s="450">
        <v>2045</v>
      </c>
      <c r="AH190" s="423"/>
      <c r="AI190" s="423"/>
    </row>
    <row r="191" spans="1:35" hidden="1" x14ac:dyDescent="0.25">
      <c r="A191" s="451">
        <v>1</v>
      </c>
      <c r="B191" s="449" t="s">
        <v>82</v>
      </c>
      <c r="C191" s="540">
        <v>0</v>
      </c>
      <c r="D191" s="449"/>
      <c r="E191" s="541">
        <f t="shared" ref="E191:E201" si="81">$C191*E$15</f>
        <v>0</v>
      </c>
      <c r="F191" s="541">
        <f t="shared" ref="F191:AG200" si="82">$C191*F$15</f>
        <v>0</v>
      </c>
      <c r="G191" s="541">
        <f t="shared" si="82"/>
        <v>0</v>
      </c>
      <c r="H191" s="541">
        <f t="shared" si="82"/>
        <v>0</v>
      </c>
      <c r="I191" s="541">
        <f t="shared" si="82"/>
        <v>0</v>
      </c>
      <c r="J191" s="541">
        <f t="shared" si="82"/>
        <v>0</v>
      </c>
      <c r="K191" s="541">
        <f t="shared" si="82"/>
        <v>0</v>
      </c>
      <c r="L191" s="541">
        <f t="shared" si="82"/>
        <v>0</v>
      </c>
      <c r="M191" s="541">
        <f t="shared" si="82"/>
        <v>0</v>
      </c>
      <c r="N191" s="541">
        <f t="shared" si="82"/>
        <v>0</v>
      </c>
      <c r="O191" s="541">
        <f t="shared" si="82"/>
        <v>0</v>
      </c>
      <c r="P191" s="541">
        <f t="shared" si="82"/>
        <v>0</v>
      </c>
      <c r="Q191" s="541">
        <f t="shared" si="82"/>
        <v>0</v>
      </c>
      <c r="R191" s="541">
        <f t="shared" si="82"/>
        <v>0</v>
      </c>
      <c r="S191" s="541">
        <f t="shared" si="82"/>
        <v>0</v>
      </c>
      <c r="T191" s="541">
        <f t="shared" si="82"/>
        <v>0</v>
      </c>
      <c r="U191" s="541">
        <f t="shared" si="82"/>
        <v>0</v>
      </c>
      <c r="V191" s="541">
        <f t="shared" si="82"/>
        <v>0</v>
      </c>
      <c r="W191" s="541">
        <f t="shared" si="82"/>
        <v>0</v>
      </c>
      <c r="X191" s="541">
        <f t="shared" si="82"/>
        <v>0</v>
      </c>
      <c r="Y191" s="541">
        <f t="shared" si="82"/>
        <v>0</v>
      </c>
      <c r="Z191" s="541">
        <f t="shared" si="82"/>
        <v>0</v>
      </c>
      <c r="AA191" s="541">
        <f t="shared" si="82"/>
        <v>0</v>
      </c>
      <c r="AB191" s="541">
        <f t="shared" si="82"/>
        <v>0</v>
      </c>
      <c r="AC191" s="541">
        <f t="shared" si="82"/>
        <v>0</v>
      </c>
      <c r="AD191" s="541">
        <f t="shared" si="82"/>
        <v>0</v>
      </c>
      <c r="AE191" s="541">
        <f t="shared" si="82"/>
        <v>0</v>
      </c>
      <c r="AF191" s="541">
        <f t="shared" si="82"/>
        <v>0</v>
      </c>
      <c r="AG191" s="541">
        <f t="shared" si="82"/>
        <v>0</v>
      </c>
      <c r="AH191" s="423"/>
      <c r="AI191" s="423"/>
    </row>
    <row r="192" spans="1:35" hidden="1" x14ac:dyDescent="0.25">
      <c r="A192" s="451">
        <v>2</v>
      </c>
      <c r="B192" s="449" t="s">
        <v>83</v>
      </c>
      <c r="C192" s="540">
        <v>0</v>
      </c>
      <c r="D192" s="449"/>
      <c r="E192" s="541">
        <f t="shared" si="81"/>
        <v>0</v>
      </c>
      <c r="F192" s="541">
        <f t="shared" ref="F192:T192" si="83">$C192*F$15</f>
        <v>0</v>
      </c>
      <c r="G192" s="541">
        <f t="shared" si="83"/>
        <v>0</v>
      </c>
      <c r="H192" s="541">
        <f t="shared" si="83"/>
        <v>0</v>
      </c>
      <c r="I192" s="541">
        <f t="shared" si="83"/>
        <v>0</v>
      </c>
      <c r="J192" s="541">
        <f t="shared" si="83"/>
        <v>0</v>
      </c>
      <c r="K192" s="541">
        <f t="shared" si="83"/>
        <v>0</v>
      </c>
      <c r="L192" s="541">
        <f t="shared" si="83"/>
        <v>0</v>
      </c>
      <c r="M192" s="541">
        <f t="shared" si="83"/>
        <v>0</v>
      </c>
      <c r="N192" s="541">
        <f t="shared" si="83"/>
        <v>0</v>
      </c>
      <c r="O192" s="541">
        <f t="shared" si="83"/>
        <v>0</v>
      </c>
      <c r="P192" s="541">
        <f t="shared" si="83"/>
        <v>0</v>
      </c>
      <c r="Q192" s="541">
        <f t="shared" si="83"/>
        <v>0</v>
      </c>
      <c r="R192" s="541">
        <f t="shared" si="83"/>
        <v>0</v>
      </c>
      <c r="S192" s="541">
        <f t="shared" si="83"/>
        <v>0</v>
      </c>
      <c r="T192" s="541">
        <f t="shared" si="83"/>
        <v>0</v>
      </c>
      <c r="U192" s="541">
        <f t="shared" si="82"/>
        <v>0</v>
      </c>
      <c r="V192" s="541">
        <f t="shared" si="82"/>
        <v>0</v>
      </c>
      <c r="W192" s="541">
        <f t="shared" si="82"/>
        <v>0</v>
      </c>
      <c r="X192" s="541">
        <f t="shared" si="82"/>
        <v>0</v>
      </c>
      <c r="Y192" s="541">
        <f t="shared" si="82"/>
        <v>0</v>
      </c>
      <c r="Z192" s="541">
        <f t="shared" si="82"/>
        <v>0</v>
      </c>
      <c r="AA192" s="541">
        <f t="shared" si="82"/>
        <v>0</v>
      </c>
      <c r="AB192" s="541">
        <f t="shared" si="82"/>
        <v>0</v>
      </c>
      <c r="AC192" s="541">
        <f t="shared" si="82"/>
        <v>0</v>
      </c>
      <c r="AD192" s="541">
        <f t="shared" si="82"/>
        <v>0</v>
      </c>
      <c r="AE192" s="541">
        <f t="shared" si="82"/>
        <v>0</v>
      </c>
      <c r="AF192" s="541">
        <f t="shared" si="82"/>
        <v>0</v>
      </c>
      <c r="AG192" s="541">
        <f t="shared" si="82"/>
        <v>0</v>
      </c>
      <c r="AH192" s="423"/>
      <c r="AI192" s="423"/>
    </row>
    <row r="193" spans="1:35" hidden="1" x14ac:dyDescent="0.25">
      <c r="A193" s="451">
        <v>3</v>
      </c>
      <c r="B193" s="449" t="s">
        <v>84</v>
      </c>
      <c r="C193" s="540">
        <v>0</v>
      </c>
      <c r="D193" s="449"/>
      <c r="E193" s="541">
        <f t="shared" si="81"/>
        <v>0</v>
      </c>
      <c r="F193" s="541">
        <f t="shared" si="82"/>
        <v>0</v>
      </c>
      <c r="G193" s="541">
        <f t="shared" si="82"/>
        <v>0</v>
      </c>
      <c r="H193" s="541">
        <f t="shared" si="82"/>
        <v>0</v>
      </c>
      <c r="I193" s="541">
        <f t="shared" si="82"/>
        <v>0</v>
      </c>
      <c r="J193" s="541">
        <f t="shared" si="82"/>
        <v>0</v>
      </c>
      <c r="K193" s="541">
        <f t="shared" si="82"/>
        <v>0</v>
      </c>
      <c r="L193" s="541">
        <f t="shared" si="82"/>
        <v>0</v>
      </c>
      <c r="M193" s="541">
        <f t="shared" si="82"/>
        <v>0</v>
      </c>
      <c r="N193" s="541">
        <f t="shared" si="82"/>
        <v>0</v>
      </c>
      <c r="O193" s="541">
        <f t="shared" si="82"/>
        <v>0</v>
      </c>
      <c r="P193" s="541">
        <f t="shared" si="82"/>
        <v>0</v>
      </c>
      <c r="Q193" s="541">
        <f t="shared" si="82"/>
        <v>0</v>
      </c>
      <c r="R193" s="541">
        <f t="shared" si="82"/>
        <v>0</v>
      </c>
      <c r="S193" s="541">
        <f t="shared" si="82"/>
        <v>0</v>
      </c>
      <c r="T193" s="541">
        <f t="shared" si="82"/>
        <v>0</v>
      </c>
      <c r="U193" s="541">
        <f t="shared" si="82"/>
        <v>0</v>
      </c>
      <c r="V193" s="541">
        <f t="shared" si="82"/>
        <v>0</v>
      </c>
      <c r="W193" s="541">
        <f t="shared" si="82"/>
        <v>0</v>
      </c>
      <c r="X193" s="541">
        <f t="shared" si="82"/>
        <v>0</v>
      </c>
      <c r="Y193" s="541">
        <f t="shared" si="82"/>
        <v>0</v>
      </c>
      <c r="Z193" s="541">
        <f t="shared" si="82"/>
        <v>0</v>
      </c>
      <c r="AA193" s="541">
        <f t="shared" si="82"/>
        <v>0</v>
      </c>
      <c r="AB193" s="541">
        <f t="shared" si="82"/>
        <v>0</v>
      </c>
      <c r="AC193" s="541">
        <f t="shared" si="82"/>
        <v>0</v>
      </c>
      <c r="AD193" s="541">
        <f t="shared" si="82"/>
        <v>0</v>
      </c>
      <c r="AE193" s="541">
        <f t="shared" si="82"/>
        <v>0</v>
      </c>
      <c r="AF193" s="541">
        <f t="shared" si="82"/>
        <v>0</v>
      </c>
      <c r="AG193" s="541">
        <f t="shared" si="82"/>
        <v>0</v>
      </c>
      <c r="AH193" s="423"/>
      <c r="AI193" s="423"/>
    </row>
    <row r="194" spans="1:35" hidden="1" x14ac:dyDescent="0.25">
      <c r="A194" s="451">
        <v>4</v>
      </c>
      <c r="B194" s="449" t="s">
        <v>85</v>
      </c>
      <c r="C194" s="540">
        <v>0</v>
      </c>
      <c r="D194" s="449"/>
      <c r="E194" s="541">
        <f t="shared" si="81"/>
        <v>0</v>
      </c>
      <c r="F194" s="541">
        <f t="shared" si="82"/>
        <v>0</v>
      </c>
      <c r="G194" s="541">
        <f t="shared" si="82"/>
        <v>0</v>
      </c>
      <c r="H194" s="541">
        <f t="shared" si="82"/>
        <v>0</v>
      </c>
      <c r="I194" s="541">
        <f t="shared" si="82"/>
        <v>0</v>
      </c>
      <c r="J194" s="541">
        <f t="shared" si="82"/>
        <v>0</v>
      </c>
      <c r="K194" s="541">
        <f t="shared" si="82"/>
        <v>0</v>
      </c>
      <c r="L194" s="541">
        <f t="shared" si="82"/>
        <v>0</v>
      </c>
      <c r="M194" s="541">
        <f t="shared" si="82"/>
        <v>0</v>
      </c>
      <c r="N194" s="541">
        <f t="shared" si="82"/>
        <v>0</v>
      </c>
      <c r="O194" s="541">
        <f t="shared" si="82"/>
        <v>0</v>
      </c>
      <c r="P194" s="541">
        <f t="shared" si="82"/>
        <v>0</v>
      </c>
      <c r="Q194" s="541">
        <f t="shared" si="82"/>
        <v>0</v>
      </c>
      <c r="R194" s="541">
        <f t="shared" si="82"/>
        <v>0</v>
      </c>
      <c r="S194" s="541">
        <f t="shared" si="82"/>
        <v>0</v>
      </c>
      <c r="T194" s="541">
        <f t="shared" si="82"/>
        <v>0</v>
      </c>
      <c r="U194" s="541">
        <f t="shared" si="82"/>
        <v>0</v>
      </c>
      <c r="V194" s="541">
        <f t="shared" si="82"/>
        <v>0</v>
      </c>
      <c r="W194" s="541">
        <f t="shared" si="82"/>
        <v>0</v>
      </c>
      <c r="X194" s="541">
        <f t="shared" si="82"/>
        <v>0</v>
      </c>
      <c r="Y194" s="541">
        <f t="shared" si="82"/>
        <v>0</v>
      </c>
      <c r="Z194" s="541">
        <f t="shared" si="82"/>
        <v>0</v>
      </c>
      <c r="AA194" s="541">
        <f t="shared" si="82"/>
        <v>0</v>
      </c>
      <c r="AB194" s="541">
        <f t="shared" si="82"/>
        <v>0</v>
      </c>
      <c r="AC194" s="541">
        <f t="shared" si="82"/>
        <v>0</v>
      </c>
      <c r="AD194" s="541">
        <f t="shared" si="82"/>
        <v>0</v>
      </c>
      <c r="AE194" s="541">
        <f t="shared" si="82"/>
        <v>0</v>
      </c>
      <c r="AF194" s="541">
        <f t="shared" si="82"/>
        <v>0</v>
      </c>
      <c r="AG194" s="541">
        <f t="shared" si="82"/>
        <v>0</v>
      </c>
      <c r="AH194" s="423"/>
      <c r="AI194" s="423"/>
    </row>
    <row r="195" spans="1:35" hidden="1" x14ac:dyDescent="0.25">
      <c r="A195" s="451">
        <v>5</v>
      </c>
      <c r="B195" s="449" t="s">
        <v>86</v>
      </c>
      <c r="C195" s="540">
        <v>0.89299181783060766</v>
      </c>
      <c r="D195" s="449"/>
      <c r="E195" s="541">
        <f t="shared" si="81"/>
        <v>0</v>
      </c>
      <c r="F195" s="541">
        <f t="shared" si="82"/>
        <v>0</v>
      </c>
      <c r="G195" s="541">
        <f t="shared" si="82"/>
        <v>0</v>
      </c>
      <c r="H195" s="541">
        <f t="shared" si="82"/>
        <v>0</v>
      </c>
      <c r="I195" s="541">
        <f t="shared" si="82"/>
        <v>0</v>
      </c>
      <c r="J195" s="541">
        <f t="shared" si="82"/>
        <v>0</v>
      </c>
      <c r="K195" s="541">
        <f t="shared" si="82"/>
        <v>0</v>
      </c>
      <c r="L195" s="541">
        <f t="shared" si="82"/>
        <v>0</v>
      </c>
      <c r="M195" s="541">
        <f t="shared" si="82"/>
        <v>0</v>
      </c>
      <c r="N195" s="541">
        <f t="shared" si="82"/>
        <v>0</v>
      </c>
      <c r="O195" s="541">
        <f t="shared" si="82"/>
        <v>0</v>
      </c>
      <c r="P195" s="541">
        <f t="shared" si="82"/>
        <v>0</v>
      </c>
      <c r="Q195" s="541">
        <f t="shared" si="82"/>
        <v>0</v>
      </c>
      <c r="R195" s="541">
        <f t="shared" si="82"/>
        <v>0</v>
      </c>
      <c r="S195" s="541">
        <f t="shared" si="82"/>
        <v>0</v>
      </c>
      <c r="T195" s="541">
        <f t="shared" si="82"/>
        <v>0</v>
      </c>
      <c r="U195" s="541">
        <f t="shared" si="82"/>
        <v>0</v>
      </c>
      <c r="V195" s="541">
        <f t="shared" si="82"/>
        <v>0</v>
      </c>
      <c r="W195" s="541">
        <f t="shared" si="82"/>
        <v>0</v>
      </c>
      <c r="X195" s="541">
        <f t="shared" si="82"/>
        <v>0</v>
      </c>
      <c r="Y195" s="541">
        <f t="shared" si="82"/>
        <v>0</v>
      </c>
      <c r="Z195" s="541">
        <f t="shared" si="82"/>
        <v>0</v>
      </c>
      <c r="AA195" s="541">
        <f t="shared" si="82"/>
        <v>0</v>
      </c>
      <c r="AB195" s="541">
        <f t="shared" si="82"/>
        <v>0</v>
      </c>
      <c r="AC195" s="541">
        <f t="shared" si="82"/>
        <v>0</v>
      </c>
      <c r="AD195" s="541">
        <f t="shared" si="82"/>
        <v>0</v>
      </c>
      <c r="AE195" s="541">
        <f t="shared" si="82"/>
        <v>0</v>
      </c>
      <c r="AF195" s="541">
        <f t="shared" si="82"/>
        <v>0</v>
      </c>
      <c r="AG195" s="541">
        <f t="shared" si="82"/>
        <v>0</v>
      </c>
      <c r="AH195" s="423"/>
      <c r="AI195" s="423"/>
    </row>
    <row r="196" spans="1:35" hidden="1" x14ac:dyDescent="0.25">
      <c r="A196" s="451">
        <v>6</v>
      </c>
      <c r="B196" s="449" t="s">
        <v>87</v>
      </c>
      <c r="C196" s="540">
        <v>0</v>
      </c>
      <c r="D196" s="449"/>
      <c r="E196" s="541">
        <f t="shared" si="81"/>
        <v>0</v>
      </c>
      <c r="F196" s="541">
        <f t="shared" si="82"/>
        <v>0</v>
      </c>
      <c r="G196" s="541">
        <f t="shared" si="82"/>
        <v>0</v>
      </c>
      <c r="H196" s="541">
        <f t="shared" si="82"/>
        <v>0</v>
      </c>
      <c r="I196" s="541">
        <f t="shared" si="82"/>
        <v>0</v>
      </c>
      <c r="J196" s="541">
        <f t="shared" si="82"/>
        <v>0</v>
      </c>
      <c r="K196" s="541">
        <f t="shared" si="82"/>
        <v>0</v>
      </c>
      <c r="L196" s="541">
        <f t="shared" si="82"/>
        <v>0</v>
      </c>
      <c r="M196" s="541">
        <f t="shared" si="82"/>
        <v>0</v>
      </c>
      <c r="N196" s="541">
        <f t="shared" si="82"/>
        <v>0</v>
      </c>
      <c r="O196" s="541">
        <f t="shared" si="82"/>
        <v>0</v>
      </c>
      <c r="P196" s="541">
        <f t="shared" si="82"/>
        <v>0</v>
      </c>
      <c r="Q196" s="541">
        <f t="shared" si="82"/>
        <v>0</v>
      </c>
      <c r="R196" s="541">
        <f t="shared" si="82"/>
        <v>0</v>
      </c>
      <c r="S196" s="541">
        <f t="shared" si="82"/>
        <v>0</v>
      </c>
      <c r="T196" s="541">
        <f t="shared" si="82"/>
        <v>0</v>
      </c>
      <c r="U196" s="541">
        <f t="shared" si="82"/>
        <v>0</v>
      </c>
      <c r="V196" s="541">
        <f t="shared" si="82"/>
        <v>0</v>
      </c>
      <c r="W196" s="541">
        <f t="shared" si="82"/>
        <v>0</v>
      </c>
      <c r="X196" s="541">
        <f t="shared" si="82"/>
        <v>0</v>
      </c>
      <c r="Y196" s="541">
        <f t="shared" si="82"/>
        <v>0</v>
      </c>
      <c r="Z196" s="541">
        <f t="shared" si="82"/>
        <v>0</v>
      </c>
      <c r="AA196" s="541">
        <f t="shared" si="82"/>
        <v>0</v>
      </c>
      <c r="AB196" s="541">
        <f t="shared" si="82"/>
        <v>0</v>
      </c>
      <c r="AC196" s="541">
        <f t="shared" si="82"/>
        <v>0</v>
      </c>
      <c r="AD196" s="541">
        <f t="shared" si="82"/>
        <v>0</v>
      </c>
      <c r="AE196" s="541">
        <f t="shared" si="82"/>
        <v>0</v>
      </c>
      <c r="AF196" s="541">
        <f t="shared" si="82"/>
        <v>0</v>
      </c>
      <c r="AG196" s="541">
        <f t="shared" si="82"/>
        <v>0</v>
      </c>
      <c r="AH196" s="423"/>
      <c r="AI196" s="423"/>
    </row>
    <row r="197" spans="1:35" hidden="1" x14ac:dyDescent="0.25">
      <c r="A197" s="451">
        <v>7</v>
      </c>
      <c r="B197" s="449" t="s">
        <v>88</v>
      </c>
      <c r="C197" s="540">
        <v>0</v>
      </c>
      <c r="D197" s="449"/>
      <c r="E197" s="541">
        <f t="shared" si="81"/>
        <v>0</v>
      </c>
      <c r="F197" s="541">
        <f t="shared" si="82"/>
        <v>0</v>
      </c>
      <c r="G197" s="541">
        <f t="shared" si="82"/>
        <v>0</v>
      </c>
      <c r="H197" s="541">
        <f t="shared" si="82"/>
        <v>0</v>
      </c>
      <c r="I197" s="541">
        <f t="shared" si="82"/>
        <v>0</v>
      </c>
      <c r="J197" s="541">
        <f t="shared" si="82"/>
        <v>0</v>
      </c>
      <c r="K197" s="541">
        <f t="shared" si="82"/>
        <v>0</v>
      </c>
      <c r="L197" s="541">
        <f t="shared" si="82"/>
        <v>0</v>
      </c>
      <c r="M197" s="541">
        <f t="shared" si="82"/>
        <v>0</v>
      </c>
      <c r="N197" s="541">
        <f t="shared" si="82"/>
        <v>0</v>
      </c>
      <c r="O197" s="541">
        <f t="shared" si="82"/>
        <v>0</v>
      </c>
      <c r="P197" s="541">
        <f t="shared" si="82"/>
        <v>0</v>
      </c>
      <c r="Q197" s="541">
        <f t="shared" si="82"/>
        <v>0</v>
      </c>
      <c r="R197" s="541">
        <f t="shared" si="82"/>
        <v>0</v>
      </c>
      <c r="S197" s="541">
        <f t="shared" si="82"/>
        <v>0</v>
      </c>
      <c r="T197" s="541">
        <f t="shared" si="82"/>
        <v>0</v>
      </c>
      <c r="U197" s="541">
        <f t="shared" si="82"/>
        <v>0</v>
      </c>
      <c r="V197" s="541">
        <f t="shared" si="82"/>
        <v>0</v>
      </c>
      <c r="W197" s="541">
        <f t="shared" si="82"/>
        <v>0</v>
      </c>
      <c r="X197" s="541">
        <f t="shared" si="82"/>
        <v>0</v>
      </c>
      <c r="Y197" s="541">
        <f t="shared" si="82"/>
        <v>0</v>
      </c>
      <c r="Z197" s="541">
        <f t="shared" si="82"/>
        <v>0</v>
      </c>
      <c r="AA197" s="541">
        <f t="shared" si="82"/>
        <v>0</v>
      </c>
      <c r="AB197" s="541">
        <f t="shared" si="82"/>
        <v>0</v>
      </c>
      <c r="AC197" s="541">
        <f t="shared" si="82"/>
        <v>0</v>
      </c>
      <c r="AD197" s="541">
        <f t="shared" si="82"/>
        <v>0</v>
      </c>
      <c r="AE197" s="541">
        <f t="shared" si="82"/>
        <v>0</v>
      </c>
      <c r="AF197" s="541">
        <f t="shared" si="82"/>
        <v>0</v>
      </c>
      <c r="AG197" s="541">
        <f t="shared" si="82"/>
        <v>0</v>
      </c>
      <c r="AH197" s="423"/>
      <c r="AI197" s="423"/>
    </row>
    <row r="198" spans="1:35" hidden="1" x14ac:dyDescent="0.25">
      <c r="A198" s="451">
        <v>8</v>
      </c>
      <c r="B198" s="449" t="s">
        <v>89</v>
      </c>
      <c r="C198" s="540">
        <v>0</v>
      </c>
      <c r="D198" s="449"/>
      <c r="E198" s="541">
        <f t="shared" si="81"/>
        <v>0</v>
      </c>
      <c r="F198" s="541">
        <f t="shared" si="82"/>
        <v>0</v>
      </c>
      <c r="G198" s="541">
        <f t="shared" si="82"/>
        <v>0</v>
      </c>
      <c r="H198" s="541">
        <f t="shared" si="82"/>
        <v>0</v>
      </c>
      <c r="I198" s="541">
        <f t="shared" si="82"/>
        <v>0</v>
      </c>
      <c r="J198" s="541">
        <f t="shared" si="82"/>
        <v>0</v>
      </c>
      <c r="K198" s="541">
        <f t="shared" si="82"/>
        <v>0</v>
      </c>
      <c r="L198" s="541">
        <f t="shared" si="82"/>
        <v>0</v>
      </c>
      <c r="M198" s="541">
        <f t="shared" si="82"/>
        <v>0</v>
      </c>
      <c r="N198" s="541">
        <f t="shared" si="82"/>
        <v>0</v>
      </c>
      <c r="O198" s="541">
        <f t="shared" si="82"/>
        <v>0</v>
      </c>
      <c r="P198" s="541">
        <f t="shared" si="82"/>
        <v>0</v>
      </c>
      <c r="Q198" s="541">
        <f t="shared" si="82"/>
        <v>0</v>
      </c>
      <c r="R198" s="541">
        <f t="shared" si="82"/>
        <v>0</v>
      </c>
      <c r="S198" s="541">
        <f t="shared" si="82"/>
        <v>0</v>
      </c>
      <c r="T198" s="541">
        <f t="shared" si="82"/>
        <v>0</v>
      </c>
      <c r="U198" s="541">
        <f t="shared" si="82"/>
        <v>0</v>
      </c>
      <c r="V198" s="541">
        <f t="shared" si="82"/>
        <v>0</v>
      </c>
      <c r="W198" s="541">
        <f t="shared" si="82"/>
        <v>0</v>
      </c>
      <c r="X198" s="541">
        <f t="shared" si="82"/>
        <v>0</v>
      </c>
      <c r="Y198" s="541">
        <f t="shared" si="82"/>
        <v>0</v>
      </c>
      <c r="Z198" s="541">
        <f t="shared" si="82"/>
        <v>0</v>
      </c>
      <c r="AA198" s="541">
        <f t="shared" si="82"/>
        <v>0</v>
      </c>
      <c r="AB198" s="541">
        <f t="shared" si="82"/>
        <v>0</v>
      </c>
      <c r="AC198" s="541">
        <f t="shared" si="82"/>
        <v>0</v>
      </c>
      <c r="AD198" s="541">
        <f t="shared" si="82"/>
        <v>0</v>
      </c>
      <c r="AE198" s="541">
        <f t="shared" si="82"/>
        <v>0</v>
      </c>
      <c r="AF198" s="541">
        <f t="shared" si="82"/>
        <v>0</v>
      </c>
      <c r="AG198" s="541">
        <f t="shared" si="82"/>
        <v>0</v>
      </c>
      <c r="AH198" s="423"/>
      <c r="AI198" s="423"/>
    </row>
    <row r="199" spans="1:35" hidden="1" x14ac:dyDescent="0.25">
      <c r="A199" s="451">
        <v>9</v>
      </c>
      <c r="B199" s="449" t="s">
        <v>90</v>
      </c>
      <c r="C199" s="540">
        <f>1-C195</f>
        <v>0.10700818216939234</v>
      </c>
      <c r="D199" s="449"/>
      <c r="E199" s="541">
        <f t="shared" si="81"/>
        <v>0</v>
      </c>
      <c r="F199" s="541">
        <f t="shared" si="82"/>
        <v>0</v>
      </c>
      <c r="G199" s="541">
        <f t="shared" si="82"/>
        <v>0</v>
      </c>
      <c r="H199" s="541">
        <f t="shared" si="82"/>
        <v>0</v>
      </c>
      <c r="I199" s="541">
        <f t="shared" si="82"/>
        <v>0</v>
      </c>
      <c r="J199" s="541">
        <f t="shared" si="82"/>
        <v>0</v>
      </c>
      <c r="K199" s="541">
        <f t="shared" si="82"/>
        <v>0</v>
      </c>
      <c r="L199" s="541">
        <f t="shared" si="82"/>
        <v>0</v>
      </c>
      <c r="M199" s="541">
        <f t="shared" si="82"/>
        <v>0</v>
      </c>
      <c r="N199" s="541">
        <f t="shared" si="82"/>
        <v>0</v>
      </c>
      <c r="O199" s="541">
        <f t="shared" si="82"/>
        <v>0</v>
      </c>
      <c r="P199" s="541">
        <f t="shared" si="82"/>
        <v>0</v>
      </c>
      <c r="Q199" s="541">
        <f t="shared" si="82"/>
        <v>0</v>
      </c>
      <c r="R199" s="541">
        <f t="shared" si="82"/>
        <v>0</v>
      </c>
      <c r="S199" s="541">
        <f t="shared" si="82"/>
        <v>0</v>
      </c>
      <c r="T199" s="541">
        <f t="shared" si="82"/>
        <v>0</v>
      </c>
      <c r="U199" s="541">
        <f t="shared" si="82"/>
        <v>0</v>
      </c>
      <c r="V199" s="541">
        <f t="shared" si="82"/>
        <v>0</v>
      </c>
      <c r="W199" s="541">
        <f t="shared" si="82"/>
        <v>0</v>
      </c>
      <c r="X199" s="541">
        <f t="shared" si="82"/>
        <v>0</v>
      </c>
      <c r="Y199" s="541">
        <f t="shared" si="82"/>
        <v>0</v>
      </c>
      <c r="Z199" s="541">
        <f t="shared" si="82"/>
        <v>0</v>
      </c>
      <c r="AA199" s="541">
        <f t="shared" si="82"/>
        <v>0</v>
      </c>
      <c r="AB199" s="541">
        <f t="shared" si="82"/>
        <v>0</v>
      </c>
      <c r="AC199" s="541">
        <f t="shared" si="82"/>
        <v>0</v>
      </c>
      <c r="AD199" s="541">
        <f t="shared" si="82"/>
        <v>0</v>
      </c>
      <c r="AE199" s="541">
        <f t="shared" si="82"/>
        <v>0</v>
      </c>
      <c r="AF199" s="541">
        <f t="shared" si="82"/>
        <v>0</v>
      </c>
      <c r="AG199" s="541">
        <f t="shared" si="82"/>
        <v>0</v>
      </c>
      <c r="AH199" s="423"/>
      <c r="AI199" s="423"/>
    </row>
    <row r="200" spans="1:35" hidden="1" x14ac:dyDescent="0.25">
      <c r="A200" s="451">
        <v>10</v>
      </c>
      <c r="B200" s="449" t="s">
        <v>91</v>
      </c>
      <c r="C200" s="540">
        <v>0</v>
      </c>
      <c r="D200" s="449"/>
      <c r="E200" s="541">
        <f t="shared" si="81"/>
        <v>0</v>
      </c>
      <c r="F200" s="541">
        <f t="shared" si="82"/>
        <v>0</v>
      </c>
      <c r="G200" s="541">
        <f t="shared" si="82"/>
        <v>0</v>
      </c>
      <c r="H200" s="541">
        <f t="shared" si="82"/>
        <v>0</v>
      </c>
      <c r="I200" s="541">
        <f t="shared" si="82"/>
        <v>0</v>
      </c>
      <c r="J200" s="541">
        <f t="shared" si="82"/>
        <v>0</v>
      </c>
      <c r="K200" s="541">
        <f t="shared" si="82"/>
        <v>0</v>
      </c>
      <c r="L200" s="541">
        <f t="shared" si="82"/>
        <v>0</v>
      </c>
      <c r="M200" s="541">
        <f t="shared" si="82"/>
        <v>0</v>
      </c>
      <c r="N200" s="541">
        <f t="shared" si="82"/>
        <v>0</v>
      </c>
      <c r="O200" s="541">
        <f t="shared" si="82"/>
        <v>0</v>
      </c>
      <c r="P200" s="541">
        <f t="shared" si="82"/>
        <v>0</v>
      </c>
      <c r="Q200" s="541">
        <f t="shared" si="82"/>
        <v>0</v>
      </c>
      <c r="R200" s="541">
        <f t="shared" si="82"/>
        <v>0</v>
      </c>
      <c r="S200" s="541">
        <f t="shared" si="82"/>
        <v>0</v>
      </c>
      <c r="T200" s="541">
        <f t="shared" si="82"/>
        <v>0</v>
      </c>
      <c r="U200" s="541">
        <f t="shared" si="82"/>
        <v>0</v>
      </c>
      <c r="V200" s="541">
        <f t="shared" si="82"/>
        <v>0</v>
      </c>
      <c r="W200" s="541">
        <f t="shared" si="82"/>
        <v>0</v>
      </c>
      <c r="X200" s="541">
        <f t="shared" ref="X200:AG200" si="84">$C200*X$15</f>
        <v>0</v>
      </c>
      <c r="Y200" s="541">
        <f t="shared" si="84"/>
        <v>0</v>
      </c>
      <c r="Z200" s="541">
        <f t="shared" si="84"/>
        <v>0</v>
      </c>
      <c r="AA200" s="541">
        <f t="shared" si="84"/>
        <v>0</v>
      </c>
      <c r="AB200" s="541">
        <f t="shared" si="84"/>
        <v>0</v>
      </c>
      <c r="AC200" s="541">
        <f t="shared" si="84"/>
        <v>0</v>
      </c>
      <c r="AD200" s="541">
        <f t="shared" si="84"/>
        <v>0</v>
      </c>
      <c r="AE200" s="541">
        <f t="shared" si="84"/>
        <v>0</v>
      </c>
      <c r="AF200" s="541">
        <f t="shared" si="84"/>
        <v>0</v>
      </c>
      <c r="AG200" s="541">
        <f t="shared" si="84"/>
        <v>0</v>
      </c>
      <c r="AH200" s="423"/>
      <c r="AI200" s="423"/>
    </row>
    <row r="201" spans="1:35" ht="15.75" hidden="1" customHeight="1" x14ac:dyDescent="0.25">
      <c r="A201" s="451">
        <v>11</v>
      </c>
      <c r="B201" s="449" t="s">
        <v>92</v>
      </c>
      <c r="C201" s="540">
        <v>0</v>
      </c>
      <c r="D201" s="449"/>
      <c r="E201" s="541">
        <f t="shared" si="81"/>
        <v>0</v>
      </c>
      <c r="F201" s="541">
        <f t="shared" ref="F201:T201" si="85">$C201*F$15</f>
        <v>0</v>
      </c>
      <c r="G201" s="541">
        <f t="shared" si="85"/>
        <v>0</v>
      </c>
      <c r="H201" s="541">
        <f t="shared" si="85"/>
        <v>0</v>
      </c>
      <c r="I201" s="541">
        <f t="shared" si="85"/>
        <v>0</v>
      </c>
      <c r="J201" s="541">
        <f t="shared" si="85"/>
        <v>0</v>
      </c>
      <c r="K201" s="541">
        <f t="shared" si="85"/>
        <v>0</v>
      </c>
      <c r="L201" s="541">
        <f t="shared" si="85"/>
        <v>0</v>
      </c>
      <c r="M201" s="541">
        <f t="shared" si="85"/>
        <v>0</v>
      </c>
      <c r="N201" s="541">
        <f t="shared" si="85"/>
        <v>0</v>
      </c>
      <c r="O201" s="541">
        <f t="shared" si="85"/>
        <v>0</v>
      </c>
      <c r="P201" s="541">
        <f t="shared" si="85"/>
        <v>0</v>
      </c>
      <c r="Q201" s="541">
        <f t="shared" si="85"/>
        <v>0</v>
      </c>
      <c r="R201" s="541">
        <f t="shared" si="85"/>
        <v>0</v>
      </c>
      <c r="S201" s="541">
        <f t="shared" si="85"/>
        <v>0</v>
      </c>
      <c r="T201" s="541">
        <f t="shared" si="85"/>
        <v>0</v>
      </c>
      <c r="U201" s="541">
        <f t="shared" ref="U201:AG201" si="86">$C201*U$15</f>
        <v>0</v>
      </c>
      <c r="V201" s="541">
        <f t="shared" si="86"/>
        <v>0</v>
      </c>
      <c r="W201" s="541">
        <f t="shared" si="86"/>
        <v>0</v>
      </c>
      <c r="X201" s="541">
        <f t="shared" si="86"/>
        <v>0</v>
      </c>
      <c r="Y201" s="541">
        <f t="shared" si="86"/>
        <v>0</v>
      </c>
      <c r="Z201" s="541">
        <f t="shared" si="86"/>
        <v>0</v>
      </c>
      <c r="AA201" s="541">
        <f t="shared" si="86"/>
        <v>0</v>
      </c>
      <c r="AB201" s="541">
        <f t="shared" si="86"/>
        <v>0</v>
      </c>
      <c r="AC201" s="541">
        <f t="shared" si="86"/>
        <v>0</v>
      </c>
      <c r="AD201" s="541">
        <f t="shared" si="86"/>
        <v>0</v>
      </c>
      <c r="AE201" s="541">
        <f t="shared" si="86"/>
        <v>0</v>
      </c>
      <c r="AF201" s="541">
        <f t="shared" si="86"/>
        <v>0</v>
      </c>
      <c r="AG201" s="541">
        <f t="shared" si="86"/>
        <v>0</v>
      </c>
      <c r="AH201" s="423"/>
      <c r="AI201" s="423"/>
    </row>
    <row r="202" spans="1:35" hidden="1" x14ac:dyDescent="0.25">
      <c r="A202" s="449"/>
      <c r="B202" s="449" t="s">
        <v>67</v>
      </c>
      <c r="C202" s="451" t="s">
        <v>0</v>
      </c>
      <c r="D202" s="449"/>
      <c r="E202" s="541">
        <f t="shared" ref="E202:AG202" si="87">SUM(E191:E201)</f>
        <v>0</v>
      </c>
      <c r="F202" s="541">
        <f t="shared" si="87"/>
        <v>0</v>
      </c>
      <c r="G202" s="541">
        <f t="shared" si="87"/>
        <v>0</v>
      </c>
      <c r="H202" s="541">
        <f t="shared" si="87"/>
        <v>0</v>
      </c>
      <c r="I202" s="541">
        <f t="shared" si="87"/>
        <v>0</v>
      </c>
      <c r="J202" s="541">
        <f t="shared" si="87"/>
        <v>0</v>
      </c>
      <c r="K202" s="541">
        <f t="shared" si="87"/>
        <v>0</v>
      </c>
      <c r="L202" s="541">
        <f t="shared" si="87"/>
        <v>0</v>
      </c>
      <c r="M202" s="541">
        <f t="shared" si="87"/>
        <v>0</v>
      </c>
      <c r="N202" s="541">
        <f t="shared" si="87"/>
        <v>0</v>
      </c>
      <c r="O202" s="541">
        <f t="shared" si="87"/>
        <v>0</v>
      </c>
      <c r="P202" s="541">
        <f t="shared" si="87"/>
        <v>0</v>
      </c>
      <c r="Q202" s="541">
        <f t="shared" si="87"/>
        <v>0</v>
      </c>
      <c r="R202" s="541">
        <f t="shared" si="87"/>
        <v>0</v>
      </c>
      <c r="S202" s="541">
        <f t="shared" si="87"/>
        <v>0</v>
      </c>
      <c r="T202" s="541">
        <f t="shared" si="87"/>
        <v>0</v>
      </c>
      <c r="U202" s="541">
        <f t="shared" si="87"/>
        <v>0</v>
      </c>
      <c r="V202" s="541">
        <f t="shared" si="87"/>
        <v>0</v>
      </c>
      <c r="W202" s="541">
        <f t="shared" si="87"/>
        <v>0</v>
      </c>
      <c r="X202" s="541">
        <f t="shared" si="87"/>
        <v>0</v>
      </c>
      <c r="Y202" s="541">
        <f t="shared" si="87"/>
        <v>0</v>
      </c>
      <c r="Z202" s="541">
        <f t="shared" si="87"/>
        <v>0</v>
      </c>
      <c r="AA202" s="541">
        <f t="shared" si="87"/>
        <v>0</v>
      </c>
      <c r="AB202" s="541">
        <f t="shared" si="87"/>
        <v>0</v>
      </c>
      <c r="AC202" s="541">
        <f t="shared" si="87"/>
        <v>0</v>
      </c>
      <c r="AD202" s="541">
        <f t="shared" si="87"/>
        <v>0</v>
      </c>
      <c r="AE202" s="541">
        <f t="shared" si="87"/>
        <v>0</v>
      </c>
      <c r="AF202" s="541">
        <f t="shared" si="87"/>
        <v>0</v>
      </c>
      <c r="AG202" s="541">
        <f t="shared" si="87"/>
        <v>0</v>
      </c>
      <c r="AH202" s="423"/>
      <c r="AI202" s="423"/>
    </row>
    <row r="203" spans="1:35" hidden="1" x14ac:dyDescent="0.25">
      <c r="A203" s="449"/>
      <c r="B203" s="449"/>
      <c r="C203" s="451"/>
      <c r="D203" s="449"/>
      <c r="E203" s="538"/>
      <c r="F203" s="538"/>
      <c r="G203" s="538"/>
      <c r="H203" s="538"/>
      <c r="I203" s="538"/>
      <c r="J203" s="538"/>
      <c r="K203" s="538"/>
      <c r="L203" s="538"/>
      <c r="M203" s="538"/>
      <c r="N203" s="538"/>
      <c r="O203" s="538"/>
      <c r="P203" s="538"/>
      <c r="Q203" s="538"/>
      <c r="R203" s="538"/>
      <c r="S203" s="538"/>
      <c r="T203" s="538"/>
      <c r="U203" s="538"/>
      <c r="V203" s="538"/>
      <c r="W203" s="538"/>
      <c r="X203" s="538"/>
      <c r="Y203" s="538"/>
      <c r="Z203" s="538"/>
      <c r="AA203" s="538"/>
      <c r="AB203" s="538"/>
      <c r="AC203" s="538"/>
      <c r="AD203" s="538"/>
      <c r="AE203" s="538"/>
      <c r="AF203" s="538"/>
      <c r="AG203" s="538"/>
      <c r="AH203" s="423"/>
      <c r="AI203" s="423"/>
    </row>
    <row r="204" spans="1:35" hidden="1" x14ac:dyDescent="0.25">
      <c r="A204" s="449"/>
      <c r="B204" s="449"/>
      <c r="C204" s="451"/>
      <c r="D204" s="449"/>
      <c r="E204" s="538"/>
      <c r="F204" s="538"/>
      <c r="G204" s="538"/>
      <c r="H204" s="538"/>
      <c r="I204" s="538"/>
      <c r="J204" s="538"/>
      <c r="K204" s="538"/>
      <c r="L204" s="538"/>
      <c r="M204" s="538"/>
      <c r="N204" s="538"/>
      <c r="O204" s="538"/>
      <c r="P204" s="538"/>
      <c r="Q204" s="538"/>
      <c r="R204" s="538"/>
      <c r="S204" s="538"/>
      <c r="T204" s="538"/>
      <c r="U204" s="538"/>
      <c r="V204" s="538"/>
      <c r="W204" s="538"/>
      <c r="X204" s="538"/>
      <c r="Y204" s="538"/>
      <c r="Z204" s="538"/>
      <c r="AA204" s="538"/>
      <c r="AB204" s="538"/>
      <c r="AC204" s="538"/>
      <c r="AD204" s="538"/>
      <c r="AE204" s="538"/>
      <c r="AF204" s="538"/>
      <c r="AG204" s="538"/>
      <c r="AH204" s="423"/>
      <c r="AI204" s="423"/>
    </row>
    <row r="205" spans="1:35" hidden="1" x14ac:dyDescent="0.25">
      <c r="A205" s="449"/>
      <c r="B205" s="449" t="s">
        <v>94</v>
      </c>
      <c r="C205" s="451"/>
      <c r="D205" s="449"/>
      <c r="E205" s="538"/>
      <c r="F205" s="538"/>
      <c r="G205" s="538"/>
      <c r="H205" s="538"/>
      <c r="I205" s="538"/>
      <c r="J205" s="538"/>
      <c r="K205" s="538"/>
      <c r="L205" s="538"/>
      <c r="M205" s="538"/>
      <c r="N205" s="538"/>
      <c r="O205" s="538"/>
      <c r="P205" s="538"/>
      <c r="Q205" s="538"/>
      <c r="R205" s="538"/>
      <c r="S205" s="538"/>
      <c r="T205" s="538"/>
      <c r="U205" s="538"/>
      <c r="V205" s="538"/>
      <c r="W205" s="538"/>
      <c r="X205" s="538"/>
      <c r="Y205" s="538"/>
      <c r="Z205" s="538"/>
      <c r="AA205" s="538"/>
      <c r="AB205" s="538"/>
      <c r="AC205" s="538"/>
      <c r="AD205" s="538"/>
      <c r="AE205" s="538"/>
      <c r="AF205" s="538"/>
      <c r="AG205" s="538"/>
      <c r="AH205" s="423"/>
      <c r="AI205" s="423"/>
    </row>
    <row r="206" spans="1:35" hidden="1" x14ac:dyDescent="0.25">
      <c r="A206" s="449"/>
      <c r="B206" s="449" t="s">
        <v>80</v>
      </c>
      <c r="C206" s="451" t="s">
        <v>81</v>
      </c>
      <c r="D206" s="449"/>
      <c r="E206" s="450">
        <v>2017</v>
      </c>
      <c r="F206" s="450">
        <v>2018</v>
      </c>
      <c r="G206" s="450">
        <v>2019</v>
      </c>
      <c r="H206" s="450">
        <v>2020</v>
      </c>
      <c r="I206" s="450">
        <v>2021</v>
      </c>
      <c r="J206" s="450">
        <v>2022</v>
      </c>
      <c r="K206" s="450">
        <v>2023</v>
      </c>
      <c r="L206" s="450">
        <v>2024</v>
      </c>
      <c r="M206" s="450">
        <v>2025</v>
      </c>
      <c r="N206" s="450">
        <v>2026</v>
      </c>
      <c r="O206" s="450">
        <v>2027</v>
      </c>
      <c r="P206" s="450">
        <v>2028</v>
      </c>
      <c r="Q206" s="450">
        <v>2029</v>
      </c>
      <c r="R206" s="450">
        <v>2030</v>
      </c>
      <c r="S206" s="450">
        <v>2031</v>
      </c>
      <c r="T206" s="450">
        <v>2032</v>
      </c>
      <c r="U206" s="450">
        <v>2033</v>
      </c>
      <c r="V206" s="450">
        <v>2034</v>
      </c>
      <c r="W206" s="450">
        <v>2035</v>
      </c>
      <c r="X206" s="450">
        <v>2036</v>
      </c>
      <c r="Y206" s="450">
        <v>2037</v>
      </c>
      <c r="Z206" s="450">
        <v>2038</v>
      </c>
      <c r="AA206" s="450">
        <v>2039</v>
      </c>
      <c r="AB206" s="450">
        <v>2040</v>
      </c>
      <c r="AC206" s="450">
        <v>2041</v>
      </c>
      <c r="AD206" s="450">
        <v>2042</v>
      </c>
      <c r="AE206" s="450">
        <v>2043</v>
      </c>
      <c r="AF206" s="450">
        <v>2044</v>
      </c>
      <c r="AG206" s="450">
        <v>2045</v>
      </c>
      <c r="AH206" s="423"/>
      <c r="AI206" s="423"/>
    </row>
    <row r="207" spans="1:35" hidden="1" x14ac:dyDescent="0.25">
      <c r="A207" s="451">
        <v>1</v>
      </c>
      <c r="B207" s="449" t="s">
        <v>82</v>
      </c>
      <c r="C207" s="540">
        <v>6.3553349521453459E-2</v>
      </c>
      <c r="D207" s="449"/>
      <c r="E207" s="541">
        <f t="shared" ref="E207:E217" si="88">$C207*E$17</f>
        <v>181004.11187123664</v>
      </c>
      <c r="F207" s="541">
        <f t="shared" ref="F207:AG216" si="89">$C207*F$17</f>
        <v>184624.19410866138</v>
      </c>
      <c r="G207" s="541">
        <f t="shared" si="89"/>
        <v>188316.67799083461</v>
      </c>
      <c r="H207" s="541">
        <f t="shared" si="89"/>
        <v>192083.01155065131</v>
      </c>
      <c r="I207" s="541">
        <f t="shared" si="89"/>
        <v>195924.67178166436</v>
      </c>
      <c r="J207" s="541">
        <f t="shared" si="89"/>
        <v>199843.16521729765</v>
      </c>
      <c r="K207" s="541">
        <f t="shared" si="89"/>
        <v>203840.02852164357</v>
      </c>
      <c r="L207" s="541">
        <f t="shared" si="89"/>
        <v>207916.82909207646</v>
      </c>
      <c r="M207" s="541">
        <f t="shared" si="89"/>
        <v>212075.16567391797</v>
      </c>
      <c r="N207" s="541">
        <f t="shared" si="89"/>
        <v>216316.66898739635</v>
      </c>
      <c r="O207" s="541">
        <f t="shared" si="89"/>
        <v>220643.00236714428</v>
      </c>
      <c r="P207" s="541">
        <f t="shared" si="89"/>
        <v>225055.86241448717</v>
      </c>
      <c r="Q207" s="541">
        <f t="shared" si="89"/>
        <v>229556.97966277692</v>
      </c>
      <c r="R207" s="541">
        <f t="shared" si="89"/>
        <v>234148.11925603246</v>
      </c>
      <c r="S207" s="541">
        <f t="shared" si="89"/>
        <v>238831.08164115311</v>
      </c>
      <c r="T207" s="541">
        <f t="shared" si="89"/>
        <v>243607.70327397619</v>
      </c>
      <c r="U207" s="541">
        <f t="shared" si="89"/>
        <v>248479.85733945575</v>
      </c>
      <c r="V207" s="541">
        <f t="shared" si="89"/>
        <v>253449.45448624485</v>
      </c>
      <c r="W207" s="541">
        <f t="shared" si="89"/>
        <v>258518.44357596975</v>
      </c>
      <c r="X207" s="541">
        <f t="shared" si="89"/>
        <v>263688.81244748912</v>
      </c>
      <c r="Y207" s="541">
        <f t="shared" si="89"/>
        <v>268962.58869643894</v>
      </c>
      <c r="Z207" s="541">
        <f t="shared" si="89"/>
        <v>274341.84047036775</v>
      </c>
      <c r="AA207" s="541">
        <f t="shared" si="89"/>
        <v>279828.67727977509</v>
      </c>
      <c r="AB207" s="541">
        <f t="shared" si="89"/>
        <v>285425.2508253706</v>
      </c>
      <c r="AC207" s="541">
        <f t="shared" si="89"/>
        <v>291133.75584187801</v>
      </c>
      <c r="AD207" s="541">
        <f t="shared" si="89"/>
        <v>296956.43095871556</v>
      </c>
      <c r="AE207" s="541">
        <f t="shared" si="89"/>
        <v>302895.55957788992</v>
      </c>
      <c r="AF207" s="541">
        <f t="shared" si="89"/>
        <v>308953.47076944774</v>
      </c>
      <c r="AG207" s="541">
        <f t="shared" si="89"/>
        <v>315132.54018483666</v>
      </c>
      <c r="AH207" s="423"/>
      <c r="AI207" s="423"/>
    </row>
    <row r="208" spans="1:35" hidden="1" x14ac:dyDescent="0.25">
      <c r="A208" s="451">
        <v>2</v>
      </c>
      <c r="B208" s="449" t="s">
        <v>83</v>
      </c>
      <c r="C208" s="540">
        <v>1.8532678381520517E-2</v>
      </c>
      <c r="D208" s="449"/>
      <c r="E208" s="541">
        <f t="shared" si="88"/>
        <v>52782.284746613179</v>
      </c>
      <c r="F208" s="541">
        <f t="shared" ref="F208:T208" si="90">$C208*F$17</f>
        <v>53837.930441545439</v>
      </c>
      <c r="G208" s="541">
        <f t="shared" si="90"/>
        <v>54914.689050376342</v>
      </c>
      <c r="H208" s="541">
        <f t="shared" si="90"/>
        <v>56012.982831383881</v>
      </c>
      <c r="I208" s="541">
        <f t="shared" si="90"/>
        <v>57133.242488011558</v>
      </c>
      <c r="J208" s="541">
        <f t="shared" si="90"/>
        <v>58275.907337771787</v>
      </c>
      <c r="K208" s="541">
        <f t="shared" si="90"/>
        <v>59441.425484527223</v>
      </c>
      <c r="L208" s="541">
        <f t="shared" si="90"/>
        <v>60630.253994217761</v>
      </c>
      <c r="M208" s="541">
        <f t="shared" si="90"/>
        <v>61842.859074102118</v>
      </c>
      <c r="N208" s="541">
        <f t="shared" si="90"/>
        <v>63079.716255584164</v>
      </c>
      <c r="O208" s="541">
        <f t="shared" si="90"/>
        <v>64341.310580695848</v>
      </c>
      <c r="P208" s="541">
        <f t="shared" si="90"/>
        <v>65628.136792309771</v>
      </c>
      <c r="Q208" s="541">
        <f t="shared" si="90"/>
        <v>66940.699528155965</v>
      </c>
      <c r="R208" s="541">
        <f t="shared" si="90"/>
        <v>68279.51351871909</v>
      </c>
      <c r="S208" s="541">
        <f t="shared" si="90"/>
        <v>69645.103789093468</v>
      </c>
      <c r="T208" s="541">
        <f t="shared" si="90"/>
        <v>71038.005864875347</v>
      </c>
      <c r="U208" s="541">
        <f t="shared" si="89"/>
        <v>72458.765982172859</v>
      </c>
      <c r="V208" s="541">
        <f t="shared" si="89"/>
        <v>73907.941301816318</v>
      </c>
      <c r="W208" s="541">
        <f t="shared" si="89"/>
        <v>75386.100127852638</v>
      </c>
      <c r="X208" s="541">
        <f t="shared" si="89"/>
        <v>76893.822130409695</v>
      </c>
      <c r="Y208" s="541">
        <f t="shared" si="89"/>
        <v>78431.6985730179</v>
      </c>
      <c r="Z208" s="541">
        <f t="shared" si="89"/>
        <v>80000.332544478253</v>
      </c>
      <c r="AA208" s="541">
        <f t="shared" si="89"/>
        <v>81600.339195367822</v>
      </c>
      <c r="AB208" s="541">
        <f t="shared" si="89"/>
        <v>83232.345979275167</v>
      </c>
      <c r="AC208" s="541">
        <f t="shared" si="89"/>
        <v>84896.99289886067</v>
      </c>
      <c r="AD208" s="541">
        <f t="shared" si="89"/>
        <v>86594.932756837894</v>
      </c>
      <c r="AE208" s="541">
        <f t="shared" si="89"/>
        <v>88326.83141197465</v>
      </c>
      <c r="AF208" s="541">
        <f t="shared" si="89"/>
        <v>90093.368040214162</v>
      </c>
      <c r="AG208" s="541">
        <f t="shared" si="89"/>
        <v>91895.23540101845</v>
      </c>
      <c r="AH208" s="423"/>
      <c r="AI208" s="423"/>
    </row>
    <row r="209" spans="1:35" hidden="1" x14ac:dyDescent="0.25">
      <c r="A209" s="451">
        <v>3</v>
      </c>
      <c r="B209" s="449" t="s">
        <v>84</v>
      </c>
      <c r="C209" s="540">
        <v>4.614962724608291E-2</v>
      </c>
      <c r="D209" s="449"/>
      <c r="E209" s="541">
        <f t="shared" si="88"/>
        <v>131437.16823369128</v>
      </c>
      <c r="F209" s="541">
        <f t="shared" si="89"/>
        <v>134065.91159836511</v>
      </c>
      <c r="G209" s="541">
        <f t="shared" si="89"/>
        <v>136747.22983033242</v>
      </c>
      <c r="H209" s="541">
        <f t="shared" si="89"/>
        <v>139482.17442693908</v>
      </c>
      <c r="I209" s="541">
        <f t="shared" si="89"/>
        <v>142271.81791547785</v>
      </c>
      <c r="J209" s="541">
        <f t="shared" si="89"/>
        <v>145117.2542737874</v>
      </c>
      <c r="K209" s="541">
        <f t="shared" si="89"/>
        <v>148019.59935926317</v>
      </c>
      <c r="L209" s="541">
        <f t="shared" si="89"/>
        <v>150979.99134644843</v>
      </c>
      <c r="M209" s="541">
        <f t="shared" si="89"/>
        <v>153999.59117337738</v>
      </c>
      <c r="N209" s="541">
        <f t="shared" si="89"/>
        <v>157079.58299684493</v>
      </c>
      <c r="O209" s="541">
        <f t="shared" si="89"/>
        <v>160221.17465678183</v>
      </c>
      <c r="P209" s="541">
        <f t="shared" si="89"/>
        <v>163425.5981499175</v>
      </c>
      <c r="Q209" s="541">
        <f t="shared" si="89"/>
        <v>166694.11011291583</v>
      </c>
      <c r="R209" s="541">
        <f t="shared" si="89"/>
        <v>170027.99231517417</v>
      </c>
      <c r="S209" s="541">
        <f t="shared" si="89"/>
        <v>173428.55216147765</v>
      </c>
      <c r="T209" s="541">
        <f t="shared" si="89"/>
        <v>176897.1232047072</v>
      </c>
      <c r="U209" s="541">
        <f t="shared" si="89"/>
        <v>180435.06566880137</v>
      </c>
      <c r="V209" s="541">
        <f t="shared" si="89"/>
        <v>184043.76698217742</v>
      </c>
      <c r="W209" s="541">
        <f t="shared" si="89"/>
        <v>187724.64232182095</v>
      </c>
      <c r="X209" s="541">
        <f t="shared" si="89"/>
        <v>191479.13516825737</v>
      </c>
      <c r="Y209" s="541">
        <f t="shared" si="89"/>
        <v>195308.71787162253</v>
      </c>
      <c r="Z209" s="541">
        <f t="shared" si="89"/>
        <v>199214.892229055</v>
      </c>
      <c r="AA209" s="541">
        <f t="shared" si="89"/>
        <v>203199.1900736361</v>
      </c>
      <c r="AB209" s="541">
        <f t="shared" si="89"/>
        <v>207263.1738751088</v>
      </c>
      <c r="AC209" s="541">
        <f t="shared" si="89"/>
        <v>211408.43735261098</v>
      </c>
      <c r="AD209" s="541">
        <f t="shared" si="89"/>
        <v>215636.60609966319</v>
      </c>
      <c r="AE209" s="541">
        <f t="shared" si="89"/>
        <v>219949.33822165648</v>
      </c>
      <c r="AF209" s="541">
        <f t="shared" si="89"/>
        <v>224348.32498608963</v>
      </c>
      <c r="AG209" s="541">
        <f t="shared" si="89"/>
        <v>228835.29148581144</v>
      </c>
      <c r="AH209" s="423"/>
      <c r="AI209" s="423"/>
    </row>
    <row r="210" spans="1:35" hidden="1" x14ac:dyDescent="0.25">
      <c r="A210" s="451">
        <v>4</v>
      </c>
      <c r="B210" s="449" t="s">
        <v>85</v>
      </c>
      <c r="C210" s="540">
        <v>0.41492507980880095</v>
      </c>
      <c r="D210" s="449"/>
      <c r="E210" s="541">
        <f t="shared" si="88"/>
        <v>1181733.868150281</v>
      </c>
      <c r="F210" s="541">
        <f t="shared" si="89"/>
        <v>1205368.5455132865</v>
      </c>
      <c r="G210" s="541">
        <f t="shared" si="89"/>
        <v>1229475.9164235522</v>
      </c>
      <c r="H210" s="541">
        <f t="shared" si="89"/>
        <v>1254065.4347520233</v>
      </c>
      <c r="I210" s="541">
        <f t="shared" si="89"/>
        <v>1279146.743447064</v>
      </c>
      <c r="J210" s="541">
        <f t="shared" si="89"/>
        <v>1304729.6783160053</v>
      </c>
      <c r="K210" s="541">
        <f t="shared" si="89"/>
        <v>1330824.2718823252</v>
      </c>
      <c r="L210" s="541">
        <f t="shared" si="89"/>
        <v>1357440.7573199717</v>
      </c>
      <c r="M210" s="541">
        <f t="shared" si="89"/>
        <v>1384589.5724663711</v>
      </c>
      <c r="N210" s="541">
        <f t="shared" si="89"/>
        <v>1412281.3639156986</v>
      </c>
      <c r="O210" s="541">
        <f t="shared" si="89"/>
        <v>1440526.9911940126</v>
      </c>
      <c r="P210" s="541">
        <f t="shared" si="89"/>
        <v>1469337.531017893</v>
      </c>
      <c r="Q210" s="541">
        <f t="shared" si="89"/>
        <v>1498724.2816382509</v>
      </c>
      <c r="R210" s="541">
        <f t="shared" si="89"/>
        <v>1528698.767271016</v>
      </c>
      <c r="S210" s="541">
        <f t="shared" si="89"/>
        <v>1559272.7426164362</v>
      </c>
      <c r="T210" s="541">
        <f t="shared" si="89"/>
        <v>1590458.1974687651</v>
      </c>
      <c r="U210" s="541">
        <f t="shared" si="89"/>
        <v>1622267.3614181406</v>
      </c>
      <c r="V210" s="541">
        <f t="shared" si="89"/>
        <v>1654712.7086465033</v>
      </c>
      <c r="W210" s="541">
        <f t="shared" si="89"/>
        <v>1687806.9628194335</v>
      </c>
      <c r="X210" s="541">
        <f t="shared" si="89"/>
        <v>1721563.1020758222</v>
      </c>
      <c r="Y210" s="541">
        <f t="shared" si="89"/>
        <v>1755994.3641173386</v>
      </c>
      <c r="Z210" s="541">
        <f t="shared" si="89"/>
        <v>1791114.2513996856</v>
      </c>
      <c r="AA210" s="541">
        <f t="shared" si="89"/>
        <v>1826936.5364276792</v>
      </c>
      <c r="AB210" s="541">
        <f t="shared" si="89"/>
        <v>1863475.2671562326</v>
      </c>
      <c r="AC210" s="541">
        <f t="shared" si="89"/>
        <v>1900744.7724993574</v>
      </c>
      <c r="AD210" s="541">
        <f t="shared" si="89"/>
        <v>1938759.6679493445</v>
      </c>
      <c r="AE210" s="541">
        <f t="shared" si="89"/>
        <v>1977534.8613083316</v>
      </c>
      <c r="AF210" s="541">
        <f t="shared" si="89"/>
        <v>2017085.5585344983</v>
      </c>
      <c r="AG210" s="541">
        <f t="shared" si="89"/>
        <v>2057427.2697051885</v>
      </c>
      <c r="AH210" s="423"/>
      <c r="AI210" s="423"/>
    </row>
    <row r="211" spans="1:35" hidden="1" x14ac:dyDescent="0.25">
      <c r="A211" s="451">
        <v>5</v>
      </c>
      <c r="B211" s="449" t="s">
        <v>86</v>
      </c>
      <c r="C211" s="540">
        <v>0.18190823115774576</v>
      </c>
      <c r="D211" s="449"/>
      <c r="E211" s="541">
        <f t="shared" si="88"/>
        <v>518086.58506127424</v>
      </c>
      <c r="F211" s="541">
        <f t="shared" si="89"/>
        <v>528448.31676249974</v>
      </c>
      <c r="G211" s="541">
        <f t="shared" si="89"/>
        <v>539017.28309774969</v>
      </c>
      <c r="H211" s="541">
        <f t="shared" si="89"/>
        <v>549797.62875970476</v>
      </c>
      <c r="I211" s="541">
        <f t="shared" si="89"/>
        <v>560793.58133489883</v>
      </c>
      <c r="J211" s="541">
        <f t="shared" si="89"/>
        <v>572009.45296159689</v>
      </c>
      <c r="K211" s="541">
        <f t="shared" si="89"/>
        <v>583449.64202082879</v>
      </c>
      <c r="L211" s="541">
        <f t="shared" si="89"/>
        <v>595118.63486124529</v>
      </c>
      <c r="M211" s="541">
        <f t="shared" si="89"/>
        <v>607021.00755847024</v>
      </c>
      <c r="N211" s="541">
        <f t="shared" si="89"/>
        <v>619161.42770963965</v>
      </c>
      <c r="O211" s="541">
        <f t="shared" si="89"/>
        <v>631544.65626383247</v>
      </c>
      <c r="P211" s="541">
        <f t="shared" si="89"/>
        <v>644175.54938910913</v>
      </c>
      <c r="Q211" s="541">
        <f t="shared" si="89"/>
        <v>657059.0603768914</v>
      </c>
      <c r="R211" s="541">
        <f t="shared" si="89"/>
        <v>670200.24158442917</v>
      </c>
      <c r="S211" s="541">
        <f t="shared" si="89"/>
        <v>683604.24641611776</v>
      </c>
      <c r="T211" s="541">
        <f t="shared" si="89"/>
        <v>697276.33134444023</v>
      </c>
      <c r="U211" s="541">
        <f t="shared" si="89"/>
        <v>711221.85797132901</v>
      </c>
      <c r="V211" s="541">
        <f t="shared" si="89"/>
        <v>725446.29513075564</v>
      </c>
      <c r="W211" s="541">
        <f t="shared" si="89"/>
        <v>739955.22103337082</v>
      </c>
      <c r="X211" s="541">
        <f t="shared" si="89"/>
        <v>754754.32545403822</v>
      </c>
      <c r="Y211" s="541">
        <f t="shared" si="89"/>
        <v>769849.41196311894</v>
      </c>
      <c r="Z211" s="541">
        <f t="shared" si="89"/>
        <v>785246.40020238142</v>
      </c>
      <c r="AA211" s="541">
        <f t="shared" si="89"/>
        <v>800951.32820642903</v>
      </c>
      <c r="AB211" s="541">
        <f t="shared" si="89"/>
        <v>816970.35477055761</v>
      </c>
      <c r="AC211" s="541">
        <f t="shared" si="89"/>
        <v>833309.7618659687</v>
      </c>
      <c r="AD211" s="541">
        <f t="shared" si="89"/>
        <v>849975.95710328815</v>
      </c>
      <c r="AE211" s="541">
        <f t="shared" si="89"/>
        <v>866975.47624535393</v>
      </c>
      <c r="AF211" s="541">
        <f t="shared" si="89"/>
        <v>884314.98577026115</v>
      </c>
      <c r="AG211" s="541">
        <f t="shared" si="89"/>
        <v>902001.28548566636</v>
      </c>
      <c r="AH211" s="423"/>
      <c r="AI211" s="423"/>
    </row>
    <row r="212" spans="1:35" hidden="1" x14ac:dyDescent="0.25">
      <c r="A212" s="451">
        <v>6</v>
      </c>
      <c r="B212" s="449" t="s">
        <v>87</v>
      </c>
      <c r="C212" s="540">
        <v>0.16276310986842174</v>
      </c>
      <c r="D212" s="449"/>
      <c r="E212" s="541">
        <f t="shared" si="88"/>
        <v>463560.02270484931</v>
      </c>
      <c r="F212" s="541">
        <f t="shared" si="89"/>
        <v>472831.22315894632</v>
      </c>
      <c r="G212" s="541">
        <f t="shared" si="89"/>
        <v>482287.84762212523</v>
      </c>
      <c r="H212" s="541">
        <f t="shared" si="89"/>
        <v>491933.60457456775</v>
      </c>
      <c r="I212" s="541">
        <f t="shared" si="89"/>
        <v>501772.27666605916</v>
      </c>
      <c r="J212" s="541">
        <f t="shared" si="89"/>
        <v>511807.72219938034</v>
      </c>
      <c r="K212" s="541">
        <f t="shared" si="89"/>
        <v>522043.87664336793</v>
      </c>
      <c r="L212" s="541">
        <f t="shared" si="89"/>
        <v>532484.75417623529</v>
      </c>
      <c r="M212" s="541">
        <f t="shared" si="89"/>
        <v>543134.44925975997</v>
      </c>
      <c r="N212" s="541">
        <f t="shared" si="89"/>
        <v>553997.13824495522</v>
      </c>
      <c r="O212" s="541">
        <f t="shared" si="89"/>
        <v>565077.08100985433</v>
      </c>
      <c r="P212" s="541">
        <f t="shared" si="89"/>
        <v>576378.62263005145</v>
      </c>
      <c r="Q212" s="541">
        <f t="shared" si="89"/>
        <v>587906.1950826525</v>
      </c>
      <c r="R212" s="541">
        <f t="shared" si="89"/>
        <v>599664.31898430549</v>
      </c>
      <c r="S212" s="541">
        <f t="shared" si="89"/>
        <v>611657.60536399169</v>
      </c>
      <c r="T212" s="541">
        <f t="shared" si="89"/>
        <v>623890.75747127156</v>
      </c>
      <c r="U212" s="541">
        <f t="shared" si="89"/>
        <v>636368.57262069697</v>
      </c>
      <c r="V212" s="541">
        <f t="shared" si="89"/>
        <v>649095.94407311094</v>
      </c>
      <c r="W212" s="541">
        <f t="shared" si="89"/>
        <v>662077.86295457324</v>
      </c>
      <c r="X212" s="541">
        <f t="shared" si="89"/>
        <v>675319.42021366465</v>
      </c>
      <c r="Y212" s="541">
        <f t="shared" si="89"/>
        <v>688825.80861793796</v>
      </c>
      <c r="Z212" s="541">
        <f t="shared" si="89"/>
        <v>702602.32479029673</v>
      </c>
      <c r="AA212" s="541">
        <f t="shared" si="89"/>
        <v>716654.37128610269</v>
      </c>
      <c r="AB212" s="541">
        <f t="shared" si="89"/>
        <v>730987.45871182473</v>
      </c>
      <c r="AC212" s="541">
        <f t="shared" si="89"/>
        <v>745607.20788606117</v>
      </c>
      <c r="AD212" s="541">
        <f t="shared" si="89"/>
        <v>760519.35204378248</v>
      </c>
      <c r="AE212" s="541">
        <f t="shared" si="89"/>
        <v>775729.7390846581</v>
      </c>
      <c r="AF212" s="541">
        <f t="shared" si="89"/>
        <v>791244.3338663514</v>
      </c>
      <c r="AG212" s="541">
        <f t="shared" si="89"/>
        <v>807069.2205436785</v>
      </c>
      <c r="AH212" s="423"/>
      <c r="AI212" s="423"/>
    </row>
    <row r="213" spans="1:35" hidden="1" x14ac:dyDescent="0.25">
      <c r="A213" s="451">
        <v>7</v>
      </c>
      <c r="B213" s="449" t="s">
        <v>88</v>
      </c>
      <c r="C213" s="540">
        <v>3.5004861780714366E-2</v>
      </c>
      <c r="D213" s="449"/>
      <c r="E213" s="541">
        <f t="shared" si="88"/>
        <v>99696.14450698263</v>
      </c>
      <c r="F213" s="541">
        <f t="shared" si="89"/>
        <v>101690.06739712229</v>
      </c>
      <c r="G213" s="541">
        <f t="shared" si="89"/>
        <v>103723.86874506473</v>
      </c>
      <c r="H213" s="541">
        <f t="shared" si="89"/>
        <v>105798.34611996602</v>
      </c>
      <c r="I213" s="541">
        <f t="shared" si="89"/>
        <v>107914.31304236535</v>
      </c>
      <c r="J213" s="541">
        <f t="shared" si="89"/>
        <v>110072.59930321266</v>
      </c>
      <c r="K213" s="541">
        <f t="shared" si="89"/>
        <v>112274.0512892769</v>
      </c>
      <c r="L213" s="541">
        <f t="shared" si="89"/>
        <v>114519.53231506245</v>
      </c>
      <c r="M213" s="541">
        <f t="shared" si="89"/>
        <v>116809.9229613637</v>
      </c>
      <c r="N213" s="541">
        <f t="shared" si="89"/>
        <v>119146.12142059096</v>
      </c>
      <c r="O213" s="541">
        <f t="shared" si="89"/>
        <v>121529.04384900279</v>
      </c>
      <c r="P213" s="541">
        <f t="shared" si="89"/>
        <v>123959.62472598285</v>
      </c>
      <c r="Q213" s="541">
        <f t="shared" si="89"/>
        <v>126438.81722050252</v>
      </c>
      <c r="R213" s="541">
        <f t="shared" si="89"/>
        <v>128967.59356491257</v>
      </c>
      <c r="S213" s="541">
        <f t="shared" si="89"/>
        <v>131546.94543621084</v>
      </c>
      <c r="T213" s="541">
        <f t="shared" si="89"/>
        <v>134177.88434493504</v>
      </c>
      <c r="U213" s="541">
        <f t="shared" si="89"/>
        <v>136861.44203183375</v>
      </c>
      <c r="V213" s="541">
        <f t="shared" si="89"/>
        <v>139598.67087247045</v>
      </c>
      <c r="W213" s="541">
        <f t="shared" si="89"/>
        <v>142390.64428991984</v>
      </c>
      <c r="X213" s="541">
        <f t="shared" si="89"/>
        <v>145238.45717571824</v>
      </c>
      <c r="Y213" s="541">
        <f t="shared" si="89"/>
        <v>148143.22631923261</v>
      </c>
      <c r="Z213" s="541">
        <f t="shared" si="89"/>
        <v>151106.09084561729</v>
      </c>
      <c r="AA213" s="541">
        <f t="shared" si="89"/>
        <v>154128.21266252961</v>
      </c>
      <c r="AB213" s="541">
        <f t="shared" si="89"/>
        <v>157210.77691578021</v>
      </c>
      <c r="AC213" s="541">
        <f t="shared" si="89"/>
        <v>160354.9924540958</v>
      </c>
      <c r="AD213" s="541">
        <f t="shared" si="89"/>
        <v>163562.09230317772</v>
      </c>
      <c r="AE213" s="541">
        <f t="shared" si="89"/>
        <v>166833.3341492413</v>
      </c>
      <c r="AF213" s="541">
        <f t="shared" si="89"/>
        <v>170170.00083222613</v>
      </c>
      <c r="AG213" s="541">
        <f t="shared" si="89"/>
        <v>173573.40084887066</v>
      </c>
      <c r="AH213" s="423"/>
      <c r="AI213" s="423"/>
    </row>
    <row r="214" spans="1:35" hidden="1" x14ac:dyDescent="0.25">
      <c r="A214" s="451">
        <v>8</v>
      </c>
      <c r="B214" s="449" t="s">
        <v>89</v>
      </c>
      <c r="C214" s="540">
        <v>1.2532799509211675E-2</v>
      </c>
      <c r="D214" s="449"/>
      <c r="E214" s="541">
        <f t="shared" si="88"/>
        <v>35694.235811432176</v>
      </c>
      <c r="F214" s="541">
        <f t="shared" si="89"/>
        <v>36408.120527660816</v>
      </c>
      <c r="G214" s="541">
        <f t="shared" si="89"/>
        <v>37136.282938214033</v>
      </c>
      <c r="H214" s="541">
        <f t="shared" si="89"/>
        <v>37879.008596978318</v>
      </c>
      <c r="I214" s="541">
        <f t="shared" si="89"/>
        <v>38636.588768917885</v>
      </c>
      <c r="J214" s="541">
        <f t="shared" si="89"/>
        <v>39409.320544296243</v>
      </c>
      <c r="K214" s="541">
        <f t="shared" si="89"/>
        <v>40197.506955182165</v>
      </c>
      <c r="L214" s="541">
        <f t="shared" si="89"/>
        <v>41001.457094285804</v>
      </c>
      <c r="M214" s="541">
        <f t="shared" si="89"/>
        <v>41821.48623617152</v>
      </c>
      <c r="N214" s="541">
        <f t="shared" si="89"/>
        <v>42657.915960894956</v>
      </c>
      <c r="O214" s="541">
        <f t="shared" si="89"/>
        <v>43511.074280112858</v>
      </c>
      <c r="P214" s="541">
        <f t="shared" si="89"/>
        <v>44381.295765715113</v>
      </c>
      <c r="Q214" s="541">
        <f t="shared" si="89"/>
        <v>45268.921681029417</v>
      </c>
      <c r="R214" s="541">
        <f t="shared" si="89"/>
        <v>46174.30011465001</v>
      </c>
      <c r="S214" s="541">
        <f t="shared" si="89"/>
        <v>47097.786116943011</v>
      </c>
      <c r="T214" s="541">
        <f t="shared" si="89"/>
        <v>48039.741839281873</v>
      </c>
      <c r="U214" s="541">
        <f t="shared" si="89"/>
        <v>49000.53667606751</v>
      </c>
      <c r="V214" s="541">
        <f t="shared" si="89"/>
        <v>49980.547409588864</v>
      </c>
      <c r="W214" s="541">
        <f t="shared" si="89"/>
        <v>50980.158357780645</v>
      </c>
      <c r="X214" s="541">
        <f t="shared" si="89"/>
        <v>51999.761524936257</v>
      </c>
      <c r="Y214" s="541">
        <f t="shared" si="89"/>
        <v>53039.756755434981</v>
      </c>
      <c r="Z214" s="541">
        <f t="shared" si="89"/>
        <v>54100.551890543684</v>
      </c>
      <c r="AA214" s="541">
        <f t="shared" si="89"/>
        <v>55182.562928354557</v>
      </c>
      <c r="AB214" s="541">
        <f t="shared" si="89"/>
        <v>56286.21418692165</v>
      </c>
      <c r="AC214" s="541">
        <f t="shared" si="89"/>
        <v>57411.938470660083</v>
      </c>
      <c r="AD214" s="541">
        <f t="shared" si="89"/>
        <v>58560.177240073281</v>
      </c>
      <c r="AE214" s="541">
        <f t="shared" si="89"/>
        <v>59731.380784874753</v>
      </c>
      <c r="AF214" s="541">
        <f t="shared" si="89"/>
        <v>60926.008400572253</v>
      </c>
      <c r="AG214" s="541">
        <f t="shared" si="89"/>
        <v>62144.528568583701</v>
      </c>
      <c r="AH214" s="423"/>
      <c r="AI214" s="423"/>
    </row>
    <row r="215" spans="1:35" hidden="1" x14ac:dyDescent="0.25">
      <c r="A215" s="451">
        <v>9</v>
      </c>
      <c r="B215" s="449" t="s">
        <v>90</v>
      </c>
      <c r="C215" s="540">
        <v>1.366554350927409E-5</v>
      </c>
      <c r="D215" s="449"/>
      <c r="E215" s="541">
        <f t="shared" si="88"/>
        <v>38.920365091047209</v>
      </c>
      <c r="F215" s="541">
        <f t="shared" si="89"/>
        <v>39.698772392868158</v>
      </c>
      <c r="G215" s="541">
        <f t="shared" si="89"/>
        <v>40.492747840725521</v>
      </c>
      <c r="H215" s="541">
        <f t="shared" si="89"/>
        <v>41.302602797540032</v>
      </c>
      <c r="I215" s="541">
        <f t="shared" si="89"/>
        <v>42.128654853490836</v>
      </c>
      <c r="J215" s="541">
        <f t="shared" si="89"/>
        <v>42.971227950560653</v>
      </c>
      <c r="K215" s="541">
        <f t="shared" si="89"/>
        <v>43.830652509571863</v>
      </c>
      <c r="L215" s="541">
        <f t="shared" si="89"/>
        <v>44.7072655597633</v>
      </c>
      <c r="M215" s="541">
        <f t="shared" si="89"/>
        <v>45.601410870958567</v>
      </c>
      <c r="N215" s="541">
        <f t="shared" si="89"/>
        <v>46.513439088377737</v>
      </c>
      <c r="O215" s="541">
        <f t="shared" si="89"/>
        <v>47.443707870145296</v>
      </c>
      <c r="P215" s="541">
        <f t="shared" si="89"/>
        <v>48.392582027548201</v>
      </c>
      <c r="Q215" s="541">
        <f t="shared" si="89"/>
        <v>49.360433668099169</v>
      </c>
      <c r="R215" s="541">
        <f t="shared" si="89"/>
        <v>50.347642341461153</v>
      </c>
      <c r="S215" s="541">
        <f t="shared" si="89"/>
        <v>51.354595188290375</v>
      </c>
      <c r="T215" s="541">
        <f t="shared" si="89"/>
        <v>52.381687092056183</v>
      </c>
      <c r="U215" s="541">
        <f t="shared" si="89"/>
        <v>53.429320833897314</v>
      </c>
      <c r="V215" s="541">
        <f t="shared" si="89"/>
        <v>54.49790725057526</v>
      </c>
      <c r="W215" s="541">
        <f t="shared" si="89"/>
        <v>55.587865395586768</v>
      </c>
      <c r="X215" s="541">
        <f t="shared" si="89"/>
        <v>56.699622703498498</v>
      </c>
      <c r="Y215" s="541">
        <f t="shared" si="89"/>
        <v>57.833615157568474</v>
      </c>
      <c r="Z215" s="541">
        <f t="shared" si="89"/>
        <v>58.990287460719848</v>
      </c>
      <c r="AA215" s="541">
        <f t="shared" si="89"/>
        <v>60.170093209934244</v>
      </c>
      <c r="AB215" s="541">
        <f t="shared" si="89"/>
        <v>61.373495074132926</v>
      </c>
      <c r="AC215" s="541">
        <f t="shared" si="89"/>
        <v>62.600964975615582</v>
      </c>
      <c r="AD215" s="541">
        <f t="shared" si="89"/>
        <v>63.852984275127895</v>
      </c>
      <c r="AE215" s="541">
        <f t="shared" si="89"/>
        <v>65.130043960630459</v>
      </c>
      <c r="AF215" s="541">
        <f t="shared" si="89"/>
        <v>66.432644839843078</v>
      </c>
      <c r="AG215" s="541">
        <f t="shared" si="89"/>
        <v>67.761297736639946</v>
      </c>
      <c r="AH215" s="423"/>
      <c r="AI215" s="423"/>
    </row>
    <row r="216" spans="1:35" hidden="1" x14ac:dyDescent="0.25">
      <c r="A216" s="451">
        <v>10</v>
      </c>
      <c r="B216" s="449" t="s">
        <v>91</v>
      </c>
      <c r="C216" s="540">
        <v>3.2092620300086271E-2</v>
      </c>
      <c r="D216" s="449"/>
      <c r="E216" s="541">
        <f t="shared" si="88"/>
        <v>91401.889574318178</v>
      </c>
      <c r="F216" s="541">
        <f t="shared" si="89"/>
        <v>93229.927365804528</v>
      </c>
      <c r="G216" s="541">
        <f t="shared" si="89"/>
        <v>95094.525913120626</v>
      </c>
      <c r="H216" s="541">
        <f t="shared" si="89"/>
        <v>96996.416431383041</v>
      </c>
      <c r="I216" s="541">
        <f t="shared" si="89"/>
        <v>98936.344760010703</v>
      </c>
      <c r="J216" s="541">
        <f t="shared" si="89"/>
        <v>100915.07165521092</v>
      </c>
      <c r="K216" s="541">
        <f t="shared" si="89"/>
        <v>102933.37308831513</v>
      </c>
      <c r="L216" s="541">
        <f t="shared" si="89"/>
        <v>104992.04055008144</v>
      </c>
      <c r="M216" s="541">
        <f t="shared" si="89"/>
        <v>107091.88136108307</v>
      </c>
      <c r="N216" s="541">
        <f t="shared" si="89"/>
        <v>109233.71898830472</v>
      </c>
      <c r="O216" s="541">
        <f t="shared" si="89"/>
        <v>111418.39336807083</v>
      </c>
      <c r="P216" s="541">
        <f t="shared" si="89"/>
        <v>113646.76123543225</v>
      </c>
      <c r="Q216" s="541">
        <f t="shared" si="89"/>
        <v>115919.6964601409</v>
      </c>
      <c r="R216" s="541">
        <f t="shared" si="89"/>
        <v>118238.09038934372</v>
      </c>
      <c r="S216" s="541">
        <f t="shared" si="89"/>
        <v>120602.8521971306</v>
      </c>
      <c r="T216" s="541">
        <f t="shared" si="89"/>
        <v>123014.90924107321</v>
      </c>
      <c r="U216" s="541">
        <f t="shared" si="89"/>
        <v>125475.20742589468</v>
      </c>
      <c r="V216" s="541">
        <f t="shared" si="89"/>
        <v>127984.71157441259</v>
      </c>
      <c r="W216" s="541">
        <f t="shared" si="89"/>
        <v>130544.40580590084</v>
      </c>
      <c r="X216" s="541">
        <f t="shared" ref="X216:AG216" si="91">$C216*X$17</f>
        <v>133155.29392201884</v>
      </c>
      <c r="Y216" s="541">
        <f t="shared" si="91"/>
        <v>135818.39980045924</v>
      </c>
      <c r="Z216" s="541">
        <f t="shared" si="91"/>
        <v>138534.76779646843</v>
      </c>
      <c r="AA216" s="541">
        <f t="shared" si="91"/>
        <v>141305.4631523978</v>
      </c>
      <c r="AB216" s="541">
        <f t="shared" si="91"/>
        <v>144131.57241544576</v>
      </c>
      <c r="AC216" s="541">
        <f t="shared" si="91"/>
        <v>147014.20386375466</v>
      </c>
      <c r="AD216" s="541">
        <f t="shared" si="91"/>
        <v>149954.48794102977</v>
      </c>
      <c r="AE216" s="541">
        <f t="shared" si="91"/>
        <v>152953.57769985037</v>
      </c>
      <c r="AF216" s="541">
        <f t="shared" si="91"/>
        <v>156012.6492538474</v>
      </c>
      <c r="AG216" s="541">
        <f t="shared" si="91"/>
        <v>159132.90223892435</v>
      </c>
      <c r="AH216" s="423"/>
      <c r="AI216" s="423"/>
    </row>
    <row r="217" spans="1:35" ht="15.75" hidden="1" customHeight="1" x14ac:dyDescent="0.25">
      <c r="A217" s="451">
        <v>11</v>
      </c>
      <c r="B217" s="449" t="s">
        <v>92</v>
      </c>
      <c r="C217" s="540">
        <v>3.2523976882453128E-2</v>
      </c>
      <c r="D217" s="449"/>
      <c r="E217" s="541">
        <f t="shared" si="88"/>
        <v>92630.421440522463</v>
      </c>
      <c r="F217" s="541">
        <f t="shared" ref="F217:T217" si="92">$C217*F$17</f>
        <v>94483.02986933291</v>
      </c>
      <c r="G217" s="541">
        <f t="shared" si="92"/>
        <v>96372.690466719563</v>
      </c>
      <c r="H217" s="541">
        <f t="shared" si="92"/>
        <v>98300.144276053965</v>
      </c>
      <c r="I217" s="541">
        <f t="shared" si="92"/>
        <v>100266.14716157505</v>
      </c>
      <c r="J217" s="541">
        <f t="shared" si="92"/>
        <v>102271.47010480655</v>
      </c>
      <c r="K217" s="541">
        <f t="shared" si="92"/>
        <v>104316.89950690269</v>
      </c>
      <c r="L217" s="541">
        <f t="shared" si="92"/>
        <v>106403.23749704073</v>
      </c>
      <c r="M217" s="541">
        <f t="shared" si="92"/>
        <v>108531.30224698155</v>
      </c>
      <c r="N217" s="541">
        <f t="shared" si="92"/>
        <v>110701.92829192117</v>
      </c>
      <c r="O217" s="541">
        <f t="shared" si="92"/>
        <v>112915.9668577596</v>
      </c>
      <c r="P217" s="541">
        <f t="shared" si="92"/>
        <v>115174.28619491481</v>
      </c>
      <c r="Q217" s="541">
        <f t="shared" si="92"/>
        <v>117477.7719188131</v>
      </c>
      <c r="R217" s="541">
        <f t="shared" si="92"/>
        <v>119827.32735718937</v>
      </c>
      <c r="S217" s="541">
        <f t="shared" si="92"/>
        <v>122223.87390433316</v>
      </c>
      <c r="T217" s="541">
        <f t="shared" si="92"/>
        <v>124668.35138241983</v>
      </c>
      <c r="U217" s="541">
        <f t="shared" ref="U217:AG217" si="93">$C217*U$17</f>
        <v>127161.71841006824</v>
      </c>
      <c r="V217" s="541">
        <f t="shared" si="93"/>
        <v>129704.95277826961</v>
      </c>
      <c r="W217" s="541">
        <f t="shared" si="93"/>
        <v>132299.05183383499</v>
      </c>
      <c r="X217" s="541">
        <f t="shared" si="93"/>
        <v>134945.0328705117</v>
      </c>
      <c r="Y217" s="541">
        <f t="shared" si="93"/>
        <v>137643.93352792194</v>
      </c>
      <c r="Z217" s="541">
        <f t="shared" si="93"/>
        <v>140396.81219848039</v>
      </c>
      <c r="AA217" s="541">
        <f t="shared" si="93"/>
        <v>143204.74844244999</v>
      </c>
      <c r="AB217" s="541">
        <f t="shared" si="93"/>
        <v>146068.84341129899</v>
      </c>
      <c r="AC217" s="541">
        <f t="shared" si="93"/>
        <v>148990.22027952495</v>
      </c>
      <c r="AD217" s="541">
        <f t="shared" si="93"/>
        <v>151970.02468511547</v>
      </c>
      <c r="AE217" s="541">
        <f t="shared" si="93"/>
        <v>155009.42517881779</v>
      </c>
      <c r="AF217" s="541">
        <f t="shared" si="93"/>
        <v>158109.61368239415</v>
      </c>
      <c r="AG217" s="541">
        <f t="shared" si="93"/>
        <v>161271.80595604205</v>
      </c>
      <c r="AH217" s="423"/>
      <c r="AI217" s="423"/>
    </row>
    <row r="218" spans="1:35" hidden="1" x14ac:dyDescent="0.25">
      <c r="A218" s="449"/>
      <c r="B218" s="449" t="s">
        <v>67</v>
      </c>
      <c r="C218" s="451" t="s">
        <v>0</v>
      </c>
      <c r="D218" s="449"/>
      <c r="E218" s="541">
        <f t="shared" ref="E218:AG218" si="94">SUM(E207:E217)</f>
        <v>2848065.6524662925</v>
      </c>
      <c r="F218" s="541">
        <f t="shared" si="94"/>
        <v>2905026.9655156177</v>
      </c>
      <c r="G218" s="541">
        <f t="shared" si="94"/>
        <v>2963127.5048259306</v>
      </c>
      <c r="H218" s="541">
        <f t="shared" si="94"/>
        <v>3022390.0549224494</v>
      </c>
      <c r="I218" s="541">
        <f t="shared" si="94"/>
        <v>3082837.8560208981</v>
      </c>
      <c r="J218" s="541">
        <f t="shared" si="94"/>
        <v>3144494.6131413165</v>
      </c>
      <c r="K218" s="541">
        <f t="shared" si="94"/>
        <v>3207384.5054041422</v>
      </c>
      <c r="L218" s="541">
        <f t="shared" si="94"/>
        <v>3271532.1955122245</v>
      </c>
      <c r="M218" s="541">
        <f t="shared" si="94"/>
        <v>3336962.8394224695</v>
      </c>
      <c r="N218" s="541">
        <f t="shared" si="94"/>
        <v>3403702.0962109198</v>
      </c>
      <c r="O218" s="541">
        <f t="shared" si="94"/>
        <v>3471776.1381351384</v>
      </c>
      <c r="P218" s="541">
        <f t="shared" si="94"/>
        <v>3541211.6608978407</v>
      </c>
      <c r="Q218" s="541">
        <f t="shared" si="94"/>
        <v>3612035.8941157972</v>
      </c>
      <c r="R218" s="541">
        <f t="shared" si="94"/>
        <v>3684276.6119981138</v>
      </c>
      <c r="S218" s="541">
        <f t="shared" si="94"/>
        <v>3757962.1442380762</v>
      </c>
      <c r="T218" s="541">
        <f t="shared" si="94"/>
        <v>3833121.3871228374</v>
      </c>
      <c r="U218" s="541">
        <f t="shared" si="94"/>
        <v>3909783.8148652944</v>
      </c>
      <c r="V218" s="541">
        <f t="shared" si="94"/>
        <v>3987979.4911626005</v>
      </c>
      <c r="W218" s="541">
        <f t="shared" si="94"/>
        <v>4067739.0809858521</v>
      </c>
      <c r="X218" s="541">
        <f t="shared" si="94"/>
        <v>4149093.862605569</v>
      </c>
      <c r="Y218" s="541">
        <f t="shared" si="94"/>
        <v>4232075.7398576811</v>
      </c>
      <c r="Z218" s="541">
        <f t="shared" si="94"/>
        <v>4316717.254654835</v>
      </c>
      <c r="AA218" s="541">
        <f t="shared" si="94"/>
        <v>4403051.5997479307</v>
      </c>
      <c r="AB218" s="541">
        <f t="shared" si="94"/>
        <v>4491112.6317428909</v>
      </c>
      <c r="AC218" s="541">
        <f t="shared" si="94"/>
        <v>4580934.8843777487</v>
      </c>
      <c r="AD218" s="541">
        <f t="shared" si="94"/>
        <v>4672553.5820653029</v>
      </c>
      <c r="AE218" s="541">
        <f t="shared" si="94"/>
        <v>4766004.6537066093</v>
      </c>
      <c r="AF218" s="541">
        <f t="shared" si="94"/>
        <v>4861324.746780741</v>
      </c>
      <c r="AG218" s="541">
        <f t="shared" si="94"/>
        <v>4958551.2417163569</v>
      </c>
      <c r="AH218" s="423"/>
      <c r="AI218" s="423"/>
    </row>
    <row r="219" spans="1:35" hidden="1" x14ac:dyDescent="0.25">
      <c r="A219" s="449"/>
      <c r="B219" s="449"/>
      <c r="C219" s="451"/>
      <c r="D219" s="449"/>
      <c r="E219" s="538"/>
      <c r="F219" s="538"/>
      <c r="G219" s="538"/>
      <c r="H219" s="538"/>
      <c r="I219" s="538"/>
      <c r="J219" s="538"/>
      <c r="K219" s="538"/>
      <c r="L219" s="538"/>
      <c r="M219" s="538"/>
      <c r="N219" s="538"/>
      <c r="O219" s="538"/>
      <c r="P219" s="538"/>
      <c r="Q219" s="538"/>
      <c r="R219" s="538"/>
      <c r="S219" s="538"/>
      <c r="T219" s="538"/>
      <c r="U219" s="538"/>
      <c r="V219" s="538"/>
      <c r="W219" s="538"/>
      <c r="X219" s="538"/>
      <c r="Y219" s="538"/>
      <c r="Z219" s="538"/>
      <c r="AA219" s="538"/>
      <c r="AB219" s="538"/>
      <c r="AC219" s="538"/>
      <c r="AD219" s="538"/>
      <c r="AE219" s="538"/>
      <c r="AF219" s="538"/>
      <c r="AG219" s="538"/>
      <c r="AH219" s="423"/>
      <c r="AI219" s="423"/>
    </row>
    <row r="220" spans="1:35" hidden="1" x14ac:dyDescent="0.25">
      <c r="A220" s="449"/>
      <c r="B220" s="449"/>
      <c r="C220" s="451"/>
      <c r="D220" s="449"/>
      <c r="E220" s="538"/>
      <c r="F220" s="538"/>
      <c r="G220" s="538"/>
      <c r="H220" s="538"/>
      <c r="I220" s="538"/>
      <c r="J220" s="538"/>
      <c r="K220" s="538"/>
      <c r="L220" s="538"/>
      <c r="M220" s="538"/>
      <c r="N220" s="538"/>
      <c r="O220" s="538"/>
      <c r="P220" s="538"/>
      <c r="Q220" s="538"/>
      <c r="R220" s="538"/>
      <c r="S220" s="538"/>
      <c r="T220" s="538"/>
      <c r="U220" s="538"/>
      <c r="V220" s="538"/>
      <c r="W220" s="538"/>
      <c r="X220" s="538"/>
      <c r="Y220" s="538"/>
      <c r="Z220" s="538"/>
      <c r="AA220" s="538"/>
      <c r="AB220" s="538"/>
      <c r="AC220" s="538"/>
      <c r="AD220" s="538"/>
      <c r="AE220" s="538"/>
      <c r="AF220" s="538"/>
      <c r="AG220" s="538"/>
      <c r="AH220" s="423"/>
      <c r="AI220" s="423"/>
    </row>
    <row r="221" spans="1:35" hidden="1" x14ac:dyDescent="0.25">
      <c r="A221" s="449"/>
      <c r="B221" s="449" t="s">
        <v>56</v>
      </c>
      <c r="C221" s="451"/>
      <c r="D221" s="449"/>
      <c r="E221" s="538"/>
      <c r="F221" s="538"/>
      <c r="G221" s="538"/>
      <c r="H221" s="538"/>
      <c r="I221" s="538"/>
      <c r="J221" s="538"/>
      <c r="K221" s="538"/>
      <c r="L221" s="538"/>
      <c r="M221" s="538"/>
      <c r="N221" s="538"/>
      <c r="O221" s="538"/>
      <c r="P221" s="538"/>
      <c r="Q221" s="538"/>
      <c r="R221" s="538"/>
      <c r="S221" s="538"/>
      <c r="T221" s="538"/>
      <c r="U221" s="538"/>
      <c r="V221" s="538"/>
      <c r="W221" s="538"/>
      <c r="X221" s="538"/>
      <c r="Y221" s="538"/>
      <c r="Z221" s="538"/>
      <c r="AA221" s="538"/>
      <c r="AB221" s="538"/>
      <c r="AC221" s="538"/>
      <c r="AD221" s="538"/>
      <c r="AE221" s="538"/>
      <c r="AF221" s="538"/>
      <c r="AG221" s="538"/>
      <c r="AH221" s="423"/>
      <c r="AI221" s="423"/>
    </row>
    <row r="222" spans="1:35" hidden="1" x14ac:dyDescent="0.25">
      <c r="A222" s="449"/>
      <c r="B222" s="449" t="s">
        <v>80</v>
      </c>
      <c r="C222" s="451" t="s">
        <v>81</v>
      </c>
      <c r="D222" s="449"/>
      <c r="E222" s="450">
        <v>2017</v>
      </c>
      <c r="F222" s="450">
        <v>2018</v>
      </c>
      <c r="G222" s="450">
        <v>2019</v>
      </c>
      <c r="H222" s="450">
        <v>2020</v>
      </c>
      <c r="I222" s="450">
        <v>2021</v>
      </c>
      <c r="J222" s="450">
        <v>2022</v>
      </c>
      <c r="K222" s="450">
        <v>2023</v>
      </c>
      <c r="L222" s="450">
        <v>2024</v>
      </c>
      <c r="M222" s="450">
        <v>2025</v>
      </c>
      <c r="N222" s="450">
        <v>2026</v>
      </c>
      <c r="O222" s="450">
        <v>2027</v>
      </c>
      <c r="P222" s="450">
        <v>2028</v>
      </c>
      <c r="Q222" s="450">
        <v>2029</v>
      </c>
      <c r="R222" s="450">
        <v>2030</v>
      </c>
      <c r="S222" s="450">
        <v>2031</v>
      </c>
      <c r="T222" s="450">
        <v>2032</v>
      </c>
      <c r="U222" s="450">
        <v>2033</v>
      </c>
      <c r="V222" s="450">
        <v>2034</v>
      </c>
      <c r="W222" s="450">
        <v>2035</v>
      </c>
      <c r="X222" s="450">
        <v>2036</v>
      </c>
      <c r="Y222" s="450">
        <v>2037</v>
      </c>
      <c r="Z222" s="450">
        <v>2038</v>
      </c>
      <c r="AA222" s="450">
        <v>2039</v>
      </c>
      <c r="AB222" s="450">
        <v>2040</v>
      </c>
      <c r="AC222" s="450">
        <v>2041</v>
      </c>
      <c r="AD222" s="450">
        <v>2042</v>
      </c>
      <c r="AE222" s="450">
        <v>2043</v>
      </c>
      <c r="AF222" s="450">
        <v>2044</v>
      </c>
      <c r="AG222" s="450">
        <v>2045</v>
      </c>
      <c r="AH222" s="423"/>
      <c r="AI222" s="423"/>
    </row>
    <row r="223" spans="1:35" hidden="1" x14ac:dyDescent="0.25">
      <c r="A223" s="451">
        <v>1</v>
      </c>
      <c r="B223" s="449" t="s">
        <v>82</v>
      </c>
      <c r="C223" s="540">
        <v>0.1041785894647799</v>
      </c>
      <c r="D223" s="449"/>
      <c r="E223" s="541">
        <f t="shared" ref="E223:E233" si="95">$C223*E$20</f>
        <v>25275.581252012849</v>
      </c>
      <c r="F223" s="541">
        <f t="shared" ref="F223:AG232" si="96">$C223*F$20</f>
        <v>23047.065446166962</v>
      </c>
      <c r="G223" s="541">
        <f t="shared" si="96"/>
        <v>29302.508910146204</v>
      </c>
      <c r="H223" s="541">
        <f t="shared" si="96"/>
        <v>28209.383240165425</v>
      </c>
      <c r="I223" s="541">
        <f t="shared" si="96"/>
        <v>26776.525150103862</v>
      </c>
      <c r="J223" s="541">
        <f t="shared" si="96"/>
        <v>24617.208764884479</v>
      </c>
      <c r="K223" s="541">
        <f t="shared" si="96"/>
        <v>34236.67162695653</v>
      </c>
      <c r="L223" s="541">
        <f t="shared" si="96"/>
        <v>37345.820869825286</v>
      </c>
      <c r="M223" s="541">
        <f t="shared" si="96"/>
        <v>35091.187922634454</v>
      </c>
      <c r="N223" s="541">
        <f t="shared" si="96"/>
        <v>32292.585298335791</v>
      </c>
      <c r="O223" s="541">
        <f t="shared" si="96"/>
        <v>30591.789613389428</v>
      </c>
      <c r="P223" s="541">
        <f t="shared" si="96"/>
        <v>31438.061627185463</v>
      </c>
      <c r="Q223" s="541">
        <f t="shared" si="96"/>
        <v>32099.866052084944</v>
      </c>
      <c r="R223" s="541">
        <f t="shared" si="96"/>
        <v>32577.202888087897</v>
      </c>
      <c r="S223" s="541">
        <f t="shared" si="96"/>
        <v>32870.072135194299</v>
      </c>
      <c r="T223" s="541">
        <f t="shared" si="96"/>
        <v>32978.473793404162</v>
      </c>
      <c r="U223" s="541">
        <f t="shared" si="96"/>
        <v>32902.407862717475</v>
      </c>
      <c r="V223" s="541">
        <f t="shared" si="96"/>
        <v>32641.874343134241</v>
      </c>
      <c r="W223" s="541">
        <f t="shared" si="96"/>
        <v>32196.873234654464</v>
      </c>
      <c r="X223" s="541">
        <f t="shared" si="96"/>
        <v>31567.404537278158</v>
      </c>
      <c r="Y223" s="541">
        <f t="shared" si="96"/>
        <v>30753.468251005281</v>
      </c>
      <c r="Z223" s="541">
        <f t="shared" si="96"/>
        <v>29755.064375835875</v>
      </c>
      <c r="AA223" s="541">
        <f t="shared" si="96"/>
        <v>28572.192911769918</v>
      </c>
      <c r="AB223" s="541">
        <f t="shared" si="96"/>
        <v>27204.85385880743</v>
      </c>
      <c r="AC223" s="541">
        <f t="shared" si="96"/>
        <v>25653.047216948395</v>
      </c>
      <c r="AD223" s="541">
        <f t="shared" si="96"/>
        <v>23916.772986192798</v>
      </c>
      <c r="AE223" s="541">
        <f t="shared" si="96"/>
        <v>21996.031166540677</v>
      </c>
      <c r="AF223" s="541">
        <f t="shared" si="96"/>
        <v>19890.821757992006</v>
      </c>
      <c r="AG223" s="541">
        <f t="shared" si="96"/>
        <v>17601.14476054678</v>
      </c>
      <c r="AH223" s="423"/>
      <c r="AI223" s="423"/>
    </row>
    <row r="224" spans="1:35" hidden="1" x14ac:dyDescent="0.25">
      <c r="A224" s="451">
        <v>2</v>
      </c>
      <c r="B224" s="449" t="s">
        <v>83</v>
      </c>
      <c r="C224" s="540">
        <v>4.0274903998339412E-2</v>
      </c>
      <c r="D224" s="449"/>
      <c r="E224" s="541">
        <f t="shared" si="95"/>
        <v>9771.409016544565</v>
      </c>
      <c r="F224" s="541">
        <f t="shared" ref="F224:T224" si="97">$C224*F$20</f>
        <v>8909.8763292588701</v>
      </c>
      <c r="G224" s="541">
        <f t="shared" si="97"/>
        <v>11328.19842666044</v>
      </c>
      <c r="H224" s="541">
        <f t="shared" si="97"/>
        <v>10905.60169500206</v>
      </c>
      <c r="I224" s="541">
        <f t="shared" si="97"/>
        <v>10351.666166435672</v>
      </c>
      <c r="J224" s="541">
        <f t="shared" si="97"/>
        <v>9516.8856173464283</v>
      </c>
      <c r="K224" s="541">
        <f t="shared" si="97"/>
        <v>13235.720219311555</v>
      </c>
      <c r="L224" s="541">
        <f t="shared" si="97"/>
        <v>14437.701239753213</v>
      </c>
      <c r="M224" s="541">
        <f t="shared" si="97"/>
        <v>13566.071800670603</v>
      </c>
      <c r="N224" s="541">
        <f t="shared" si="97"/>
        <v>12484.146497187443</v>
      </c>
      <c r="O224" s="541">
        <f t="shared" si="97"/>
        <v>11826.627679895695</v>
      </c>
      <c r="P224" s="541">
        <f t="shared" si="97"/>
        <v>12153.792064508902</v>
      </c>
      <c r="Q224" s="541">
        <f t="shared" si="97"/>
        <v>12409.642233103419</v>
      </c>
      <c r="R224" s="541">
        <f t="shared" si="97"/>
        <v>12594.178185679253</v>
      </c>
      <c r="S224" s="541">
        <f t="shared" si="97"/>
        <v>12707.3999222364</v>
      </c>
      <c r="T224" s="541">
        <f t="shared" si="97"/>
        <v>12749.307442774858</v>
      </c>
      <c r="U224" s="541">
        <f t="shared" si="96"/>
        <v>12719.900747294629</v>
      </c>
      <c r="V224" s="541">
        <f t="shared" si="96"/>
        <v>12619.17983579571</v>
      </c>
      <c r="W224" s="541">
        <f t="shared" si="96"/>
        <v>12447.144708278105</v>
      </c>
      <c r="X224" s="541">
        <f t="shared" si="96"/>
        <v>12203.795364741818</v>
      </c>
      <c r="Y224" s="541">
        <f t="shared" si="96"/>
        <v>11889.131805186835</v>
      </c>
      <c r="Z224" s="541">
        <f t="shared" si="96"/>
        <v>11503.154029613168</v>
      </c>
      <c r="AA224" s="541">
        <f t="shared" si="96"/>
        <v>11045.862038020812</v>
      </c>
      <c r="AB224" s="541">
        <f t="shared" si="96"/>
        <v>10517.255830409775</v>
      </c>
      <c r="AC224" s="541">
        <f t="shared" si="96"/>
        <v>9917.3354067800483</v>
      </c>
      <c r="AD224" s="541">
        <f t="shared" si="96"/>
        <v>9246.1007671316274</v>
      </c>
      <c r="AE224" s="541">
        <f t="shared" si="96"/>
        <v>8503.5519114645285</v>
      </c>
      <c r="AF224" s="541">
        <f t="shared" si="96"/>
        <v>7689.6888397787379</v>
      </c>
      <c r="AG224" s="541">
        <f t="shared" si="96"/>
        <v>6804.5115520742575</v>
      </c>
      <c r="AH224" s="423"/>
      <c r="AI224" s="423"/>
    </row>
    <row r="225" spans="1:35" hidden="1" x14ac:dyDescent="0.25">
      <c r="A225" s="451">
        <v>3</v>
      </c>
      <c r="B225" s="449" t="s">
        <v>84</v>
      </c>
      <c r="C225" s="540">
        <v>0.11593535085001035</v>
      </c>
      <c r="D225" s="449"/>
      <c r="E225" s="541">
        <f t="shared" si="95"/>
        <v>28127.980955057217</v>
      </c>
      <c r="F225" s="541">
        <f t="shared" si="96"/>
        <v>25647.972700454357</v>
      </c>
      <c r="G225" s="541">
        <f t="shared" si="96"/>
        <v>32609.355422611661</v>
      </c>
      <c r="H225" s="541">
        <f t="shared" si="96"/>
        <v>31392.868342843522</v>
      </c>
      <c r="I225" s="541">
        <f t="shared" si="96"/>
        <v>29798.309362509815</v>
      </c>
      <c r="J225" s="541">
        <f t="shared" si="96"/>
        <v>27395.309821023231</v>
      </c>
      <c r="K225" s="541">
        <f t="shared" si="96"/>
        <v>38100.348232778655</v>
      </c>
      <c r="L225" s="541">
        <f t="shared" si="96"/>
        <v>41560.371162335548</v>
      </c>
      <c r="M225" s="541">
        <f t="shared" si="96"/>
        <v>39051.298394951511</v>
      </c>
      <c r="N225" s="541">
        <f t="shared" si="96"/>
        <v>35936.867888599569</v>
      </c>
      <c r="O225" s="541">
        <f t="shared" si="96"/>
        <v>34044.134021962775</v>
      </c>
      <c r="P225" s="541">
        <f t="shared" si="96"/>
        <v>34985.909518617555</v>
      </c>
      <c r="Q225" s="541">
        <f t="shared" si="96"/>
        <v>35722.399891437875</v>
      </c>
      <c r="R225" s="541">
        <f t="shared" si="96"/>
        <v>36253.605140423759</v>
      </c>
      <c r="S225" s="541">
        <f t="shared" si="96"/>
        <v>36579.525265575176</v>
      </c>
      <c r="T225" s="541">
        <f t="shared" si="96"/>
        <v>36700.160266892133</v>
      </c>
      <c r="U225" s="541">
        <f t="shared" si="96"/>
        <v>36615.510144374639</v>
      </c>
      <c r="V225" s="541">
        <f t="shared" si="96"/>
        <v>36325.574898022685</v>
      </c>
      <c r="W225" s="541">
        <f t="shared" si="96"/>
        <v>35830.354527836273</v>
      </c>
      <c r="X225" s="541">
        <f t="shared" si="96"/>
        <v>35129.849033815422</v>
      </c>
      <c r="Y225" s="541">
        <f t="shared" si="96"/>
        <v>34224.058415960084</v>
      </c>
      <c r="Z225" s="541">
        <f t="shared" si="96"/>
        <v>33112.982674270308</v>
      </c>
      <c r="AA225" s="541">
        <f t="shared" si="96"/>
        <v>31796.621808746069</v>
      </c>
      <c r="AB225" s="541">
        <f t="shared" si="96"/>
        <v>30274.975819387389</v>
      </c>
      <c r="AC225" s="541">
        <f t="shared" si="96"/>
        <v>28548.044706194247</v>
      </c>
      <c r="AD225" s="541">
        <f t="shared" si="96"/>
        <v>26615.82846916663</v>
      </c>
      <c r="AE225" s="541">
        <f t="shared" si="96"/>
        <v>24478.32710830458</v>
      </c>
      <c r="AF225" s="541">
        <f t="shared" si="96"/>
        <v>22135.540623608067</v>
      </c>
      <c r="AG225" s="541">
        <f t="shared" si="96"/>
        <v>19587.469015077084</v>
      </c>
      <c r="AH225" s="423"/>
      <c r="AI225" s="423"/>
    </row>
    <row r="226" spans="1:35" hidden="1" x14ac:dyDescent="0.25">
      <c r="A226" s="451">
        <v>4</v>
      </c>
      <c r="B226" s="449" t="s">
        <v>85</v>
      </c>
      <c r="C226" s="540">
        <v>0.44811602338067519</v>
      </c>
      <c r="D226" s="449"/>
      <c r="E226" s="541">
        <f t="shared" si="95"/>
        <v>108720.92833543602</v>
      </c>
      <c r="F226" s="541">
        <f t="shared" si="96"/>
        <v>99135.142560382374</v>
      </c>
      <c r="G226" s="541">
        <f t="shared" si="96"/>
        <v>126042.44149735534</v>
      </c>
      <c r="H226" s="541">
        <f t="shared" si="96"/>
        <v>121340.44725070904</v>
      </c>
      <c r="I226" s="541">
        <f t="shared" si="96"/>
        <v>115177.12067193739</v>
      </c>
      <c r="J226" s="541">
        <f t="shared" si="96"/>
        <v>105888.99077176848</v>
      </c>
      <c r="K226" s="541">
        <f t="shared" si="96"/>
        <v>147266.35503592115</v>
      </c>
      <c r="L226" s="541">
        <f t="shared" si="96"/>
        <v>160640.11640060548</v>
      </c>
      <c r="M226" s="541">
        <f t="shared" si="96"/>
        <v>150941.9897925487</v>
      </c>
      <c r="N226" s="541">
        <f t="shared" si="96"/>
        <v>138904.02032620824</v>
      </c>
      <c r="O226" s="541">
        <f t="shared" si="96"/>
        <v>131588.18121918288</v>
      </c>
      <c r="P226" s="541">
        <f t="shared" si="96"/>
        <v>135228.35384456519</v>
      </c>
      <c r="Q226" s="541">
        <f t="shared" si="96"/>
        <v>138075.05361910909</v>
      </c>
      <c r="R226" s="541">
        <f t="shared" si="96"/>
        <v>140128.2805428147</v>
      </c>
      <c r="S226" s="541">
        <f t="shared" si="96"/>
        <v>141388.03461568186</v>
      </c>
      <c r="T226" s="541">
        <f t="shared" si="96"/>
        <v>141854.31583771066</v>
      </c>
      <c r="U226" s="541">
        <f t="shared" si="96"/>
        <v>141527.12420890105</v>
      </c>
      <c r="V226" s="541">
        <f t="shared" si="96"/>
        <v>140406.45972925305</v>
      </c>
      <c r="W226" s="541">
        <f t="shared" si="96"/>
        <v>138492.32239876667</v>
      </c>
      <c r="X226" s="541">
        <f t="shared" si="96"/>
        <v>135784.71221744196</v>
      </c>
      <c r="Y226" s="541">
        <f t="shared" si="96"/>
        <v>132283.62918527878</v>
      </c>
      <c r="Z226" s="541">
        <f t="shared" si="96"/>
        <v>127989.07330227726</v>
      </c>
      <c r="AA226" s="541">
        <f t="shared" si="96"/>
        <v>122901.04456843734</v>
      </c>
      <c r="AB226" s="541">
        <f t="shared" si="96"/>
        <v>117019.54298375908</v>
      </c>
      <c r="AC226" s="541">
        <f t="shared" si="96"/>
        <v>110344.56854824242</v>
      </c>
      <c r="AD226" s="541">
        <f t="shared" si="96"/>
        <v>102876.12126188731</v>
      </c>
      <c r="AE226" s="541">
        <f t="shared" si="96"/>
        <v>94614.201124693893</v>
      </c>
      <c r="AF226" s="541">
        <f t="shared" si="96"/>
        <v>85558.808136662075</v>
      </c>
      <c r="AG226" s="541">
        <f t="shared" si="96"/>
        <v>75709.942297791829</v>
      </c>
      <c r="AH226" s="423"/>
      <c r="AI226" s="423"/>
    </row>
    <row r="227" spans="1:35" hidden="1" x14ac:dyDescent="0.25">
      <c r="A227" s="451">
        <v>5</v>
      </c>
      <c r="B227" s="449" t="s">
        <v>86</v>
      </c>
      <c r="C227" s="540">
        <v>0.19004067891249071</v>
      </c>
      <c r="D227" s="449"/>
      <c r="E227" s="541">
        <f t="shared" si="95"/>
        <v>46107.253378240894</v>
      </c>
      <c r="F227" s="541">
        <f t="shared" si="96"/>
        <v>42042.035574026464</v>
      </c>
      <c r="G227" s="541">
        <f t="shared" si="96"/>
        <v>53453.101215256102</v>
      </c>
      <c r="H227" s="541">
        <f t="shared" si="96"/>
        <v>51459.041346264989</v>
      </c>
      <c r="I227" s="541">
        <f t="shared" si="96"/>
        <v>48845.247805581537</v>
      </c>
      <c r="J227" s="541">
        <f t="shared" si="96"/>
        <v>44906.262319771253</v>
      </c>
      <c r="K227" s="541">
        <f t="shared" si="96"/>
        <v>62453.910665496776</v>
      </c>
      <c r="L227" s="541">
        <f t="shared" si="96"/>
        <v>68125.563890891906</v>
      </c>
      <c r="M227" s="541">
        <f t="shared" si="96"/>
        <v>64012.703674758239</v>
      </c>
      <c r="N227" s="541">
        <f t="shared" si="96"/>
        <v>58907.54391534529</v>
      </c>
      <c r="O227" s="541">
        <f t="shared" si="96"/>
        <v>55804.983510955157</v>
      </c>
      <c r="P227" s="541">
        <f t="shared" si="96"/>
        <v>57348.737451881861</v>
      </c>
      <c r="Q227" s="541">
        <f t="shared" si="96"/>
        <v>58555.98898851077</v>
      </c>
      <c r="R227" s="541">
        <f t="shared" si="96"/>
        <v>59426.738120841932</v>
      </c>
      <c r="S227" s="541">
        <f t="shared" si="96"/>
        <v>59960.984848875305</v>
      </c>
      <c r="T227" s="541">
        <f t="shared" si="96"/>
        <v>60158.729172610903</v>
      </c>
      <c r="U227" s="541">
        <f t="shared" si="96"/>
        <v>60019.971092048727</v>
      </c>
      <c r="V227" s="541">
        <f t="shared" si="96"/>
        <v>59544.710607188761</v>
      </c>
      <c r="W227" s="541">
        <f t="shared" si="96"/>
        <v>58732.947718031028</v>
      </c>
      <c r="X227" s="541">
        <f t="shared" si="96"/>
        <v>57584.682424575534</v>
      </c>
      <c r="Y227" s="541">
        <f t="shared" si="96"/>
        <v>56099.914726822222</v>
      </c>
      <c r="Z227" s="541">
        <f t="shared" si="96"/>
        <v>54278.644624771157</v>
      </c>
      <c r="AA227" s="541">
        <f t="shared" si="96"/>
        <v>52120.872118422303</v>
      </c>
      <c r="AB227" s="541">
        <f t="shared" si="96"/>
        <v>49626.597207775696</v>
      </c>
      <c r="AC227" s="541">
        <f t="shared" si="96"/>
        <v>46795.819892831307</v>
      </c>
      <c r="AD227" s="541">
        <f t="shared" si="96"/>
        <v>43628.540173589114</v>
      </c>
      <c r="AE227" s="541">
        <f t="shared" si="96"/>
        <v>40124.758050049175</v>
      </c>
      <c r="AF227" s="541">
        <f t="shared" si="96"/>
        <v>36284.473522211447</v>
      </c>
      <c r="AG227" s="541">
        <f t="shared" si="96"/>
        <v>32107.686590075929</v>
      </c>
      <c r="AH227" s="423"/>
      <c r="AI227" s="423"/>
    </row>
    <row r="228" spans="1:35" hidden="1" x14ac:dyDescent="0.25">
      <c r="A228" s="451">
        <v>6</v>
      </c>
      <c r="B228" s="449" t="s">
        <v>87</v>
      </c>
      <c r="C228" s="540">
        <v>9.4580161433521368E-2</v>
      </c>
      <c r="D228" s="449"/>
      <c r="E228" s="541">
        <f t="shared" si="95"/>
        <v>22946.831661122185</v>
      </c>
      <c r="F228" s="541">
        <f t="shared" si="96"/>
        <v>20923.638740610288</v>
      </c>
      <c r="G228" s="541">
        <f t="shared" si="96"/>
        <v>26602.740902589943</v>
      </c>
      <c r="H228" s="541">
        <f t="shared" si="96"/>
        <v>25610.329670444586</v>
      </c>
      <c r="I228" s="541">
        <f t="shared" si="96"/>
        <v>24309.487048504827</v>
      </c>
      <c r="J228" s="541">
        <f t="shared" si="96"/>
        <v>22349.117904045048</v>
      </c>
      <c r="K228" s="541">
        <f t="shared" si="96"/>
        <v>31082.297678053426</v>
      </c>
      <c r="L228" s="541">
        <f t="shared" si="96"/>
        <v>33904.987434386254</v>
      </c>
      <c r="M228" s="541">
        <f t="shared" si="96"/>
        <v>31858.083658723823</v>
      </c>
      <c r="N228" s="541">
        <f t="shared" si="96"/>
        <v>29317.328505920279</v>
      </c>
      <c r="O228" s="541">
        <f t="shared" si="96"/>
        <v>27773.234548859684</v>
      </c>
      <c r="P228" s="541">
        <f t="shared" si="96"/>
        <v>28541.535829311935</v>
      </c>
      <c r="Q228" s="541">
        <f t="shared" si="96"/>
        <v>29142.365324758055</v>
      </c>
      <c r="R228" s="541">
        <f t="shared" si="96"/>
        <v>29575.723035198051</v>
      </c>
      <c r="S228" s="541">
        <f t="shared" si="96"/>
        <v>29841.608960631915</v>
      </c>
      <c r="T228" s="541">
        <f t="shared" si="96"/>
        <v>29940.023101059647</v>
      </c>
      <c r="U228" s="541">
        <f t="shared" si="96"/>
        <v>29870.965456481248</v>
      </c>
      <c r="V228" s="541">
        <f t="shared" si="96"/>
        <v>29634.436026896714</v>
      </c>
      <c r="W228" s="541">
        <f t="shared" si="96"/>
        <v>29230.434812306048</v>
      </c>
      <c r="X228" s="541">
        <f t="shared" si="96"/>
        <v>28658.961812709265</v>
      </c>
      <c r="Y228" s="541">
        <f t="shared" si="96"/>
        <v>27920.017028106329</v>
      </c>
      <c r="Z228" s="541">
        <f t="shared" si="96"/>
        <v>27013.600458497276</v>
      </c>
      <c r="AA228" s="541">
        <f t="shared" si="96"/>
        <v>25939.712103882084</v>
      </c>
      <c r="AB228" s="541">
        <f t="shared" si="96"/>
        <v>24698.351964260775</v>
      </c>
      <c r="AC228" s="541">
        <f t="shared" si="96"/>
        <v>23289.520039633328</v>
      </c>
      <c r="AD228" s="541">
        <f t="shared" si="96"/>
        <v>21713.216329999741</v>
      </c>
      <c r="AE228" s="541">
        <f t="shared" si="96"/>
        <v>19969.440835360037</v>
      </c>
      <c r="AF228" s="541">
        <f t="shared" si="96"/>
        <v>18058.193555714195</v>
      </c>
      <c r="AG228" s="541">
        <f t="shared" si="96"/>
        <v>15979.474491062216</v>
      </c>
      <c r="AH228" s="423"/>
      <c r="AI228" s="423"/>
    </row>
    <row r="229" spans="1:35" hidden="1" x14ac:dyDescent="0.25">
      <c r="A229" s="451">
        <v>7</v>
      </c>
      <c r="B229" s="449" t="s">
        <v>88</v>
      </c>
      <c r="C229" s="540">
        <v>6.7348296822170505E-3</v>
      </c>
      <c r="D229" s="449"/>
      <c r="E229" s="541">
        <f t="shared" si="95"/>
        <v>1633.9896299795287</v>
      </c>
      <c r="F229" s="541">
        <f t="shared" si="96"/>
        <v>1489.9228454933098</v>
      </c>
      <c r="G229" s="541">
        <f t="shared" si="96"/>
        <v>1894.3182834914494</v>
      </c>
      <c r="H229" s="541">
        <f t="shared" si="96"/>
        <v>1823.651025982949</v>
      </c>
      <c r="I229" s="541">
        <f t="shared" si="96"/>
        <v>1731.0210984236601</v>
      </c>
      <c r="J229" s="541">
        <f t="shared" si="96"/>
        <v>1591.4278464974609</v>
      </c>
      <c r="K229" s="541">
        <f t="shared" si="96"/>
        <v>2213.2969305703423</v>
      </c>
      <c r="L229" s="541">
        <f t="shared" si="96"/>
        <v>2414.2939945053872</v>
      </c>
      <c r="M229" s="541">
        <f t="shared" si="96"/>
        <v>2268.5388160828688</v>
      </c>
      <c r="N229" s="541">
        <f t="shared" si="96"/>
        <v>2087.6176486943505</v>
      </c>
      <c r="O229" s="541">
        <f t="shared" si="96"/>
        <v>1977.6663686740355</v>
      </c>
      <c r="P229" s="541">
        <f t="shared" si="96"/>
        <v>2032.3752863799139</v>
      </c>
      <c r="Q229" s="541">
        <f t="shared" si="96"/>
        <v>2075.1589342247762</v>
      </c>
      <c r="R229" s="541">
        <f t="shared" si="96"/>
        <v>2106.0173122086235</v>
      </c>
      <c r="S229" s="541">
        <f t="shared" si="96"/>
        <v>2124.9504203314555</v>
      </c>
      <c r="T229" s="541">
        <f t="shared" si="96"/>
        <v>2131.9582585932712</v>
      </c>
      <c r="U229" s="541">
        <f t="shared" si="96"/>
        <v>2127.0408269940717</v>
      </c>
      <c r="V229" s="541">
        <f t="shared" si="96"/>
        <v>2110.1981255338565</v>
      </c>
      <c r="W229" s="541">
        <f t="shared" si="96"/>
        <v>2081.430154212625</v>
      </c>
      <c r="X229" s="541">
        <f t="shared" si="96"/>
        <v>2040.7369130303794</v>
      </c>
      <c r="Y229" s="541">
        <f t="shared" si="96"/>
        <v>1988.1184019871164</v>
      </c>
      <c r="Z229" s="541">
        <f t="shared" si="96"/>
        <v>1923.5746210828388</v>
      </c>
      <c r="AA229" s="541">
        <f t="shared" si="96"/>
        <v>1847.105570317545</v>
      </c>
      <c r="AB229" s="541">
        <f t="shared" si="96"/>
        <v>1758.7112496912366</v>
      </c>
      <c r="AC229" s="541">
        <f t="shared" si="96"/>
        <v>1658.3916592039122</v>
      </c>
      <c r="AD229" s="541">
        <f t="shared" si="96"/>
        <v>1546.1467988555712</v>
      </c>
      <c r="AE229" s="541">
        <f t="shared" si="96"/>
        <v>1421.976668646216</v>
      </c>
      <c r="AF229" s="541">
        <f t="shared" si="96"/>
        <v>1285.8812685758446</v>
      </c>
      <c r="AG229" s="541">
        <f t="shared" si="96"/>
        <v>1137.860598644457</v>
      </c>
      <c r="AH229" s="423"/>
      <c r="AI229" s="423"/>
    </row>
    <row r="230" spans="1:35" hidden="1" x14ac:dyDescent="0.25">
      <c r="A230" s="451">
        <v>8</v>
      </c>
      <c r="B230" s="449" t="s">
        <v>89</v>
      </c>
      <c r="C230" s="540">
        <v>6.0346686079176045E-4</v>
      </c>
      <c r="D230" s="449"/>
      <c r="E230" s="541">
        <f t="shared" si="95"/>
        <v>146.41180833030867</v>
      </c>
      <c r="F230" s="541">
        <f t="shared" si="96"/>
        <v>133.50286567243853</v>
      </c>
      <c r="G230" s="541">
        <f t="shared" si="96"/>
        <v>169.73826537847987</v>
      </c>
      <c r="H230" s="541">
        <f t="shared" si="96"/>
        <v>163.40620502036566</v>
      </c>
      <c r="I230" s="541">
        <f t="shared" si="96"/>
        <v>155.10620424274083</v>
      </c>
      <c r="J230" s="541">
        <f t="shared" si="96"/>
        <v>142.59810745299606</v>
      </c>
      <c r="K230" s="541">
        <f t="shared" si="96"/>
        <v>198.31998932623907</v>
      </c>
      <c r="L230" s="541">
        <f t="shared" si="96"/>
        <v>216.33010582874175</v>
      </c>
      <c r="M230" s="541">
        <f t="shared" si="96"/>
        <v>203.2698765256861</v>
      </c>
      <c r="N230" s="541">
        <f t="shared" si="96"/>
        <v>187.05863821879714</v>
      </c>
      <c r="O230" s="541">
        <f t="shared" si="96"/>
        <v>177.206577079212</v>
      </c>
      <c r="P230" s="541">
        <f t="shared" si="96"/>
        <v>182.10870829604966</v>
      </c>
      <c r="Q230" s="541">
        <f t="shared" si="96"/>
        <v>185.9422890807771</v>
      </c>
      <c r="R230" s="541">
        <f t="shared" si="96"/>
        <v>188.70731943339439</v>
      </c>
      <c r="S230" s="541">
        <f t="shared" si="96"/>
        <v>190.40379935390146</v>
      </c>
      <c r="T230" s="541">
        <f t="shared" si="96"/>
        <v>191.03172884229829</v>
      </c>
      <c r="U230" s="541">
        <f t="shared" si="96"/>
        <v>190.59110789858497</v>
      </c>
      <c r="V230" s="541">
        <f t="shared" si="96"/>
        <v>189.08193652276137</v>
      </c>
      <c r="W230" s="541">
        <f t="shared" si="96"/>
        <v>186.50421471482758</v>
      </c>
      <c r="X230" s="541">
        <f t="shared" si="96"/>
        <v>182.85794247478364</v>
      </c>
      <c r="Y230" s="541">
        <f t="shared" si="96"/>
        <v>178.14311980262937</v>
      </c>
      <c r="Z230" s="541">
        <f t="shared" si="96"/>
        <v>172.35974669836497</v>
      </c>
      <c r="AA230" s="541">
        <f t="shared" si="96"/>
        <v>165.50782316199033</v>
      </c>
      <c r="AB230" s="541">
        <f t="shared" si="96"/>
        <v>157.58734919350556</v>
      </c>
      <c r="AC230" s="541">
        <f t="shared" si="96"/>
        <v>148.59832479291057</v>
      </c>
      <c r="AD230" s="541">
        <f t="shared" si="96"/>
        <v>138.54074996020526</v>
      </c>
      <c r="AE230" s="541">
        <f t="shared" si="96"/>
        <v>127.41462469538986</v>
      </c>
      <c r="AF230" s="541">
        <f t="shared" si="96"/>
        <v>115.21994899846422</v>
      </c>
      <c r="AG230" s="541">
        <f t="shared" si="96"/>
        <v>101.9567228694283</v>
      </c>
      <c r="AH230" s="423"/>
      <c r="AI230" s="423"/>
    </row>
    <row r="231" spans="1:35" hidden="1" x14ac:dyDescent="0.25">
      <c r="A231" s="451">
        <v>9</v>
      </c>
      <c r="B231" s="449" t="s">
        <v>90</v>
      </c>
      <c r="C231" s="540">
        <v>-7.3590122104963598E-3</v>
      </c>
      <c r="D231" s="449"/>
      <c r="E231" s="541">
        <f t="shared" si="95"/>
        <v>-1785.4274281937592</v>
      </c>
      <c r="F231" s="541">
        <f t="shared" si="96"/>
        <v>-1628.0085659231356</v>
      </c>
      <c r="G231" s="541">
        <f t="shared" si="96"/>
        <v>-2069.8832838473568</v>
      </c>
      <c r="H231" s="541">
        <f t="shared" si="96"/>
        <v>-1992.6666005122929</v>
      </c>
      <c r="I231" s="541">
        <f t="shared" si="96"/>
        <v>-1891.4517517142456</v>
      </c>
      <c r="J231" s="541">
        <f t="shared" si="96"/>
        <v>-1738.921028013802</v>
      </c>
      <c r="K231" s="541">
        <f t="shared" si="96"/>
        <v>-2418.424801525121</v>
      </c>
      <c r="L231" s="541">
        <f t="shared" si="96"/>
        <v>-2638.0502289769092</v>
      </c>
      <c r="M231" s="541">
        <f t="shared" si="96"/>
        <v>-2478.7864927926717</v>
      </c>
      <c r="N231" s="541">
        <f t="shared" si="96"/>
        <v>-2281.097591547722</v>
      </c>
      <c r="O231" s="541">
        <f t="shared" si="96"/>
        <v>-2160.9560511661334</v>
      </c>
      <c r="P231" s="541">
        <f t="shared" si="96"/>
        <v>-2220.735379288365</v>
      </c>
      <c r="Q231" s="541">
        <f t="shared" si="96"/>
        <v>-2267.4842061712857</v>
      </c>
      <c r="R231" s="541">
        <f t="shared" si="96"/>
        <v>-2301.2025318148958</v>
      </c>
      <c r="S231" s="541">
        <f t="shared" si="96"/>
        <v>-2321.8903562191945</v>
      </c>
      <c r="T231" s="541">
        <f t="shared" si="96"/>
        <v>-2329.5476793841822</v>
      </c>
      <c r="U231" s="541">
        <f t="shared" si="96"/>
        <v>-2324.1745013098589</v>
      </c>
      <c r="V231" s="541">
        <f t="shared" si="96"/>
        <v>-2305.7708219962242</v>
      </c>
      <c r="W231" s="541">
        <f t="shared" si="96"/>
        <v>-2274.3366414432785</v>
      </c>
      <c r="X231" s="541">
        <f t="shared" si="96"/>
        <v>-2229.8719596510227</v>
      </c>
      <c r="Y231" s="541">
        <f t="shared" si="96"/>
        <v>-2172.3767766194542</v>
      </c>
      <c r="Z231" s="541">
        <f t="shared" si="96"/>
        <v>-2101.8510923485755</v>
      </c>
      <c r="AA231" s="541">
        <f t="shared" si="96"/>
        <v>-2018.2949068383857</v>
      </c>
      <c r="AB231" s="541">
        <f t="shared" si="96"/>
        <v>-1921.7082200888854</v>
      </c>
      <c r="AC231" s="541">
        <f t="shared" si="96"/>
        <v>-1812.0910321000738</v>
      </c>
      <c r="AD231" s="541">
        <f t="shared" si="96"/>
        <v>-1689.4433428719501</v>
      </c>
      <c r="AE231" s="541">
        <f t="shared" si="96"/>
        <v>-1553.7651524045168</v>
      </c>
      <c r="AF231" s="541">
        <f t="shared" si="96"/>
        <v>-1405.0564606977721</v>
      </c>
      <c r="AG231" s="541">
        <f t="shared" si="96"/>
        <v>-1243.3172677517155</v>
      </c>
      <c r="AH231" s="423"/>
      <c r="AI231" s="423"/>
    </row>
    <row r="232" spans="1:35" hidden="1" x14ac:dyDescent="0.25">
      <c r="A232" s="451">
        <v>10</v>
      </c>
      <c r="B232" s="449" t="s">
        <v>91</v>
      </c>
      <c r="C232" s="540">
        <v>4.0733571346658459E-3</v>
      </c>
      <c r="D232" s="449"/>
      <c r="E232" s="541">
        <f t="shared" si="95"/>
        <v>988.26898842319008</v>
      </c>
      <c r="F232" s="541">
        <f t="shared" si="96"/>
        <v>901.13457045790517</v>
      </c>
      <c r="G232" s="541">
        <f t="shared" si="96"/>
        <v>1145.7208659280798</v>
      </c>
      <c r="H232" s="541">
        <f t="shared" si="96"/>
        <v>1102.9799220376087</v>
      </c>
      <c r="I232" s="541">
        <f t="shared" si="96"/>
        <v>1046.95552437489</v>
      </c>
      <c r="J232" s="541">
        <f t="shared" si="96"/>
        <v>962.5267866762689</v>
      </c>
      <c r="K232" s="541">
        <f t="shared" si="96"/>
        <v>1338.6454103030676</v>
      </c>
      <c r="L232" s="541">
        <f t="shared" si="96"/>
        <v>1460.2123782975991</v>
      </c>
      <c r="M232" s="541">
        <f t="shared" si="96"/>
        <v>1372.056786551972</v>
      </c>
      <c r="N232" s="541">
        <f t="shared" si="96"/>
        <v>1262.6321146942723</v>
      </c>
      <c r="O232" s="541">
        <f t="shared" si="96"/>
        <v>1196.1314232040377</v>
      </c>
      <c r="P232" s="541">
        <f t="shared" si="96"/>
        <v>1229.2204500662176</v>
      </c>
      <c r="Q232" s="541">
        <f t="shared" si="96"/>
        <v>1255.0968397329168</v>
      </c>
      <c r="R232" s="541">
        <f t="shared" si="96"/>
        <v>1273.7605922041364</v>
      </c>
      <c r="S232" s="541">
        <f t="shared" si="96"/>
        <v>1285.2117074798753</v>
      </c>
      <c r="T232" s="541">
        <f t="shared" si="96"/>
        <v>1289.4501855601341</v>
      </c>
      <c r="U232" s="541">
        <f t="shared" si="96"/>
        <v>1286.4760264449123</v>
      </c>
      <c r="V232" s="541">
        <f t="shared" si="96"/>
        <v>1276.2892301342104</v>
      </c>
      <c r="W232" s="541">
        <f t="shared" si="96"/>
        <v>1258.8897966280279</v>
      </c>
      <c r="X232" s="541">
        <f t="shared" ref="X232:AG232" si="98">$C232*X$20</f>
        <v>1234.2777259263657</v>
      </c>
      <c r="Y232" s="541">
        <f t="shared" si="98"/>
        <v>1202.4530180292224</v>
      </c>
      <c r="Z232" s="541">
        <f t="shared" si="98"/>
        <v>1163.4156729365991</v>
      </c>
      <c r="AA232" s="541">
        <f t="shared" si="98"/>
        <v>1117.1656906484955</v>
      </c>
      <c r="AB232" s="541">
        <f t="shared" si="98"/>
        <v>1063.703071164912</v>
      </c>
      <c r="AC232" s="541">
        <f t="shared" si="98"/>
        <v>1003.0278144858479</v>
      </c>
      <c r="AD232" s="541">
        <f t="shared" si="98"/>
        <v>935.13992061130295</v>
      </c>
      <c r="AE232" s="541">
        <f t="shared" si="98"/>
        <v>860.03938954127852</v>
      </c>
      <c r="AF232" s="541">
        <f t="shared" si="98"/>
        <v>777.72622127577358</v>
      </c>
      <c r="AG232" s="541">
        <f t="shared" si="98"/>
        <v>688.20041581478779</v>
      </c>
      <c r="AH232" s="423"/>
      <c r="AI232" s="423"/>
    </row>
    <row r="233" spans="1:35" ht="15.75" hidden="1" customHeight="1" x14ac:dyDescent="0.25">
      <c r="A233" s="451">
        <v>11</v>
      </c>
      <c r="B233" s="449" t="s">
        <v>92</v>
      </c>
      <c r="C233" s="540">
        <v>2.8216504930048164E-3</v>
      </c>
      <c r="D233" s="449"/>
      <c r="E233" s="541">
        <f t="shared" si="95"/>
        <v>684.58266393438191</v>
      </c>
      <c r="F233" s="541">
        <f t="shared" ref="F233:T233" si="99">$C233*F$20</f>
        <v>624.22388239837426</v>
      </c>
      <c r="G233" s="541">
        <f t="shared" si="99"/>
        <v>793.65097125397847</v>
      </c>
      <c r="H233" s="541">
        <f t="shared" si="99"/>
        <v>764.04394161896664</v>
      </c>
      <c r="I233" s="541">
        <f t="shared" si="99"/>
        <v>725.23534613884635</v>
      </c>
      <c r="J233" s="541">
        <f t="shared" si="99"/>
        <v>666.75081324000666</v>
      </c>
      <c r="K233" s="541">
        <f t="shared" si="99"/>
        <v>927.2915084697438</v>
      </c>
      <c r="L233" s="541">
        <f t="shared" si="99"/>
        <v>1011.5020217723074</v>
      </c>
      <c r="M233" s="541">
        <f t="shared" si="99"/>
        <v>950.43586413214609</v>
      </c>
      <c r="N233" s="541">
        <f t="shared" si="99"/>
        <v>874.63642669354874</v>
      </c>
      <c r="O233" s="541">
        <f t="shared" si="99"/>
        <v>828.5708098755</v>
      </c>
      <c r="P233" s="541">
        <f t="shared" si="99"/>
        <v>851.49187126835977</v>
      </c>
      <c r="Q233" s="541">
        <f t="shared" si="99"/>
        <v>869.41667512089907</v>
      </c>
      <c r="R233" s="541">
        <f t="shared" si="99"/>
        <v>882.34522143311835</v>
      </c>
      <c r="S233" s="541">
        <f t="shared" si="99"/>
        <v>890.27751020501717</v>
      </c>
      <c r="T233" s="541">
        <f t="shared" si="99"/>
        <v>893.21354143659562</v>
      </c>
      <c r="U233" s="541">
        <f t="shared" ref="U233:AG233" si="100">$C233*U$20</f>
        <v>891.15331512785383</v>
      </c>
      <c r="V233" s="541">
        <f t="shared" si="100"/>
        <v>884.09683127879157</v>
      </c>
      <c r="W233" s="541">
        <f t="shared" si="100"/>
        <v>872.04408988940895</v>
      </c>
      <c r="X233" s="541">
        <f t="shared" si="100"/>
        <v>854.99509095970632</v>
      </c>
      <c r="Y233" s="541">
        <f t="shared" si="100"/>
        <v>832.94983448968276</v>
      </c>
      <c r="Z233" s="541">
        <f t="shared" si="100"/>
        <v>805.90832047933918</v>
      </c>
      <c r="AA233" s="541">
        <f t="shared" si="100"/>
        <v>773.87054892867513</v>
      </c>
      <c r="AB233" s="541">
        <f t="shared" si="100"/>
        <v>736.83651983769107</v>
      </c>
      <c r="AC233" s="541">
        <f t="shared" si="100"/>
        <v>694.80623320638654</v>
      </c>
      <c r="AD233" s="541">
        <f t="shared" si="100"/>
        <v>647.7796890347613</v>
      </c>
      <c r="AE233" s="541">
        <f t="shared" si="100"/>
        <v>595.75688732281628</v>
      </c>
      <c r="AF233" s="541">
        <f t="shared" si="100"/>
        <v>538.73782807055068</v>
      </c>
      <c r="AG233" s="541">
        <f t="shared" si="100"/>
        <v>476.72251127796449</v>
      </c>
      <c r="AH233" s="423"/>
      <c r="AI233" s="423"/>
    </row>
    <row r="234" spans="1:35" hidden="1" x14ac:dyDescent="0.25">
      <c r="A234" s="449"/>
      <c r="B234" s="449" t="s">
        <v>67</v>
      </c>
      <c r="C234" s="451" t="s">
        <v>0</v>
      </c>
      <c r="D234" s="449"/>
      <c r="E234" s="541">
        <f t="shared" ref="E234:AG234" si="101">SUM(E223:E233)</f>
        <v>242617.81026088737</v>
      </c>
      <c r="F234" s="541">
        <f t="shared" si="101"/>
        <v>221226.5069489982</v>
      </c>
      <c r="G234" s="541">
        <f t="shared" si="101"/>
        <v>281271.8914768243</v>
      </c>
      <c r="H234" s="541">
        <f t="shared" si="101"/>
        <v>270779.08603957726</v>
      </c>
      <c r="I234" s="541">
        <f t="shared" si="101"/>
        <v>257025.22262653898</v>
      </c>
      <c r="J234" s="541">
        <f t="shared" si="101"/>
        <v>236298.15772469182</v>
      </c>
      <c r="K234" s="541">
        <f t="shared" si="101"/>
        <v>328634.43249566236</v>
      </c>
      <c r="L234" s="541">
        <f t="shared" si="101"/>
        <v>358478.8492692248</v>
      </c>
      <c r="M234" s="541">
        <f t="shared" si="101"/>
        <v>336836.85009478731</v>
      </c>
      <c r="N234" s="541">
        <f t="shared" si="101"/>
        <v>309973.33966834989</v>
      </c>
      <c r="O234" s="541">
        <f t="shared" si="101"/>
        <v>293647.56972191227</v>
      </c>
      <c r="P234" s="541">
        <f t="shared" si="101"/>
        <v>301770.85127279302</v>
      </c>
      <c r="Q234" s="541">
        <f t="shared" si="101"/>
        <v>308123.44664099219</v>
      </c>
      <c r="R234" s="541">
        <f t="shared" si="101"/>
        <v>312705.35582650983</v>
      </c>
      <c r="S234" s="541">
        <f t="shared" si="101"/>
        <v>315516.57882934605</v>
      </c>
      <c r="T234" s="541">
        <f t="shared" si="101"/>
        <v>316557.11564950051</v>
      </c>
      <c r="U234" s="541">
        <f t="shared" si="101"/>
        <v>315826.96628697327</v>
      </c>
      <c r="V234" s="541">
        <f t="shared" si="101"/>
        <v>313326.13074176462</v>
      </c>
      <c r="W234" s="541">
        <f t="shared" si="101"/>
        <v>309054.6090138742</v>
      </c>
      <c r="X234" s="541">
        <f t="shared" si="101"/>
        <v>303012.40110330243</v>
      </c>
      <c r="Y234" s="541">
        <f t="shared" si="101"/>
        <v>295199.50701004872</v>
      </c>
      <c r="Z234" s="541">
        <f t="shared" si="101"/>
        <v>285615.9267341136</v>
      </c>
      <c r="AA234" s="541">
        <f t="shared" si="101"/>
        <v>274261.66027549689</v>
      </c>
      <c r="AB234" s="541">
        <f t="shared" si="101"/>
        <v>261136.7076341986</v>
      </c>
      <c r="AC234" s="541">
        <f t="shared" si="101"/>
        <v>246241.06881021874</v>
      </c>
      <c r="AD234" s="541">
        <f t="shared" si="101"/>
        <v>229574.7438035571</v>
      </c>
      <c r="AE234" s="541">
        <f t="shared" si="101"/>
        <v>211137.7326142141</v>
      </c>
      <c r="AF234" s="541">
        <f t="shared" si="101"/>
        <v>190930.03524218939</v>
      </c>
      <c r="AG234" s="541">
        <f t="shared" si="101"/>
        <v>168951.65168748301</v>
      </c>
      <c r="AH234" s="423"/>
      <c r="AI234" s="423"/>
    </row>
    <row r="235" spans="1:35" hidden="1" x14ac:dyDescent="0.25">
      <c r="A235" s="449"/>
      <c r="B235" s="449"/>
      <c r="C235" s="451"/>
      <c r="D235" s="449"/>
      <c r="E235" s="538"/>
      <c r="F235" s="538"/>
      <c r="G235" s="538"/>
      <c r="H235" s="538"/>
      <c r="I235" s="538"/>
      <c r="J235" s="538"/>
      <c r="K235" s="538"/>
      <c r="L235" s="538"/>
      <c r="M235" s="538"/>
      <c r="N235" s="538"/>
      <c r="O235" s="538"/>
      <c r="P235" s="538"/>
      <c r="Q235" s="538"/>
      <c r="R235" s="538"/>
      <c r="S235" s="538"/>
      <c r="T235" s="538"/>
      <c r="U235" s="538"/>
      <c r="V235" s="538"/>
      <c r="W235" s="538"/>
      <c r="X235" s="538"/>
      <c r="Y235" s="538"/>
      <c r="Z235" s="538"/>
      <c r="AA235" s="538"/>
      <c r="AB235" s="538"/>
      <c r="AC235" s="538"/>
      <c r="AD235" s="538"/>
      <c r="AE235" s="538"/>
      <c r="AF235" s="538"/>
      <c r="AG235" s="538"/>
      <c r="AH235" s="423"/>
      <c r="AI235" s="423"/>
    </row>
    <row r="236" spans="1:35" hidden="1" x14ac:dyDescent="0.25">
      <c r="A236" s="449"/>
      <c r="B236" s="449" t="s">
        <v>78</v>
      </c>
      <c r="C236" s="451"/>
      <c r="D236" s="449"/>
      <c r="E236" s="538"/>
      <c r="F236" s="538"/>
      <c r="G236" s="538"/>
      <c r="H236" s="538"/>
      <c r="I236" s="538"/>
      <c r="J236" s="538"/>
      <c r="K236" s="538"/>
      <c r="L236" s="538"/>
      <c r="M236" s="538"/>
      <c r="N236" s="538"/>
      <c r="O236" s="538"/>
      <c r="P236" s="538"/>
      <c r="Q236" s="538"/>
      <c r="R236" s="538"/>
      <c r="S236" s="538"/>
      <c r="T236" s="538"/>
      <c r="U236" s="538"/>
      <c r="V236" s="538"/>
      <c r="W236" s="538"/>
      <c r="X236" s="538"/>
      <c r="Y236" s="538"/>
      <c r="Z236" s="538"/>
      <c r="AA236" s="538"/>
      <c r="AB236" s="538"/>
      <c r="AC236" s="538"/>
      <c r="AD236" s="538"/>
      <c r="AE236" s="538"/>
      <c r="AF236" s="538"/>
      <c r="AG236" s="538"/>
      <c r="AH236" s="423"/>
      <c r="AI236" s="423"/>
    </row>
    <row r="237" spans="1:35" hidden="1" x14ac:dyDescent="0.25">
      <c r="A237" s="449"/>
      <c r="B237" s="449" t="s">
        <v>80</v>
      </c>
      <c r="C237" s="451" t="s">
        <v>81</v>
      </c>
      <c r="D237" s="449"/>
      <c r="E237" s="450">
        <v>2017</v>
      </c>
      <c r="F237" s="450">
        <v>2018</v>
      </c>
      <c r="G237" s="450">
        <v>2019</v>
      </c>
      <c r="H237" s="450">
        <v>2020</v>
      </c>
      <c r="I237" s="450">
        <v>2021</v>
      </c>
      <c r="J237" s="450">
        <v>2022</v>
      </c>
      <c r="K237" s="450">
        <v>2023</v>
      </c>
      <c r="L237" s="450">
        <v>2024</v>
      </c>
      <c r="M237" s="450">
        <v>2025</v>
      </c>
      <c r="N237" s="450">
        <v>2026</v>
      </c>
      <c r="O237" s="450">
        <v>2027</v>
      </c>
      <c r="P237" s="450">
        <v>2028</v>
      </c>
      <c r="Q237" s="450">
        <v>2029</v>
      </c>
      <c r="R237" s="450">
        <v>2030</v>
      </c>
      <c r="S237" s="450">
        <v>2031</v>
      </c>
      <c r="T237" s="450">
        <v>2032</v>
      </c>
      <c r="U237" s="450">
        <v>2033</v>
      </c>
      <c r="V237" s="450">
        <v>2034</v>
      </c>
      <c r="W237" s="450">
        <v>2035</v>
      </c>
      <c r="X237" s="450">
        <v>2036</v>
      </c>
      <c r="Y237" s="450">
        <v>2037</v>
      </c>
      <c r="Z237" s="450">
        <v>2038</v>
      </c>
      <c r="AA237" s="450">
        <v>2039</v>
      </c>
      <c r="AB237" s="450">
        <v>2040</v>
      </c>
      <c r="AC237" s="450">
        <v>2041</v>
      </c>
      <c r="AD237" s="450">
        <v>2042</v>
      </c>
      <c r="AE237" s="450">
        <v>2043</v>
      </c>
      <c r="AF237" s="450">
        <v>2044</v>
      </c>
      <c r="AG237" s="450">
        <v>2045</v>
      </c>
      <c r="AH237" s="423"/>
      <c r="AI237" s="423"/>
    </row>
    <row r="238" spans="1:35" hidden="1" x14ac:dyDescent="0.25">
      <c r="A238" s="451">
        <v>1</v>
      </c>
      <c r="B238" s="449" t="s">
        <v>82</v>
      </c>
      <c r="C238" s="540">
        <v>0.10417858946477988</v>
      </c>
      <c r="D238" s="449"/>
      <c r="E238" s="541">
        <f t="shared" ref="E238:E248" si="102">$C238*E$22</f>
        <v>98157.597095195524</v>
      </c>
      <c r="F238" s="541">
        <f t="shared" ref="F238:AG247" si="103">$C238*F$22</f>
        <v>89503.166781230902</v>
      </c>
      <c r="G238" s="541">
        <f t="shared" si="103"/>
        <v>113796.15110736387</v>
      </c>
      <c r="H238" s="541">
        <f t="shared" si="103"/>
        <v>109551.00287442881</v>
      </c>
      <c r="I238" s="541">
        <f t="shared" si="103"/>
        <v>103986.50543729652</v>
      </c>
      <c r="J238" s="541">
        <f t="shared" si="103"/>
        <v>95600.810737415435</v>
      </c>
      <c r="K238" s="541">
        <f t="shared" si="103"/>
        <v>132957.94806585056</v>
      </c>
      <c r="L238" s="541">
        <f t="shared" si="103"/>
        <v>145032.31405757388</v>
      </c>
      <c r="M238" s="541">
        <f t="shared" si="103"/>
        <v>136276.45795197843</v>
      </c>
      <c r="N238" s="541">
        <f t="shared" si="103"/>
        <v>125408.0982459642</v>
      </c>
      <c r="O238" s="541">
        <f t="shared" si="103"/>
        <v>118803.06645976476</v>
      </c>
      <c r="P238" s="541">
        <f t="shared" si="103"/>
        <v>122089.55971722507</v>
      </c>
      <c r="Q238" s="541">
        <f t="shared" si="103"/>
        <v>124659.67398867938</v>
      </c>
      <c r="R238" s="541">
        <f t="shared" si="103"/>
        <v>126513.40927412774</v>
      </c>
      <c r="S238" s="541">
        <f t="shared" si="103"/>
        <v>127650.76557357008</v>
      </c>
      <c r="T238" s="541">
        <f t="shared" si="103"/>
        <v>128071.74288700643</v>
      </c>
      <c r="U238" s="541">
        <f t="shared" si="103"/>
        <v>127776.34121443678</v>
      </c>
      <c r="V238" s="541">
        <f t="shared" si="103"/>
        <v>126764.56055586111</v>
      </c>
      <c r="W238" s="541">
        <f t="shared" si="103"/>
        <v>125036.40091127946</v>
      </c>
      <c r="X238" s="541">
        <f t="shared" si="103"/>
        <v>122591.86228069184</v>
      </c>
      <c r="Y238" s="541">
        <f t="shared" si="103"/>
        <v>119430.94466409816</v>
      </c>
      <c r="Z238" s="541">
        <f t="shared" si="103"/>
        <v>115553.64806149853</v>
      </c>
      <c r="AA238" s="541">
        <f t="shared" si="103"/>
        <v>110959.97247289287</v>
      </c>
      <c r="AB238" s="541">
        <f t="shared" si="103"/>
        <v>105649.91789828127</v>
      </c>
      <c r="AC238" s="541">
        <f t="shared" si="103"/>
        <v>99623.484337663642</v>
      </c>
      <c r="AD238" s="541">
        <f t="shared" si="103"/>
        <v>92880.671791039975</v>
      </c>
      <c r="AE238" s="541">
        <f t="shared" si="103"/>
        <v>85421.480258410389</v>
      </c>
      <c r="AF238" s="541">
        <f t="shared" si="103"/>
        <v>77245.909739774768</v>
      </c>
      <c r="AG238" s="541">
        <f t="shared" si="103"/>
        <v>68353.960235133112</v>
      </c>
      <c r="AH238" s="423"/>
      <c r="AI238" s="423"/>
    </row>
    <row r="239" spans="1:35" hidden="1" x14ac:dyDescent="0.25">
      <c r="A239" s="451">
        <v>2</v>
      </c>
      <c r="B239" s="449" t="s">
        <v>83</v>
      </c>
      <c r="C239" s="540">
        <v>4.0274903998339412E-2</v>
      </c>
      <c r="D239" s="449"/>
      <c r="E239" s="541">
        <f t="shared" si="102"/>
        <v>37947.219481726468</v>
      </c>
      <c r="F239" s="541">
        <f t="shared" ref="F239:T239" si="104">$C239*F$22</f>
        <v>34601.461472849973</v>
      </c>
      <c r="G239" s="541">
        <f t="shared" si="104"/>
        <v>43993.003598681316</v>
      </c>
      <c r="H239" s="541">
        <f t="shared" si="104"/>
        <v>42351.851242726443</v>
      </c>
      <c r="I239" s="541">
        <f t="shared" si="104"/>
        <v>40200.645306546299</v>
      </c>
      <c r="J239" s="541">
        <f t="shared" si="104"/>
        <v>36958.77909649098</v>
      </c>
      <c r="K239" s="541">
        <f t="shared" si="104"/>
        <v>51400.855220627396</v>
      </c>
      <c r="L239" s="541">
        <f t="shared" si="104"/>
        <v>56068.742678653252</v>
      </c>
      <c r="M239" s="541">
        <f t="shared" si="104"/>
        <v>52683.773983186802</v>
      </c>
      <c r="N239" s="541">
        <f t="shared" si="104"/>
        <v>48482.12231917453</v>
      </c>
      <c r="O239" s="541">
        <f t="shared" si="104"/>
        <v>45928.651184060953</v>
      </c>
      <c r="P239" s="541">
        <f t="shared" si="104"/>
        <v>47199.19248352971</v>
      </c>
      <c r="Q239" s="541">
        <f t="shared" si="104"/>
        <v>48192.785371275415</v>
      </c>
      <c r="R239" s="541">
        <f t="shared" si="104"/>
        <v>48909.429847298074</v>
      </c>
      <c r="S239" s="541">
        <f t="shared" si="104"/>
        <v>49349.125911597665</v>
      </c>
      <c r="T239" s="541">
        <f t="shared" si="104"/>
        <v>49511.873564174202</v>
      </c>
      <c r="U239" s="541">
        <f t="shared" si="103"/>
        <v>49397.67280502768</v>
      </c>
      <c r="V239" s="541">
        <f t="shared" si="103"/>
        <v>49006.523634158097</v>
      </c>
      <c r="W239" s="541">
        <f t="shared" si="103"/>
        <v>48338.426051565461</v>
      </c>
      <c r="X239" s="541">
        <f t="shared" si="103"/>
        <v>47393.380057249771</v>
      </c>
      <c r="Y239" s="541">
        <f t="shared" si="103"/>
        <v>46171.385651211007</v>
      </c>
      <c r="Z239" s="541">
        <f t="shared" si="103"/>
        <v>44672.442833449197</v>
      </c>
      <c r="AA239" s="541">
        <f t="shared" si="103"/>
        <v>42896.551603964319</v>
      </c>
      <c r="AB239" s="541">
        <f t="shared" si="103"/>
        <v>40843.71196275641</v>
      </c>
      <c r="AC239" s="541">
        <f t="shared" si="103"/>
        <v>38513.923909825426</v>
      </c>
      <c r="AD239" s="541">
        <f t="shared" si="103"/>
        <v>35907.187445171367</v>
      </c>
      <c r="AE239" s="541">
        <f t="shared" si="103"/>
        <v>33023.502568794283</v>
      </c>
      <c r="AF239" s="541">
        <f t="shared" si="103"/>
        <v>29862.869280694129</v>
      </c>
      <c r="AG239" s="541">
        <f t="shared" si="103"/>
        <v>26425.287580870903</v>
      </c>
      <c r="AH239" s="423"/>
      <c r="AI239" s="423"/>
    </row>
    <row r="240" spans="1:35" hidden="1" x14ac:dyDescent="0.25">
      <c r="A240" s="451">
        <v>3</v>
      </c>
      <c r="B240" s="449" t="s">
        <v>84</v>
      </c>
      <c r="C240" s="540">
        <v>0.11593535085001036</v>
      </c>
      <c r="D240" s="449"/>
      <c r="E240" s="541">
        <f t="shared" si="102"/>
        <v>109234.87749536785</v>
      </c>
      <c r="F240" s="541">
        <f t="shared" si="103"/>
        <v>99603.777477492666</v>
      </c>
      <c r="G240" s="541">
        <f t="shared" si="103"/>
        <v>126638.27348587052</v>
      </c>
      <c r="H240" s="541">
        <f t="shared" si="103"/>
        <v>121914.05181686804</v>
      </c>
      <c r="I240" s="541">
        <f t="shared" si="103"/>
        <v>115721.58975731967</v>
      </c>
      <c r="J240" s="541">
        <f t="shared" si="103"/>
        <v>106389.55270300285</v>
      </c>
      <c r="K240" s="541">
        <f t="shared" si="103"/>
        <v>147962.51740884915</v>
      </c>
      <c r="L240" s="541">
        <f t="shared" si="103"/>
        <v>161399.49965955556</v>
      </c>
      <c r="M240" s="541">
        <f t="shared" si="103"/>
        <v>151655.52774738451</v>
      </c>
      <c r="N240" s="541">
        <f t="shared" si="103"/>
        <v>139560.65199456143</v>
      </c>
      <c r="O240" s="541">
        <f t="shared" si="103"/>
        <v>132210.22921150591</v>
      </c>
      <c r="P240" s="541">
        <f t="shared" si="103"/>
        <v>135867.60978103906</v>
      </c>
      <c r="Q240" s="541">
        <f t="shared" si="103"/>
        <v>138727.7665686908</v>
      </c>
      <c r="R240" s="541">
        <f t="shared" si="103"/>
        <v>140790.69957446121</v>
      </c>
      <c r="S240" s="541">
        <f t="shared" si="103"/>
        <v>142056.4087983502</v>
      </c>
      <c r="T240" s="541">
        <f t="shared" si="103"/>
        <v>142524.89424035783</v>
      </c>
      <c r="U240" s="541">
        <f t="shared" si="103"/>
        <v>142196.15590048404</v>
      </c>
      <c r="V240" s="541">
        <f t="shared" si="103"/>
        <v>141070.19377872889</v>
      </c>
      <c r="W240" s="541">
        <f t="shared" si="103"/>
        <v>139147.00787509236</v>
      </c>
      <c r="X240" s="541">
        <f t="shared" si="103"/>
        <v>136426.59818957446</v>
      </c>
      <c r="Y240" s="541">
        <f t="shared" si="103"/>
        <v>132908.96472217512</v>
      </c>
      <c r="Z240" s="541">
        <f t="shared" si="103"/>
        <v>128594.10747289442</v>
      </c>
      <c r="AA240" s="541">
        <f t="shared" si="103"/>
        <v>123482.02644173232</v>
      </c>
      <c r="AB240" s="541">
        <f t="shared" si="103"/>
        <v>117572.7216286889</v>
      </c>
      <c r="AC240" s="541">
        <f t="shared" si="103"/>
        <v>110866.19303376407</v>
      </c>
      <c r="AD240" s="541">
        <f t="shared" si="103"/>
        <v>103362.4406569578</v>
      </c>
      <c r="AE240" s="541">
        <f t="shared" si="103"/>
        <v>95061.46449827023</v>
      </c>
      <c r="AF240" s="541">
        <f t="shared" si="103"/>
        <v>85963.264557701244</v>
      </c>
      <c r="AG240" s="541">
        <f t="shared" si="103"/>
        <v>76067.840835250827</v>
      </c>
      <c r="AH240" s="423"/>
      <c r="AI240" s="423"/>
    </row>
    <row r="241" spans="1:35" hidden="1" x14ac:dyDescent="0.25">
      <c r="A241" s="451">
        <v>4</v>
      </c>
      <c r="B241" s="449" t="s">
        <v>85</v>
      </c>
      <c r="C241" s="540">
        <v>0.44811602338067524</v>
      </c>
      <c r="D241" s="449"/>
      <c r="E241" s="541">
        <f t="shared" si="102"/>
        <v>422217.19741916907</v>
      </c>
      <c r="F241" s="541">
        <f t="shared" si="103"/>
        <v>384990.84489468887</v>
      </c>
      <c r="G241" s="541">
        <f t="shared" si="103"/>
        <v>489485.20969846734</v>
      </c>
      <c r="H241" s="541">
        <f t="shared" si="103"/>
        <v>471225.03786683123</v>
      </c>
      <c r="I241" s="541">
        <f t="shared" si="103"/>
        <v>447289.7890172326</v>
      </c>
      <c r="J241" s="541">
        <f t="shared" si="103"/>
        <v>411219.38163793588</v>
      </c>
      <c r="K241" s="541">
        <f t="shared" si="103"/>
        <v>571908.17489678122</v>
      </c>
      <c r="L241" s="541">
        <f t="shared" si="103"/>
        <v>623845.11223536113</v>
      </c>
      <c r="M241" s="541">
        <f t="shared" si="103"/>
        <v>586182.48463125702</v>
      </c>
      <c r="N241" s="541">
        <f t="shared" si="103"/>
        <v>539433.08864546882</v>
      </c>
      <c r="O241" s="541">
        <f t="shared" si="103"/>
        <v>511022.06298711803</v>
      </c>
      <c r="P241" s="541">
        <f t="shared" si="103"/>
        <v>525158.6557070493</v>
      </c>
      <c r="Q241" s="541">
        <f t="shared" si="103"/>
        <v>536213.80046255968</v>
      </c>
      <c r="R241" s="541">
        <f t="shared" si="103"/>
        <v>544187.4972536494</v>
      </c>
      <c r="S241" s="541">
        <f t="shared" si="103"/>
        <v>549079.74608031788</v>
      </c>
      <c r="T241" s="541">
        <f t="shared" si="103"/>
        <v>550890.54694256571</v>
      </c>
      <c r="U241" s="541">
        <f t="shared" si="103"/>
        <v>549619.89984039252</v>
      </c>
      <c r="V241" s="541">
        <f t="shared" si="103"/>
        <v>545267.80477379833</v>
      </c>
      <c r="W241" s="541">
        <f t="shared" si="103"/>
        <v>537834.26174278336</v>
      </c>
      <c r="X241" s="541">
        <f t="shared" si="103"/>
        <v>527319.2707473475</v>
      </c>
      <c r="Y241" s="541">
        <f t="shared" si="103"/>
        <v>513722.83178749046</v>
      </c>
      <c r="Z241" s="541">
        <f t="shared" si="103"/>
        <v>497044.94486321276</v>
      </c>
      <c r="AA241" s="541">
        <f t="shared" si="103"/>
        <v>477285.60997451394</v>
      </c>
      <c r="AB241" s="541">
        <f t="shared" si="103"/>
        <v>454444.82712139451</v>
      </c>
      <c r="AC241" s="541">
        <f t="shared" si="103"/>
        <v>428522.59630385408</v>
      </c>
      <c r="AD241" s="541">
        <f t="shared" si="103"/>
        <v>399518.91752189246</v>
      </c>
      <c r="AE241" s="541">
        <f t="shared" si="103"/>
        <v>367433.79077551031</v>
      </c>
      <c r="AF241" s="541">
        <f t="shared" si="103"/>
        <v>332267.21606470714</v>
      </c>
      <c r="AG241" s="541">
        <f t="shared" si="103"/>
        <v>294019.19338948285</v>
      </c>
      <c r="AH241" s="423"/>
      <c r="AI241" s="423"/>
    </row>
    <row r="242" spans="1:35" hidden="1" x14ac:dyDescent="0.25">
      <c r="A242" s="451">
        <v>5</v>
      </c>
      <c r="B242" s="449" t="s">
        <v>86</v>
      </c>
      <c r="C242" s="540">
        <v>0.19004067891249071</v>
      </c>
      <c r="D242" s="449"/>
      <c r="E242" s="541">
        <f t="shared" si="102"/>
        <v>179057.29467278018</v>
      </c>
      <c r="F242" s="541">
        <f t="shared" si="103"/>
        <v>163270.04106418043</v>
      </c>
      <c r="G242" s="541">
        <f t="shared" si="103"/>
        <v>207584.8590883732</v>
      </c>
      <c r="H242" s="541">
        <f t="shared" si="103"/>
        <v>199840.93726704846</v>
      </c>
      <c r="I242" s="541">
        <f t="shared" si="103"/>
        <v>189690.28274012246</v>
      </c>
      <c r="J242" s="541">
        <f t="shared" si="103"/>
        <v>174393.25172726696</v>
      </c>
      <c r="K242" s="541">
        <f t="shared" si="103"/>
        <v>242539.45889513308</v>
      </c>
      <c r="L242" s="541">
        <f t="shared" si="103"/>
        <v>264565.29666365788</v>
      </c>
      <c r="M242" s="541">
        <f t="shared" si="103"/>
        <v>248593.02397964362</v>
      </c>
      <c r="N242" s="541">
        <f t="shared" si="103"/>
        <v>228767.16083629237</v>
      </c>
      <c r="O242" s="541">
        <f t="shared" si="103"/>
        <v>216718.38256681614</v>
      </c>
      <c r="P242" s="541">
        <f t="shared" si="103"/>
        <v>222713.5435024538</v>
      </c>
      <c r="Q242" s="541">
        <f t="shared" si="103"/>
        <v>227401.89898450786</v>
      </c>
      <c r="R242" s="541">
        <f t="shared" si="103"/>
        <v>230783.44901297838</v>
      </c>
      <c r="S242" s="541">
        <f t="shared" si="103"/>
        <v>232858.19358786527</v>
      </c>
      <c r="T242" s="541">
        <f t="shared" si="103"/>
        <v>233626.13270916857</v>
      </c>
      <c r="U242" s="541">
        <f t="shared" si="103"/>
        <v>233087.26637688823</v>
      </c>
      <c r="V242" s="541">
        <f t="shared" si="103"/>
        <v>231241.5945910243</v>
      </c>
      <c r="W242" s="541">
        <f t="shared" si="103"/>
        <v>228089.1173515768</v>
      </c>
      <c r="X242" s="541">
        <f t="shared" si="103"/>
        <v>223629.83465854573</v>
      </c>
      <c r="Y242" s="541">
        <f t="shared" si="103"/>
        <v>217863.74651193095</v>
      </c>
      <c r="Z242" s="541">
        <f t="shared" si="103"/>
        <v>210790.85291173265</v>
      </c>
      <c r="AA242" s="541">
        <f t="shared" si="103"/>
        <v>202411.15385795067</v>
      </c>
      <c r="AB242" s="541">
        <f t="shared" si="103"/>
        <v>192724.64935058524</v>
      </c>
      <c r="AC242" s="541">
        <f t="shared" si="103"/>
        <v>181731.33938963612</v>
      </c>
      <c r="AD242" s="541">
        <f t="shared" si="103"/>
        <v>169431.22397510335</v>
      </c>
      <c r="AE242" s="541">
        <f t="shared" si="103"/>
        <v>155824.30310698709</v>
      </c>
      <c r="AF242" s="541">
        <f t="shared" si="103"/>
        <v>140910.57678528718</v>
      </c>
      <c r="AG242" s="541">
        <f t="shared" si="103"/>
        <v>124690.04501000361</v>
      </c>
      <c r="AH242" s="423"/>
      <c r="AI242" s="423"/>
    </row>
    <row r="243" spans="1:35" hidden="1" x14ac:dyDescent="0.25">
      <c r="A243" s="451">
        <v>6</v>
      </c>
      <c r="B243" s="449" t="s">
        <v>87</v>
      </c>
      <c r="C243" s="540">
        <v>9.4580161433521368E-2</v>
      </c>
      <c r="D243" s="449"/>
      <c r="E243" s="541">
        <f t="shared" si="102"/>
        <v>89113.909363581304</v>
      </c>
      <c r="F243" s="541">
        <f t="shared" si="103"/>
        <v>81256.8494780982</v>
      </c>
      <c r="G243" s="541">
        <f t="shared" si="103"/>
        <v>103311.6151556891</v>
      </c>
      <c r="H243" s="541">
        <f t="shared" si="103"/>
        <v>99457.590953182837</v>
      </c>
      <c r="I243" s="541">
        <f t="shared" si="103"/>
        <v>94405.774945649799</v>
      </c>
      <c r="J243" s="541">
        <f t="shared" si="103"/>
        <v>86792.690889495323</v>
      </c>
      <c r="K243" s="541">
        <f t="shared" si="103"/>
        <v>120707.95214778029</v>
      </c>
      <c r="L243" s="541">
        <f t="shared" si="103"/>
        <v>131669.85411412138</v>
      </c>
      <c r="M243" s="541">
        <f t="shared" si="103"/>
        <v>123720.71323776239</v>
      </c>
      <c r="N243" s="541">
        <f t="shared" si="103"/>
        <v>113853.70293561272</v>
      </c>
      <c r="O243" s="541">
        <f t="shared" si="103"/>
        <v>107857.22154896964</v>
      </c>
      <c r="P243" s="541">
        <f t="shared" si="103"/>
        <v>110840.9158419881</v>
      </c>
      <c r="Q243" s="541">
        <f t="shared" si="103"/>
        <v>113174.23427090507</v>
      </c>
      <c r="R243" s="541">
        <f t="shared" si="103"/>
        <v>114857.1768357206</v>
      </c>
      <c r="S243" s="541">
        <f t="shared" si="103"/>
        <v>115889.74353643462</v>
      </c>
      <c r="T243" s="541">
        <f t="shared" si="103"/>
        <v>116271.93437304717</v>
      </c>
      <c r="U243" s="541">
        <f t="shared" si="103"/>
        <v>116003.74934555823</v>
      </c>
      <c r="V243" s="541">
        <f t="shared" si="103"/>
        <v>115085.18845396781</v>
      </c>
      <c r="W243" s="541">
        <f t="shared" si="103"/>
        <v>113516.25169827593</v>
      </c>
      <c r="X243" s="541">
        <f t="shared" si="103"/>
        <v>111296.93907848258</v>
      </c>
      <c r="Y243" s="541">
        <f t="shared" si="103"/>
        <v>108427.25059458769</v>
      </c>
      <c r="Z243" s="541">
        <f t="shared" si="103"/>
        <v>104907.18624659136</v>
      </c>
      <c r="AA243" s="541">
        <f t="shared" si="103"/>
        <v>100736.74603449352</v>
      </c>
      <c r="AB243" s="541">
        <f t="shared" si="103"/>
        <v>95915.929958294277</v>
      </c>
      <c r="AC243" s="541">
        <f t="shared" si="103"/>
        <v>90444.738017993499</v>
      </c>
      <c r="AD243" s="541">
        <f t="shared" si="103"/>
        <v>84323.17021359122</v>
      </c>
      <c r="AE243" s="541">
        <f t="shared" si="103"/>
        <v>77551.226545087513</v>
      </c>
      <c r="AF243" s="541">
        <f t="shared" si="103"/>
        <v>70128.907012482319</v>
      </c>
      <c r="AG243" s="541">
        <f t="shared" si="103"/>
        <v>62056.211615775595</v>
      </c>
      <c r="AH243" s="423"/>
      <c r="AI243" s="423"/>
    </row>
    <row r="244" spans="1:35" hidden="1" x14ac:dyDescent="0.25">
      <c r="A244" s="451">
        <v>7</v>
      </c>
      <c r="B244" s="449" t="s">
        <v>88</v>
      </c>
      <c r="C244" s="540">
        <v>6.7348296822170488E-3</v>
      </c>
      <c r="D244" s="449"/>
      <c r="E244" s="541">
        <f t="shared" si="102"/>
        <v>6345.5907960370032</v>
      </c>
      <c r="F244" s="541">
        <f t="shared" si="103"/>
        <v>5786.1081378380941</v>
      </c>
      <c r="G244" s="541">
        <f t="shared" si="103"/>
        <v>7356.5758582192184</v>
      </c>
      <c r="H244" s="541">
        <f t="shared" si="103"/>
        <v>7082.1399067298971</v>
      </c>
      <c r="I244" s="541">
        <f t="shared" si="103"/>
        <v>6722.4120327132414</v>
      </c>
      <c r="J244" s="541">
        <f t="shared" si="103"/>
        <v>6180.3023164949918</v>
      </c>
      <c r="K244" s="541">
        <f t="shared" si="103"/>
        <v>8595.3278857100649</v>
      </c>
      <c r="L244" s="541">
        <f t="shared" si="103"/>
        <v>9375.899007787908</v>
      </c>
      <c r="M244" s="541">
        <f t="shared" si="103"/>
        <v>8809.8594799334678</v>
      </c>
      <c r="N244" s="541">
        <f t="shared" si="103"/>
        <v>8107.2530046382508</v>
      </c>
      <c r="O244" s="541">
        <f t="shared" si="103"/>
        <v>7680.2577424234369</v>
      </c>
      <c r="P244" s="541">
        <f t="shared" si="103"/>
        <v>7892.719558756944</v>
      </c>
      <c r="Q244" s="541">
        <f t="shared" si="103"/>
        <v>8058.8696474748567</v>
      </c>
      <c r="R244" s="541">
        <f t="shared" si="103"/>
        <v>8178.7080085771777</v>
      </c>
      <c r="S244" s="541">
        <f t="shared" si="103"/>
        <v>8252.2346420639024</v>
      </c>
      <c r="T244" s="541">
        <f t="shared" si="103"/>
        <v>8279.4495479350317</v>
      </c>
      <c r="U244" s="541">
        <f t="shared" si="103"/>
        <v>8260.3527261905674</v>
      </c>
      <c r="V244" s="541">
        <f t="shared" si="103"/>
        <v>8194.9441768305078</v>
      </c>
      <c r="W244" s="541">
        <f t="shared" si="103"/>
        <v>8083.2238998548537</v>
      </c>
      <c r="X244" s="541">
        <f t="shared" si="103"/>
        <v>7925.1918952636061</v>
      </c>
      <c r="Y244" s="541">
        <f t="shared" si="103"/>
        <v>7720.8481630567612</v>
      </c>
      <c r="Z244" s="541">
        <f t="shared" si="103"/>
        <v>7470.1927032343237</v>
      </c>
      <c r="AA244" s="541">
        <f t="shared" si="103"/>
        <v>7173.2255157962891</v>
      </c>
      <c r="AB244" s="541">
        <f t="shared" si="103"/>
        <v>6829.9466007426645</v>
      </c>
      <c r="AC244" s="541">
        <f t="shared" si="103"/>
        <v>6440.3559580734436</v>
      </c>
      <c r="AD244" s="541">
        <f t="shared" si="103"/>
        <v>6004.4535877886246</v>
      </c>
      <c r="AE244" s="541">
        <f t="shared" si="103"/>
        <v>5522.2394898882158</v>
      </c>
      <c r="AF244" s="541">
        <f t="shared" si="103"/>
        <v>4993.7136643722106</v>
      </c>
      <c r="AG244" s="541">
        <f t="shared" si="103"/>
        <v>4418.8761112406091</v>
      </c>
      <c r="AH244" s="423"/>
      <c r="AI244" s="423"/>
    </row>
    <row r="245" spans="1:35" hidden="1" x14ac:dyDescent="0.25">
      <c r="A245" s="451">
        <v>8</v>
      </c>
      <c r="B245" s="449" t="s">
        <v>89</v>
      </c>
      <c r="C245" s="540">
        <v>6.0346686079176034E-4</v>
      </c>
      <c r="D245" s="449"/>
      <c r="E245" s="541">
        <f t="shared" si="102"/>
        <v>568.58954691381996</v>
      </c>
      <c r="F245" s="541">
        <f t="shared" si="103"/>
        <v>518.45773076675141</v>
      </c>
      <c r="G245" s="541">
        <f t="shared" si="103"/>
        <v>659.17772962516437</v>
      </c>
      <c r="H245" s="541">
        <f t="shared" si="103"/>
        <v>634.58720396258491</v>
      </c>
      <c r="I245" s="541">
        <f t="shared" si="103"/>
        <v>602.35419123394479</v>
      </c>
      <c r="J245" s="541">
        <f t="shared" si="103"/>
        <v>553.77905806988747</v>
      </c>
      <c r="K245" s="541">
        <f t="shared" si="103"/>
        <v>770.17471583005442</v>
      </c>
      <c r="L245" s="541">
        <f t="shared" si="103"/>
        <v>840.11691583977358</v>
      </c>
      <c r="M245" s="541">
        <f t="shared" si="103"/>
        <v>789.39757874052827</v>
      </c>
      <c r="N245" s="541">
        <f t="shared" si="103"/>
        <v>726.44131347105667</v>
      </c>
      <c r="O245" s="541">
        <f t="shared" si="103"/>
        <v>688.18088186101727</v>
      </c>
      <c r="P245" s="541">
        <f t="shared" si="103"/>
        <v>707.21828464485293</v>
      </c>
      <c r="Q245" s="541">
        <f t="shared" si="103"/>
        <v>722.1059770127265</v>
      </c>
      <c r="R245" s="541">
        <f t="shared" si="103"/>
        <v>732.84395896463832</v>
      </c>
      <c r="S245" s="541">
        <f t="shared" si="103"/>
        <v>739.43223050058805</v>
      </c>
      <c r="T245" s="541">
        <f t="shared" si="103"/>
        <v>741.8707916205758</v>
      </c>
      <c r="U245" s="541">
        <f t="shared" si="103"/>
        <v>740.15964232460158</v>
      </c>
      <c r="V245" s="541">
        <f t="shared" si="103"/>
        <v>734.29878261266526</v>
      </c>
      <c r="W245" s="541">
        <f t="shared" si="103"/>
        <v>724.2882124847672</v>
      </c>
      <c r="X245" s="541">
        <f t="shared" si="103"/>
        <v>710.12793194090716</v>
      </c>
      <c r="Y245" s="541">
        <f t="shared" si="103"/>
        <v>691.81794098108492</v>
      </c>
      <c r="Z245" s="541">
        <f t="shared" si="103"/>
        <v>669.35823960530081</v>
      </c>
      <c r="AA245" s="541">
        <f t="shared" si="103"/>
        <v>642.74882781355461</v>
      </c>
      <c r="AB245" s="541">
        <f t="shared" si="103"/>
        <v>611.98970560584678</v>
      </c>
      <c r="AC245" s="541">
        <f t="shared" si="103"/>
        <v>577.08087298217674</v>
      </c>
      <c r="AD245" s="541">
        <f t="shared" si="103"/>
        <v>538.02232994254462</v>
      </c>
      <c r="AE245" s="541">
        <f t="shared" si="103"/>
        <v>494.81407648695085</v>
      </c>
      <c r="AF245" s="541">
        <f t="shared" si="103"/>
        <v>447.45611261539494</v>
      </c>
      <c r="AG245" s="541">
        <f t="shared" si="103"/>
        <v>395.94843832787689</v>
      </c>
      <c r="AH245" s="423"/>
      <c r="AI245" s="423"/>
    </row>
    <row r="246" spans="1:35" hidden="1" x14ac:dyDescent="0.25">
      <c r="A246" s="451">
        <v>9</v>
      </c>
      <c r="B246" s="449" t="s">
        <v>90</v>
      </c>
      <c r="C246" s="540">
        <v>-7.3590122104963606E-3</v>
      </c>
      <c r="D246" s="449"/>
      <c r="E246" s="541">
        <f t="shared" si="102"/>
        <v>-6933.6987502670272</v>
      </c>
      <c r="F246" s="541">
        <f t="shared" si="103"/>
        <v>-6322.3633628082935</v>
      </c>
      <c r="G246" s="541">
        <f t="shared" si="103"/>
        <v>-8038.3816848441047</v>
      </c>
      <c r="H246" s="541">
        <f t="shared" si="103"/>
        <v>-7738.5110699506522</v>
      </c>
      <c r="I246" s="541">
        <f t="shared" si="103"/>
        <v>-7345.4436959776531</v>
      </c>
      <c r="J246" s="541">
        <f t="shared" si="103"/>
        <v>-6753.0913709273864</v>
      </c>
      <c r="K246" s="541">
        <f t="shared" si="103"/>
        <v>-9391.9409767965863</v>
      </c>
      <c r="L246" s="541">
        <f t="shared" si="103"/>
        <v>-10244.855258162755</v>
      </c>
      <c r="M246" s="541">
        <f t="shared" si="103"/>
        <v>-9626.3553118162017</v>
      </c>
      <c r="N246" s="541">
        <f t="shared" si="103"/>
        <v>-8858.6314234862984</v>
      </c>
      <c r="O246" s="541">
        <f t="shared" si="103"/>
        <v>-8392.0623346257617</v>
      </c>
      <c r="P246" s="541">
        <f t="shared" si="103"/>
        <v>-8624.2150651975353</v>
      </c>
      <c r="Q246" s="541">
        <f t="shared" si="103"/>
        <v>-8805.7639074613035</v>
      </c>
      <c r="R246" s="541">
        <f t="shared" si="103"/>
        <v>-8936.7088614170716</v>
      </c>
      <c r="S246" s="541">
        <f t="shared" si="103"/>
        <v>-9017.0499270648343</v>
      </c>
      <c r="T246" s="541">
        <f t="shared" si="103"/>
        <v>-9046.7871044045914</v>
      </c>
      <c r="U246" s="541">
        <f t="shared" si="103"/>
        <v>-9025.920393436345</v>
      </c>
      <c r="V246" s="541">
        <f t="shared" si="103"/>
        <v>-8954.4497941600948</v>
      </c>
      <c r="W246" s="541">
        <f t="shared" si="103"/>
        <v>-8832.375306575841</v>
      </c>
      <c r="X246" s="541">
        <f t="shared" si="103"/>
        <v>-8659.6969306835836</v>
      </c>
      <c r="Y246" s="541">
        <f t="shared" si="103"/>
        <v>-8436.4146664833188</v>
      </c>
      <c r="Z246" s="541">
        <f t="shared" si="103"/>
        <v>-8162.5285139750522</v>
      </c>
      <c r="AA246" s="541">
        <f t="shared" si="103"/>
        <v>-7838.0384731587801</v>
      </c>
      <c r="AB246" s="541">
        <f t="shared" si="103"/>
        <v>-7462.9445440345071</v>
      </c>
      <c r="AC246" s="541">
        <f t="shared" si="103"/>
        <v>-7037.2467266022286</v>
      </c>
      <c r="AD246" s="541">
        <f t="shared" si="103"/>
        <v>-6560.9450208619428</v>
      </c>
      <c r="AE246" s="541">
        <f t="shared" si="103"/>
        <v>-6034.0394268136588</v>
      </c>
      <c r="AF246" s="541">
        <f t="shared" si="103"/>
        <v>-5456.5299444573675</v>
      </c>
      <c r="AG246" s="541">
        <f t="shared" si="103"/>
        <v>-4828.4165737930698</v>
      </c>
      <c r="AH246" s="423"/>
      <c r="AI246" s="423"/>
    </row>
    <row r="247" spans="1:35" hidden="1" x14ac:dyDescent="0.25">
      <c r="A247" s="451">
        <v>10</v>
      </c>
      <c r="B247" s="449" t="s">
        <v>91</v>
      </c>
      <c r="C247" s="540">
        <v>4.0733571346658459E-3</v>
      </c>
      <c r="D247" s="449"/>
      <c r="E247" s="541">
        <f t="shared" si="102"/>
        <v>3837.9378191191845</v>
      </c>
      <c r="F247" s="541">
        <f t="shared" si="103"/>
        <v>3499.551729933612</v>
      </c>
      <c r="G247" s="541">
        <f t="shared" si="103"/>
        <v>4449.4014210799214</v>
      </c>
      <c r="H247" s="541">
        <f t="shared" si="103"/>
        <v>4283.4171729615864</v>
      </c>
      <c r="I247" s="541">
        <f t="shared" si="103"/>
        <v>4065.8466966015139</v>
      </c>
      <c r="J247" s="541">
        <f t="shared" si="103"/>
        <v>3737.9681035971603</v>
      </c>
      <c r="K247" s="541">
        <f t="shared" si="103"/>
        <v>5198.6229526332718</v>
      </c>
      <c r="L247" s="541">
        <f t="shared" si="103"/>
        <v>5670.7276827091227</v>
      </c>
      <c r="M247" s="541">
        <f t="shared" si="103"/>
        <v>5328.3758701047445</v>
      </c>
      <c r="N247" s="541">
        <f t="shared" si="103"/>
        <v>4903.4256881330966</v>
      </c>
      <c r="O247" s="541">
        <f t="shared" si="103"/>
        <v>4645.1705755496605</v>
      </c>
      <c r="P247" s="541">
        <f t="shared" si="103"/>
        <v>4773.6716507425917</v>
      </c>
      <c r="Q247" s="541">
        <f t="shared" si="103"/>
        <v>4874.1624843996769</v>
      </c>
      <c r="R247" s="541">
        <f t="shared" si="103"/>
        <v>4946.6430765209179</v>
      </c>
      <c r="S247" s="541">
        <f t="shared" si="103"/>
        <v>4991.113427106312</v>
      </c>
      <c r="T247" s="541">
        <f t="shared" si="103"/>
        <v>5007.57353615586</v>
      </c>
      <c r="U247" s="541">
        <f t="shared" si="103"/>
        <v>4996.023403669562</v>
      </c>
      <c r="V247" s="541">
        <f t="shared" si="103"/>
        <v>4956.4630296474179</v>
      </c>
      <c r="W247" s="541">
        <f t="shared" si="103"/>
        <v>4888.8924140894287</v>
      </c>
      <c r="X247" s="541">
        <f t="shared" ref="X247:AG247" si="105">$C247*X$22</f>
        <v>4793.3115569955944</v>
      </c>
      <c r="Y247" s="541">
        <f t="shared" si="105"/>
        <v>4669.7204583659122</v>
      </c>
      <c r="Z247" s="541">
        <f t="shared" si="105"/>
        <v>4518.1191182003849</v>
      </c>
      <c r="AA247" s="541">
        <f t="shared" si="105"/>
        <v>4338.5075364990107</v>
      </c>
      <c r="AB247" s="541">
        <f t="shared" si="105"/>
        <v>4130.8857132617941</v>
      </c>
      <c r="AC247" s="541">
        <f t="shared" si="105"/>
        <v>3895.2536484887291</v>
      </c>
      <c r="AD247" s="541">
        <f t="shared" si="105"/>
        <v>3631.6113421798173</v>
      </c>
      <c r="AE247" s="541">
        <f t="shared" si="105"/>
        <v>3339.9587943350625</v>
      </c>
      <c r="AF247" s="541">
        <f t="shared" si="105"/>
        <v>3020.2960049544604</v>
      </c>
      <c r="AG247" s="541">
        <f t="shared" si="105"/>
        <v>2672.6229740380109</v>
      </c>
      <c r="AH247" s="423"/>
      <c r="AI247" s="423"/>
    </row>
    <row r="248" spans="1:35" ht="15.75" hidden="1" customHeight="1" x14ac:dyDescent="0.25">
      <c r="A248" s="451">
        <v>11</v>
      </c>
      <c r="B248" s="449" t="s">
        <v>92</v>
      </c>
      <c r="C248" s="540">
        <v>2.8216504930048156E-3</v>
      </c>
      <c r="D248" s="449"/>
      <c r="E248" s="541">
        <f t="shared" si="102"/>
        <v>2658.5734521723562</v>
      </c>
      <c r="F248" s="541">
        <f t="shared" ref="F248:T248" si="106">$C248*F$22</f>
        <v>2424.170417081064</v>
      </c>
      <c r="G248" s="541">
        <f t="shared" si="106"/>
        <v>3082.1396941902067</v>
      </c>
      <c r="H248" s="541">
        <f t="shared" si="106"/>
        <v>2967.1609383260825</v>
      </c>
      <c r="I248" s="541">
        <f t="shared" si="106"/>
        <v>2816.4479461702763</v>
      </c>
      <c r="J248" s="541">
        <f t="shared" si="106"/>
        <v>2589.3235465631315</v>
      </c>
      <c r="K248" s="541">
        <f t="shared" si="106"/>
        <v>3601.1320717271587</v>
      </c>
      <c r="L248" s="541">
        <f t="shared" si="106"/>
        <v>3928.1631913487654</v>
      </c>
      <c r="M248" s="541">
        <f t="shared" si="106"/>
        <v>3691.0130645908571</v>
      </c>
      <c r="N248" s="541">
        <f t="shared" si="106"/>
        <v>3396.6463172564986</v>
      </c>
      <c r="O248" s="541">
        <f t="shared" si="106"/>
        <v>3217.7507179631052</v>
      </c>
      <c r="P248" s="541">
        <f t="shared" si="106"/>
        <v>3306.7645486149881</v>
      </c>
      <c r="Q248" s="541">
        <f t="shared" si="106"/>
        <v>3376.3754373627139</v>
      </c>
      <c r="R248" s="541">
        <f t="shared" si="106"/>
        <v>3426.5833842062839</v>
      </c>
      <c r="S248" s="541">
        <f t="shared" si="106"/>
        <v>3457.3883891456962</v>
      </c>
      <c r="T248" s="541">
        <f t="shared" si="106"/>
        <v>3468.7904521809528</v>
      </c>
      <c r="U248" s="541">
        <f t="shared" ref="U248:AG248" si="107">$C248*U$22</f>
        <v>3460.7895733120522</v>
      </c>
      <c r="V248" s="541">
        <f t="shared" si="107"/>
        <v>3433.3857525389949</v>
      </c>
      <c r="W248" s="541">
        <f t="shared" si="107"/>
        <v>3386.5789898617813</v>
      </c>
      <c r="X248" s="541">
        <f t="shared" si="107"/>
        <v>3320.3692852804115</v>
      </c>
      <c r="Y248" s="541">
        <f t="shared" si="107"/>
        <v>3234.7566387948832</v>
      </c>
      <c r="Z248" s="541">
        <f t="shared" si="107"/>
        <v>3129.7410504052</v>
      </c>
      <c r="AA248" s="541">
        <f t="shared" si="107"/>
        <v>3005.3225201113587</v>
      </c>
      <c r="AB248" s="541">
        <f t="shared" si="107"/>
        <v>2861.5010479133625</v>
      </c>
      <c r="AC248" s="541">
        <f t="shared" si="107"/>
        <v>2698.2766338112087</v>
      </c>
      <c r="AD248" s="541">
        <f t="shared" si="107"/>
        <v>2515.6492778048973</v>
      </c>
      <c r="AE248" s="541">
        <f t="shared" si="107"/>
        <v>2313.6189798944315</v>
      </c>
      <c r="AF248" s="541">
        <f t="shared" si="107"/>
        <v>2092.1857400798076</v>
      </c>
      <c r="AG248" s="541">
        <f t="shared" si="107"/>
        <v>1851.3495583610265</v>
      </c>
      <c r="AH248" s="423"/>
      <c r="AI248" s="423"/>
    </row>
    <row r="249" spans="1:35" hidden="1" x14ac:dyDescent="0.25">
      <c r="A249" s="449"/>
      <c r="B249" s="449" t="s">
        <v>67</v>
      </c>
      <c r="C249" s="540" t="s">
        <v>0</v>
      </c>
      <c r="D249" s="449"/>
      <c r="E249" s="541">
        <f t="shared" ref="E249:AG249" si="108">SUM(E238:E248)</f>
        <v>942205.08839179587</v>
      </c>
      <c r="F249" s="541">
        <f t="shared" si="108"/>
        <v>859132.0658213523</v>
      </c>
      <c r="G249" s="541">
        <f t="shared" si="108"/>
        <v>1092318.0251527159</v>
      </c>
      <c r="H249" s="541">
        <f t="shared" si="108"/>
        <v>1051569.2661731152</v>
      </c>
      <c r="I249" s="541">
        <f t="shared" si="108"/>
        <v>998156.2043749087</v>
      </c>
      <c r="J249" s="541">
        <f t="shared" si="108"/>
        <v>917662.74844540516</v>
      </c>
      <c r="K249" s="541">
        <f t="shared" si="108"/>
        <v>1276250.2232841256</v>
      </c>
      <c r="L249" s="541">
        <f t="shared" si="108"/>
        <v>1392150.8709484458</v>
      </c>
      <c r="M249" s="541">
        <f t="shared" si="108"/>
        <v>1308104.2722127661</v>
      </c>
      <c r="N249" s="541">
        <f t="shared" si="108"/>
        <v>1203779.9598770866</v>
      </c>
      <c r="O249" s="541">
        <f t="shared" si="108"/>
        <v>1140378.911541407</v>
      </c>
      <c r="P249" s="541">
        <f t="shared" si="108"/>
        <v>1171925.6360108471</v>
      </c>
      <c r="Q249" s="541">
        <f t="shared" si="108"/>
        <v>1196595.9092854073</v>
      </c>
      <c r="R249" s="541">
        <f t="shared" si="108"/>
        <v>1214389.7313650872</v>
      </c>
      <c r="S249" s="541">
        <f t="shared" si="108"/>
        <v>1225307.1022498873</v>
      </c>
      <c r="T249" s="541">
        <f t="shared" si="108"/>
        <v>1229348.0219398076</v>
      </c>
      <c r="U249" s="541">
        <f t="shared" si="108"/>
        <v>1226512.4904348475</v>
      </c>
      <c r="V249" s="541">
        <f t="shared" si="108"/>
        <v>1216800.5077350081</v>
      </c>
      <c r="W249" s="541">
        <f t="shared" si="108"/>
        <v>1200212.0738402884</v>
      </c>
      <c r="X249" s="541">
        <f t="shared" si="108"/>
        <v>1176747.1887506885</v>
      </c>
      <c r="Y249" s="541">
        <f t="shared" si="108"/>
        <v>1146405.8524662086</v>
      </c>
      <c r="Z249" s="541">
        <f t="shared" si="108"/>
        <v>1109188.064986849</v>
      </c>
      <c r="AA249" s="541">
        <f t="shared" si="108"/>
        <v>1065093.8263126092</v>
      </c>
      <c r="AB249" s="541">
        <f t="shared" si="108"/>
        <v>1014123.1364434897</v>
      </c>
      <c r="AC249" s="541">
        <f t="shared" si="108"/>
        <v>956275.99537949031</v>
      </c>
      <c r="AD249" s="541">
        <f t="shared" si="108"/>
        <v>891552.40312061005</v>
      </c>
      <c r="AE249" s="541">
        <f t="shared" si="108"/>
        <v>819952.35966685065</v>
      </c>
      <c r="AF249" s="541">
        <f t="shared" si="108"/>
        <v>741475.86501821142</v>
      </c>
      <c r="AG249" s="541">
        <f t="shared" si="108"/>
        <v>656122.91917469131</v>
      </c>
      <c r="AH249" s="423"/>
      <c r="AI249" s="423"/>
    </row>
    <row r="250" spans="1:35" hidden="1" x14ac:dyDescent="0.25">
      <c r="A250" s="436"/>
      <c r="B250" s="436"/>
      <c r="C250" s="436"/>
      <c r="D250" s="436"/>
      <c r="E250" s="437"/>
      <c r="F250" s="437"/>
      <c r="G250" s="437"/>
      <c r="H250" s="437"/>
      <c r="I250" s="437"/>
      <c r="J250" s="437"/>
      <c r="K250" s="437"/>
      <c r="L250" s="437"/>
      <c r="M250" s="437"/>
      <c r="N250" s="437"/>
      <c r="O250" s="437"/>
      <c r="P250" s="437"/>
      <c r="Q250" s="437"/>
      <c r="R250" s="437"/>
      <c r="S250" s="437"/>
      <c r="T250" s="437"/>
      <c r="U250" s="437"/>
      <c r="V250" s="437"/>
      <c r="W250" s="437"/>
      <c r="X250" s="437"/>
      <c r="Y250" s="437"/>
      <c r="Z250" s="437"/>
      <c r="AA250" s="437"/>
      <c r="AB250" s="437"/>
      <c r="AC250" s="437"/>
      <c r="AD250" s="437"/>
      <c r="AE250" s="437"/>
      <c r="AF250" s="437"/>
      <c r="AG250" s="437"/>
      <c r="AH250" s="423"/>
      <c r="AI250" s="423"/>
    </row>
    <row r="251" spans="1:35" x14ac:dyDescent="0.25">
      <c r="E251" s="438"/>
      <c r="F251" s="438"/>
      <c r="G251" s="438"/>
      <c r="H251" s="438"/>
      <c r="I251" s="438"/>
      <c r="J251" s="438"/>
      <c r="K251" s="438"/>
      <c r="L251" s="438"/>
      <c r="M251" s="438"/>
      <c r="N251" s="438"/>
      <c r="O251" s="438"/>
      <c r="P251" s="438"/>
      <c r="Q251" s="438"/>
      <c r="R251" s="438"/>
      <c r="S251" s="438"/>
      <c r="T251" s="438"/>
      <c r="U251" s="438"/>
      <c r="V251" s="438"/>
      <c r="W251" s="438"/>
      <c r="X251" s="438"/>
      <c r="Y251" s="438"/>
      <c r="Z251" s="438"/>
      <c r="AA251" s="438"/>
      <c r="AB251" s="438"/>
      <c r="AC251" s="438"/>
      <c r="AD251" s="438"/>
      <c r="AE251" s="438"/>
      <c r="AF251" s="438"/>
      <c r="AG251" s="438"/>
      <c r="AH251" s="438"/>
      <c r="AI251" s="438"/>
    </row>
    <row r="252" spans="1:35" x14ac:dyDescent="0.25">
      <c r="B252" s="422" t="s">
        <v>96</v>
      </c>
      <c r="C252" s="423" t="s">
        <v>97</v>
      </c>
      <c r="E252" s="423">
        <v>2017</v>
      </c>
      <c r="F252" s="423">
        <v>2018</v>
      </c>
      <c r="G252" s="423">
        <v>2019</v>
      </c>
      <c r="H252" s="423">
        <v>2020</v>
      </c>
      <c r="I252" s="423">
        <v>2021</v>
      </c>
      <c r="J252" s="423">
        <v>2022</v>
      </c>
      <c r="K252" s="423">
        <v>2023</v>
      </c>
      <c r="L252" s="423">
        <v>2024</v>
      </c>
      <c r="M252" s="423">
        <v>2025</v>
      </c>
      <c r="N252" s="423">
        <v>2026</v>
      </c>
      <c r="O252" s="423">
        <v>2027</v>
      </c>
      <c r="P252" s="423">
        <v>2028</v>
      </c>
      <c r="Q252" s="423">
        <v>2029</v>
      </c>
      <c r="R252" s="423">
        <v>2030</v>
      </c>
      <c r="S252" s="423">
        <v>2031</v>
      </c>
      <c r="T252" s="423">
        <v>2032</v>
      </c>
      <c r="U252" s="423">
        <v>2033</v>
      </c>
      <c r="V252" s="423">
        <v>2034</v>
      </c>
      <c r="W252" s="423">
        <v>2035</v>
      </c>
      <c r="X252" s="423">
        <v>2036</v>
      </c>
      <c r="Y252" s="423">
        <v>2037</v>
      </c>
      <c r="Z252" s="423">
        <v>2038</v>
      </c>
      <c r="AA252" s="423">
        <v>2039</v>
      </c>
      <c r="AB252" s="423">
        <v>2040</v>
      </c>
      <c r="AC252" s="423">
        <v>2041</v>
      </c>
      <c r="AD252" s="423">
        <v>2042</v>
      </c>
      <c r="AE252" s="423">
        <v>2043</v>
      </c>
      <c r="AF252" s="423">
        <v>2044</v>
      </c>
      <c r="AG252" s="423">
        <v>2045</v>
      </c>
      <c r="AH252" s="438"/>
      <c r="AI252" s="438"/>
    </row>
    <row r="253" spans="1:35" x14ac:dyDescent="0.25">
      <c r="B253" s="421" t="s">
        <v>98</v>
      </c>
      <c r="C253" s="439">
        <v>1</v>
      </c>
      <c r="E253" s="440">
        <f t="shared" ref="E253:E263" si="109">$C253*E267</f>
        <v>321451</v>
      </c>
      <c r="F253" s="440">
        <f t="shared" ref="F253:AG262" si="110">$C253*F267</f>
        <v>271621.88</v>
      </c>
      <c r="G253" s="440">
        <f t="shared" si="110"/>
        <v>272808.63</v>
      </c>
      <c r="H253" s="440">
        <f t="shared" si="110"/>
        <v>244757.58999999997</v>
      </c>
      <c r="I253" s="440">
        <f t="shared" si="110"/>
        <v>264537.8</v>
      </c>
      <c r="J253" s="440">
        <f t="shared" si="110"/>
        <v>277728.23960919119</v>
      </c>
      <c r="K253" s="440">
        <f t="shared" si="110"/>
        <v>280789.2755542263</v>
      </c>
      <c r="L253" s="440">
        <f t="shared" si="110"/>
        <v>281225.35810925928</v>
      </c>
      <c r="M253" s="440">
        <f t="shared" si="110"/>
        <v>282574.08930833265</v>
      </c>
      <c r="N253" s="440">
        <f t="shared" si="110"/>
        <v>283845.46729933581</v>
      </c>
      <c r="O253" s="440">
        <f t="shared" si="110"/>
        <v>285003.46535570815</v>
      </c>
      <c r="P253" s="440">
        <f t="shared" si="110"/>
        <v>286306.95838565374</v>
      </c>
      <c r="Q253" s="440">
        <f t="shared" si="110"/>
        <v>287739.70855991531</v>
      </c>
      <c r="R253" s="440">
        <f t="shared" si="110"/>
        <v>289215.43225033622</v>
      </c>
      <c r="S253" s="440">
        <f t="shared" si="110"/>
        <v>290637.16091817158</v>
      </c>
      <c r="T253" s="440">
        <f t="shared" si="110"/>
        <v>292192.87326515862</v>
      </c>
      <c r="U253" s="440">
        <f t="shared" si="110"/>
        <v>293890.80643652868</v>
      </c>
      <c r="V253" s="440">
        <f t="shared" si="110"/>
        <v>295735.66743391211</v>
      </c>
      <c r="W253" s="440">
        <f t="shared" si="110"/>
        <v>297557.45139161154</v>
      </c>
      <c r="X253" s="440">
        <f t="shared" si="110"/>
        <v>299298.72205316339</v>
      </c>
      <c r="Y253" s="440">
        <f t="shared" si="110"/>
        <v>301178.13319446467</v>
      </c>
      <c r="Z253" s="440">
        <f t="shared" si="110"/>
        <v>303068.67401384504</v>
      </c>
      <c r="AA253" s="440">
        <f t="shared" si="110"/>
        <v>305239.89809358079</v>
      </c>
      <c r="AB253" s="440">
        <f t="shared" si="110"/>
        <v>307093.63829434832</v>
      </c>
      <c r="AC253" s="440">
        <f t="shared" si="110"/>
        <v>309174.05243711302</v>
      </c>
      <c r="AD253" s="440">
        <f t="shared" si="110"/>
        <v>311475.12232909229</v>
      </c>
      <c r="AE253" s="440">
        <f t="shared" si="110"/>
        <v>313513.15282481734</v>
      </c>
      <c r="AF253" s="440">
        <f t="shared" si="110"/>
        <v>315513.64296707092</v>
      </c>
      <c r="AG253" s="440">
        <f t="shared" si="110"/>
        <v>317981.03911420453</v>
      </c>
      <c r="AH253" s="438"/>
      <c r="AI253" s="438"/>
    </row>
    <row r="254" spans="1:35" x14ac:dyDescent="0.25">
      <c r="B254" s="421" t="s">
        <v>38</v>
      </c>
      <c r="C254" s="439">
        <v>1</v>
      </c>
      <c r="E254" s="440">
        <f t="shared" si="109"/>
        <v>3549137</v>
      </c>
      <c r="F254" s="440">
        <f t="shared" ref="F254:T254" si="111">$C254*F268</f>
        <v>3729335.3200000101</v>
      </c>
      <c r="G254" s="440">
        <f t="shared" si="111"/>
        <v>3564633.6800000006</v>
      </c>
      <c r="H254" s="440">
        <f t="shared" si="111"/>
        <v>3757438.5</v>
      </c>
      <c r="I254" s="440">
        <f t="shared" si="111"/>
        <v>3727069.2699999996</v>
      </c>
      <c r="J254" s="440">
        <f t="shared" si="111"/>
        <v>3912909.1844666936</v>
      </c>
      <c r="K254" s="440">
        <f t="shared" si="111"/>
        <v>3956036.075992614</v>
      </c>
      <c r="L254" s="440">
        <f t="shared" si="111"/>
        <v>3962180.0368558499</v>
      </c>
      <c r="M254" s="440">
        <f t="shared" si="111"/>
        <v>3981182.2913750773</v>
      </c>
      <c r="N254" s="440">
        <f t="shared" si="111"/>
        <v>3999094.7176552624</v>
      </c>
      <c r="O254" s="440">
        <f t="shared" si="111"/>
        <v>4015409.7356626131</v>
      </c>
      <c r="P254" s="440">
        <f t="shared" si="111"/>
        <v>4033774.6302658399</v>
      </c>
      <c r="Q254" s="440">
        <f t="shared" si="111"/>
        <v>4053960.6269214312</v>
      </c>
      <c r="R254" s="440">
        <f t="shared" si="111"/>
        <v>4074752.0768298325</v>
      </c>
      <c r="S254" s="440">
        <f t="shared" si="111"/>
        <v>4094782.7916394635</v>
      </c>
      <c r="T254" s="440">
        <f t="shared" si="111"/>
        <v>4116701.2005829676</v>
      </c>
      <c r="U254" s="440">
        <f t="shared" si="110"/>
        <v>4140623.3566813665</v>
      </c>
      <c r="V254" s="440">
        <f t="shared" si="110"/>
        <v>4166615.5768131185</v>
      </c>
      <c r="W254" s="440">
        <f t="shared" si="110"/>
        <v>4192282.6648637508</v>
      </c>
      <c r="X254" s="440">
        <f t="shared" si="110"/>
        <v>4216815.4022397418</v>
      </c>
      <c r="Y254" s="440">
        <f t="shared" si="110"/>
        <v>4243294.3988536084</v>
      </c>
      <c r="Z254" s="440">
        <f t="shared" si="110"/>
        <v>4269930.2013423005</v>
      </c>
      <c r="AA254" s="440">
        <f t="shared" si="110"/>
        <v>4300520.5462603699</v>
      </c>
      <c r="AB254" s="440">
        <f t="shared" si="110"/>
        <v>4326637.8653612481</v>
      </c>
      <c r="AC254" s="440">
        <f t="shared" si="110"/>
        <v>4355948.7903797962</v>
      </c>
      <c r="AD254" s="440">
        <f t="shared" si="110"/>
        <v>4388368.5310842181</v>
      </c>
      <c r="AE254" s="440">
        <f t="shared" si="110"/>
        <v>4417082.3135075225</v>
      </c>
      <c r="AF254" s="440">
        <f t="shared" si="110"/>
        <v>4445267.1904291995</v>
      </c>
      <c r="AG254" s="440">
        <f t="shared" si="110"/>
        <v>4480030.2993569141</v>
      </c>
      <c r="AH254" s="438"/>
      <c r="AI254" s="438"/>
    </row>
    <row r="255" spans="1:35" x14ac:dyDescent="0.25">
      <c r="B255" s="421" t="s">
        <v>39</v>
      </c>
      <c r="C255" s="439">
        <v>1</v>
      </c>
      <c r="E255" s="440">
        <f t="shared" si="109"/>
        <v>2370871</v>
      </c>
      <c r="F255" s="440">
        <f t="shared" si="110"/>
        <v>2486508.16</v>
      </c>
      <c r="G255" s="440">
        <f t="shared" si="110"/>
        <v>2454071.9300000002</v>
      </c>
      <c r="H255" s="440">
        <f t="shared" si="110"/>
        <v>2427335.3099999996</v>
      </c>
      <c r="I255" s="440">
        <f t="shared" si="110"/>
        <v>2521445.2100000004</v>
      </c>
      <c r="J255" s="440">
        <f t="shared" si="110"/>
        <v>2647170.0431633117</v>
      </c>
      <c r="K255" s="440">
        <f t="shared" si="110"/>
        <v>2676346.3439462115</v>
      </c>
      <c r="L255" s="440">
        <f t="shared" si="110"/>
        <v>2680502.8700440032</v>
      </c>
      <c r="M255" s="440">
        <f t="shared" si="110"/>
        <v>2693358.3176264698</v>
      </c>
      <c r="N255" s="440">
        <f t="shared" si="110"/>
        <v>2705476.4721794846</v>
      </c>
      <c r="O255" s="440">
        <f t="shared" si="110"/>
        <v>2716513.9445272144</v>
      </c>
      <c r="P255" s="440">
        <f t="shared" si="110"/>
        <v>2728938.2039586632</v>
      </c>
      <c r="Q255" s="440">
        <f t="shared" si="110"/>
        <v>2742594.4794097273</v>
      </c>
      <c r="R255" s="440">
        <f t="shared" si="110"/>
        <v>2756660.3574449089</v>
      </c>
      <c r="S255" s="440">
        <f t="shared" si="110"/>
        <v>2770211.5812754282</v>
      </c>
      <c r="T255" s="440">
        <f t="shared" si="110"/>
        <v>2785039.8721489757</v>
      </c>
      <c r="U255" s="440">
        <f t="shared" si="110"/>
        <v>2801223.7425140091</v>
      </c>
      <c r="V255" s="440">
        <f t="shared" si="110"/>
        <v>2818808.0572129609</v>
      </c>
      <c r="W255" s="440">
        <f t="shared" si="110"/>
        <v>2836172.4128316892</v>
      </c>
      <c r="X255" s="440">
        <f t="shared" si="110"/>
        <v>2852769.3550035963</v>
      </c>
      <c r="Y255" s="440">
        <f t="shared" si="110"/>
        <v>2870682.9848132292</v>
      </c>
      <c r="Z255" s="440">
        <f t="shared" si="110"/>
        <v>2888702.6972828121</v>
      </c>
      <c r="AA255" s="440">
        <f t="shared" si="110"/>
        <v>2909397.7456112038</v>
      </c>
      <c r="AB255" s="440">
        <f t="shared" si="110"/>
        <v>2927066.6925435881</v>
      </c>
      <c r="AC255" s="440">
        <f t="shared" si="110"/>
        <v>2946896.1848697904</v>
      </c>
      <c r="AD255" s="440">
        <f t="shared" si="110"/>
        <v>2968828.8601132012</v>
      </c>
      <c r="AE255" s="440">
        <f t="shared" si="110"/>
        <v>2988254.372199866</v>
      </c>
      <c r="AF255" s="440">
        <f t="shared" si="110"/>
        <v>3007322.0679576648</v>
      </c>
      <c r="AG255" s="440">
        <f t="shared" si="110"/>
        <v>3030840.0838947543</v>
      </c>
    </row>
    <row r="256" spans="1:35" x14ac:dyDescent="0.25">
      <c r="B256" s="421" t="s">
        <v>99</v>
      </c>
      <c r="C256" s="439">
        <v>1</v>
      </c>
      <c r="E256" s="440">
        <f t="shared" si="109"/>
        <v>13737518</v>
      </c>
      <c r="F256" s="440">
        <f t="shared" si="110"/>
        <v>14096762.899999999</v>
      </c>
      <c r="G256" s="440">
        <f t="shared" si="110"/>
        <v>13764579.859999999</v>
      </c>
      <c r="H256" s="440">
        <f t="shared" si="110"/>
        <v>9968477.4599999972</v>
      </c>
      <c r="I256" s="440">
        <f t="shared" si="110"/>
        <v>11491760.699999999</v>
      </c>
      <c r="J256" s="440">
        <f t="shared" si="110"/>
        <v>12064765.297137449</v>
      </c>
      <c r="K256" s="440">
        <f t="shared" si="110"/>
        <v>12197739.460279509</v>
      </c>
      <c r="L256" s="440">
        <f t="shared" si="110"/>
        <v>12216683.279907113</v>
      </c>
      <c r="M256" s="440">
        <f t="shared" si="110"/>
        <v>12275273.380030328</v>
      </c>
      <c r="N256" s="440">
        <f t="shared" si="110"/>
        <v>12330503.187006326</v>
      </c>
      <c r="O256" s="440">
        <f t="shared" si="110"/>
        <v>12380807.667329729</v>
      </c>
      <c r="P256" s="440">
        <f t="shared" si="110"/>
        <v>12437432.580571815</v>
      </c>
      <c r="Q256" s="440">
        <f t="shared" si="110"/>
        <v>12499672.540779762</v>
      </c>
      <c r="R256" s="440">
        <f t="shared" si="110"/>
        <v>12563779.309300698</v>
      </c>
      <c r="S256" s="440">
        <f t="shared" si="110"/>
        <v>12625540.4853258</v>
      </c>
      <c r="T256" s="440">
        <f t="shared" si="110"/>
        <v>12693122.03325434</v>
      </c>
      <c r="U256" s="440">
        <f t="shared" si="110"/>
        <v>12766881.78210678</v>
      </c>
      <c r="V256" s="440">
        <f t="shared" si="110"/>
        <v>12847024.208280634</v>
      </c>
      <c r="W256" s="440">
        <f t="shared" si="110"/>
        <v>12926164.147030335</v>
      </c>
      <c r="X256" s="440">
        <f t="shared" si="110"/>
        <v>13001806.515555684</v>
      </c>
      <c r="Y256" s="440">
        <f t="shared" si="110"/>
        <v>13083449.83115273</v>
      </c>
      <c r="Z256" s="440">
        <f t="shared" si="110"/>
        <v>13165576.630006809</v>
      </c>
      <c r="AA256" s="440">
        <f t="shared" si="110"/>
        <v>13259896.562925287</v>
      </c>
      <c r="AB256" s="440">
        <f t="shared" si="110"/>
        <v>13340424.709705029</v>
      </c>
      <c r="AC256" s="440">
        <f t="shared" si="110"/>
        <v>13430799.777032072</v>
      </c>
      <c r="AD256" s="440">
        <f t="shared" si="110"/>
        <v>13530760.329182277</v>
      </c>
      <c r="AE256" s="440">
        <f t="shared" si="110"/>
        <v>13619294.21264307</v>
      </c>
      <c r="AF256" s="440">
        <f t="shared" si="110"/>
        <v>13706197.30927987</v>
      </c>
      <c r="AG256" s="440">
        <f t="shared" si="110"/>
        <v>13813383.224014785</v>
      </c>
      <c r="AH256" s="438"/>
      <c r="AI256" s="438"/>
    </row>
    <row r="257" spans="2:35" x14ac:dyDescent="0.25">
      <c r="B257" s="421" t="s">
        <v>100</v>
      </c>
      <c r="C257" s="439">
        <v>1</v>
      </c>
      <c r="E257" s="440">
        <f t="shared" si="109"/>
        <v>143907</v>
      </c>
      <c r="F257" s="440">
        <f t="shared" si="110"/>
        <v>145101.37000000002</v>
      </c>
      <c r="G257" s="440">
        <f t="shared" si="110"/>
        <v>164003.56</v>
      </c>
      <c r="H257" s="440">
        <f t="shared" si="110"/>
        <v>284823.26</v>
      </c>
      <c r="I257" s="440">
        <f t="shared" si="110"/>
        <v>369423.56</v>
      </c>
      <c r="J257" s="440">
        <f t="shared" si="110"/>
        <v>387843.83550842426</v>
      </c>
      <c r="K257" s="440">
        <f t="shared" si="110"/>
        <v>392118.53196429118</v>
      </c>
      <c r="L257" s="440">
        <f t="shared" si="110"/>
        <v>392727.51551951154</v>
      </c>
      <c r="M257" s="440">
        <f t="shared" si="110"/>
        <v>394611.0009081582</v>
      </c>
      <c r="N257" s="440">
        <f t="shared" si="110"/>
        <v>396386.4635586454</v>
      </c>
      <c r="O257" s="440">
        <f t="shared" si="110"/>
        <v>398003.59262095008</v>
      </c>
      <c r="P257" s="440">
        <f t="shared" si="110"/>
        <v>399823.90350112558</v>
      </c>
      <c r="Q257" s="440">
        <f t="shared" si="110"/>
        <v>401824.72028408188</v>
      </c>
      <c r="R257" s="440">
        <f t="shared" si="110"/>
        <v>403885.54901741084</v>
      </c>
      <c r="S257" s="440">
        <f t="shared" si="110"/>
        <v>405870.97441153519</v>
      </c>
      <c r="T257" s="440">
        <f t="shared" si="110"/>
        <v>408043.5062522018</v>
      </c>
      <c r="U257" s="440">
        <f t="shared" si="110"/>
        <v>410414.64760443813</v>
      </c>
      <c r="V257" s="440">
        <f t="shared" si="110"/>
        <v>412990.97173414112</v>
      </c>
      <c r="W257" s="440">
        <f t="shared" si="110"/>
        <v>415535.06908130366</v>
      </c>
      <c r="X257" s="440">
        <f t="shared" si="110"/>
        <v>417966.73066885013</v>
      </c>
      <c r="Y257" s="440">
        <f t="shared" si="110"/>
        <v>420591.30362032691</v>
      </c>
      <c r="Z257" s="440">
        <f t="shared" si="110"/>
        <v>423231.41902092675</v>
      </c>
      <c r="AA257" s="440">
        <f t="shared" si="110"/>
        <v>426263.50490465952</v>
      </c>
      <c r="AB257" s="440">
        <f t="shared" si="110"/>
        <v>428852.22872515948</v>
      </c>
      <c r="AC257" s="440">
        <f t="shared" si="110"/>
        <v>431757.49972572911</v>
      </c>
      <c r="AD257" s="440">
        <f t="shared" si="110"/>
        <v>434970.9135792646</v>
      </c>
      <c r="AE257" s="440">
        <f t="shared" si="110"/>
        <v>437816.99637393252</v>
      </c>
      <c r="AF257" s="440">
        <f t="shared" si="110"/>
        <v>440610.65455849521</v>
      </c>
      <c r="AG257" s="440">
        <f t="shared" si="110"/>
        <v>444056.3408407747</v>
      </c>
      <c r="AH257" s="438"/>
      <c r="AI257" s="438"/>
    </row>
    <row r="258" spans="2:35" x14ac:dyDescent="0.25">
      <c r="B258" s="421" t="s">
        <v>101</v>
      </c>
      <c r="C258" s="439">
        <v>1</v>
      </c>
      <c r="E258" s="440">
        <f t="shared" si="109"/>
        <v>6786803</v>
      </c>
      <c r="F258" s="440">
        <f t="shared" si="110"/>
        <v>7109431.8200000003</v>
      </c>
      <c r="G258" s="440">
        <f t="shared" si="110"/>
        <v>7379370.7999999989</v>
      </c>
      <c r="H258" s="440">
        <f t="shared" si="110"/>
        <v>4691856.3000000007</v>
      </c>
      <c r="I258" s="440">
        <f t="shared" si="110"/>
        <v>5725541.3000000017</v>
      </c>
      <c r="J258" s="440">
        <f t="shared" si="110"/>
        <v>6011029.4485654626</v>
      </c>
      <c r="K258" s="440">
        <f t="shared" si="110"/>
        <v>6077281.1816791538</v>
      </c>
      <c r="L258" s="440">
        <f t="shared" si="110"/>
        <v>6086719.5631847484</v>
      </c>
      <c r="M258" s="440">
        <f t="shared" si="110"/>
        <v>6115910.9157358501</v>
      </c>
      <c r="N258" s="440">
        <f t="shared" si="110"/>
        <v>6143428.069032656</v>
      </c>
      <c r="O258" s="440">
        <f t="shared" si="110"/>
        <v>6168491.2762456881</v>
      </c>
      <c r="P258" s="440">
        <f t="shared" si="110"/>
        <v>6196703.5135033336</v>
      </c>
      <c r="Q258" s="440">
        <f t="shared" si="110"/>
        <v>6227713.3362784414</v>
      </c>
      <c r="R258" s="440">
        <f t="shared" si="110"/>
        <v>6259653.2591813058</v>
      </c>
      <c r="S258" s="440">
        <f t="shared" si="110"/>
        <v>6290424.5372560658</v>
      </c>
      <c r="T258" s="440">
        <f t="shared" si="110"/>
        <v>6324095.6999163516</v>
      </c>
      <c r="U258" s="440">
        <f t="shared" si="110"/>
        <v>6360845.0283575775</v>
      </c>
      <c r="V258" s="440">
        <f t="shared" si="110"/>
        <v>6400774.3988795904</v>
      </c>
      <c r="W258" s="440">
        <f t="shared" si="110"/>
        <v>6440204.299973065</v>
      </c>
      <c r="X258" s="440">
        <f t="shared" si="110"/>
        <v>6477891.6062377784</v>
      </c>
      <c r="Y258" s="440">
        <f t="shared" si="110"/>
        <v>6518568.7650755728</v>
      </c>
      <c r="Z258" s="440">
        <f t="shared" si="110"/>
        <v>6559486.8098340081</v>
      </c>
      <c r="AA258" s="440">
        <f t="shared" si="110"/>
        <v>6606479.841227184</v>
      </c>
      <c r="AB258" s="440">
        <f t="shared" si="110"/>
        <v>6646601.3893725332</v>
      </c>
      <c r="AC258" s="440">
        <f t="shared" si="110"/>
        <v>6691628.9699130207</v>
      </c>
      <c r="AD258" s="440">
        <f t="shared" si="110"/>
        <v>6741432.3276967248</v>
      </c>
      <c r="AE258" s="440">
        <f t="shared" si="110"/>
        <v>6785542.5749806035</v>
      </c>
      <c r="AF258" s="440">
        <f t="shared" si="110"/>
        <v>6828840.3151512537</v>
      </c>
      <c r="AG258" s="440">
        <f t="shared" si="110"/>
        <v>6882243.5661946759</v>
      </c>
      <c r="AH258" s="438"/>
      <c r="AI258" s="438"/>
    </row>
    <row r="259" spans="2:35" x14ac:dyDescent="0.25">
      <c r="B259" s="421" t="s">
        <v>102</v>
      </c>
      <c r="C259" s="439">
        <v>1.5</v>
      </c>
      <c r="E259" s="440">
        <f t="shared" si="109"/>
        <v>0</v>
      </c>
      <c r="F259" s="440">
        <f t="shared" si="110"/>
        <v>0</v>
      </c>
      <c r="G259" s="440">
        <f t="shared" si="110"/>
        <v>0</v>
      </c>
      <c r="H259" s="440">
        <f t="shared" si="110"/>
        <v>0</v>
      </c>
      <c r="I259" s="440">
        <f t="shared" si="110"/>
        <v>0</v>
      </c>
      <c r="J259" s="440">
        <f t="shared" si="110"/>
        <v>0</v>
      </c>
      <c r="K259" s="440">
        <f t="shared" si="110"/>
        <v>0</v>
      </c>
      <c r="L259" s="440">
        <f t="shared" si="110"/>
        <v>0</v>
      </c>
      <c r="M259" s="440">
        <f t="shared" si="110"/>
        <v>0</v>
      </c>
      <c r="N259" s="440">
        <f t="shared" si="110"/>
        <v>0</v>
      </c>
      <c r="O259" s="440">
        <f t="shared" si="110"/>
        <v>0</v>
      </c>
      <c r="P259" s="440">
        <f t="shared" si="110"/>
        <v>0</v>
      </c>
      <c r="Q259" s="440">
        <f t="shared" si="110"/>
        <v>0</v>
      </c>
      <c r="R259" s="440">
        <f t="shared" si="110"/>
        <v>0</v>
      </c>
      <c r="S259" s="440">
        <f t="shared" si="110"/>
        <v>0</v>
      </c>
      <c r="T259" s="440">
        <f t="shared" si="110"/>
        <v>0</v>
      </c>
      <c r="U259" s="440">
        <f t="shared" si="110"/>
        <v>0</v>
      </c>
      <c r="V259" s="440">
        <f t="shared" si="110"/>
        <v>0</v>
      </c>
      <c r="W259" s="440">
        <f t="shared" si="110"/>
        <v>0</v>
      </c>
      <c r="X259" s="440">
        <f t="shared" si="110"/>
        <v>0</v>
      </c>
      <c r="Y259" s="440">
        <f t="shared" si="110"/>
        <v>0</v>
      </c>
      <c r="Z259" s="440">
        <f t="shared" si="110"/>
        <v>0</v>
      </c>
      <c r="AA259" s="440">
        <f t="shared" si="110"/>
        <v>0</v>
      </c>
      <c r="AB259" s="440">
        <f t="shared" si="110"/>
        <v>0</v>
      </c>
      <c r="AC259" s="440">
        <f t="shared" si="110"/>
        <v>0</v>
      </c>
      <c r="AD259" s="440">
        <f t="shared" si="110"/>
        <v>0</v>
      </c>
      <c r="AE259" s="440">
        <f t="shared" si="110"/>
        <v>0</v>
      </c>
      <c r="AF259" s="440">
        <f t="shared" si="110"/>
        <v>0</v>
      </c>
      <c r="AG259" s="440">
        <f t="shared" si="110"/>
        <v>0</v>
      </c>
    </row>
    <row r="260" spans="2:35" x14ac:dyDescent="0.25">
      <c r="B260" s="421" t="s">
        <v>103</v>
      </c>
      <c r="C260" s="439">
        <v>3.5</v>
      </c>
      <c r="E260" s="440">
        <f t="shared" si="109"/>
        <v>6818</v>
      </c>
      <c r="F260" s="440">
        <f t="shared" si="110"/>
        <v>-28756.209999999992</v>
      </c>
      <c r="G260" s="440">
        <f t="shared" si="110"/>
        <v>2223.1649999999995</v>
      </c>
      <c r="H260" s="440">
        <f t="shared" si="110"/>
        <v>6785.9400000000005</v>
      </c>
      <c r="I260" s="440">
        <f t="shared" si="110"/>
        <v>6104.3149999999996</v>
      </c>
      <c r="J260" s="440">
        <f t="shared" si="110"/>
        <v>6408.6896427277316</v>
      </c>
      <c r="K260" s="440">
        <f t="shared" si="110"/>
        <v>6479.3242652082117</v>
      </c>
      <c r="L260" s="440">
        <f t="shared" si="110"/>
        <v>6489.3870436917641</v>
      </c>
      <c r="M260" s="440">
        <f t="shared" si="110"/>
        <v>6520.5095527981048</v>
      </c>
      <c r="N260" s="440">
        <f t="shared" si="110"/>
        <v>6549.8471058478026</v>
      </c>
      <c r="O260" s="440">
        <f t="shared" si="110"/>
        <v>6576.5683717897009</v>
      </c>
      <c r="P260" s="440">
        <f t="shared" si="110"/>
        <v>6606.6469921422267</v>
      </c>
      <c r="Q260" s="440">
        <f t="shared" si="110"/>
        <v>6639.7082725339042</v>
      </c>
      <c r="R260" s="440">
        <f t="shared" si="110"/>
        <v>6673.7611839109986</v>
      </c>
      <c r="S260" s="440">
        <f t="shared" si="110"/>
        <v>6706.5681386562082</v>
      </c>
      <c r="T260" s="440">
        <f t="shared" si="110"/>
        <v>6742.4668201126897</v>
      </c>
      <c r="U260" s="440">
        <f t="shared" si="110"/>
        <v>6781.6473036843827</v>
      </c>
      <c r="V260" s="440">
        <f t="shared" si="110"/>
        <v>6824.21820530692</v>
      </c>
      <c r="W260" s="440">
        <f t="shared" si="110"/>
        <v>6866.2565950559238</v>
      </c>
      <c r="X260" s="440">
        <f t="shared" si="110"/>
        <v>6906.4371084584363</v>
      </c>
      <c r="Y260" s="440">
        <f t="shared" si="110"/>
        <v>6949.8052684000868</v>
      </c>
      <c r="Z260" s="440">
        <f t="shared" si="110"/>
        <v>6993.4302500921394</v>
      </c>
      <c r="AA260" s="440">
        <f t="shared" si="110"/>
        <v>7043.5321097065025</v>
      </c>
      <c r="AB260" s="440">
        <f t="shared" si="110"/>
        <v>7086.3079024803446</v>
      </c>
      <c r="AC260" s="440">
        <f t="shared" si="110"/>
        <v>7134.3142866639682</v>
      </c>
      <c r="AD260" s="440">
        <f t="shared" si="110"/>
        <v>7187.4123900641534</v>
      </c>
      <c r="AE260" s="440">
        <f t="shared" si="110"/>
        <v>7234.4407547270166</v>
      </c>
      <c r="AF260" s="440">
        <f t="shared" si="110"/>
        <v>7280.6028607954522</v>
      </c>
      <c r="AG260" s="440">
        <f t="shared" si="110"/>
        <v>7337.539008717943</v>
      </c>
      <c r="AH260" s="438"/>
      <c r="AI260" s="438"/>
    </row>
    <row r="261" spans="2:35" x14ac:dyDescent="0.25">
      <c r="B261" s="421" t="s">
        <v>104</v>
      </c>
      <c r="C261" s="439">
        <v>2</v>
      </c>
      <c r="E261" s="440">
        <f t="shared" si="109"/>
        <v>59552</v>
      </c>
      <c r="F261" s="440">
        <f t="shared" si="110"/>
        <v>65353.780000000006</v>
      </c>
      <c r="G261" s="440">
        <f t="shared" si="110"/>
        <v>56083.16</v>
      </c>
      <c r="H261" s="440">
        <f t="shared" si="110"/>
        <v>122693.98000000001</v>
      </c>
      <c r="I261" s="440">
        <f t="shared" si="110"/>
        <v>101961.66</v>
      </c>
      <c r="J261" s="440">
        <f t="shared" si="110"/>
        <v>107045.69380795822</v>
      </c>
      <c r="K261" s="440">
        <f t="shared" si="110"/>
        <v>108225.51879431347</v>
      </c>
      <c r="L261" s="440">
        <f t="shared" si="110"/>
        <v>108393.5995041712</v>
      </c>
      <c r="M261" s="440">
        <f t="shared" si="110"/>
        <v>108913.44533320323</v>
      </c>
      <c r="N261" s="440">
        <f t="shared" si="110"/>
        <v>109403.47666502102</v>
      </c>
      <c r="O261" s="440">
        <f t="shared" si="110"/>
        <v>109849.80760186444</v>
      </c>
      <c r="P261" s="440">
        <f t="shared" si="110"/>
        <v>110352.21713702986</v>
      </c>
      <c r="Q261" s="440">
        <f t="shared" si="110"/>
        <v>110904.44667145934</v>
      </c>
      <c r="R261" s="440">
        <f t="shared" si="110"/>
        <v>111473.23962723595</v>
      </c>
      <c r="S261" s="440">
        <f t="shared" si="110"/>
        <v>112021.2211067904</v>
      </c>
      <c r="T261" s="440">
        <f t="shared" si="110"/>
        <v>112620.84434922038</v>
      </c>
      <c r="U261" s="440">
        <f t="shared" si="110"/>
        <v>113275.28422405853</v>
      </c>
      <c r="V261" s="440">
        <f t="shared" si="110"/>
        <v>113986.35496616975</v>
      </c>
      <c r="W261" s="440">
        <f t="shared" si="110"/>
        <v>114688.53105022429</v>
      </c>
      <c r="X261" s="440">
        <f t="shared" si="110"/>
        <v>115359.67463409445</v>
      </c>
      <c r="Y261" s="440">
        <f t="shared" si="110"/>
        <v>116084.06214994124</v>
      </c>
      <c r="Z261" s="440">
        <f t="shared" si="110"/>
        <v>116812.73941361312</v>
      </c>
      <c r="AA261" s="440">
        <f t="shared" si="110"/>
        <v>117649.60133429831</v>
      </c>
      <c r="AB261" s="440">
        <f t="shared" si="110"/>
        <v>118364.09441649294</v>
      </c>
      <c r="AC261" s="440">
        <f t="shared" si="110"/>
        <v>119165.95516941282</v>
      </c>
      <c r="AD261" s="440">
        <f t="shared" si="110"/>
        <v>120052.86398154563</v>
      </c>
      <c r="AE261" s="440">
        <f t="shared" si="110"/>
        <v>120838.38866828132</v>
      </c>
      <c r="AF261" s="440">
        <f t="shared" si="110"/>
        <v>121609.44405514024</v>
      </c>
      <c r="AG261" s="440">
        <f t="shared" si="110"/>
        <v>122560.4605338414</v>
      </c>
      <c r="AH261" s="441"/>
      <c r="AI261" s="441"/>
    </row>
    <row r="262" spans="2:35" x14ac:dyDescent="0.25">
      <c r="B262" s="421" t="s">
        <v>105</v>
      </c>
      <c r="C262" s="439">
        <v>0.3</v>
      </c>
      <c r="E262" s="440">
        <f t="shared" si="109"/>
        <v>1650486.5999999999</v>
      </c>
      <c r="F262" s="440">
        <f t="shared" si="110"/>
        <v>1699466.4840000004</v>
      </c>
      <c r="G262" s="440">
        <f t="shared" si="110"/>
        <v>1650725.1089999999</v>
      </c>
      <c r="H262" s="440">
        <f t="shared" si="110"/>
        <v>813671.42400000012</v>
      </c>
      <c r="I262" s="440">
        <f t="shared" si="110"/>
        <v>1038722.313</v>
      </c>
      <c r="J262" s="440">
        <f t="shared" si="110"/>
        <v>1090515.3041730796</v>
      </c>
      <c r="K262" s="440">
        <f t="shared" si="110"/>
        <v>1102534.6312295645</v>
      </c>
      <c r="L262" s="440">
        <f t="shared" si="110"/>
        <v>1104246.9335176414</v>
      </c>
      <c r="M262" s="440">
        <f t="shared" si="110"/>
        <v>1109542.8012186531</v>
      </c>
      <c r="N262" s="440">
        <f t="shared" si="110"/>
        <v>1114534.9372669309</v>
      </c>
      <c r="O262" s="440">
        <f t="shared" si="110"/>
        <v>1119081.8807266732</v>
      </c>
      <c r="P262" s="440">
        <f t="shared" si="110"/>
        <v>1124200.1182528206</v>
      </c>
      <c r="Q262" s="440">
        <f t="shared" si="110"/>
        <v>1129825.8911100838</v>
      </c>
      <c r="R262" s="440">
        <f t="shared" si="110"/>
        <v>1135620.4018569901</v>
      </c>
      <c r="S262" s="440">
        <f t="shared" si="110"/>
        <v>1141202.8981592662</v>
      </c>
      <c r="T262" s="440">
        <f t="shared" si="110"/>
        <v>1147311.4887932893</v>
      </c>
      <c r="U262" s="440">
        <f t="shared" si="110"/>
        <v>1153978.5173657085</v>
      </c>
      <c r="V262" s="440">
        <f t="shared" si="110"/>
        <v>1161222.4661789427</v>
      </c>
      <c r="W262" s="440">
        <f t="shared" si="110"/>
        <v>1168375.8017186194</v>
      </c>
      <c r="X262" s="440">
        <f t="shared" ref="F262:AG263" si="112">$C262*X276</f>
        <v>1175212.9973448254</v>
      </c>
      <c r="Y262" s="440">
        <f t="shared" si="112"/>
        <v>1182592.6092103904</v>
      </c>
      <c r="Z262" s="440">
        <f t="shared" si="112"/>
        <v>1190015.9223729239</v>
      </c>
      <c r="AA262" s="440">
        <f t="shared" si="112"/>
        <v>1198541.3538921415</v>
      </c>
      <c r="AB262" s="440">
        <f t="shared" si="112"/>
        <v>1205820.1673888981</v>
      </c>
      <c r="AC262" s="440">
        <f t="shared" si="112"/>
        <v>1213989.0286645663</v>
      </c>
      <c r="AD262" s="440">
        <f t="shared" si="112"/>
        <v>1223024.3069520979</v>
      </c>
      <c r="AE262" s="440">
        <f t="shared" si="112"/>
        <v>1231026.746491869</v>
      </c>
      <c r="AF262" s="440">
        <f t="shared" si="112"/>
        <v>1238881.7817559987</v>
      </c>
      <c r="AG262" s="440">
        <f t="shared" si="112"/>
        <v>1248570.1492900068</v>
      </c>
      <c r="AH262" s="438"/>
      <c r="AI262" s="438"/>
    </row>
    <row r="263" spans="2:35" x14ac:dyDescent="0.25">
      <c r="B263" s="421" t="s">
        <v>106</v>
      </c>
      <c r="C263" s="439">
        <v>0.3</v>
      </c>
      <c r="E263" s="440">
        <f t="shared" si="109"/>
        <v>28751.7</v>
      </c>
      <c r="F263" s="440">
        <f t="shared" si="112"/>
        <v>37679.769</v>
      </c>
      <c r="G263" s="440">
        <f t="shared" si="112"/>
        <v>41326.538999999997</v>
      </c>
      <c r="H263" s="440">
        <f t="shared" si="112"/>
        <v>49812.885000000002</v>
      </c>
      <c r="I263" s="440">
        <f t="shared" si="112"/>
        <v>58007.231999999996</v>
      </c>
      <c r="J263" s="440">
        <f t="shared" si="112"/>
        <v>60899.600843289474</v>
      </c>
      <c r="K263" s="440">
        <f t="shared" si="112"/>
        <v>61570.817668348092</v>
      </c>
      <c r="L263" s="440">
        <f t="shared" si="112"/>
        <v>61666.440834265966</v>
      </c>
      <c r="M263" s="440">
        <f t="shared" si="112"/>
        <v>61962.187466959993</v>
      </c>
      <c r="N263" s="440">
        <f t="shared" si="112"/>
        <v>62240.972268541525</v>
      </c>
      <c r="O263" s="440">
        <f t="shared" si="112"/>
        <v>62494.895382408577</v>
      </c>
      <c r="P263" s="440">
        <f t="shared" si="112"/>
        <v>62780.722294851483</v>
      </c>
      <c r="Q263" s="440">
        <f t="shared" si="112"/>
        <v>63094.892412530055</v>
      </c>
      <c r="R263" s="440">
        <f t="shared" si="112"/>
        <v>63418.485662637002</v>
      </c>
      <c r="S263" s="440">
        <f t="shared" si="112"/>
        <v>63730.239010083664</v>
      </c>
      <c r="T263" s="440">
        <f t="shared" si="112"/>
        <v>64071.371986304614</v>
      </c>
      <c r="U263" s="440">
        <f t="shared" si="112"/>
        <v>64443.690813300826</v>
      </c>
      <c r="V263" s="440">
        <f t="shared" si="112"/>
        <v>64848.227631415182</v>
      </c>
      <c r="W263" s="440">
        <f t="shared" si="112"/>
        <v>65247.704170072982</v>
      </c>
      <c r="X263" s="440">
        <f t="shared" si="112"/>
        <v>65629.525940872583</v>
      </c>
      <c r="Y263" s="440">
        <f t="shared" si="112"/>
        <v>66041.638833989753</v>
      </c>
      <c r="Z263" s="440">
        <f t="shared" si="112"/>
        <v>66456.192216966636</v>
      </c>
      <c r="AA263" s="440">
        <f t="shared" si="112"/>
        <v>66932.293170846286</v>
      </c>
      <c r="AB263" s="440">
        <f t="shared" si="112"/>
        <v>67338.776999976355</v>
      </c>
      <c r="AC263" s="440">
        <f t="shared" si="112"/>
        <v>67794.965362605188</v>
      </c>
      <c r="AD263" s="440">
        <f t="shared" si="112"/>
        <v>68299.538603451132</v>
      </c>
      <c r="AE263" s="440">
        <f t="shared" si="112"/>
        <v>68746.433178776846</v>
      </c>
      <c r="AF263" s="440">
        <f t="shared" si="112"/>
        <v>69185.095992920673</v>
      </c>
      <c r="AG263" s="440">
        <f t="shared" si="112"/>
        <v>69726.140867198323</v>
      </c>
    </row>
    <row r="265" spans="2:35" x14ac:dyDescent="0.25">
      <c r="B265" s="422"/>
      <c r="E265" s="423"/>
      <c r="F265" s="423"/>
      <c r="G265" s="423"/>
      <c r="H265" s="423"/>
      <c r="I265" s="423"/>
      <c r="J265" s="423"/>
      <c r="K265" s="423"/>
      <c r="L265" s="423"/>
      <c r="M265" s="423"/>
      <c r="N265" s="423"/>
      <c r="O265" s="423"/>
      <c r="P265" s="423"/>
      <c r="Q265" s="423"/>
      <c r="R265" s="423"/>
      <c r="S265" s="423"/>
      <c r="T265" s="423"/>
      <c r="U265" s="423"/>
      <c r="V265" s="423"/>
      <c r="W265" s="423"/>
      <c r="X265" s="423"/>
      <c r="Y265" s="423"/>
      <c r="Z265" s="423"/>
      <c r="AA265" s="423"/>
      <c r="AB265" s="423"/>
      <c r="AC265" s="423"/>
      <c r="AD265" s="423"/>
      <c r="AE265" s="423"/>
      <c r="AF265" s="423"/>
      <c r="AG265" s="423"/>
      <c r="AH265" s="423"/>
      <c r="AI265" s="423"/>
    </row>
    <row r="266" spans="2:35" x14ac:dyDescent="0.25">
      <c r="B266" s="422" t="s">
        <v>123</v>
      </c>
      <c r="E266" s="423">
        <v>2017</v>
      </c>
      <c r="F266" s="423">
        <v>2018</v>
      </c>
      <c r="G266" s="423">
        <v>2019</v>
      </c>
      <c r="H266" s="423">
        <v>2020</v>
      </c>
      <c r="I266" s="423">
        <v>2021</v>
      </c>
      <c r="J266" s="423">
        <v>2022</v>
      </c>
      <c r="K266" s="423">
        <v>2023</v>
      </c>
      <c r="L266" s="423">
        <v>2024</v>
      </c>
      <c r="M266" s="423">
        <v>2025</v>
      </c>
      <c r="N266" s="423">
        <v>2026</v>
      </c>
      <c r="O266" s="423">
        <v>2027</v>
      </c>
      <c r="P266" s="423">
        <v>2028</v>
      </c>
      <c r="Q266" s="423">
        <v>2029</v>
      </c>
      <c r="R266" s="423">
        <v>2030</v>
      </c>
      <c r="S266" s="423">
        <v>2031</v>
      </c>
      <c r="T266" s="423">
        <v>2032</v>
      </c>
      <c r="U266" s="423">
        <v>2033</v>
      </c>
      <c r="V266" s="423">
        <v>2034</v>
      </c>
      <c r="W266" s="423">
        <v>2035</v>
      </c>
      <c r="X266" s="423">
        <v>2036</v>
      </c>
      <c r="Y266" s="423">
        <v>2037</v>
      </c>
      <c r="Z266" s="423">
        <v>2038</v>
      </c>
      <c r="AA266" s="423">
        <v>2039</v>
      </c>
      <c r="AB266" s="423">
        <v>2040</v>
      </c>
      <c r="AC266" s="423">
        <v>2041</v>
      </c>
      <c r="AD266" s="423">
        <v>2042</v>
      </c>
      <c r="AE266" s="423">
        <v>2043</v>
      </c>
      <c r="AF266" s="423">
        <v>2044</v>
      </c>
      <c r="AG266" s="423">
        <v>2045</v>
      </c>
      <c r="AH266" s="431"/>
      <c r="AI266" s="431"/>
    </row>
    <row r="267" spans="2:35" x14ac:dyDescent="0.25">
      <c r="B267" s="421" t="s">
        <v>98</v>
      </c>
      <c r="D267" s="442"/>
      <c r="E267" s="440">
        <v>321451</v>
      </c>
      <c r="F267" s="440">
        <f t="array" ref="F267:I277">TRANSPOSE('Historical Data'!C21:M24)</f>
        <v>271621.88</v>
      </c>
      <c r="G267" s="440">
        <v>272808.63</v>
      </c>
      <c r="H267" s="440">
        <v>244757.58999999997</v>
      </c>
      <c r="I267" s="440">
        <v>264537.8</v>
      </c>
      <c r="J267" s="440">
        <f t="array" ref="J267:AG277">TRANSPOSE(' Summary Data'!C5:M28)</f>
        <v>277728.23960919119</v>
      </c>
      <c r="K267" s="440">
        <v>280789.2755542263</v>
      </c>
      <c r="L267" s="440">
        <v>281225.35810925928</v>
      </c>
      <c r="M267" s="440">
        <v>282574.08930833265</v>
      </c>
      <c r="N267" s="440">
        <v>283845.46729933581</v>
      </c>
      <c r="O267" s="440">
        <v>285003.46535570815</v>
      </c>
      <c r="P267" s="440">
        <v>286306.95838565374</v>
      </c>
      <c r="Q267" s="440">
        <v>287739.70855991531</v>
      </c>
      <c r="R267" s="440">
        <v>289215.43225033622</v>
      </c>
      <c r="S267" s="440">
        <v>290637.16091817158</v>
      </c>
      <c r="T267" s="440">
        <v>292192.87326515862</v>
      </c>
      <c r="U267" s="440">
        <v>293890.80643652868</v>
      </c>
      <c r="V267" s="440">
        <v>295735.66743391211</v>
      </c>
      <c r="W267" s="440">
        <v>297557.45139161154</v>
      </c>
      <c r="X267" s="440">
        <v>299298.72205316339</v>
      </c>
      <c r="Y267" s="440">
        <v>301178.13319446467</v>
      </c>
      <c r="Z267" s="440">
        <v>303068.67401384504</v>
      </c>
      <c r="AA267" s="440">
        <v>305239.89809358079</v>
      </c>
      <c r="AB267" s="440">
        <v>307093.63829434832</v>
      </c>
      <c r="AC267" s="440">
        <v>309174.05243711302</v>
      </c>
      <c r="AD267" s="440">
        <v>311475.12232909229</v>
      </c>
      <c r="AE267" s="440">
        <v>313513.15282481734</v>
      </c>
      <c r="AF267" s="440">
        <v>315513.64296707092</v>
      </c>
      <c r="AG267" s="440">
        <v>317981.03911420453</v>
      </c>
      <c r="AH267" s="431"/>
      <c r="AI267" s="431"/>
    </row>
    <row r="268" spans="2:35" x14ac:dyDescent="0.25">
      <c r="B268" s="421" t="s">
        <v>38</v>
      </c>
      <c r="D268" s="442"/>
      <c r="E268" s="440">
        <v>3549137</v>
      </c>
      <c r="F268" s="440">
        <v>3729335.3200000101</v>
      </c>
      <c r="G268" s="440">
        <v>3564633.6800000006</v>
      </c>
      <c r="H268" s="440">
        <v>3757438.5</v>
      </c>
      <c r="I268" s="440">
        <v>3727069.2699999996</v>
      </c>
      <c r="J268" s="440">
        <v>3912909.1844666936</v>
      </c>
      <c r="K268" s="440">
        <v>3956036.075992614</v>
      </c>
      <c r="L268" s="440">
        <v>3962180.0368558499</v>
      </c>
      <c r="M268" s="440">
        <v>3981182.2913750773</v>
      </c>
      <c r="N268" s="440">
        <v>3999094.7176552624</v>
      </c>
      <c r="O268" s="440">
        <v>4015409.7356626131</v>
      </c>
      <c r="P268" s="440">
        <v>4033774.6302658399</v>
      </c>
      <c r="Q268" s="440">
        <v>4053960.6269214312</v>
      </c>
      <c r="R268" s="440">
        <v>4074752.0768298325</v>
      </c>
      <c r="S268" s="440">
        <v>4094782.7916394635</v>
      </c>
      <c r="T268" s="440">
        <v>4116701.2005829676</v>
      </c>
      <c r="U268" s="440">
        <v>4140623.3566813665</v>
      </c>
      <c r="V268" s="440">
        <v>4166615.5768131185</v>
      </c>
      <c r="W268" s="440">
        <v>4192282.6648637508</v>
      </c>
      <c r="X268" s="440">
        <v>4216815.4022397418</v>
      </c>
      <c r="Y268" s="440">
        <v>4243294.3988536084</v>
      </c>
      <c r="Z268" s="440">
        <v>4269930.2013423005</v>
      </c>
      <c r="AA268" s="440">
        <v>4300520.5462603699</v>
      </c>
      <c r="AB268" s="440">
        <v>4326637.8653612481</v>
      </c>
      <c r="AC268" s="440">
        <v>4355948.7903797962</v>
      </c>
      <c r="AD268" s="440">
        <v>4388368.5310842181</v>
      </c>
      <c r="AE268" s="440">
        <v>4417082.3135075225</v>
      </c>
      <c r="AF268" s="440">
        <v>4445267.1904291995</v>
      </c>
      <c r="AG268" s="440">
        <v>4480030.2993569141</v>
      </c>
      <c r="AH268" s="431"/>
      <c r="AI268" s="431"/>
    </row>
    <row r="269" spans="2:35" x14ac:dyDescent="0.25">
      <c r="B269" s="421" t="s">
        <v>39</v>
      </c>
      <c r="D269" s="442"/>
      <c r="E269" s="440">
        <v>2370871</v>
      </c>
      <c r="F269" s="440">
        <v>2486508.16</v>
      </c>
      <c r="G269" s="440">
        <v>2454071.9300000002</v>
      </c>
      <c r="H269" s="440">
        <v>2427335.3099999996</v>
      </c>
      <c r="I269" s="440">
        <v>2521445.2100000004</v>
      </c>
      <c r="J269" s="440">
        <v>2647170.0431633117</v>
      </c>
      <c r="K269" s="440">
        <v>2676346.3439462115</v>
      </c>
      <c r="L269" s="440">
        <v>2680502.8700440032</v>
      </c>
      <c r="M269" s="440">
        <v>2693358.3176264698</v>
      </c>
      <c r="N269" s="440">
        <v>2705476.4721794846</v>
      </c>
      <c r="O269" s="440">
        <v>2716513.9445272144</v>
      </c>
      <c r="P269" s="440">
        <v>2728938.2039586632</v>
      </c>
      <c r="Q269" s="440">
        <v>2742594.4794097273</v>
      </c>
      <c r="R269" s="440">
        <v>2756660.3574449089</v>
      </c>
      <c r="S269" s="440">
        <v>2770211.5812754282</v>
      </c>
      <c r="T269" s="440">
        <v>2785039.8721489757</v>
      </c>
      <c r="U269" s="440">
        <v>2801223.7425140091</v>
      </c>
      <c r="V269" s="440">
        <v>2818808.0572129609</v>
      </c>
      <c r="W269" s="440">
        <v>2836172.4128316892</v>
      </c>
      <c r="X269" s="440">
        <v>2852769.3550035963</v>
      </c>
      <c r="Y269" s="440">
        <v>2870682.9848132292</v>
      </c>
      <c r="Z269" s="440">
        <v>2888702.6972828121</v>
      </c>
      <c r="AA269" s="440">
        <v>2909397.7456112038</v>
      </c>
      <c r="AB269" s="440">
        <v>2927066.6925435881</v>
      </c>
      <c r="AC269" s="440">
        <v>2946896.1848697904</v>
      </c>
      <c r="AD269" s="440">
        <v>2968828.8601132012</v>
      </c>
      <c r="AE269" s="440">
        <v>2988254.372199866</v>
      </c>
      <c r="AF269" s="440">
        <v>3007322.0679576648</v>
      </c>
      <c r="AG269" s="440">
        <v>3030840.0838947543</v>
      </c>
      <c r="AH269" s="431"/>
      <c r="AI269" s="431"/>
    </row>
    <row r="270" spans="2:35" x14ac:dyDescent="0.25">
      <c r="B270" s="421" t="s">
        <v>99</v>
      </c>
      <c r="D270" s="442"/>
      <c r="E270" s="440">
        <v>13737518</v>
      </c>
      <c r="F270" s="440">
        <v>14096762.899999999</v>
      </c>
      <c r="G270" s="440">
        <v>13764579.859999999</v>
      </c>
      <c r="H270" s="440">
        <v>9968477.4599999972</v>
      </c>
      <c r="I270" s="440">
        <v>11491760.699999999</v>
      </c>
      <c r="J270" s="440">
        <v>12064765.297137449</v>
      </c>
      <c r="K270" s="440">
        <v>12197739.460279509</v>
      </c>
      <c r="L270" s="440">
        <v>12216683.279907113</v>
      </c>
      <c r="M270" s="440">
        <v>12275273.380030328</v>
      </c>
      <c r="N270" s="440">
        <v>12330503.187006326</v>
      </c>
      <c r="O270" s="440">
        <v>12380807.667329729</v>
      </c>
      <c r="P270" s="440">
        <v>12437432.580571815</v>
      </c>
      <c r="Q270" s="440">
        <v>12499672.540779762</v>
      </c>
      <c r="R270" s="440">
        <v>12563779.309300698</v>
      </c>
      <c r="S270" s="440">
        <v>12625540.4853258</v>
      </c>
      <c r="T270" s="440">
        <v>12693122.03325434</v>
      </c>
      <c r="U270" s="440">
        <v>12766881.78210678</v>
      </c>
      <c r="V270" s="440">
        <v>12847024.208280634</v>
      </c>
      <c r="W270" s="440">
        <v>12926164.147030335</v>
      </c>
      <c r="X270" s="440">
        <v>13001806.515555684</v>
      </c>
      <c r="Y270" s="440">
        <v>13083449.83115273</v>
      </c>
      <c r="Z270" s="440">
        <v>13165576.630006809</v>
      </c>
      <c r="AA270" s="440">
        <v>13259896.562925287</v>
      </c>
      <c r="AB270" s="440">
        <v>13340424.709705029</v>
      </c>
      <c r="AC270" s="440">
        <v>13430799.777032072</v>
      </c>
      <c r="AD270" s="440">
        <v>13530760.329182277</v>
      </c>
      <c r="AE270" s="440">
        <v>13619294.21264307</v>
      </c>
      <c r="AF270" s="440">
        <v>13706197.30927987</v>
      </c>
      <c r="AG270" s="440">
        <v>13813383.224014785</v>
      </c>
      <c r="AH270" s="431"/>
      <c r="AI270" s="431"/>
    </row>
    <row r="271" spans="2:35" x14ac:dyDescent="0.25">
      <c r="B271" s="421" t="s">
        <v>100</v>
      </c>
      <c r="D271" s="442"/>
      <c r="E271" s="440">
        <v>143907</v>
      </c>
      <c r="F271" s="440">
        <v>145101.37000000002</v>
      </c>
      <c r="G271" s="440">
        <v>164003.56</v>
      </c>
      <c r="H271" s="440">
        <v>284823.26</v>
      </c>
      <c r="I271" s="440">
        <v>369423.56</v>
      </c>
      <c r="J271" s="440">
        <v>387843.83550842426</v>
      </c>
      <c r="K271" s="440">
        <v>392118.53196429118</v>
      </c>
      <c r="L271" s="440">
        <v>392727.51551951154</v>
      </c>
      <c r="M271" s="440">
        <v>394611.0009081582</v>
      </c>
      <c r="N271" s="440">
        <v>396386.4635586454</v>
      </c>
      <c r="O271" s="440">
        <v>398003.59262095008</v>
      </c>
      <c r="P271" s="440">
        <v>399823.90350112558</v>
      </c>
      <c r="Q271" s="440">
        <v>401824.72028408188</v>
      </c>
      <c r="R271" s="440">
        <v>403885.54901741084</v>
      </c>
      <c r="S271" s="440">
        <v>405870.97441153519</v>
      </c>
      <c r="T271" s="440">
        <v>408043.5062522018</v>
      </c>
      <c r="U271" s="440">
        <v>410414.64760443813</v>
      </c>
      <c r="V271" s="440">
        <v>412990.97173414112</v>
      </c>
      <c r="W271" s="440">
        <v>415535.06908130366</v>
      </c>
      <c r="X271" s="440">
        <v>417966.73066885013</v>
      </c>
      <c r="Y271" s="440">
        <v>420591.30362032691</v>
      </c>
      <c r="Z271" s="440">
        <v>423231.41902092675</v>
      </c>
      <c r="AA271" s="440">
        <v>426263.50490465952</v>
      </c>
      <c r="AB271" s="440">
        <v>428852.22872515948</v>
      </c>
      <c r="AC271" s="440">
        <v>431757.49972572911</v>
      </c>
      <c r="AD271" s="440">
        <v>434970.9135792646</v>
      </c>
      <c r="AE271" s="440">
        <v>437816.99637393252</v>
      </c>
      <c r="AF271" s="440">
        <v>440610.65455849521</v>
      </c>
      <c r="AG271" s="440">
        <v>444056.3408407747</v>
      </c>
      <c r="AH271" s="431"/>
      <c r="AI271" s="431"/>
    </row>
    <row r="272" spans="2:35" x14ac:dyDescent="0.25">
      <c r="B272" s="421" t="s">
        <v>101</v>
      </c>
      <c r="D272" s="442"/>
      <c r="E272" s="440">
        <v>6786803</v>
      </c>
      <c r="F272" s="440">
        <v>7109431.8200000003</v>
      </c>
      <c r="G272" s="440">
        <v>7379370.7999999989</v>
      </c>
      <c r="H272" s="440">
        <v>4691856.3000000007</v>
      </c>
      <c r="I272" s="440">
        <v>5725541.3000000017</v>
      </c>
      <c r="J272" s="440">
        <v>6011029.4485654626</v>
      </c>
      <c r="K272" s="440">
        <v>6077281.1816791538</v>
      </c>
      <c r="L272" s="440">
        <v>6086719.5631847484</v>
      </c>
      <c r="M272" s="440">
        <v>6115910.9157358501</v>
      </c>
      <c r="N272" s="440">
        <v>6143428.069032656</v>
      </c>
      <c r="O272" s="440">
        <v>6168491.2762456881</v>
      </c>
      <c r="P272" s="440">
        <v>6196703.5135033336</v>
      </c>
      <c r="Q272" s="440">
        <v>6227713.3362784414</v>
      </c>
      <c r="R272" s="440">
        <v>6259653.2591813058</v>
      </c>
      <c r="S272" s="440">
        <v>6290424.5372560658</v>
      </c>
      <c r="T272" s="440">
        <v>6324095.6999163516</v>
      </c>
      <c r="U272" s="440">
        <v>6360845.0283575775</v>
      </c>
      <c r="V272" s="440">
        <v>6400774.3988795904</v>
      </c>
      <c r="W272" s="440">
        <v>6440204.299973065</v>
      </c>
      <c r="X272" s="440">
        <v>6477891.6062377784</v>
      </c>
      <c r="Y272" s="440">
        <v>6518568.7650755728</v>
      </c>
      <c r="Z272" s="440">
        <v>6559486.8098340081</v>
      </c>
      <c r="AA272" s="440">
        <v>6606479.841227184</v>
      </c>
      <c r="AB272" s="440">
        <v>6646601.3893725332</v>
      </c>
      <c r="AC272" s="440">
        <v>6691628.9699130207</v>
      </c>
      <c r="AD272" s="440">
        <v>6741432.3276967248</v>
      </c>
      <c r="AE272" s="440">
        <v>6785542.5749806035</v>
      </c>
      <c r="AF272" s="440">
        <v>6828840.3151512537</v>
      </c>
      <c r="AG272" s="440">
        <v>6882243.5661946759</v>
      </c>
      <c r="AH272" s="431"/>
      <c r="AI272" s="431"/>
    </row>
    <row r="273" spans="2:36" x14ac:dyDescent="0.25">
      <c r="B273" s="421" t="s">
        <v>102</v>
      </c>
      <c r="D273" s="442"/>
      <c r="E273" s="440">
        <v>0</v>
      </c>
      <c r="F273" s="440">
        <v>0</v>
      </c>
      <c r="G273" s="440">
        <v>0</v>
      </c>
      <c r="H273" s="440">
        <v>0</v>
      </c>
      <c r="I273" s="440">
        <v>0</v>
      </c>
      <c r="J273" s="440">
        <v>0</v>
      </c>
      <c r="K273" s="440">
        <v>0</v>
      </c>
      <c r="L273" s="440">
        <v>0</v>
      </c>
      <c r="M273" s="440">
        <v>0</v>
      </c>
      <c r="N273" s="440">
        <v>0</v>
      </c>
      <c r="O273" s="440">
        <v>0</v>
      </c>
      <c r="P273" s="440">
        <v>0</v>
      </c>
      <c r="Q273" s="440">
        <v>0</v>
      </c>
      <c r="R273" s="440">
        <v>0</v>
      </c>
      <c r="S273" s="440">
        <v>0</v>
      </c>
      <c r="T273" s="440">
        <v>0</v>
      </c>
      <c r="U273" s="440">
        <v>0</v>
      </c>
      <c r="V273" s="440">
        <v>0</v>
      </c>
      <c r="W273" s="440">
        <v>0</v>
      </c>
      <c r="X273" s="440">
        <v>0</v>
      </c>
      <c r="Y273" s="440">
        <v>0</v>
      </c>
      <c r="Z273" s="440">
        <v>0</v>
      </c>
      <c r="AA273" s="440">
        <v>0</v>
      </c>
      <c r="AB273" s="440">
        <v>0</v>
      </c>
      <c r="AC273" s="440">
        <v>0</v>
      </c>
      <c r="AD273" s="440">
        <v>0</v>
      </c>
      <c r="AE273" s="440">
        <v>0</v>
      </c>
      <c r="AF273" s="440">
        <v>0</v>
      </c>
      <c r="AG273" s="440">
        <v>0</v>
      </c>
      <c r="AH273" s="431"/>
      <c r="AI273" s="431"/>
    </row>
    <row r="274" spans="2:36" x14ac:dyDescent="0.25">
      <c r="B274" s="421" t="s">
        <v>103</v>
      </c>
      <c r="D274" s="442"/>
      <c r="E274" s="440">
        <v>1948</v>
      </c>
      <c r="F274" s="440">
        <v>-8216.0599999999977</v>
      </c>
      <c r="G274" s="440">
        <v>635.18999999999983</v>
      </c>
      <c r="H274" s="440">
        <v>1938.8400000000001</v>
      </c>
      <c r="I274" s="440">
        <v>1744.09</v>
      </c>
      <c r="J274" s="440">
        <v>1831.0541836364946</v>
      </c>
      <c r="K274" s="440">
        <v>1851.2355043452035</v>
      </c>
      <c r="L274" s="440">
        <v>1854.1105839119325</v>
      </c>
      <c r="M274" s="440">
        <v>1863.002729370887</v>
      </c>
      <c r="N274" s="440">
        <v>1871.3848873850866</v>
      </c>
      <c r="O274" s="440">
        <v>1879.0195347970573</v>
      </c>
      <c r="P274" s="440">
        <v>1887.6134263263505</v>
      </c>
      <c r="Q274" s="440">
        <v>1897.0595064382583</v>
      </c>
      <c r="R274" s="440">
        <v>1906.7889096888568</v>
      </c>
      <c r="S274" s="440">
        <v>1916.1623253303453</v>
      </c>
      <c r="T274" s="440">
        <v>1926.4190914607684</v>
      </c>
      <c r="U274" s="440">
        <v>1937.613515338395</v>
      </c>
      <c r="V274" s="440">
        <v>1949.7766300876915</v>
      </c>
      <c r="W274" s="440">
        <v>1961.7875985874068</v>
      </c>
      <c r="X274" s="440">
        <v>1973.267745273839</v>
      </c>
      <c r="Y274" s="440">
        <v>1985.6586481143106</v>
      </c>
      <c r="Z274" s="440">
        <v>1998.122928597754</v>
      </c>
      <c r="AA274" s="440">
        <v>2012.4377456304292</v>
      </c>
      <c r="AB274" s="440">
        <v>2024.6594007086699</v>
      </c>
      <c r="AC274" s="440">
        <v>2038.3755104754196</v>
      </c>
      <c r="AD274" s="440">
        <v>2053.5463971611866</v>
      </c>
      <c r="AE274" s="440">
        <v>2066.9830727791477</v>
      </c>
      <c r="AF274" s="440">
        <v>2080.1722459415578</v>
      </c>
      <c r="AG274" s="440">
        <v>2096.4397167765551</v>
      </c>
      <c r="AH274" s="431"/>
      <c r="AI274" s="431"/>
    </row>
    <row r="275" spans="2:36" x14ac:dyDescent="0.25">
      <c r="B275" s="421" t="s">
        <v>104</v>
      </c>
      <c r="D275" s="442"/>
      <c r="E275" s="440">
        <v>29776</v>
      </c>
      <c r="F275" s="440">
        <v>32676.890000000003</v>
      </c>
      <c r="G275" s="440">
        <v>28041.58</v>
      </c>
      <c r="H275" s="440">
        <v>61346.990000000005</v>
      </c>
      <c r="I275" s="440">
        <v>50980.83</v>
      </c>
      <c r="J275" s="440">
        <v>53522.846903979109</v>
      </c>
      <c r="K275" s="440">
        <v>54112.759397156733</v>
      </c>
      <c r="L275" s="440">
        <v>54196.799752085601</v>
      </c>
      <c r="M275" s="440">
        <v>54456.722666601614</v>
      </c>
      <c r="N275" s="440">
        <v>54701.738332510511</v>
      </c>
      <c r="O275" s="440">
        <v>54924.903800932218</v>
      </c>
      <c r="P275" s="440">
        <v>55176.10856851493</v>
      </c>
      <c r="Q275" s="440">
        <v>55452.223335729672</v>
      </c>
      <c r="R275" s="440">
        <v>55736.619813617974</v>
      </c>
      <c r="S275" s="440">
        <v>56010.6105533952</v>
      </c>
      <c r="T275" s="440">
        <v>56310.42217461019</v>
      </c>
      <c r="U275" s="440">
        <v>56637.642112029265</v>
      </c>
      <c r="V275" s="440">
        <v>56993.177483084874</v>
      </c>
      <c r="W275" s="440">
        <v>57344.265525112147</v>
      </c>
      <c r="X275" s="440">
        <v>57679.837317047226</v>
      </c>
      <c r="Y275" s="440">
        <v>58042.031074970619</v>
      </c>
      <c r="Z275" s="440">
        <v>58406.369706806559</v>
      </c>
      <c r="AA275" s="440">
        <v>58824.800667149153</v>
      </c>
      <c r="AB275" s="440">
        <v>59182.047208246469</v>
      </c>
      <c r="AC275" s="440">
        <v>59582.977584706408</v>
      </c>
      <c r="AD275" s="440">
        <v>60026.431990772813</v>
      </c>
      <c r="AE275" s="440">
        <v>60419.194334140659</v>
      </c>
      <c r="AF275" s="440">
        <v>60804.722027570118</v>
      </c>
      <c r="AG275" s="440">
        <v>61280.230266920698</v>
      </c>
      <c r="AH275" s="431"/>
      <c r="AI275" s="431"/>
    </row>
    <row r="276" spans="2:36" x14ac:dyDescent="0.25">
      <c r="B276" s="421" t="s">
        <v>105</v>
      </c>
      <c r="E276" s="440">
        <v>5501622</v>
      </c>
      <c r="F276" s="440">
        <v>5664888.2800000012</v>
      </c>
      <c r="G276" s="440">
        <v>5502417.0300000003</v>
      </c>
      <c r="H276" s="440">
        <v>2712238.0800000005</v>
      </c>
      <c r="I276" s="440">
        <v>3462407.71</v>
      </c>
      <c r="J276" s="440">
        <v>3635051.0139102656</v>
      </c>
      <c r="K276" s="440">
        <v>3675115.4374318821</v>
      </c>
      <c r="L276" s="440">
        <v>3680823.1117254714</v>
      </c>
      <c r="M276" s="440">
        <v>3698476.0040621771</v>
      </c>
      <c r="N276" s="440">
        <v>3715116.4575564368</v>
      </c>
      <c r="O276" s="440">
        <v>3730272.9357555774</v>
      </c>
      <c r="P276" s="440">
        <v>3747333.7275094022</v>
      </c>
      <c r="Q276" s="440">
        <v>3766086.3037002794</v>
      </c>
      <c r="R276" s="440">
        <v>3785401.3395233001</v>
      </c>
      <c r="S276" s="440">
        <v>3804009.6605308875</v>
      </c>
      <c r="T276" s="440">
        <v>3824371.6293109641</v>
      </c>
      <c r="U276" s="440">
        <v>3846595.0578856952</v>
      </c>
      <c r="V276" s="440">
        <v>3870741.5539298095</v>
      </c>
      <c r="W276" s="440">
        <v>3894586.0057287314</v>
      </c>
      <c r="X276" s="440">
        <v>3917376.657816085</v>
      </c>
      <c r="Y276" s="440">
        <v>3941975.364034635</v>
      </c>
      <c r="Z276" s="440">
        <v>3966719.7412430798</v>
      </c>
      <c r="AA276" s="440">
        <v>3995137.8463071384</v>
      </c>
      <c r="AB276" s="440">
        <v>4019400.5579629941</v>
      </c>
      <c r="AC276" s="440">
        <v>4046630.0955485548</v>
      </c>
      <c r="AD276" s="440">
        <v>4076747.6898403266</v>
      </c>
      <c r="AE276" s="440">
        <v>4103422.4883062304</v>
      </c>
      <c r="AF276" s="440">
        <v>4129605.9391866629</v>
      </c>
      <c r="AG276" s="440">
        <v>4161900.4976333566</v>
      </c>
    </row>
    <row r="277" spans="2:36" x14ac:dyDescent="0.25">
      <c r="B277" s="421" t="s">
        <v>106</v>
      </c>
      <c r="E277" s="440">
        <v>95839</v>
      </c>
      <c r="F277" s="440">
        <v>125599.23000000001</v>
      </c>
      <c r="G277" s="440">
        <v>137755.13</v>
      </c>
      <c r="H277" s="440">
        <v>166042.95000000001</v>
      </c>
      <c r="I277" s="440">
        <v>193357.44</v>
      </c>
      <c r="J277" s="440">
        <v>202998.6694776316</v>
      </c>
      <c r="K277" s="440">
        <v>205236.05889449365</v>
      </c>
      <c r="L277" s="440">
        <v>205554.80278088656</v>
      </c>
      <c r="M277" s="440">
        <v>206540.62488986665</v>
      </c>
      <c r="N277" s="440">
        <v>207469.9075618051</v>
      </c>
      <c r="O277" s="440">
        <v>208316.31794136192</v>
      </c>
      <c r="P277" s="440">
        <v>209269.07431617161</v>
      </c>
      <c r="Q277" s="440">
        <v>210316.30804176687</v>
      </c>
      <c r="R277" s="440">
        <v>211394.95220879003</v>
      </c>
      <c r="S277" s="440">
        <v>212434.13003361222</v>
      </c>
      <c r="T277" s="440">
        <v>213571.23995434871</v>
      </c>
      <c r="U277" s="440">
        <v>214812.30271100276</v>
      </c>
      <c r="V277" s="440">
        <v>216160.75877138396</v>
      </c>
      <c r="W277" s="440">
        <v>217492.34723357661</v>
      </c>
      <c r="X277" s="440">
        <v>218765.0864695753</v>
      </c>
      <c r="Y277" s="440">
        <v>220138.79611329918</v>
      </c>
      <c r="Z277" s="440">
        <v>221520.64072322214</v>
      </c>
      <c r="AA277" s="440">
        <v>223107.64390282094</v>
      </c>
      <c r="AB277" s="440">
        <v>224462.58999992121</v>
      </c>
      <c r="AC277" s="440">
        <v>225983.21787535065</v>
      </c>
      <c r="AD277" s="440">
        <v>227665.12867817047</v>
      </c>
      <c r="AE277" s="440">
        <v>229154.77726258952</v>
      </c>
      <c r="AF277" s="440">
        <v>230616.9866430689</v>
      </c>
      <c r="AG277" s="440">
        <v>232420.46955732774</v>
      </c>
      <c r="AH277" s="431"/>
      <c r="AI277" s="431"/>
    </row>
    <row r="280" spans="2:36" x14ac:dyDescent="0.25">
      <c r="B280" s="422" t="s">
        <v>114</v>
      </c>
      <c r="E280" s="423">
        <v>2017</v>
      </c>
      <c r="F280" s="423">
        <v>2018</v>
      </c>
      <c r="G280" s="423">
        <v>2019</v>
      </c>
      <c r="H280" s="423">
        <v>2020</v>
      </c>
      <c r="I280" s="423">
        <v>2021</v>
      </c>
      <c r="J280" s="423">
        <v>2022</v>
      </c>
      <c r="K280" s="423">
        <v>2023</v>
      </c>
      <c r="L280" s="423">
        <v>2024</v>
      </c>
      <c r="M280" s="423">
        <v>2025</v>
      </c>
      <c r="N280" s="423">
        <v>2026</v>
      </c>
      <c r="O280" s="423">
        <v>2027</v>
      </c>
      <c r="P280" s="423">
        <v>2028</v>
      </c>
      <c r="Q280" s="423">
        <v>2029</v>
      </c>
      <c r="R280" s="423">
        <v>2030</v>
      </c>
      <c r="S280" s="423">
        <v>2031</v>
      </c>
      <c r="T280" s="423">
        <v>2032</v>
      </c>
      <c r="U280" s="423">
        <v>2033</v>
      </c>
      <c r="V280" s="423">
        <v>2034</v>
      </c>
      <c r="W280" s="423">
        <v>2035</v>
      </c>
      <c r="X280" s="423">
        <v>2036</v>
      </c>
      <c r="Y280" s="423">
        <v>2037</v>
      </c>
      <c r="Z280" s="423">
        <v>2038</v>
      </c>
      <c r="AA280" s="423">
        <v>2039</v>
      </c>
      <c r="AB280" s="423">
        <v>2040</v>
      </c>
      <c r="AC280" s="423">
        <v>2041</v>
      </c>
      <c r="AD280" s="423">
        <v>2042</v>
      </c>
      <c r="AE280" s="423">
        <v>2043</v>
      </c>
      <c r="AF280" s="423">
        <v>2044</v>
      </c>
      <c r="AG280" s="423">
        <v>2045</v>
      </c>
      <c r="AH280" s="423"/>
      <c r="AI280" s="423"/>
    </row>
    <row r="281" spans="2:36" x14ac:dyDescent="0.25">
      <c r="B281" s="421" t="s">
        <v>98</v>
      </c>
      <c r="E281" s="428">
        <f t="shared" ref="E281:E291" si="113">E$24*E253/SUM(E$253:E$263)</f>
        <v>182885.19117599219</v>
      </c>
      <c r="F281" s="428">
        <f t="shared" ref="F281:AG290" si="114">F$24*F253/SUM(F$253:F$263)</f>
        <v>152552.48386229269</v>
      </c>
      <c r="G281" s="428">
        <f t="shared" si="114"/>
        <v>158301.8238760072</v>
      </c>
      <c r="H281" s="428">
        <f t="shared" si="114"/>
        <v>153879.83725671007</v>
      </c>
      <c r="I281" s="428">
        <f t="shared" si="114"/>
        <v>159540.85469421098</v>
      </c>
      <c r="J281" s="428">
        <f t="shared" si="114"/>
        <v>164178.83924186937</v>
      </c>
      <c r="K281" s="428">
        <f t="shared" si="114"/>
        <v>173355.81485150842</v>
      </c>
      <c r="L281" s="428">
        <f t="shared" si="114"/>
        <v>177110.52859565496</v>
      </c>
      <c r="M281" s="428">
        <f t="shared" si="114"/>
        <v>177506.54611718864</v>
      </c>
      <c r="N281" s="428">
        <f t="shared" si="114"/>
        <v>177518.23581879732</v>
      </c>
      <c r="O281" s="428">
        <f t="shared" si="114"/>
        <v>178280.53611101533</v>
      </c>
      <c r="P281" s="428">
        <f t="shared" si="114"/>
        <v>180915.58744961707</v>
      </c>
      <c r="Q281" s="428">
        <f t="shared" si="114"/>
        <v>183522.54894642427</v>
      </c>
      <c r="R281" s="428">
        <f t="shared" si="114"/>
        <v>186069.80891319399</v>
      </c>
      <c r="S281" s="428">
        <f t="shared" si="114"/>
        <v>188521.81088750146</v>
      </c>
      <c r="T281" s="428">
        <f t="shared" si="114"/>
        <v>190948.35918826208</v>
      </c>
      <c r="U281" s="428">
        <f t="shared" si="114"/>
        <v>193352.80750102788</v>
      </c>
      <c r="V281" s="428">
        <f t="shared" si="114"/>
        <v>195737.21045762455</v>
      </c>
      <c r="W281" s="428">
        <f t="shared" si="114"/>
        <v>198039.03195078913</v>
      </c>
      <c r="X281" s="428">
        <f t="shared" si="114"/>
        <v>200237.36279611051</v>
      </c>
      <c r="Y281" s="428">
        <f t="shared" si="114"/>
        <v>202413.38039058528</v>
      </c>
      <c r="Z281" s="428">
        <f t="shared" si="114"/>
        <v>204520.46464246287</v>
      </c>
      <c r="AA281" s="428">
        <f t="shared" si="114"/>
        <v>206658.6258435343</v>
      </c>
      <c r="AB281" s="428">
        <f t="shared" si="114"/>
        <v>208607.05483922761</v>
      </c>
      <c r="AC281" s="428">
        <f t="shared" si="114"/>
        <v>210567.30663251699</v>
      </c>
      <c r="AD281" s="428">
        <f t="shared" si="114"/>
        <v>212537.52433050214</v>
      </c>
      <c r="AE281" s="428">
        <f t="shared" si="114"/>
        <v>214339.24470120145</v>
      </c>
      <c r="AF281" s="428">
        <f t="shared" si="114"/>
        <v>216056.22566447963</v>
      </c>
      <c r="AG281" s="428">
        <f t="shared" si="114"/>
        <v>217875.36928072484</v>
      </c>
      <c r="AH281" s="431"/>
      <c r="AI281" s="431"/>
      <c r="AJ281" s="431"/>
    </row>
    <row r="282" spans="2:36" x14ac:dyDescent="0.25">
      <c r="B282" s="421" t="s">
        <v>38</v>
      </c>
      <c r="E282" s="428">
        <f t="shared" si="113"/>
        <v>2019233.4096169788</v>
      </c>
      <c r="F282" s="428">
        <f t="shared" ref="F282:T282" si="115">F$24*F254/SUM(F$253:F$263)</f>
        <v>2094527.0175634585</v>
      </c>
      <c r="G282" s="428">
        <f t="shared" si="115"/>
        <v>2068439.0116025417</v>
      </c>
      <c r="H282" s="428">
        <f t="shared" si="115"/>
        <v>2362312.9516927213</v>
      </c>
      <c r="I282" s="428">
        <f t="shared" si="115"/>
        <v>2247768.8135318616</v>
      </c>
      <c r="J282" s="428">
        <f t="shared" si="115"/>
        <v>2313113.3113023601</v>
      </c>
      <c r="K282" s="428">
        <f t="shared" si="115"/>
        <v>2442407.5890434813</v>
      </c>
      <c r="L282" s="428">
        <f t="shared" si="115"/>
        <v>2495307.6971318345</v>
      </c>
      <c r="M282" s="428">
        <f t="shared" si="115"/>
        <v>2500887.1823127414</v>
      </c>
      <c r="N282" s="428">
        <f t="shared" si="115"/>
        <v>2501051.8783510434</v>
      </c>
      <c r="O282" s="428">
        <f t="shared" si="115"/>
        <v>2511791.9162346185</v>
      </c>
      <c r="P282" s="428">
        <f t="shared" si="115"/>
        <v>2548917.116750292</v>
      </c>
      <c r="Q282" s="428">
        <f t="shared" si="115"/>
        <v>2585646.5598878074</v>
      </c>
      <c r="R282" s="428">
        <f t="shared" si="115"/>
        <v>2621534.8690249082</v>
      </c>
      <c r="S282" s="428">
        <f t="shared" si="115"/>
        <v>2656081.0896724705</v>
      </c>
      <c r="T282" s="428">
        <f t="shared" si="115"/>
        <v>2690268.6938785063</v>
      </c>
      <c r="U282" s="428">
        <f t="shared" si="114"/>
        <v>2724144.9316706588</v>
      </c>
      <c r="V282" s="428">
        <f t="shared" si="114"/>
        <v>2757738.7507272493</v>
      </c>
      <c r="W282" s="428">
        <f t="shared" si="114"/>
        <v>2790169.0807299907</v>
      </c>
      <c r="X282" s="428">
        <f t="shared" si="114"/>
        <v>2821141.3324796096</v>
      </c>
      <c r="Y282" s="428">
        <f t="shared" si="114"/>
        <v>2851799.2131580855</v>
      </c>
      <c r="Z282" s="428">
        <f t="shared" si="114"/>
        <v>2881485.892961402</v>
      </c>
      <c r="AA282" s="428">
        <f t="shared" si="114"/>
        <v>2911610.4154561823</v>
      </c>
      <c r="AB282" s="428">
        <f t="shared" si="114"/>
        <v>2939061.8036306715</v>
      </c>
      <c r="AC282" s="428">
        <f t="shared" si="114"/>
        <v>2966679.7630309216</v>
      </c>
      <c r="AD282" s="428">
        <f t="shared" si="114"/>
        <v>2994438.1319194906</v>
      </c>
      <c r="AE282" s="428">
        <f t="shared" si="114"/>
        <v>3019822.5443806443</v>
      </c>
      <c r="AF282" s="428">
        <f t="shared" si="114"/>
        <v>3044013.0645460389</v>
      </c>
      <c r="AG282" s="428">
        <f t="shared" si="114"/>
        <v>3069642.9528637924</v>
      </c>
      <c r="AH282" s="431"/>
      <c r="AI282" s="431"/>
      <c r="AJ282" s="431"/>
    </row>
    <row r="283" spans="2:36" x14ac:dyDescent="0.25">
      <c r="B283" s="421" t="s">
        <v>39</v>
      </c>
      <c r="E283" s="428">
        <f t="shared" si="113"/>
        <v>1348874.9330025907</v>
      </c>
      <c r="F283" s="428">
        <f t="shared" si="114"/>
        <v>1396511.193987241</v>
      </c>
      <c r="G283" s="428">
        <f t="shared" si="114"/>
        <v>1424016.7638461916</v>
      </c>
      <c r="H283" s="428">
        <f t="shared" si="114"/>
        <v>1526073.0524036696</v>
      </c>
      <c r="I283" s="428">
        <f t="shared" si="114"/>
        <v>1520665.5679000292</v>
      </c>
      <c r="J283" s="428">
        <f t="shared" si="114"/>
        <v>1564872.5731814948</v>
      </c>
      <c r="K283" s="428">
        <f t="shared" si="114"/>
        <v>1652343.0261496953</v>
      </c>
      <c r="L283" s="428">
        <f t="shared" si="114"/>
        <v>1688131.1251854454</v>
      </c>
      <c r="M283" s="428">
        <f t="shared" si="114"/>
        <v>1691905.7709364386</v>
      </c>
      <c r="N283" s="428">
        <f t="shared" si="114"/>
        <v>1692017.1914673708</v>
      </c>
      <c r="O283" s="428">
        <f t="shared" si="114"/>
        <v>1699283.0658353993</v>
      </c>
      <c r="P283" s="428">
        <f t="shared" si="114"/>
        <v>1724399.0892385631</v>
      </c>
      <c r="Q283" s="428">
        <f t="shared" si="114"/>
        <v>1749247.3739781315</v>
      </c>
      <c r="R283" s="428">
        <f t="shared" si="114"/>
        <v>1773526.612868892</v>
      </c>
      <c r="S283" s="428">
        <f t="shared" si="114"/>
        <v>1796897.8990632584</v>
      </c>
      <c r="T283" s="428">
        <f t="shared" si="114"/>
        <v>1820026.573263265</v>
      </c>
      <c r="U283" s="428">
        <f t="shared" si="114"/>
        <v>1842944.6011629296</v>
      </c>
      <c r="V283" s="428">
        <f t="shared" si="114"/>
        <v>1865671.5665101148</v>
      </c>
      <c r="W283" s="428">
        <f t="shared" si="114"/>
        <v>1887611.4056492278</v>
      </c>
      <c r="X283" s="428">
        <f t="shared" si="114"/>
        <v>1908564.8224385516</v>
      </c>
      <c r="Y283" s="428">
        <f t="shared" si="114"/>
        <v>1929305.5602101071</v>
      </c>
      <c r="Z283" s="428">
        <f t="shared" si="114"/>
        <v>1949389.2590008399</v>
      </c>
      <c r="AA283" s="428">
        <f t="shared" si="114"/>
        <v>1969769.1681051322</v>
      </c>
      <c r="AB283" s="428">
        <f t="shared" si="114"/>
        <v>1988340.6424207722</v>
      </c>
      <c r="AC283" s="428">
        <f t="shared" si="114"/>
        <v>2007024.8058733435</v>
      </c>
      <c r="AD283" s="428">
        <f t="shared" si="114"/>
        <v>2025803.9594659184</v>
      </c>
      <c r="AE283" s="428">
        <f t="shared" si="114"/>
        <v>2042977.0787647825</v>
      </c>
      <c r="AF283" s="428">
        <f t="shared" si="114"/>
        <v>2059342.5033865904</v>
      </c>
      <c r="AG283" s="428">
        <f t="shared" si="114"/>
        <v>2076681.6925591158</v>
      </c>
      <c r="AH283" s="431"/>
      <c r="AI283" s="431"/>
      <c r="AJ283" s="431"/>
    </row>
    <row r="284" spans="2:36" x14ac:dyDescent="0.25">
      <c r="B284" s="421" t="s">
        <v>99</v>
      </c>
      <c r="E284" s="428">
        <f t="shared" si="113"/>
        <v>7815774.7392717209</v>
      </c>
      <c r="F284" s="428">
        <f t="shared" si="114"/>
        <v>7917242.1412178427</v>
      </c>
      <c r="G284" s="428">
        <f t="shared" si="114"/>
        <v>7987130.3804610418</v>
      </c>
      <c r="H284" s="428">
        <f t="shared" si="114"/>
        <v>6267211.9350496233</v>
      </c>
      <c r="I284" s="428">
        <f t="shared" si="114"/>
        <v>6930598.66687991</v>
      </c>
      <c r="J284" s="428">
        <f t="shared" si="114"/>
        <v>7132076.9000548599</v>
      </c>
      <c r="K284" s="428">
        <f t="shared" si="114"/>
        <v>7530733.0000742469</v>
      </c>
      <c r="L284" s="428">
        <f t="shared" si="114"/>
        <v>7693841.1526510539</v>
      </c>
      <c r="M284" s="428">
        <f t="shared" si="114"/>
        <v>7711044.5110764727</v>
      </c>
      <c r="N284" s="428">
        <f t="shared" si="114"/>
        <v>7711552.3222608911</v>
      </c>
      <c r="O284" s="428">
        <f t="shared" si="114"/>
        <v>7744667.3347079186</v>
      </c>
      <c r="P284" s="428">
        <f t="shared" si="114"/>
        <v>7859136.3422199879</v>
      </c>
      <c r="Q284" s="428">
        <f t="shared" si="114"/>
        <v>7972385.1016616356</v>
      </c>
      <c r="R284" s="428">
        <f t="shared" si="114"/>
        <v>8083040.3727752799</v>
      </c>
      <c r="S284" s="428">
        <f t="shared" si="114"/>
        <v>8189557.550753884</v>
      </c>
      <c r="T284" s="428">
        <f t="shared" si="114"/>
        <v>8294968.9981891187</v>
      </c>
      <c r="U284" s="428">
        <f t="shared" si="114"/>
        <v>8399420.402207084</v>
      </c>
      <c r="V284" s="428">
        <f t="shared" si="114"/>
        <v>8503001.0178679898</v>
      </c>
      <c r="W284" s="428">
        <f t="shared" si="114"/>
        <v>8602994.2202517837</v>
      </c>
      <c r="X284" s="428">
        <f t="shared" si="114"/>
        <v>8698491.6955232285</v>
      </c>
      <c r="Y284" s="428">
        <f t="shared" si="114"/>
        <v>8793019.8630467132</v>
      </c>
      <c r="Z284" s="428">
        <f t="shared" si="114"/>
        <v>8884553.5039755907</v>
      </c>
      <c r="AA284" s="428">
        <f t="shared" si="114"/>
        <v>8977437.1556153111</v>
      </c>
      <c r="AB284" s="428">
        <f t="shared" si="114"/>
        <v>9062078.6690755747</v>
      </c>
      <c r="AC284" s="428">
        <f t="shared" si="114"/>
        <v>9147233.775530031</v>
      </c>
      <c r="AD284" s="428">
        <f t="shared" si="114"/>
        <v>9232821.8098757844</v>
      </c>
      <c r="AE284" s="428">
        <f t="shared" si="114"/>
        <v>9311090.1683046799</v>
      </c>
      <c r="AF284" s="428">
        <f t="shared" si="114"/>
        <v>9385677.3704226688</v>
      </c>
      <c r="AG284" s="428">
        <f t="shared" si="114"/>
        <v>9464702.6103574652</v>
      </c>
      <c r="AH284" s="431"/>
      <c r="AI284" s="431"/>
      <c r="AJ284" s="431"/>
    </row>
    <row r="285" spans="2:36" x14ac:dyDescent="0.25">
      <c r="B285" s="421" t="s">
        <v>100</v>
      </c>
      <c r="E285" s="428">
        <f t="shared" si="113"/>
        <v>81873.937883420818</v>
      </c>
      <c r="F285" s="428">
        <f t="shared" si="114"/>
        <v>81494.077006320556</v>
      </c>
      <c r="G285" s="428">
        <f t="shared" si="114"/>
        <v>95165.840868590472</v>
      </c>
      <c r="H285" s="428">
        <f t="shared" si="114"/>
        <v>179069.24518960016</v>
      </c>
      <c r="I285" s="428">
        <f t="shared" si="114"/>
        <v>222796.7062044749</v>
      </c>
      <c r="J285" s="428">
        <f t="shared" si="114"/>
        <v>229273.59065282578</v>
      </c>
      <c r="K285" s="428">
        <f t="shared" si="114"/>
        <v>242089.11644817915</v>
      </c>
      <c r="L285" s="428">
        <f t="shared" si="114"/>
        <v>247332.52483119111</v>
      </c>
      <c r="M285" s="428">
        <f t="shared" si="114"/>
        <v>247885.55809383761</v>
      </c>
      <c r="N285" s="428">
        <f t="shared" si="114"/>
        <v>247901.88260845756</v>
      </c>
      <c r="O285" s="428">
        <f t="shared" si="114"/>
        <v>248966.42494509229</v>
      </c>
      <c r="P285" s="428">
        <f t="shared" si="114"/>
        <v>252646.23949820732</v>
      </c>
      <c r="Q285" s="428">
        <f t="shared" si="114"/>
        <v>256286.82695653444</v>
      </c>
      <c r="R285" s="428">
        <f t="shared" si="114"/>
        <v>259844.04201301991</v>
      </c>
      <c r="S285" s="428">
        <f t="shared" si="114"/>
        <v>263268.23053532443</v>
      </c>
      <c r="T285" s="428">
        <f t="shared" si="114"/>
        <v>266656.87333714304</v>
      </c>
      <c r="U285" s="428">
        <f t="shared" si="114"/>
        <v>270014.65379626059</v>
      </c>
      <c r="V285" s="428">
        <f t="shared" si="114"/>
        <v>273344.44117901067</v>
      </c>
      <c r="W285" s="428">
        <f t="shared" si="114"/>
        <v>276558.90463372064</v>
      </c>
      <c r="X285" s="428">
        <f t="shared" si="114"/>
        <v>279628.84475923935</v>
      </c>
      <c r="Y285" s="428">
        <f t="shared" si="114"/>
        <v>282667.624723288</v>
      </c>
      <c r="Z285" s="428">
        <f t="shared" si="114"/>
        <v>285610.14018061972</v>
      </c>
      <c r="AA285" s="428">
        <f t="shared" si="114"/>
        <v>288596.05418895319</v>
      </c>
      <c r="AB285" s="428">
        <f t="shared" si="114"/>
        <v>291317.00966675725</v>
      </c>
      <c r="AC285" s="428">
        <f t="shared" si="114"/>
        <v>294054.47552597796</v>
      </c>
      <c r="AD285" s="428">
        <f t="shared" si="114"/>
        <v>296805.85864009126</v>
      </c>
      <c r="AE285" s="428">
        <f t="shared" si="114"/>
        <v>299321.93745177047</v>
      </c>
      <c r="AF285" s="428">
        <f t="shared" si="114"/>
        <v>301719.67879499804</v>
      </c>
      <c r="AG285" s="428">
        <f t="shared" si="114"/>
        <v>304260.08894003055</v>
      </c>
      <c r="AH285" s="431"/>
      <c r="AI285" s="431"/>
      <c r="AJ285" s="431"/>
    </row>
    <row r="286" spans="2:36" x14ac:dyDescent="0.25">
      <c r="B286" s="421" t="s">
        <v>101</v>
      </c>
      <c r="E286" s="428">
        <f t="shared" si="113"/>
        <v>3861259.6138409814</v>
      </c>
      <c r="F286" s="428">
        <f t="shared" si="114"/>
        <v>3992909.1242230567</v>
      </c>
      <c r="G286" s="428">
        <f t="shared" si="114"/>
        <v>4282004.776378775</v>
      </c>
      <c r="H286" s="428">
        <f t="shared" si="114"/>
        <v>2949784.2492887354</v>
      </c>
      <c r="I286" s="428">
        <f t="shared" si="114"/>
        <v>3453032.9978891644</v>
      </c>
      <c r="J286" s="428">
        <f t="shared" si="114"/>
        <v>3553415.5219608848</v>
      </c>
      <c r="K286" s="428">
        <f t="shared" si="114"/>
        <v>3752037.9980761362</v>
      </c>
      <c r="L286" s="428">
        <f t="shared" si="114"/>
        <v>3833303.392329013</v>
      </c>
      <c r="M286" s="428">
        <f t="shared" si="114"/>
        <v>3841874.6236428907</v>
      </c>
      <c r="N286" s="428">
        <f t="shared" si="114"/>
        <v>3842127.6304696859</v>
      </c>
      <c r="O286" s="428">
        <f t="shared" si="114"/>
        <v>3858626.5270587411</v>
      </c>
      <c r="P286" s="428">
        <f t="shared" si="114"/>
        <v>3915658.4342825278</v>
      </c>
      <c r="Q286" s="428">
        <f t="shared" si="114"/>
        <v>3972082.3771650931</v>
      </c>
      <c r="R286" s="428">
        <f t="shared" si="114"/>
        <v>4027214.1660496183</v>
      </c>
      <c r="S286" s="428">
        <f t="shared" si="114"/>
        <v>4080284.2322994275</v>
      </c>
      <c r="T286" s="428">
        <f t="shared" si="114"/>
        <v>4132803.3902891353</v>
      </c>
      <c r="U286" s="428">
        <f t="shared" si="114"/>
        <v>4184844.2257329021</v>
      </c>
      <c r="V286" s="428">
        <f t="shared" si="114"/>
        <v>4236451.2081899894</v>
      </c>
      <c r="W286" s="428">
        <f t="shared" si="114"/>
        <v>4286270.8333034553</v>
      </c>
      <c r="X286" s="428">
        <f t="shared" si="114"/>
        <v>4333850.5517631667</v>
      </c>
      <c r="Y286" s="428">
        <f t="shared" si="114"/>
        <v>4380947.3319083573</v>
      </c>
      <c r="Z286" s="428">
        <f t="shared" si="114"/>
        <v>4426552.1487122485</v>
      </c>
      <c r="AA286" s="428">
        <f t="shared" si="114"/>
        <v>4472829.5815131273</v>
      </c>
      <c r="AB286" s="428">
        <f t="shared" si="114"/>
        <v>4515000.5328288162</v>
      </c>
      <c r="AC286" s="428">
        <f t="shared" si="114"/>
        <v>4557427.3716430711</v>
      </c>
      <c r="AD286" s="428">
        <f t="shared" si="114"/>
        <v>4600069.9081720849</v>
      </c>
      <c r="AE286" s="428">
        <f t="shared" si="114"/>
        <v>4639065.5616986882</v>
      </c>
      <c r="AF286" s="428">
        <f t="shared" si="114"/>
        <v>4676227.1522787977</v>
      </c>
      <c r="AG286" s="428">
        <f t="shared" si="114"/>
        <v>4715599.9069680842</v>
      </c>
      <c r="AH286" s="431"/>
      <c r="AI286" s="431"/>
      <c r="AJ286" s="431"/>
    </row>
    <row r="287" spans="2:36" x14ac:dyDescent="0.25">
      <c r="B287" s="421" t="s">
        <v>102</v>
      </c>
      <c r="E287" s="428">
        <f t="shared" si="113"/>
        <v>0</v>
      </c>
      <c r="F287" s="428">
        <f t="shared" si="114"/>
        <v>0</v>
      </c>
      <c r="G287" s="428">
        <f t="shared" si="114"/>
        <v>0</v>
      </c>
      <c r="H287" s="428">
        <f t="shared" si="114"/>
        <v>0</v>
      </c>
      <c r="I287" s="428">
        <f t="shared" si="114"/>
        <v>0</v>
      </c>
      <c r="J287" s="428">
        <f t="shared" si="114"/>
        <v>0</v>
      </c>
      <c r="K287" s="428">
        <f t="shared" si="114"/>
        <v>0</v>
      </c>
      <c r="L287" s="428">
        <f t="shared" si="114"/>
        <v>0</v>
      </c>
      <c r="M287" s="428">
        <f t="shared" si="114"/>
        <v>0</v>
      </c>
      <c r="N287" s="428">
        <f t="shared" si="114"/>
        <v>0</v>
      </c>
      <c r="O287" s="428">
        <f t="shared" si="114"/>
        <v>0</v>
      </c>
      <c r="P287" s="428">
        <f t="shared" si="114"/>
        <v>0</v>
      </c>
      <c r="Q287" s="428">
        <f t="shared" si="114"/>
        <v>0</v>
      </c>
      <c r="R287" s="428">
        <f t="shared" si="114"/>
        <v>0</v>
      </c>
      <c r="S287" s="428">
        <f t="shared" si="114"/>
        <v>0</v>
      </c>
      <c r="T287" s="428">
        <f t="shared" si="114"/>
        <v>0</v>
      </c>
      <c r="U287" s="428">
        <f t="shared" si="114"/>
        <v>0</v>
      </c>
      <c r="V287" s="428">
        <f t="shared" si="114"/>
        <v>0</v>
      </c>
      <c r="W287" s="428">
        <f t="shared" si="114"/>
        <v>0</v>
      </c>
      <c r="X287" s="428">
        <f t="shared" si="114"/>
        <v>0</v>
      </c>
      <c r="Y287" s="428">
        <f t="shared" si="114"/>
        <v>0</v>
      </c>
      <c r="Z287" s="428">
        <f t="shared" si="114"/>
        <v>0</v>
      </c>
      <c r="AA287" s="428">
        <f t="shared" si="114"/>
        <v>0</v>
      </c>
      <c r="AB287" s="428">
        <f t="shared" si="114"/>
        <v>0</v>
      </c>
      <c r="AC287" s="428">
        <f t="shared" si="114"/>
        <v>0</v>
      </c>
      <c r="AD287" s="428">
        <f t="shared" si="114"/>
        <v>0</v>
      </c>
      <c r="AE287" s="428">
        <f t="shared" si="114"/>
        <v>0</v>
      </c>
      <c r="AF287" s="428">
        <f t="shared" si="114"/>
        <v>0</v>
      </c>
      <c r="AG287" s="428">
        <f t="shared" si="114"/>
        <v>0</v>
      </c>
      <c r="AH287" s="431"/>
      <c r="AI287" s="431"/>
      <c r="AJ287" s="431"/>
    </row>
    <row r="288" spans="2:36" x14ac:dyDescent="0.25">
      <c r="B288" s="421" t="s">
        <v>103</v>
      </c>
      <c r="E288" s="428">
        <f t="shared" si="113"/>
        <v>3879.0087243091948</v>
      </c>
      <c r="F288" s="428">
        <f t="shared" si="114"/>
        <v>-16150.507690933064</v>
      </c>
      <c r="G288" s="428">
        <f t="shared" si="114"/>
        <v>1290.0291104328462</v>
      </c>
      <c r="H288" s="428">
        <f t="shared" si="114"/>
        <v>4266.3410063557139</v>
      </c>
      <c r="I288" s="428">
        <f t="shared" si="114"/>
        <v>3681.4687066373594</v>
      </c>
      <c r="J288" s="428">
        <f t="shared" si="114"/>
        <v>3788.4920456234681</v>
      </c>
      <c r="K288" s="428">
        <f t="shared" si="114"/>
        <v>4000.2544095221388</v>
      </c>
      <c r="L288" s="428">
        <f t="shared" si="114"/>
        <v>4086.8959232456973</v>
      </c>
      <c r="M288" s="428">
        <f t="shared" si="114"/>
        <v>4096.0341851385565</v>
      </c>
      <c r="N288" s="428">
        <f t="shared" si="114"/>
        <v>4096.3039296547468</v>
      </c>
      <c r="O288" s="428">
        <f t="shared" si="114"/>
        <v>4113.8943122325518</v>
      </c>
      <c r="P288" s="428">
        <f t="shared" si="114"/>
        <v>4174.6991704115981</v>
      </c>
      <c r="Q288" s="428">
        <f t="shared" si="114"/>
        <v>4234.8558443137126</v>
      </c>
      <c r="R288" s="428">
        <f t="shared" si="114"/>
        <v>4293.6348816537511</v>
      </c>
      <c r="S288" s="428">
        <f t="shared" si="114"/>
        <v>4350.2158029126213</v>
      </c>
      <c r="T288" s="428">
        <f t="shared" si="114"/>
        <v>4406.2093705258603</v>
      </c>
      <c r="U288" s="428">
        <f t="shared" si="114"/>
        <v>4461.6929721220822</v>
      </c>
      <c r="V288" s="428">
        <f t="shared" si="114"/>
        <v>4516.714019148244</v>
      </c>
      <c r="W288" s="428">
        <f t="shared" si="114"/>
        <v>4569.8294660448564</v>
      </c>
      <c r="X288" s="428">
        <f t="shared" si="114"/>
        <v>4620.5568250614442</v>
      </c>
      <c r="Y288" s="428">
        <f t="shared" si="114"/>
        <v>4670.7692969358468</v>
      </c>
      <c r="Z288" s="428">
        <f t="shared" si="114"/>
        <v>4719.3911044998322</v>
      </c>
      <c r="AA288" s="428">
        <f t="shared" si="114"/>
        <v>4768.7300250326198</v>
      </c>
      <c r="AB288" s="428">
        <f t="shared" si="114"/>
        <v>4813.6907994279818</v>
      </c>
      <c r="AC288" s="428">
        <f t="shared" si="114"/>
        <v>4858.9243895824075</v>
      </c>
      <c r="AD288" s="428">
        <f t="shared" si="114"/>
        <v>4904.3879469533249</v>
      </c>
      <c r="AE288" s="428">
        <f t="shared" si="114"/>
        <v>4945.9633614485874</v>
      </c>
      <c r="AF288" s="428">
        <f t="shared" si="114"/>
        <v>4985.5833803980668</v>
      </c>
      <c r="AG288" s="428">
        <f t="shared" si="114"/>
        <v>5027.5608432173694</v>
      </c>
      <c r="AH288" s="431"/>
      <c r="AI288" s="431"/>
      <c r="AJ288" s="431"/>
    </row>
    <row r="289" spans="2:36" x14ac:dyDescent="0.25">
      <c r="B289" s="421" t="s">
        <v>104</v>
      </c>
      <c r="E289" s="428">
        <f t="shared" si="113"/>
        <v>33881.303542103422</v>
      </c>
      <c r="F289" s="428">
        <f t="shared" si="114"/>
        <v>36705.00133785182</v>
      </c>
      <c r="G289" s="428">
        <f t="shared" si="114"/>
        <v>32543.202598575903</v>
      </c>
      <c r="H289" s="428">
        <f t="shared" si="114"/>
        <v>77138.076391330891</v>
      </c>
      <c r="I289" s="428">
        <f t="shared" si="114"/>
        <v>61492.34771908039</v>
      </c>
      <c r="J289" s="428">
        <f t="shared" si="114"/>
        <v>63279.981106572086</v>
      </c>
      <c r="K289" s="428">
        <f t="shared" si="114"/>
        <v>66817.092502139407</v>
      </c>
      <c r="L289" s="428">
        <f t="shared" si="114"/>
        <v>68264.283966565272</v>
      </c>
      <c r="M289" s="428">
        <f t="shared" si="114"/>
        <v>68416.922280956103</v>
      </c>
      <c r="N289" s="428">
        <f t="shared" si="114"/>
        <v>68421.427880461822</v>
      </c>
      <c r="O289" s="428">
        <f t="shared" si="114"/>
        <v>68715.2437480355</v>
      </c>
      <c r="P289" s="428">
        <f t="shared" si="114"/>
        <v>69730.880109527352</v>
      </c>
      <c r="Q289" s="428">
        <f t="shared" si="114"/>
        <v>70735.689712429274</v>
      </c>
      <c r="R289" s="428">
        <f t="shared" si="114"/>
        <v>71717.488361482014</v>
      </c>
      <c r="S289" s="428">
        <f t="shared" si="114"/>
        <v>72662.571414352584</v>
      </c>
      <c r="T289" s="428">
        <f t="shared" si="114"/>
        <v>73597.843775488611</v>
      </c>
      <c r="U289" s="428">
        <f t="shared" si="114"/>
        <v>74524.598066761173</v>
      </c>
      <c r="V289" s="428">
        <f t="shared" si="114"/>
        <v>75443.626211561292</v>
      </c>
      <c r="W289" s="428">
        <f t="shared" si="114"/>
        <v>76330.824715770286</v>
      </c>
      <c r="X289" s="428">
        <f t="shared" si="114"/>
        <v>77178.134484802053</v>
      </c>
      <c r="Y289" s="428">
        <f t="shared" si="114"/>
        <v>78016.843985379499</v>
      </c>
      <c r="Z289" s="428">
        <f t="shared" si="114"/>
        <v>78828.984284729144</v>
      </c>
      <c r="AA289" s="428">
        <f t="shared" si="114"/>
        <v>79653.102673136542</v>
      </c>
      <c r="AB289" s="428">
        <f t="shared" si="114"/>
        <v>80404.091963865591</v>
      </c>
      <c r="AC289" s="428">
        <f t="shared" si="114"/>
        <v>81159.638153717344</v>
      </c>
      <c r="AD289" s="428">
        <f t="shared" si="114"/>
        <v>81919.025534454398</v>
      </c>
      <c r="AE289" s="428">
        <f t="shared" si="114"/>
        <v>82613.468445268343</v>
      </c>
      <c r="AF289" s="428">
        <f t="shared" si="114"/>
        <v>83275.249972158796</v>
      </c>
      <c r="AG289" s="428">
        <f t="shared" si="114"/>
        <v>83976.408380865469</v>
      </c>
      <c r="AH289" s="431"/>
      <c r="AI289" s="431"/>
      <c r="AJ289" s="431"/>
    </row>
    <row r="290" spans="2:36" x14ac:dyDescent="0.25">
      <c r="B290" s="421" t="s">
        <v>105</v>
      </c>
      <c r="E290" s="428">
        <f t="shared" si="113"/>
        <v>939021.98896383378</v>
      </c>
      <c r="F290" s="428">
        <f t="shared" si="114"/>
        <v>954480.66766534909</v>
      </c>
      <c r="G290" s="428">
        <f t="shared" si="114"/>
        <v>957861.17716518266</v>
      </c>
      <c r="H290" s="428">
        <f t="shared" si="114"/>
        <v>511557.68573123956</v>
      </c>
      <c r="I290" s="428">
        <f t="shared" si="114"/>
        <v>626445.9960201066</v>
      </c>
      <c r="J290" s="428">
        <f t="shared" si="114"/>
        <v>644657.29904372722</v>
      </c>
      <c r="K290" s="428">
        <f t="shared" si="114"/>
        <v>680691.20169049036</v>
      </c>
      <c r="L290" s="428">
        <f t="shared" si="114"/>
        <v>695434.29301797843</v>
      </c>
      <c r="M290" s="428">
        <f t="shared" si="114"/>
        <v>696989.27773455193</v>
      </c>
      <c r="N290" s="428">
        <f t="shared" si="114"/>
        <v>697035.17799490504</v>
      </c>
      <c r="O290" s="428">
        <f t="shared" si="114"/>
        <v>700028.39228312112</v>
      </c>
      <c r="P290" s="428">
        <f t="shared" si="114"/>
        <v>710375.06720559404</v>
      </c>
      <c r="Q290" s="428">
        <f t="shared" si="114"/>
        <v>720611.44580958015</v>
      </c>
      <c r="R290" s="428">
        <f t="shared" si="114"/>
        <v>730613.40305159008</v>
      </c>
      <c r="S290" s="428">
        <f t="shared" si="114"/>
        <v>740241.32451397902</v>
      </c>
      <c r="T290" s="428">
        <f t="shared" si="114"/>
        <v>749769.30071840913</v>
      </c>
      <c r="U290" s="428">
        <f t="shared" si="114"/>
        <v>759210.50009681575</v>
      </c>
      <c r="V290" s="428">
        <f t="shared" si="114"/>
        <v>768572.99027477938</v>
      </c>
      <c r="W290" s="428">
        <f t="shared" si="114"/>
        <v>777611.21976596373</v>
      </c>
      <c r="X290" s="428">
        <f t="shared" ref="F290:AG291" si="116">X$24*X262/SUM(X$253:X$263)</f>
        <v>786243.08750052354</v>
      </c>
      <c r="Y290" s="428">
        <f t="shared" si="116"/>
        <v>794787.34102066921</v>
      </c>
      <c r="Z290" s="428">
        <f t="shared" si="116"/>
        <v>803060.92395587207</v>
      </c>
      <c r="AA290" s="428">
        <f t="shared" si="116"/>
        <v>811456.53225209226</v>
      </c>
      <c r="AB290" s="428">
        <f t="shared" si="116"/>
        <v>819107.14654283936</v>
      </c>
      <c r="AC290" s="428">
        <f t="shared" si="116"/>
        <v>826804.18370270065</v>
      </c>
      <c r="AD290" s="428">
        <f t="shared" si="116"/>
        <v>834540.35253893002</v>
      </c>
      <c r="AE290" s="428">
        <f t="shared" si="116"/>
        <v>841614.90729379677</v>
      </c>
      <c r="AF290" s="428">
        <f t="shared" si="116"/>
        <v>848356.72807537601</v>
      </c>
      <c r="AG290" s="428">
        <f t="shared" si="116"/>
        <v>855499.69616819848</v>
      </c>
    </row>
    <row r="291" spans="2:36" x14ac:dyDescent="0.25">
      <c r="B291" s="421" t="s">
        <v>106</v>
      </c>
      <c r="E291" s="428">
        <f t="shared" si="113"/>
        <v>16357.890164083405</v>
      </c>
      <c r="F291" s="428">
        <f t="shared" si="116"/>
        <v>21162.294997396439</v>
      </c>
      <c r="G291" s="428">
        <f t="shared" si="116"/>
        <v>23980.423559851984</v>
      </c>
      <c r="H291" s="428">
        <f t="shared" si="116"/>
        <v>31317.511489989811</v>
      </c>
      <c r="I291" s="428">
        <f t="shared" si="116"/>
        <v>34983.746639328616</v>
      </c>
      <c r="J291" s="428">
        <f t="shared" si="116"/>
        <v>36000.753077230627</v>
      </c>
      <c r="K291" s="428">
        <f t="shared" si="116"/>
        <v>38013.058892303845</v>
      </c>
      <c r="L291" s="428">
        <f t="shared" si="116"/>
        <v>38836.383767804793</v>
      </c>
      <c r="M291" s="428">
        <f t="shared" si="116"/>
        <v>38923.221566590706</v>
      </c>
      <c r="N291" s="428">
        <f t="shared" si="116"/>
        <v>38925.7848571043</v>
      </c>
      <c r="O291" s="428">
        <f t="shared" si="116"/>
        <v>39092.940287838042</v>
      </c>
      <c r="P291" s="428">
        <f t="shared" si="116"/>
        <v>39670.748201603805</v>
      </c>
      <c r="Q291" s="428">
        <f t="shared" si="116"/>
        <v>40242.396640353807</v>
      </c>
      <c r="R291" s="428">
        <f t="shared" si="116"/>
        <v>40800.953866794509</v>
      </c>
      <c r="S291" s="428">
        <f t="shared" si="116"/>
        <v>41338.623142747172</v>
      </c>
      <c r="T291" s="428">
        <f t="shared" si="116"/>
        <v>41870.710996511079</v>
      </c>
      <c r="U291" s="428">
        <f t="shared" si="116"/>
        <v>42397.952816434794</v>
      </c>
      <c r="V291" s="428">
        <f t="shared" si="116"/>
        <v>42920.799137394555</v>
      </c>
      <c r="W291" s="428">
        <f t="shared" si="116"/>
        <v>43425.537187596012</v>
      </c>
      <c r="X291" s="428">
        <f t="shared" si="116"/>
        <v>43907.582049832381</v>
      </c>
      <c r="Y291" s="428">
        <f t="shared" si="116"/>
        <v>44384.73411444766</v>
      </c>
      <c r="Z291" s="428">
        <f t="shared" si="116"/>
        <v>44846.770636419969</v>
      </c>
      <c r="AA291" s="428">
        <f t="shared" si="116"/>
        <v>45315.621639353965</v>
      </c>
      <c r="AB291" s="428">
        <f t="shared" si="116"/>
        <v>45742.868606663382</v>
      </c>
      <c r="AC291" s="428">
        <f t="shared" si="116"/>
        <v>46172.7080494642</v>
      </c>
      <c r="AD291" s="428">
        <f t="shared" si="116"/>
        <v>46604.732792610666</v>
      </c>
      <c r="AE291" s="428">
        <f t="shared" si="116"/>
        <v>46999.809834690393</v>
      </c>
      <c r="AF291" s="428">
        <f t="shared" si="116"/>
        <v>47376.305417085285</v>
      </c>
      <c r="AG291" s="428">
        <f t="shared" si="116"/>
        <v>47775.202987825098</v>
      </c>
    </row>
    <row r="292" spans="2:36" x14ac:dyDescent="0.25">
      <c r="B292" s="422"/>
      <c r="C292" s="423"/>
      <c r="E292" s="443">
        <f>SUM(E281:E291)</f>
        <v>16303042.016186014</v>
      </c>
      <c r="F292" s="443">
        <f t="shared" ref="F292:AG292" si="117">SUM(F281:F291)</f>
        <v>16631433.494169878</v>
      </c>
      <c r="G292" s="443">
        <f t="shared" si="117"/>
        <v>17030733.42946719</v>
      </c>
      <c r="H292" s="443">
        <f t="shared" si="117"/>
        <v>14062610.885499973</v>
      </c>
      <c r="I292" s="443">
        <f t="shared" si="117"/>
        <v>15261007.166184805</v>
      </c>
      <c r="J292" s="443">
        <f t="shared" si="117"/>
        <v>15704657.261667449</v>
      </c>
      <c r="K292" s="443">
        <f t="shared" si="117"/>
        <v>16582488.152137702</v>
      </c>
      <c r="L292" s="443">
        <f t="shared" si="117"/>
        <v>16941648.27739979</v>
      </c>
      <c r="M292" s="443">
        <f t="shared" si="117"/>
        <v>16979529.647946812</v>
      </c>
      <c r="N292" s="443">
        <f t="shared" si="117"/>
        <v>16980647.835638374</v>
      </c>
      <c r="O292" s="443">
        <f t="shared" si="117"/>
        <v>17053566.275524016</v>
      </c>
      <c r="P292" s="443">
        <f t="shared" si="117"/>
        <v>17305624.204126336</v>
      </c>
      <c r="Q292" s="443">
        <f t="shared" si="117"/>
        <v>17554995.176602304</v>
      </c>
      <c r="R292" s="443">
        <f t="shared" si="117"/>
        <v>17798655.351806428</v>
      </c>
      <c r="S292" s="443">
        <f t="shared" si="117"/>
        <v>18033203.548085853</v>
      </c>
      <c r="T292" s="443">
        <f t="shared" si="117"/>
        <v>18265316.953006364</v>
      </c>
      <c r="U292" s="443">
        <f t="shared" si="117"/>
        <v>18495316.366023</v>
      </c>
      <c r="V292" s="443">
        <f t="shared" si="117"/>
        <v>18723398.324574865</v>
      </c>
      <c r="W292" s="443">
        <f t="shared" si="117"/>
        <v>18943580.887654342</v>
      </c>
      <c r="X292" s="443">
        <f t="shared" si="117"/>
        <v>19153863.970620122</v>
      </c>
      <c r="Y292" s="443">
        <f t="shared" si="117"/>
        <v>19362012.661854573</v>
      </c>
      <c r="Z292" s="443">
        <f t="shared" si="117"/>
        <v>19563567.479454685</v>
      </c>
      <c r="AA292" s="443">
        <f t="shared" si="117"/>
        <v>19768094.987311855</v>
      </c>
      <c r="AB292" s="443">
        <f t="shared" si="117"/>
        <v>19954473.510374617</v>
      </c>
      <c r="AC292" s="443">
        <f t="shared" si="117"/>
        <v>20141982.952531327</v>
      </c>
      <c r="AD292" s="443">
        <f t="shared" si="117"/>
        <v>20330445.691216819</v>
      </c>
      <c r="AE292" s="443">
        <f t="shared" si="117"/>
        <v>20502790.68423697</v>
      </c>
      <c r="AF292" s="443">
        <f t="shared" si="117"/>
        <v>20667029.861938596</v>
      </c>
      <c r="AG292" s="443">
        <f t="shared" si="117"/>
        <v>20841041.489349321</v>
      </c>
      <c r="AH292" s="423"/>
      <c r="AI292" s="423"/>
    </row>
    <row r="293" spans="2:36" x14ac:dyDescent="0.25">
      <c r="E293" s="423"/>
      <c r="F293" s="423"/>
      <c r="G293" s="423"/>
      <c r="H293" s="423"/>
      <c r="I293" s="423"/>
      <c r="J293" s="423"/>
      <c r="K293" s="423"/>
      <c r="L293" s="423"/>
      <c r="M293" s="423"/>
      <c r="N293" s="423"/>
      <c r="O293" s="423"/>
      <c r="P293" s="423"/>
      <c r="Q293" s="423"/>
      <c r="R293" s="423"/>
      <c r="S293" s="423"/>
      <c r="T293" s="423"/>
      <c r="U293" s="423"/>
      <c r="V293" s="423"/>
      <c r="W293" s="423"/>
      <c r="X293" s="423"/>
      <c r="Y293" s="423"/>
      <c r="Z293" s="423"/>
      <c r="AA293" s="423"/>
      <c r="AB293" s="423"/>
      <c r="AC293" s="423"/>
      <c r="AD293" s="423"/>
      <c r="AE293" s="423"/>
      <c r="AF293" s="423"/>
      <c r="AG293" s="423"/>
      <c r="AH293" s="423"/>
      <c r="AI293" s="423"/>
    </row>
    <row r="294" spans="2:36" x14ac:dyDescent="0.25">
      <c r="B294" s="422"/>
      <c r="C294" s="442"/>
      <c r="E294" s="423"/>
      <c r="F294" s="423"/>
      <c r="G294" s="423"/>
      <c r="H294" s="423"/>
      <c r="I294" s="423"/>
      <c r="J294" s="423"/>
      <c r="K294" s="423"/>
      <c r="L294" s="423"/>
      <c r="M294" s="423"/>
      <c r="N294" s="423"/>
      <c r="O294" s="423"/>
      <c r="P294" s="423"/>
      <c r="Q294" s="423"/>
      <c r="R294" s="423"/>
      <c r="S294" s="423"/>
      <c r="T294" s="423"/>
      <c r="U294" s="423"/>
      <c r="V294" s="423"/>
      <c r="W294" s="423"/>
      <c r="X294" s="423"/>
      <c r="Y294" s="423"/>
      <c r="Z294" s="423"/>
      <c r="AA294" s="423"/>
      <c r="AB294" s="423"/>
      <c r="AC294" s="423"/>
      <c r="AD294" s="423"/>
      <c r="AE294" s="423"/>
      <c r="AF294" s="423"/>
      <c r="AG294" s="423"/>
      <c r="AH294" s="431"/>
      <c r="AI294" s="431"/>
    </row>
    <row r="295" spans="2:36" x14ac:dyDescent="0.25">
      <c r="C295" s="442"/>
      <c r="E295" s="444"/>
      <c r="F295" s="444"/>
      <c r="G295" s="444"/>
      <c r="H295" s="444"/>
      <c r="I295" s="444"/>
      <c r="J295" s="444"/>
      <c r="K295" s="444"/>
      <c r="L295" s="444"/>
      <c r="M295" s="444"/>
      <c r="N295" s="444"/>
      <c r="O295" s="444"/>
      <c r="P295" s="444"/>
      <c r="Q295" s="444"/>
      <c r="R295" s="444"/>
      <c r="S295" s="444"/>
      <c r="T295" s="444"/>
      <c r="U295" s="444"/>
      <c r="V295" s="444"/>
      <c r="W295" s="444"/>
      <c r="X295" s="444"/>
      <c r="Y295" s="444"/>
      <c r="Z295" s="444"/>
      <c r="AA295" s="444"/>
      <c r="AB295" s="444"/>
      <c r="AC295" s="444"/>
      <c r="AD295" s="444"/>
      <c r="AE295" s="444"/>
      <c r="AF295" s="444"/>
      <c r="AG295" s="444"/>
      <c r="AH295" s="431"/>
      <c r="AI295" s="431"/>
    </row>
    <row r="296" spans="2:36" x14ac:dyDescent="0.25">
      <c r="C296" s="442"/>
      <c r="E296" s="444"/>
      <c r="F296" s="444"/>
      <c r="G296" s="444"/>
      <c r="H296" s="444"/>
      <c r="I296" s="444"/>
      <c r="J296" s="444"/>
      <c r="K296" s="444"/>
      <c r="L296" s="444"/>
      <c r="M296" s="444"/>
      <c r="N296" s="444"/>
      <c r="O296" s="444"/>
      <c r="P296" s="444"/>
      <c r="Q296" s="444"/>
      <c r="R296" s="444"/>
      <c r="S296" s="444"/>
      <c r="T296" s="444"/>
      <c r="U296" s="444"/>
      <c r="V296" s="444"/>
      <c r="W296" s="444"/>
      <c r="X296" s="444"/>
      <c r="Y296" s="444"/>
      <c r="Z296" s="444"/>
      <c r="AA296" s="444"/>
      <c r="AB296" s="444"/>
      <c r="AC296" s="444"/>
      <c r="AD296" s="444"/>
      <c r="AE296" s="444"/>
      <c r="AF296" s="444"/>
      <c r="AG296" s="444"/>
      <c r="AH296" s="431"/>
      <c r="AI296" s="431"/>
    </row>
    <row r="297" spans="2:36" x14ac:dyDescent="0.25">
      <c r="C297" s="442"/>
      <c r="E297" s="444"/>
      <c r="F297" s="444"/>
      <c r="G297" s="444"/>
      <c r="H297" s="444"/>
      <c r="I297" s="444"/>
      <c r="J297" s="444"/>
      <c r="K297" s="444"/>
      <c r="L297" s="444"/>
      <c r="M297" s="444"/>
      <c r="N297" s="444"/>
      <c r="O297" s="444"/>
      <c r="P297" s="444"/>
      <c r="Q297" s="444"/>
      <c r="R297" s="444"/>
      <c r="S297" s="444"/>
      <c r="T297" s="444"/>
      <c r="U297" s="444"/>
      <c r="V297" s="444"/>
      <c r="W297" s="444"/>
      <c r="X297" s="444"/>
      <c r="Y297" s="444"/>
      <c r="Z297" s="444"/>
      <c r="AA297" s="444"/>
      <c r="AB297" s="444"/>
      <c r="AC297" s="444"/>
      <c r="AD297" s="444"/>
      <c r="AE297" s="444"/>
      <c r="AF297" s="444"/>
      <c r="AG297" s="444"/>
      <c r="AH297" s="431"/>
      <c r="AI297" s="431"/>
    </row>
    <row r="298" spans="2:36" x14ac:dyDescent="0.25">
      <c r="C298" s="442"/>
      <c r="E298" s="444"/>
      <c r="F298" s="444"/>
      <c r="G298" s="444"/>
      <c r="H298" s="444"/>
      <c r="I298" s="444"/>
      <c r="J298" s="444"/>
      <c r="K298" s="444"/>
      <c r="L298" s="444"/>
      <c r="M298" s="444"/>
      <c r="N298" s="444"/>
      <c r="O298" s="444"/>
      <c r="P298" s="444"/>
      <c r="Q298" s="444"/>
      <c r="R298" s="444"/>
      <c r="S298" s="444"/>
      <c r="T298" s="444"/>
      <c r="U298" s="444"/>
      <c r="V298" s="444"/>
      <c r="W298" s="444"/>
      <c r="X298" s="444"/>
      <c r="Y298" s="444"/>
      <c r="Z298" s="444"/>
      <c r="AA298" s="444"/>
      <c r="AB298" s="444"/>
      <c r="AC298" s="444"/>
      <c r="AD298" s="444"/>
      <c r="AE298" s="444"/>
      <c r="AF298" s="444"/>
      <c r="AG298" s="444"/>
    </row>
    <row r="299" spans="2:36" x14ac:dyDescent="0.25">
      <c r="C299" s="442"/>
      <c r="E299" s="444"/>
      <c r="F299" s="444"/>
      <c r="G299" s="444"/>
      <c r="H299" s="444"/>
      <c r="I299" s="444"/>
      <c r="J299" s="444"/>
      <c r="K299" s="444"/>
      <c r="L299" s="444"/>
      <c r="M299" s="444"/>
      <c r="N299" s="444"/>
      <c r="O299" s="444"/>
      <c r="P299" s="444"/>
      <c r="Q299" s="444"/>
      <c r="R299" s="444"/>
      <c r="S299" s="444"/>
      <c r="T299" s="444"/>
      <c r="U299" s="444"/>
      <c r="V299" s="444"/>
      <c r="W299" s="444"/>
      <c r="X299" s="444"/>
      <c r="Y299" s="444"/>
      <c r="Z299" s="444"/>
      <c r="AA299" s="444"/>
      <c r="AB299" s="444"/>
      <c r="AC299" s="444"/>
      <c r="AD299" s="444"/>
      <c r="AE299" s="444"/>
      <c r="AF299" s="444"/>
      <c r="AG299" s="444"/>
    </row>
    <row r="300" spans="2:36" x14ac:dyDescent="0.25">
      <c r="C300" s="442"/>
      <c r="E300" s="444"/>
      <c r="F300" s="444"/>
      <c r="G300" s="444"/>
      <c r="H300" s="444"/>
      <c r="I300" s="444"/>
      <c r="J300" s="444"/>
      <c r="K300" s="444"/>
      <c r="L300" s="444"/>
      <c r="M300" s="444"/>
      <c r="N300" s="444"/>
      <c r="O300" s="444"/>
      <c r="P300" s="444"/>
      <c r="Q300" s="444"/>
      <c r="R300" s="444"/>
      <c r="S300" s="444"/>
      <c r="T300" s="444"/>
      <c r="U300" s="444"/>
      <c r="V300" s="444"/>
      <c r="W300" s="444"/>
      <c r="X300" s="444"/>
      <c r="Y300" s="444"/>
      <c r="Z300" s="444"/>
      <c r="AA300" s="444"/>
      <c r="AB300" s="444"/>
      <c r="AC300" s="444"/>
      <c r="AD300" s="444"/>
      <c r="AE300" s="444"/>
      <c r="AF300" s="444"/>
      <c r="AG300" s="444"/>
      <c r="AH300" s="431"/>
      <c r="AI300" s="431"/>
    </row>
    <row r="301" spans="2:36" x14ac:dyDescent="0.25">
      <c r="C301" s="442"/>
      <c r="E301" s="444"/>
      <c r="F301" s="444"/>
      <c r="G301" s="444"/>
      <c r="H301" s="444"/>
      <c r="I301" s="444"/>
      <c r="J301" s="444"/>
      <c r="K301" s="444"/>
      <c r="L301" s="444"/>
      <c r="M301" s="444"/>
      <c r="N301" s="444"/>
      <c r="O301" s="444"/>
      <c r="P301" s="444"/>
      <c r="Q301" s="444"/>
      <c r="R301" s="444"/>
      <c r="S301" s="444"/>
      <c r="T301" s="444"/>
      <c r="U301" s="444"/>
      <c r="V301" s="444"/>
      <c r="W301" s="444"/>
      <c r="X301" s="444"/>
      <c r="Y301" s="444"/>
      <c r="Z301" s="444"/>
      <c r="AA301" s="444"/>
      <c r="AB301" s="444"/>
      <c r="AC301" s="444"/>
      <c r="AD301" s="444"/>
      <c r="AE301" s="444"/>
      <c r="AF301" s="444"/>
      <c r="AG301" s="444"/>
      <c r="AH301" s="431"/>
      <c r="AI301" s="431"/>
    </row>
    <row r="302" spans="2:36" x14ac:dyDescent="0.25">
      <c r="C302" s="442"/>
      <c r="E302" s="444"/>
      <c r="F302" s="444"/>
      <c r="G302" s="444"/>
      <c r="H302" s="444"/>
      <c r="I302" s="444"/>
      <c r="J302" s="444"/>
      <c r="K302" s="444"/>
      <c r="L302" s="444"/>
      <c r="M302" s="444"/>
      <c r="N302" s="444"/>
      <c r="O302" s="444"/>
      <c r="P302" s="444"/>
      <c r="Q302" s="444"/>
      <c r="R302" s="444"/>
      <c r="S302" s="444"/>
      <c r="T302" s="444"/>
      <c r="U302" s="444"/>
      <c r="V302" s="444"/>
      <c r="W302" s="444"/>
      <c r="X302" s="444"/>
      <c r="Y302" s="444"/>
      <c r="Z302" s="444"/>
      <c r="AA302" s="444"/>
      <c r="AB302" s="444"/>
      <c r="AC302" s="444"/>
      <c r="AD302" s="444"/>
      <c r="AE302" s="444"/>
      <c r="AF302" s="444"/>
      <c r="AG302" s="444"/>
      <c r="AH302" s="431"/>
      <c r="AI302" s="431"/>
    </row>
    <row r="303" spans="2:36" x14ac:dyDescent="0.25">
      <c r="C303" s="442"/>
      <c r="E303" s="444"/>
      <c r="F303" s="444"/>
      <c r="G303" s="444"/>
      <c r="H303" s="444"/>
      <c r="I303" s="444"/>
      <c r="J303" s="444"/>
      <c r="K303" s="444"/>
      <c r="L303" s="444"/>
      <c r="M303" s="444"/>
      <c r="N303" s="444"/>
      <c r="O303" s="444"/>
      <c r="P303" s="444"/>
      <c r="Q303" s="444"/>
      <c r="R303" s="444"/>
      <c r="S303" s="444"/>
      <c r="T303" s="444"/>
      <c r="U303" s="444"/>
      <c r="V303" s="444"/>
      <c r="W303" s="444"/>
      <c r="X303" s="444"/>
      <c r="Y303" s="444"/>
      <c r="Z303" s="444"/>
      <c r="AA303" s="444"/>
      <c r="AB303" s="444"/>
      <c r="AC303" s="444"/>
      <c r="AD303" s="444"/>
      <c r="AE303" s="444"/>
      <c r="AF303" s="444"/>
      <c r="AG303" s="444"/>
      <c r="AH303" s="431"/>
      <c r="AI303" s="431"/>
    </row>
    <row r="304" spans="2:36" x14ac:dyDescent="0.25">
      <c r="E304" s="444"/>
      <c r="F304" s="444"/>
      <c r="G304" s="444"/>
      <c r="H304" s="444"/>
      <c r="I304" s="444"/>
      <c r="J304" s="444"/>
      <c r="K304" s="444"/>
      <c r="L304" s="444"/>
      <c r="M304" s="444"/>
      <c r="N304" s="444"/>
      <c r="O304" s="444"/>
      <c r="P304" s="444"/>
      <c r="Q304" s="444"/>
      <c r="R304" s="444"/>
      <c r="S304" s="444"/>
      <c r="T304" s="444"/>
      <c r="U304" s="444"/>
      <c r="V304" s="444"/>
      <c r="W304" s="444"/>
      <c r="X304" s="444"/>
      <c r="Y304" s="444"/>
      <c r="Z304" s="444"/>
      <c r="AA304" s="444"/>
      <c r="AB304" s="444"/>
      <c r="AC304" s="444"/>
      <c r="AD304" s="444"/>
      <c r="AE304" s="444"/>
      <c r="AF304" s="444"/>
      <c r="AG304" s="444"/>
    </row>
    <row r="305" spans="3:35" x14ac:dyDescent="0.25">
      <c r="E305" s="444"/>
      <c r="F305" s="444"/>
      <c r="G305" s="444"/>
      <c r="H305" s="444"/>
      <c r="I305" s="444"/>
      <c r="J305" s="444"/>
      <c r="K305" s="444"/>
      <c r="L305" s="444"/>
      <c r="M305" s="444"/>
      <c r="N305" s="444"/>
      <c r="O305" s="444"/>
      <c r="P305" s="444"/>
      <c r="Q305" s="444"/>
      <c r="R305" s="444"/>
      <c r="S305" s="444"/>
      <c r="T305" s="444"/>
      <c r="U305" s="444"/>
      <c r="V305" s="444"/>
      <c r="W305" s="444"/>
      <c r="X305" s="444"/>
      <c r="Y305" s="444"/>
      <c r="Z305" s="444"/>
      <c r="AA305" s="444"/>
      <c r="AB305" s="444"/>
      <c r="AC305" s="444"/>
      <c r="AD305" s="444"/>
      <c r="AE305" s="444"/>
      <c r="AF305" s="444"/>
      <c r="AG305" s="444"/>
    </row>
    <row r="306" spans="3:35" x14ac:dyDescent="0.25">
      <c r="C306" s="442"/>
      <c r="E306" s="431"/>
      <c r="F306" s="431"/>
      <c r="G306" s="431"/>
      <c r="H306" s="431"/>
      <c r="I306" s="431"/>
      <c r="J306" s="431"/>
      <c r="K306" s="431"/>
      <c r="L306" s="431"/>
      <c r="M306" s="431"/>
      <c r="N306" s="431"/>
      <c r="O306" s="431"/>
      <c r="P306" s="431"/>
      <c r="Q306" s="431"/>
      <c r="R306" s="431"/>
      <c r="S306" s="431"/>
      <c r="T306" s="431"/>
      <c r="U306" s="431"/>
      <c r="V306" s="431"/>
      <c r="W306" s="431"/>
      <c r="X306" s="431"/>
      <c r="Y306" s="431"/>
      <c r="Z306" s="431"/>
      <c r="AA306" s="431"/>
      <c r="AB306" s="431"/>
      <c r="AC306" s="431"/>
      <c r="AD306" s="431"/>
      <c r="AE306" s="431"/>
      <c r="AF306" s="431"/>
      <c r="AG306" s="431"/>
      <c r="AH306" s="431"/>
      <c r="AI306" s="431"/>
    </row>
    <row r="307" spans="3:35" x14ac:dyDescent="0.25">
      <c r="C307" s="442"/>
      <c r="E307" s="431"/>
      <c r="F307" s="431"/>
      <c r="G307" s="431"/>
      <c r="H307" s="431"/>
      <c r="I307" s="431"/>
      <c r="J307" s="431"/>
      <c r="K307" s="431"/>
      <c r="L307" s="431"/>
      <c r="M307" s="431"/>
      <c r="N307" s="431"/>
      <c r="O307" s="431"/>
      <c r="P307" s="431"/>
      <c r="Q307" s="431"/>
      <c r="R307" s="431"/>
      <c r="S307" s="431"/>
      <c r="T307" s="431"/>
      <c r="U307" s="431"/>
      <c r="V307" s="431"/>
      <c r="W307" s="431"/>
      <c r="X307" s="431"/>
      <c r="Y307" s="431"/>
      <c r="Z307" s="431"/>
      <c r="AA307" s="431"/>
      <c r="AB307" s="431"/>
      <c r="AC307" s="431"/>
      <c r="AD307" s="431"/>
      <c r="AE307" s="431"/>
      <c r="AF307" s="431"/>
      <c r="AG307" s="431"/>
      <c r="AH307" s="431"/>
      <c r="AI307" s="431"/>
    </row>
    <row r="308" spans="3:35" x14ac:dyDescent="0.25">
      <c r="C308" s="442"/>
      <c r="E308" s="431"/>
      <c r="F308" s="431"/>
      <c r="G308" s="431"/>
      <c r="H308" s="431"/>
      <c r="I308" s="431"/>
      <c r="J308" s="431"/>
      <c r="K308" s="431"/>
      <c r="L308" s="431"/>
      <c r="M308" s="431"/>
      <c r="N308" s="431"/>
      <c r="O308" s="431"/>
      <c r="P308" s="431"/>
      <c r="Q308" s="431"/>
      <c r="R308" s="431"/>
      <c r="S308" s="431"/>
      <c r="T308" s="431"/>
      <c r="U308" s="431"/>
      <c r="V308" s="431"/>
      <c r="W308" s="431"/>
      <c r="X308" s="431"/>
      <c r="Y308" s="431"/>
      <c r="Z308" s="431"/>
      <c r="AA308" s="431"/>
      <c r="AB308" s="431"/>
      <c r="AC308" s="431"/>
      <c r="AD308" s="431"/>
      <c r="AE308" s="431"/>
      <c r="AF308" s="431"/>
      <c r="AG308" s="431"/>
      <c r="AH308" s="431"/>
      <c r="AI308" s="431"/>
    </row>
    <row r="309" spans="3:35" x14ac:dyDescent="0.25">
      <c r="C309" s="442"/>
      <c r="E309" s="431"/>
      <c r="F309" s="431"/>
      <c r="G309" s="431"/>
      <c r="H309" s="431"/>
      <c r="I309" s="431"/>
      <c r="J309" s="431"/>
      <c r="K309" s="431"/>
      <c r="L309" s="431"/>
      <c r="M309" s="431"/>
      <c r="N309" s="431"/>
      <c r="O309" s="431"/>
      <c r="P309" s="431"/>
      <c r="Q309" s="431"/>
      <c r="R309" s="431"/>
      <c r="S309" s="431"/>
      <c r="T309" s="431"/>
      <c r="U309" s="431"/>
      <c r="V309" s="431"/>
      <c r="W309" s="431"/>
      <c r="X309" s="431"/>
      <c r="Y309" s="431"/>
      <c r="Z309" s="431"/>
      <c r="AA309" s="431"/>
      <c r="AB309" s="431"/>
      <c r="AC309" s="431"/>
      <c r="AD309" s="431"/>
      <c r="AE309" s="431"/>
      <c r="AF309" s="431"/>
      <c r="AG309" s="431"/>
      <c r="AH309" s="431"/>
      <c r="AI309" s="431"/>
    </row>
    <row r="312" spans="3:35" x14ac:dyDescent="0.25">
      <c r="C312" s="442"/>
      <c r="E312" s="431"/>
      <c r="F312" s="431"/>
      <c r="G312" s="431"/>
      <c r="H312" s="431"/>
      <c r="I312" s="431"/>
      <c r="J312" s="431"/>
      <c r="K312" s="431"/>
      <c r="L312" s="431"/>
      <c r="M312" s="431"/>
      <c r="N312" s="431"/>
      <c r="O312" s="431"/>
      <c r="P312" s="431"/>
      <c r="Q312" s="431"/>
      <c r="R312" s="431"/>
      <c r="S312" s="431"/>
      <c r="T312" s="431"/>
      <c r="U312" s="431"/>
      <c r="V312" s="431"/>
      <c r="W312" s="431"/>
      <c r="X312" s="431"/>
      <c r="Y312" s="431"/>
      <c r="Z312" s="431"/>
      <c r="AA312" s="431"/>
      <c r="AB312" s="431"/>
      <c r="AC312" s="431"/>
      <c r="AD312" s="431"/>
      <c r="AE312" s="431"/>
      <c r="AF312" s="431"/>
      <c r="AG312" s="431"/>
      <c r="AH312" s="431"/>
      <c r="AI312" s="431"/>
    </row>
    <row r="313" spans="3:35" x14ac:dyDescent="0.25">
      <c r="C313" s="442"/>
      <c r="E313" s="431"/>
      <c r="F313" s="431"/>
      <c r="G313" s="431"/>
      <c r="H313" s="431"/>
      <c r="I313" s="431"/>
      <c r="J313" s="431"/>
      <c r="K313" s="431"/>
      <c r="L313" s="431"/>
      <c r="M313" s="431"/>
      <c r="N313" s="431"/>
      <c r="O313" s="431"/>
      <c r="P313" s="431"/>
      <c r="Q313" s="431"/>
      <c r="R313" s="431"/>
      <c r="S313" s="431"/>
      <c r="T313" s="431"/>
      <c r="U313" s="431"/>
      <c r="V313" s="431"/>
      <c r="W313" s="431"/>
      <c r="X313" s="431"/>
      <c r="Y313" s="431"/>
      <c r="Z313" s="431"/>
      <c r="AA313" s="431"/>
      <c r="AB313" s="431"/>
      <c r="AC313" s="431"/>
      <c r="AD313" s="431"/>
      <c r="AE313" s="431"/>
      <c r="AF313" s="431"/>
      <c r="AG313" s="431"/>
      <c r="AH313" s="431"/>
      <c r="AI313" s="431"/>
    </row>
    <row r="314" spans="3:35" x14ac:dyDescent="0.25">
      <c r="C314" s="442"/>
      <c r="E314" s="431"/>
      <c r="F314" s="431"/>
      <c r="G314" s="431"/>
      <c r="H314" s="431"/>
      <c r="I314" s="431"/>
      <c r="J314" s="431"/>
      <c r="K314" s="431"/>
      <c r="L314" s="431"/>
      <c r="M314" s="431"/>
      <c r="N314" s="431"/>
      <c r="O314" s="431"/>
      <c r="P314" s="431"/>
      <c r="Q314" s="431"/>
      <c r="R314" s="431"/>
      <c r="S314" s="431"/>
      <c r="T314" s="431"/>
      <c r="U314" s="431"/>
      <c r="V314" s="431"/>
      <c r="W314" s="431"/>
      <c r="X314" s="431"/>
      <c r="Y314" s="431"/>
      <c r="Z314" s="431"/>
      <c r="AA314" s="431"/>
      <c r="AB314" s="431"/>
      <c r="AC314" s="431"/>
      <c r="AD314" s="431"/>
      <c r="AE314" s="431"/>
      <c r="AF314" s="431"/>
      <c r="AG314" s="431"/>
      <c r="AH314" s="431"/>
      <c r="AI314" s="431"/>
    </row>
    <row r="315" spans="3:35" x14ac:dyDescent="0.25">
      <c r="C315" s="442"/>
      <c r="E315" s="431"/>
      <c r="F315" s="431"/>
      <c r="G315" s="431"/>
      <c r="H315" s="431"/>
      <c r="I315" s="431"/>
      <c r="J315" s="431"/>
      <c r="K315" s="431"/>
      <c r="L315" s="431"/>
      <c r="M315" s="431"/>
      <c r="N315" s="431"/>
      <c r="O315" s="431"/>
      <c r="P315" s="431"/>
      <c r="Q315" s="431"/>
      <c r="R315" s="431"/>
      <c r="S315" s="431"/>
      <c r="T315" s="431"/>
      <c r="U315" s="431"/>
      <c r="V315" s="431"/>
      <c r="W315" s="431"/>
      <c r="X315" s="431"/>
      <c r="Y315" s="431"/>
      <c r="Z315" s="431"/>
      <c r="AA315" s="431"/>
      <c r="AB315" s="431"/>
      <c r="AC315" s="431"/>
      <c r="AD315" s="431"/>
      <c r="AE315" s="431"/>
      <c r="AF315" s="431"/>
      <c r="AG315" s="431"/>
      <c r="AH315" s="431"/>
      <c r="AI315" s="431"/>
    </row>
    <row r="318" spans="3:35" x14ac:dyDescent="0.25">
      <c r="C318" s="442"/>
      <c r="E318" s="431"/>
      <c r="F318" s="431"/>
      <c r="G318" s="431"/>
      <c r="H318" s="431"/>
      <c r="I318" s="431"/>
      <c r="J318" s="431"/>
      <c r="K318" s="431"/>
      <c r="L318" s="431"/>
      <c r="M318" s="431"/>
      <c r="N318" s="431"/>
      <c r="O318" s="431"/>
      <c r="P318" s="431"/>
      <c r="Q318" s="431"/>
      <c r="R318" s="431"/>
      <c r="S318" s="431"/>
      <c r="T318" s="431"/>
      <c r="U318" s="431"/>
      <c r="V318" s="431"/>
      <c r="W318" s="431"/>
      <c r="X318" s="431"/>
      <c r="Y318" s="431"/>
      <c r="Z318" s="431"/>
      <c r="AA318" s="431"/>
      <c r="AB318" s="431"/>
      <c r="AC318" s="431"/>
      <c r="AD318" s="431"/>
      <c r="AE318" s="431"/>
      <c r="AF318" s="431"/>
      <c r="AG318" s="431"/>
      <c r="AH318" s="431"/>
      <c r="AI318" s="431"/>
    </row>
    <row r="319" spans="3:35" x14ac:dyDescent="0.25">
      <c r="C319" s="442"/>
      <c r="E319" s="431"/>
      <c r="F319" s="431"/>
      <c r="G319" s="431"/>
      <c r="H319" s="431"/>
      <c r="I319" s="431"/>
      <c r="J319" s="431"/>
      <c r="K319" s="431"/>
      <c r="L319" s="431"/>
      <c r="M319" s="431"/>
      <c r="N319" s="431"/>
      <c r="O319" s="431"/>
      <c r="P319" s="431"/>
      <c r="Q319" s="431"/>
      <c r="R319" s="431"/>
      <c r="S319" s="431"/>
      <c r="T319" s="431"/>
      <c r="U319" s="431"/>
      <c r="V319" s="431"/>
      <c r="W319" s="431"/>
      <c r="X319" s="431"/>
      <c r="Y319" s="431"/>
      <c r="Z319" s="431"/>
      <c r="AA319" s="431"/>
      <c r="AB319" s="431"/>
      <c r="AC319" s="431"/>
      <c r="AD319" s="431"/>
      <c r="AE319" s="431"/>
      <c r="AF319" s="431"/>
      <c r="AG319" s="431"/>
      <c r="AH319" s="431"/>
      <c r="AI319" s="431"/>
    </row>
    <row r="320" spans="3:35" x14ac:dyDescent="0.25">
      <c r="C320" s="442"/>
      <c r="E320" s="431"/>
      <c r="F320" s="431"/>
      <c r="G320" s="431"/>
      <c r="H320" s="431"/>
      <c r="I320" s="431"/>
      <c r="J320" s="431"/>
      <c r="K320" s="431"/>
      <c r="L320" s="431"/>
      <c r="M320" s="431"/>
      <c r="N320" s="431"/>
      <c r="O320" s="431"/>
      <c r="P320" s="431"/>
      <c r="Q320" s="431"/>
      <c r="R320" s="431"/>
      <c r="S320" s="431"/>
      <c r="T320" s="431"/>
      <c r="U320" s="431"/>
      <c r="V320" s="431"/>
      <c r="W320" s="431"/>
      <c r="X320" s="431"/>
      <c r="Y320" s="431"/>
      <c r="Z320" s="431"/>
      <c r="AA320" s="431"/>
      <c r="AB320" s="431"/>
      <c r="AC320" s="431"/>
      <c r="AD320" s="431"/>
      <c r="AE320" s="431"/>
      <c r="AF320" s="431"/>
      <c r="AG320" s="431"/>
      <c r="AH320" s="431"/>
      <c r="AI320" s="431"/>
    </row>
    <row r="321" spans="3:35" x14ac:dyDescent="0.25">
      <c r="C321" s="442"/>
      <c r="E321" s="431"/>
      <c r="F321" s="431"/>
      <c r="G321" s="431"/>
      <c r="H321" s="431"/>
      <c r="I321" s="431"/>
      <c r="J321" s="431"/>
      <c r="K321" s="431"/>
      <c r="L321" s="431"/>
      <c r="M321" s="431"/>
      <c r="N321" s="431"/>
      <c r="O321" s="431"/>
      <c r="P321" s="431"/>
      <c r="Q321" s="431"/>
      <c r="R321" s="431"/>
      <c r="S321" s="431"/>
      <c r="T321" s="431"/>
      <c r="U321" s="431"/>
      <c r="V321" s="431"/>
      <c r="W321" s="431"/>
      <c r="X321" s="431"/>
      <c r="Y321" s="431"/>
      <c r="Z321" s="431"/>
      <c r="AA321" s="431"/>
      <c r="AB321" s="431"/>
      <c r="AC321" s="431"/>
      <c r="AD321" s="431"/>
      <c r="AE321" s="431"/>
      <c r="AF321" s="431"/>
      <c r="AG321" s="431"/>
      <c r="AH321" s="431"/>
      <c r="AI321" s="431"/>
    </row>
    <row r="324" spans="3:35" x14ac:dyDescent="0.25">
      <c r="E324" s="431"/>
      <c r="F324" s="431"/>
      <c r="G324" s="431"/>
      <c r="H324" s="431"/>
      <c r="I324" s="431"/>
      <c r="J324" s="431"/>
      <c r="K324" s="431"/>
      <c r="L324" s="431"/>
      <c r="M324" s="431"/>
      <c r="N324" s="431"/>
      <c r="O324" s="431"/>
      <c r="P324" s="431"/>
      <c r="Q324" s="431"/>
      <c r="R324" s="431"/>
      <c r="S324" s="431"/>
      <c r="T324" s="431"/>
      <c r="U324" s="431"/>
      <c r="V324" s="431"/>
      <c r="W324" s="431"/>
      <c r="X324" s="431"/>
      <c r="Y324" s="431"/>
      <c r="Z324" s="431"/>
      <c r="AA324" s="431"/>
      <c r="AB324" s="431"/>
      <c r="AC324" s="431"/>
      <c r="AD324" s="431"/>
      <c r="AE324" s="431"/>
      <c r="AF324" s="431"/>
      <c r="AG324" s="431"/>
      <c r="AH324" s="431"/>
      <c r="AI324" s="431"/>
    </row>
    <row r="325" spans="3:35" x14ac:dyDescent="0.25">
      <c r="E325" s="431"/>
      <c r="F325" s="431"/>
      <c r="G325" s="431"/>
      <c r="H325" s="431"/>
      <c r="I325" s="431"/>
      <c r="J325" s="431"/>
      <c r="K325" s="431"/>
      <c r="L325" s="431"/>
      <c r="M325" s="431"/>
      <c r="N325" s="431"/>
      <c r="O325" s="431"/>
      <c r="P325" s="431"/>
      <c r="Q325" s="431"/>
      <c r="R325" s="431"/>
      <c r="S325" s="431"/>
      <c r="T325" s="431"/>
      <c r="U325" s="431"/>
      <c r="V325" s="431"/>
      <c r="W325" s="431"/>
      <c r="X325" s="431"/>
      <c r="Y325" s="431"/>
      <c r="Z325" s="431"/>
      <c r="AA325" s="431"/>
      <c r="AB325" s="431"/>
      <c r="AC325" s="431"/>
      <c r="AD325" s="431"/>
      <c r="AE325" s="431"/>
      <c r="AF325" s="431"/>
      <c r="AG325" s="431"/>
      <c r="AH325" s="431"/>
      <c r="AI325" s="431"/>
    </row>
    <row r="326" spans="3:35" x14ac:dyDescent="0.25">
      <c r="E326" s="431"/>
      <c r="F326" s="431"/>
      <c r="G326" s="431"/>
      <c r="H326" s="431"/>
      <c r="I326" s="431"/>
      <c r="J326" s="431"/>
      <c r="K326" s="431"/>
      <c r="L326" s="431"/>
      <c r="M326" s="431"/>
      <c r="N326" s="431"/>
      <c r="O326" s="431"/>
      <c r="P326" s="431"/>
      <c r="Q326" s="431"/>
      <c r="R326" s="431"/>
      <c r="S326" s="431"/>
      <c r="T326" s="431"/>
      <c r="U326" s="431"/>
      <c r="V326" s="431"/>
      <c r="W326" s="431"/>
      <c r="X326" s="431"/>
      <c r="Y326" s="431"/>
      <c r="Z326" s="431"/>
      <c r="AA326" s="431"/>
      <c r="AB326" s="431"/>
      <c r="AC326" s="431"/>
      <c r="AD326" s="431"/>
      <c r="AE326" s="431"/>
      <c r="AF326" s="431"/>
      <c r="AG326" s="431"/>
      <c r="AH326" s="431"/>
      <c r="AI326" s="431"/>
    </row>
    <row r="327" spans="3:35" x14ac:dyDescent="0.25">
      <c r="E327" s="431"/>
      <c r="F327" s="431"/>
      <c r="G327" s="431"/>
      <c r="H327" s="431"/>
      <c r="I327" s="431"/>
      <c r="J327" s="431"/>
      <c r="K327" s="431"/>
      <c r="L327" s="431"/>
      <c r="M327" s="431"/>
      <c r="N327" s="431"/>
      <c r="O327" s="431"/>
      <c r="P327" s="431"/>
      <c r="Q327" s="431"/>
      <c r="R327" s="431"/>
      <c r="S327" s="431"/>
      <c r="T327" s="431"/>
      <c r="U327" s="431"/>
      <c r="V327" s="431"/>
      <c r="W327" s="431"/>
      <c r="X327" s="431"/>
      <c r="Y327" s="431"/>
      <c r="Z327" s="431"/>
      <c r="AA327" s="431"/>
      <c r="AB327" s="431"/>
      <c r="AC327" s="431"/>
      <c r="AD327" s="431"/>
      <c r="AE327" s="431"/>
      <c r="AF327" s="431"/>
      <c r="AG327" s="431"/>
      <c r="AH327" s="431"/>
      <c r="AI327" s="431"/>
    </row>
    <row r="328" spans="3:35" x14ac:dyDescent="0.25">
      <c r="E328" s="431"/>
      <c r="F328" s="431"/>
      <c r="G328" s="431"/>
      <c r="H328" s="431"/>
      <c r="I328" s="431"/>
      <c r="J328" s="431"/>
      <c r="K328" s="431"/>
      <c r="L328" s="431"/>
      <c r="M328" s="431"/>
      <c r="N328" s="431"/>
      <c r="O328" s="431"/>
      <c r="P328" s="431"/>
      <c r="Q328" s="431"/>
      <c r="R328" s="431"/>
      <c r="S328" s="431"/>
      <c r="T328" s="431"/>
      <c r="U328" s="431"/>
      <c r="V328" s="431"/>
      <c r="W328" s="431"/>
      <c r="X328" s="431"/>
      <c r="Y328" s="431"/>
      <c r="Z328" s="431"/>
      <c r="AA328" s="431"/>
      <c r="AB328" s="431"/>
      <c r="AC328" s="431"/>
      <c r="AD328" s="431"/>
      <c r="AE328" s="431"/>
      <c r="AF328" s="431"/>
      <c r="AG328" s="431"/>
      <c r="AH328" s="431"/>
      <c r="AI328" s="431"/>
    </row>
    <row r="331" spans="3:35" x14ac:dyDescent="0.25">
      <c r="C331" s="422"/>
    </row>
    <row r="332" spans="3:35" x14ac:dyDescent="0.25">
      <c r="E332" s="447"/>
      <c r="F332" s="447"/>
      <c r="G332" s="447"/>
      <c r="H332" s="447"/>
      <c r="I332" s="447"/>
      <c r="J332" s="447"/>
      <c r="K332" s="447"/>
      <c r="L332" s="447"/>
      <c r="M332" s="447"/>
      <c r="N332" s="447"/>
      <c r="O332" s="447"/>
      <c r="P332" s="447"/>
      <c r="Q332" s="447"/>
      <c r="R332" s="447"/>
      <c r="S332" s="447"/>
      <c r="T332" s="447"/>
      <c r="U332" s="447"/>
      <c r="V332" s="447"/>
      <c r="W332" s="447"/>
      <c r="X332" s="447"/>
      <c r="Y332" s="447"/>
      <c r="Z332" s="447"/>
      <c r="AA332" s="447"/>
      <c r="AB332" s="447"/>
      <c r="AC332" s="447"/>
      <c r="AD332" s="447"/>
      <c r="AE332" s="447"/>
      <c r="AF332" s="447"/>
      <c r="AG332" s="447"/>
      <c r="AH332" s="447"/>
      <c r="AI332" s="447"/>
    </row>
    <row r="333" spans="3:35" x14ac:dyDescent="0.25">
      <c r="E333" s="447"/>
      <c r="F333" s="447"/>
      <c r="G333" s="447"/>
      <c r="H333" s="447"/>
      <c r="I333" s="447"/>
      <c r="J333" s="447"/>
      <c r="K333" s="447"/>
      <c r="L333" s="447"/>
      <c r="M333" s="447"/>
      <c r="N333" s="447"/>
      <c r="O333" s="447"/>
      <c r="P333" s="447"/>
      <c r="Q333" s="447"/>
      <c r="R333" s="447"/>
      <c r="S333" s="447"/>
      <c r="T333" s="447"/>
      <c r="U333" s="447"/>
      <c r="V333" s="447"/>
      <c r="W333" s="447"/>
      <c r="X333" s="447"/>
      <c r="Y333" s="447"/>
      <c r="Z333" s="447"/>
      <c r="AA333" s="447"/>
      <c r="AB333" s="447"/>
      <c r="AC333" s="447"/>
      <c r="AD333" s="447"/>
      <c r="AE333" s="447"/>
      <c r="AF333" s="447"/>
      <c r="AG333" s="447"/>
      <c r="AH333" s="447"/>
      <c r="AI333" s="447"/>
    </row>
    <row r="334" spans="3:35" x14ac:dyDescent="0.25">
      <c r="E334" s="447"/>
      <c r="F334" s="447"/>
      <c r="G334" s="447"/>
      <c r="H334" s="447"/>
      <c r="I334" s="447"/>
      <c r="J334" s="447"/>
      <c r="K334" s="447"/>
      <c r="L334" s="447"/>
      <c r="M334" s="447"/>
      <c r="N334" s="447"/>
      <c r="O334" s="447"/>
      <c r="P334" s="447"/>
      <c r="Q334" s="447"/>
      <c r="R334" s="447"/>
      <c r="S334" s="447"/>
      <c r="T334" s="447"/>
      <c r="U334" s="447"/>
      <c r="V334" s="447"/>
      <c r="W334" s="447"/>
      <c r="X334" s="447"/>
      <c r="Y334" s="447"/>
      <c r="Z334" s="447"/>
      <c r="AA334" s="447"/>
      <c r="AB334" s="447"/>
      <c r="AC334" s="447"/>
      <c r="AD334" s="447"/>
      <c r="AE334" s="447"/>
      <c r="AF334" s="447"/>
      <c r="AG334" s="447"/>
      <c r="AH334" s="447"/>
      <c r="AI334" s="447"/>
    </row>
    <row r="336" spans="3:35" x14ac:dyDescent="0.25">
      <c r="E336" s="423"/>
      <c r="F336" s="423"/>
      <c r="G336" s="423"/>
      <c r="H336" s="423"/>
      <c r="I336" s="423"/>
      <c r="J336" s="423"/>
      <c r="K336" s="423"/>
      <c r="L336" s="423"/>
      <c r="M336" s="423"/>
      <c r="N336" s="423"/>
      <c r="O336" s="423"/>
      <c r="P336" s="423"/>
      <c r="Q336" s="423"/>
      <c r="R336" s="423"/>
      <c r="S336" s="423"/>
      <c r="T336" s="423"/>
      <c r="U336" s="423"/>
      <c r="V336" s="423"/>
      <c r="W336" s="423"/>
      <c r="X336" s="423"/>
      <c r="Y336" s="423"/>
      <c r="Z336" s="423"/>
      <c r="AA336" s="423"/>
      <c r="AB336" s="423"/>
      <c r="AC336" s="423"/>
      <c r="AD336" s="423"/>
      <c r="AE336" s="423"/>
      <c r="AF336" s="423"/>
      <c r="AG336" s="423"/>
    </row>
  </sheetData>
  <sheetProtection algorithmName="SHA-512" hashValue="TFC150jcgCWvnED+eYzBGxSTnNVS9IMJDsleKLj3Y45O5nQLzdn/F/lTS2XXYJDtButt2gDZmuuJK3rYEBmRfA==" saltValue="G1pTA8MLPz0gacCDec9p/g==" spinCount="100000" sheet="1" objects="1" scenarios="1"/>
  <pageMargins left="0.7" right="0.7" top="0.75" bottom="0.75" header="0.3" footer="0.3"/>
  <pageSetup orientation="portrait" r:id="rId1"/>
  <ignoredErrors>
    <ignoredError sqref="E24" formulaRange="1"/>
    <ignoredError sqref="E253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F712B-ABCA-4759-B889-DBBCD6313524}">
  <sheetPr codeName="Sheet9"/>
  <dimension ref="A2:AJ459"/>
  <sheetViews>
    <sheetView zoomScale="70" zoomScaleNormal="70" workbookViewId="0"/>
  </sheetViews>
  <sheetFormatPr defaultColWidth="9.140625" defaultRowHeight="15" x14ac:dyDescent="0.25"/>
  <cols>
    <col min="1" max="1" width="9.140625" style="421"/>
    <col min="2" max="2" width="64.28515625" style="421" customWidth="1"/>
    <col min="3" max="3" width="24.28515625" style="421" customWidth="1"/>
    <col min="4" max="4" width="13.7109375" style="421" customWidth="1"/>
    <col min="5" max="5" width="18.140625" style="421" bestFit="1" customWidth="1"/>
    <col min="6" max="6" width="18.5703125" style="421" bestFit="1" customWidth="1"/>
    <col min="7" max="7" width="16.28515625" style="421" customWidth="1"/>
    <col min="8" max="11" width="16.28515625" style="421" bestFit="1" customWidth="1"/>
    <col min="12" max="12" width="15.7109375" style="421" bestFit="1" customWidth="1"/>
    <col min="13" max="17" width="16.28515625" style="421" bestFit="1" customWidth="1"/>
    <col min="18" max="18" width="23" style="421" bestFit="1" customWidth="1"/>
    <col min="19" max="19" width="16.28515625" style="421" bestFit="1" customWidth="1"/>
    <col min="20" max="20" width="16.42578125" style="421" bestFit="1" customWidth="1"/>
    <col min="21" max="21" width="17.28515625" style="421" customWidth="1"/>
    <col min="22" max="22" width="16.28515625" style="421" bestFit="1" customWidth="1"/>
    <col min="23" max="23" width="15.7109375" style="421" bestFit="1" customWidth="1"/>
    <col min="24" max="24" width="16.28515625" style="421" bestFit="1" customWidth="1"/>
    <col min="25" max="28" width="15.7109375" style="421" bestFit="1" customWidth="1"/>
    <col min="29" max="30" width="16.28515625" style="421" bestFit="1" customWidth="1"/>
    <col min="31" max="31" width="15.7109375" style="421" bestFit="1" customWidth="1"/>
    <col min="32" max="33" width="16.28515625" style="421" bestFit="1" customWidth="1"/>
    <col min="34" max="35" width="14.85546875" style="421" bestFit="1" customWidth="1"/>
    <col min="36" max="16384" width="9.140625" style="421"/>
  </cols>
  <sheetData>
    <row r="2" spans="1:35" x14ac:dyDescent="0.25">
      <c r="E2" s="421" t="s">
        <v>0</v>
      </c>
      <c r="F2" s="421" t="s">
        <v>0</v>
      </c>
    </row>
    <row r="3" spans="1:35" x14ac:dyDescent="0.25">
      <c r="B3" s="422" t="s">
        <v>40</v>
      </c>
      <c r="C3" s="423" t="s">
        <v>41</v>
      </c>
      <c r="D3" s="423" t="s">
        <v>42</v>
      </c>
      <c r="E3" s="423">
        <v>2017</v>
      </c>
      <c r="F3" s="423">
        <v>2018</v>
      </c>
      <c r="G3" s="423">
        <v>2019</v>
      </c>
      <c r="H3" s="423">
        <v>2020</v>
      </c>
      <c r="I3" s="423">
        <v>2021</v>
      </c>
      <c r="J3" s="423">
        <v>2022</v>
      </c>
      <c r="K3" s="423">
        <v>2023</v>
      </c>
      <c r="L3" s="423">
        <v>2024</v>
      </c>
      <c r="M3" s="423">
        <v>2025</v>
      </c>
      <c r="N3" s="423">
        <v>2026</v>
      </c>
      <c r="O3" s="423">
        <v>2027</v>
      </c>
      <c r="P3" s="423">
        <v>2028</v>
      </c>
      <c r="Q3" s="423">
        <v>2029</v>
      </c>
      <c r="R3" s="423">
        <v>2030</v>
      </c>
      <c r="S3" s="423">
        <v>2031</v>
      </c>
      <c r="T3" s="423">
        <v>2032</v>
      </c>
      <c r="U3" s="423">
        <v>2033</v>
      </c>
      <c r="V3" s="423">
        <v>2034</v>
      </c>
      <c r="W3" s="423">
        <v>2035</v>
      </c>
      <c r="X3" s="423">
        <v>2036</v>
      </c>
      <c r="Y3" s="423">
        <v>2037</v>
      </c>
      <c r="Z3" s="423">
        <v>2038</v>
      </c>
      <c r="AA3" s="423">
        <v>2039</v>
      </c>
      <c r="AB3" s="423">
        <v>2040</v>
      </c>
      <c r="AC3" s="423">
        <v>2041</v>
      </c>
      <c r="AD3" s="423">
        <v>2042</v>
      </c>
      <c r="AE3" s="423">
        <v>2043</v>
      </c>
      <c r="AF3" s="423">
        <v>2044</v>
      </c>
      <c r="AG3" s="423">
        <v>2045</v>
      </c>
      <c r="AH3" s="423"/>
      <c r="AI3" s="423"/>
    </row>
    <row r="4" spans="1:35" x14ac:dyDescent="0.25">
      <c r="A4" s="421" t="s">
        <v>0</v>
      </c>
      <c r="B4" s="424" t="s">
        <v>43</v>
      </c>
      <c r="C4" s="425" t="s">
        <v>44</v>
      </c>
      <c r="D4" s="426">
        <f>E4/SUM('Historical Data'!N20)</f>
        <v>9.0480498926871784E-3</v>
      </c>
      <c r="E4" s="427">
        <v>294544.59064937802</v>
      </c>
      <c r="F4" s="428">
        <f>$D$4*SUM(F$280:F$290)</f>
        <v>304500.44525393506</v>
      </c>
      <c r="G4" s="428">
        <f t="shared" ref="G4:AG4" si="0">$D$4*SUM(G$280:G$290)</f>
        <v>301013.3955904725</v>
      </c>
      <c r="H4" s="428">
        <f t="shared" si="0"/>
        <v>220014.69097675796</v>
      </c>
      <c r="I4" s="428">
        <f t="shared" si="0"/>
        <v>251610.59547889177</v>
      </c>
      <c r="J4" s="428">
        <f t="shared" si="0"/>
        <v>264156.45608821482</v>
      </c>
      <c r="K4" s="428">
        <f t="shared" si="0"/>
        <v>267067.90797491145</v>
      </c>
      <c r="L4" s="428">
        <f t="shared" si="0"/>
        <v>267482.68042463245</v>
      </c>
      <c r="M4" s="428">
        <f t="shared" si="0"/>
        <v>268765.50299342902</v>
      </c>
      <c r="N4" s="428">
        <f t="shared" si="0"/>
        <v>269974.75238385663</v>
      </c>
      <c r="O4" s="428">
        <f t="shared" si="0"/>
        <v>271076.16239228356</v>
      </c>
      <c r="P4" s="428">
        <f t="shared" si="0"/>
        <v>272315.95745169366</v>
      </c>
      <c r="Q4" s="428">
        <f t="shared" si="0"/>
        <v>273678.69322903221</v>
      </c>
      <c r="R4" s="428">
        <f t="shared" si="0"/>
        <v>275082.30252989248</v>
      </c>
      <c r="S4" s="428">
        <f t="shared" si="0"/>
        <v>276434.55539025291</v>
      </c>
      <c r="T4" s="428">
        <f t="shared" si="0"/>
        <v>277914.24453115935</v>
      </c>
      <c r="U4" s="428">
        <f t="shared" si="0"/>
        <v>279529.20457215077</v>
      </c>
      <c r="V4" s="428">
        <f t="shared" si="0"/>
        <v>281283.91249717103</v>
      </c>
      <c r="W4" s="428">
        <f t="shared" si="0"/>
        <v>283016.6710913328</v>
      </c>
      <c r="X4" s="428">
        <f t="shared" si="0"/>
        <v>284672.85084350052</v>
      </c>
      <c r="Y4" s="428">
        <f t="shared" si="0"/>
        <v>286460.42054587376</v>
      </c>
      <c r="Z4" s="428">
        <f t="shared" si="0"/>
        <v>288258.57605083915</v>
      </c>
      <c r="AA4" s="428">
        <f t="shared" si="0"/>
        <v>290323.69862923987</v>
      </c>
      <c r="AB4" s="428">
        <f t="shared" si="0"/>
        <v>292086.85185640916</v>
      </c>
      <c r="AC4" s="428">
        <f t="shared" si="0"/>
        <v>294065.60211933468</v>
      </c>
      <c r="AD4" s="428">
        <f t="shared" si="0"/>
        <v>296254.22531707596</v>
      </c>
      <c r="AE4" s="428">
        <f t="shared" si="0"/>
        <v>298192.66310038534</v>
      </c>
      <c r="AF4" s="428">
        <f t="shared" si="0"/>
        <v>300095.39501976344</v>
      </c>
      <c r="AG4" s="428">
        <f t="shared" si="0"/>
        <v>302442.21658500895</v>
      </c>
      <c r="AH4" s="423"/>
      <c r="AI4" s="423"/>
    </row>
    <row r="5" spans="1:35" x14ac:dyDescent="0.25">
      <c r="A5" s="421" t="s">
        <v>0</v>
      </c>
      <c r="B5" s="421" t="s">
        <v>45</v>
      </c>
      <c r="C5" s="425" t="s">
        <v>44</v>
      </c>
      <c r="D5" s="426">
        <f>E5/SUM('Historical Data'!N20)</f>
        <v>4.7239550336376535E-4</v>
      </c>
      <c r="E5" s="427">
        <v>15378.069508142768</v>
      </c>
      <c r="F5" s="428">
        <f>$D$5*SUM(F$280:F$290)</f>
        <v>15897.861176305134</v>
      </c>
      <c r="G5" s="428">
        <f t="shared" ref="G5:AG5" si="1">$D$5*SUM(G$280:G$290)</f>
        <v>15715.803539514558</v>
      </c>
      <c r="H5" s="428">
        <f t="shared" si="1"/>
        <v>11486.889652917414</v>
      </c>
      <c r="I5" s="428">
        <f t="shared" si="1"/>
        <v>13136.500717018891</v>
      </c>
      <c r="J5" s="428">
        <f t="shared" si="1"/>
        <v>13791.515687975538</v>
      </c>
      <c r="K5" s="428">
        <f t="shared" si="1"/>
        <v>13943.521567236552</v>
      </c>
      <c r="L5" s="428">
        <f t="shared" si="1"/>
        <v>13965.176690991533</v>
      </c>
      <c r="M5" s="428">
        <f t="shared" si="1"/>
        <v>14032.152406234089</v>
      </c>
      <c r="N5" s="428">
        <f t="shared" si="1"/>
        <v>14095.286891704276</v>
      </c>
      <c r="O5" s="428">
        <f t="shared" si="1"/>
        <v>14152.791120959382</v>
      </c>
      <c r="P5" s="428">
        <f t="shared" si="1"/>
        <v>14217.520385066478</v>
      </c>
      <c r="Q5" s="428">
        <f t="shared" si="1"/>
        <v>14288.668340827417</v>
      </c>
      <c r="R5" s="428">
        <f t="shared" si="1"/>
        <v>14361.95028887921</v>
      </c>
      <c r="S5" s="428">
        <f t="shared" si="1"/>
        <v>14432.550935230791</v>
      </c>
      <c r="T5" s="428">
        <f t="shared" si="1"/>
        <v>14509.804984979715</v>
      </c>
      <c r="U5" s="428">
        <f t="shared" si="1"/>
        <v>14594.121480857251</v>
      </c>
      <c r="V5" s="428">
        <f t="shared" si="1"/>
        <v>14685.734164620886</v>
      </c>
      <c r="W5" s="428">
        <f t="shared" si="1"/>
        <v>14776.200881538363</v>
      </c>
      <c r="X5" s="428">
        <f t="shared" si="1"/>
        <v>14862.669444042474</v>
      </c>
      <c r="Y5" s="428">
        <f t="shared" si="1"/>
        <v>14955.997829646638</v>
      </c>
      <c r="Z5" s="428">
        <f t="shared" si="1"/>
        <v>15049.878896281891</v>
      </c>
      <c r="AA5" s="428">
        <f t="shared" si="1"/>
        <v>15157.698219948525</v>
      </c>
      <c r="AB5" s="428">
        <f t="shared" si="1"/>
        <v>15249.751829967769</v>
      </c>
      <c r="AC5" s="428">
        <f t="shared" si="1"/>
        <v>15353.061685414228</v>
      </c>
      <c r="AD5" s="428">
        <f t="shared" si="1"/>
        <v>15467.328932990555</v>
      </c>
      <c r="AE5" s="428">
        <f t="shared" si="1"/>
        <v>15568.534088051189</v>
      </c>
      <c r="AF5" s="428">
        <f t="shared" si="1"/>
        <v>15667.875052511095</v>
      </c>
      <c r="AG5" s="428">
        <f t="shared" si="1"/>
        <v>15790.401781228089</v>
      </c>
      <c r="AH5" s="423"/>
      <c r="AI5" s="423"/>
    </row>
    <row r="6" spans="1:35" x14ac:dyDescent="0.25">
      <c r="A6" s="421" t="s">
        <v>0</v>
      </c>
      <c r="B6" s="421" t="s">
        <v>46</v>
      </c>
      <c r="C6" s="425" t="s">
        <v>44</v>
      </c>
      <c r="D6" s="426">
        <f>E6/SUM('Historical Data'!N20)</f>
        <v>0.21977621331124739</v>
      </c>
      <c r="E6" s="427">
        <v>7154458.2039220426</v>
      </c>
      <c r="F6" s="428">
        <f t="shared" ref="F6:K6" si="2">$D$6*SUM(F$280:F$290)</f>
        <v>7396284.9015218578</v>
      </c>
      <c r="G6" s="428">
        <f t="shared" si="2"/>
        <v>7311584.8192109214</v>
      </c>
      <c r="H6" s="428">
        <f t="shared" si="2"/>
        <v>5344134.5073480243</v>
      </c>
      <c r="I6" s="428">
        <f t="shared" si="2"/>
        <v>6111595.8200044744</v>
      </c>
      <c r="J6" s="428">
        <f t="shared" si="2"/>
        <v>6416333.5005157469</v>
      </c>
      <c r="K6" s="428">
        <f t="shared" si="2"/>
        <v>6487052.3712652577</v>
      </c>
      <c r="L6" s="428">
        <f>$D$6*SUM(L$280:L$290)+' HG CapEx Plan'!E98</f>
        <v>6497127.1519601773</v>
      </c>
      <c r="M6" s="428">
        <f>$D$6*SUM(M$280:M$290)+' HG CapEx Plan'!F98</f>
        <v>6654067.2880446073</v>
      </c>
      <c r="N6" s="428">
        <f>$D$6*SUM(N$280:N$290)+' HG CapEx Plan'!G98</f>
        <v>6683439.8329718765</v>
      </c>
      <c r="O6" s="428">
        <f>$D$6*SUM(O$280:O$290)+' HG CapEx Plan'!H98</f>
        <v>6710192.9702584874</v>
      </c>
      <c r="P6" s="428">
        <f>$D$6*SUM(P$280:P$290)+' HG CapEx Plan'!I98</f>
        <v>6740307.4663842628</v>
      </c>
      <c r="Q6" s="428">
        <f>$D$6*SUM(Q$280:Q$290)+' HG CapEx Plan'!J98</f>
        <v>6773408.1800672505</v>
      </c>
      <c r="R6" s="428">
        <f>$D$6*SUM(R$280:R$290)+' HG CapEx Plan'!K98</f>
        <v>6996144.7460654555</v>
      </c>
      <c r="S6" s="428">
        <f>$D$6*SUM(S$280:S$290)+' HG CapEx Plan'!L98</f>
        <v>7028990.8307592981</v>
      </c>
      <c r="T6" s="428">
        <f>$D$6*SUM(T$280:T$290)+' HG CapEx Plan'!M98</f>
        <v>7064932.3297699336</v>
      </c>
      <c r="U6" s="428">
        <f>$D$6*SUM(U$280:U$290)+' HG CapEx Plan'!N98</f>
        <v>7104159.5452105701</v>
      </c>
      <c r="V6" s="428">
        <f>$D$6*SUM(V$280:V$290)+' HG CapEx Plan'!O98</f>
        <v>7146781.2225666903</v>
      </c>
      <c r="W6" s="428">
        <f>$D$6*SUM(W$280:W$290)+' HG CapEx Plan'!P98</f>
        <v>7431881.9252968971</v>
      </c>
      <c r="X6" s="428">
        <f>$D$6*SUM(X$280:X$290)+' HG CapEx Plan'!Q98</f>
        <v>7466449.4719039658</v>
      </c>
      <c r="Y6" s="428">
        <f>$D$6*SUM(Y$280:Y$290)+' HG CapEx Plan'!R98</f>
        <v>7504436.4678643551</v>
      </c>
      <c r="Z6" s="428">
        <f>$D$6*SUM(Z$280:Z$290)+' HG CapEx Plan'!S98</f>
        <v>7542899.4096263004</v>
      </c>
      <c r="AA6" s="428">
        <f>$D$6*SUM(AA$280:AA$290)+' HG CapEx Plan'!T98</f>
        <v>7588056.9590212703</v>
      </c>
      <c r="AB6" s="428">
        <f>$D$6*SUM(AB$280:AB$290)+' HG CapEx Plan'!U98</f>
        <v>8536519.6059746966</v>
      </c>
      <c r="AC6" s="428">
        <f>$D$6*SUM(AC$280:AC$290)+' HG CapEx Plan'!V98</f>
        <v>8579974.1555775981</v>
      </c>
      <c r="AD6" s="428">
        <f>$D$6*SUM(AD$280:AD$290)+' HG CapEx Plan'!W98</f>
        <v>8628712.1355356164</v>
      </c>
      <c r="AE6" s="428">
        <f>$D$6*SUM(AE$280:AE$290)+' HG CapEx Plan'!X98</f>
        <v>8671551.2984029446</v>
      </c>
      <c r="AF6" s="428">
        <f>$D$6*SUM(AF$280:AF$290)+' HG CapEx Plan'!Y98</f>
        <v>8713694.1549789682</v>
      </c>
      <c r="AG6" s="428">
        <f>$D$6*SUM(AG$280:AG$290)+' HG CapEx Plan'!Z98</f>
        <v>8766788.0027911179</v>
      </c>
      <c r="AH6" s="423"/>
      <c r="AI6" s="423"/>
    </row>
    <row r="7" spans="1:35" x14ac:dyDescent="0.25">
      <c r="A7" s="421" t="s">
        <v>0</v>
      </c>
      <c r="B7" s="421" t="s">
        <v>47</v>
      </c>
      <c r="C7" s="425" t="s">
        <v>48</v>
      </c>
      <c r="D7" s="426">
        <f>E7/SUM($E$336:$E$346)</f>
        <v>4.4085946455713785</v>
      </c>
      <c r="E7" s="427">
        <v>1670892.6394287169</v>
      </c>
      <c r="F7" s="428">
        <f>$D$7*SUM(F$336:F$346)</f>
        <v>1739318.2392173535</v>
      </c>
      <c r="G7" s="428">
        <f t="shared" ref="G7:AG7" si="3">$D$7*SUM(G$336:G$346)</f>
        <v>1672393.0764786752</v>
      </c>
      <c r="H7" s="428">
        <f t="shared" si="3"/>
        <v>1720282.6512422885</v>
      </c>
      <c r="I7" s="428">
        <f t="shared" si="3"/>
        <v>1722966.4039139997</v>
      </c>
      <c r="J7" s="428">
        <f t="shared" si="3"/>
        <v>1808881.0674725431</v>
      </c>
      <c r="K7" s="428">
        <f t="shared" si="3"/>
        <v>1828822.217091982</v>
      </c>
      <c r="L7" s="428">
        <f t="shared" si="3"/>
        <v>1831666.8618423725</v>
      </c>
      <c r="M7" s="428">
        <f t="shared" si="3"/>
        <v>1840455.6509901437</v>
      </c>
      <c r="N7" s="428">
        <f t="shared" si="3"/>
        <v>1848740.6332880692</v>
      </c>
      <c r="O7" s="428">
        <f t="shared" si="3"/>
        <v>1856287.1641483984</v>
      </c>
      <c r="P7" s="428">
        <f t="shared" si="3"/>
        <v>1864781.3139392559</v>
      </c>
      <c r="Q7" s="428">
        <f t="shared" si="3"/>
        <v>1874117.3245439366</v>
      </c>
      <c r="R7" s="428">
        <f t="shared" si="3"/>
        <v>1883733.2246624881</v>
      </c>
      <c r="S7" s="428">
        <f t="shared" si="3"/>
        <v>1892997.451425598</v>
      </c>
      <c r="T7" s="428">
        <f t="shared" si="3"/>
        <v>1903134.3232542214</v>
      </c>
      <c r="U7" s="428">
        <f t="shared" si="3"/>
        <v>1914197.4892508883</v>
      </c>
      <c r="V7" s="428">
        <f t="shared" si="3"/>
        <v>1926217.6064461574</v>
      </c>
      <c r="W7" s="428">
        <f t="shared" si="3"/>
        <v>1938087.4212692683</v>
      </c>
      <c r="X7" s="428">
        <f t="shared" si="3"/>
        <v>1949432.8473680494</v>
      </c>
      <c r="Y7" s="428">
        <f t="shared" si="3"/>
        <v>1961677.9920651277</v>
      </c>
      <c r="Z7" s="428">
        <f t="shared" si="3"/>
        <v>1973995.6251333114</v>
      </c>
      <c r="AA7" s="428">
        <f t="shared" si="3"/>
        <v>1988141.3678912157</v>
      </c>
      <c r="AB7" s="428">
        <f t="shared" si="3"/>
        <v>2000219.3159586317</v>
      </c>
      <c r="AC7" s="428">
        <f t="shared" si="3"/>
        <v>2013773.6072509608</v>
      </c>
      <c r="AD7" s="428">
        <f t="shared" si="3"/>
        <v>2028765.0448580389</v>
      </c>
      <c r="AE7" s="428">
        <f t="shared" si="3"/>
        <v>2042043.2884952959</v>
      </c>
      <c r="AF7" s="428">
        <f t="shared" si="3"/>
        <v>2055077.0291869561</v>
      </c>
      <c r="AG7" s="428">
        <f t="shared" si="3"/>
        <v>2071151.761317255</v>
      </c>
      <c r="AH7" s="423"/>
      <c r="AI7" s="423"/>
    </row>
    <row r="8" spans="1:35" x14ac:dyDescent="0.25">
      <c r="B8" s="421" t="s">
        <v>49</v>
      </c>
      <c r="C8" s="425" t="s">
        <v>48</v>
      </c>
      <c r="D8" s="426">
        <f>E8/SUM($E$336:$E$346)</f>
        <v>9.3814388002138274E-2</v>
      </c>
      <c r="E8" s="427">
        <v>35556.403567914422</v>
      </c>
      <c r="F8" s="428">
        <f>$D$8*SUM(F$336:F$346)</f>
        <v>37012.492476950014</v>
      </c>
      <c r="G8" s="428">
        <f t="shared" ref="G8:AG8" si="4">$D$8*SUM(G$336:G$346)</f>
        <v>35588.332696104735</v>
      </c>
      <c r="H8" s="428">
        <f t="shared" si="4"/>
        <v>36607.417349905729</v>
      </c>
      <c r="I8" s="428">
        <f t="shared" si="4"/>
        <v>36664.527298696012</v>
      </c>
      <c r="J8" s="428">
        <f t="shared" si="4"/>
        <v>38492.781477213197</v>
      </c>
      <c r="K8" s="428">
        <f t="shared" si="4"/>
        <v>38917.126852101763</v>
      </c>
      <c r="L8" s="428">
        <f t="shared" si="4"/>
        <v>38977.66056585779</v>
      </c>
      <c r="M8" s="428">
        <f t="shared" si="4"/>
        <v>39164.684990071131</v>
      </c>
      <c r="N8" s="428">
        <f t="shared" si="4"/>
        <v>39340.988462350942</v>
      </c>
      <c r="O8" s="428">
        <f t="shared" si="4"/>
        <v>39501.577772804383</v>
      </c>
      <c r="P8" s="428">
        <f t="shared" si="4"/>
        <v>39682.332305323784</v>
      </c>
      <c r="Q8" s="428">
        <f t="shared" si="4"/>
        <v>39881.001539325473</v>
      </c>
      <c r="R8" s="428">
        <f t="shared" si="4"/>
        <v>40085.626790054252</v>
      </c>
      <c r="S8" s="428">
        <f t="shared" si="4"/>
        <v>40282.768472147261</v>
      </c>
      <c r="T8" s="428">
        <f t="shared" si="4"/>
        <v>40498.479941064848</v>
      </c>
      <c r="U8" s="428">
        <f t="shared" si="4"/>
        <v>40733.902843550561</v>
      </c>
      <c r="V8" s="428">
        <f t="shared" si="4"/>
        <v>40989.689557695601</v>
      </c>
      <c r="W8" s="428">
        <f t="shared" si="4"/>
        <v>41242.277854614098</v>
      </c>
      <c r="X8" s="428">
        <f t="shared" si="4"/>
        <v>41483.707219672608</v>
      </c>
      <c r="Y8" s="428">
        <f t="shared" si="4"/>
        <v>41744.282493225597</v>
      </c>
      <c r="Z8" s="428">
        <f t="shared" si="4"/>
        <v>42006.40031099489</v>
      </c>
      <c r="AA8" s="428">
        <f t="shared" si="4"/>
        <v>42307.420093115616</v>
      </c>
      <c r="AB8" s="428">
        <f t="shared" si="4"/>
        <v>42564.437441581627</v>
      </c>
      <c r="AC8" s="428">
        <f t="shared" si="4"/>
        <v>42852.871204406692</v>
      </c>
      <c r="AD8" s="428">
        <f t="shared" si="4"/>
        <v>43171.887275841858</v>
      </c>
      <c r="AE8" s="428">
        <f t="shared" si="4"/>
        <v>43454.446776254059</v>
      </c>
      <c r="AF8" s="428">
        <f t="shared" si="4"/>
        <v>43731.803282050059</v>
      </c>
      <c r="AG8" s="428">
        <f t="shared" si="4"/>
        <v>44073.871736589696</v>
      </c>
      <c r="AH8" s="423"/>
      <c r="AI8" s="423"/>
    </row>
    <row r="9" spans="1:35" x14ac:dyDescent="0.25">
      <c r="B9" s="424" t="s">
        <v>50</v>
      </c>
      <c r="C9" s="425" t="s">
        <v>44</v>
      </c>
      <c r="D9" s="426">
        <f>E9/SUM('Historical Data'!N20)</f>
        <v>2.9537086015953638E-2</v>
      </c>
      <c r="E9" s="427">
        <v>961531.93370165245</v>
      </c>
      <c r="F9" s="428">
        <f>$D$9*SUM(F$280:F$290)</f>
        <v>994032.52082317148</v>
      </c>
      <c r="G9" s="428">
        <f t="shared" ref="G9:AG9" si="5">$D$9*SUM(G$280:G$290)</f>
        <v>982649.15235447627</v>
      </c>
      <c r="H9" s="428">
        <f t="shared" si="5"/>
        <v>718231.32379124663</v>
      </c>
      <c r="I9" s="428">
        <f t="shared" si="5"/>
        <v>821375.20121235319</v>
      </c>
      <c r="J9" s="428">
        <f t="shared" si="5"/>
        <v>862330.78483056906</v>
      </c>
      <c r="K9" s="428">
        <f t="shared" si="5"/>
        <v>871835.13171510294</v>
      </c>
      <c r="L9" s="428">
        <f t="shared" si="5"/>
        <v>873189.14386907651</v>
      </c>
      <c r="M9" s="428">
        <f t="shared" si="5"/>
        <v>877376.87945930299</v>
      </c>
      <c r="N9" s="428">
        <f t="shared" si="5"/>
        <v>881324.43762746349</v>
      </c>
      <c r="O9" s="428">
        <f t="shared" si="5"/>
        <v>884919.95738515514</v>
      </c>
      <c r="P9" s="428">
        <f t="shared" si="5"/>
        <v>888967.23096855439</v>
      </c>
      <c r="Q9" s="428">
        <f t="shared" si="5"/>
        <v>893415.84081815288</v>
      </c>
      <c r="R9" s="428">
        <f t="shared" si="5"/>
        <v>897997.88105267996</v>
      </c>
      <c r="S9" s="428">
        <f t="shared" si="5"/>
        <v>902412.26973593293</v>
      </c>
      <c r="T9" s="428">
        <f t="shared" si="5"/>
        <v>907242.67031397903</v>
      </c>
      <c r="U9" s="428">
        <f t="shared" si="5"/>
        <v>912514.65866603749</v>
      </c>
      <c r="V9" s="428">
        <f t="shared" si="5"/>
        <v>918242.84977118263</v>
      </c>
      <c r="W9" s="428">
        <f t="shared" si="5"/>
        <v>923899.38794765796</v>
      </c>
      <c r="X9" s="428">
        <f t="shared" si="5"/>
        <v>929305.93680380378</v>
      </c>
      <c r="Y9" s="428">
        <f t="shared" si="5"/>
        <v>935141.40419011703</v>
      </c>
      <c r="Z9" s="428">
        <f t="shared" si="5"/>
        <v>941011.42860976025</v>
      </c>
      <c r="AA9" s="428">
        <f t="shared" si="5"/>
        <v>947752.95898980484</v>
      </c>
      <c r="AB9" s="428">
        <f t="shared" si="5"/>
        <v>953508.71952913341</v>
      </c>
      <c r="AC9" s="428">
        <f t="shared" si="5"/>
        <v>959968.29009000747</v>
      </c>
      <c r="AD9" s="428">
        <f t="shared" si="5"/>
        <v>967112.98451752658</v>
      </c>
      <c r="AE9" s="428">
        <f t="shared" si="5"/>
        <v>973440.95620438247</v>
      </c>
      <c r="AF9" s="428">
        <f t="shared" si="5"/>
        <v>979652.36717520317</v>
      </c>
      <c r="AG9" s="428">
        <f t="shared" si="5"/>
        <v>987313.49540270958</v>
      </c>
      <c r="AH9" s="423"/>
      <c r="AI9" s="423"/>
    </row>
    <row r="10" spans="1:35" x14ac:dyDescent="0.25">
      <c r="B10" s="421" t="s">
        <v>51</v>
      </c>
      <c r="C10" s="425" t="s">
        <v>44</v>
      </c>
      <c r="D10" s="426">
        <f>E10/SUM('Historical Data'!N20)</f>
        <v>0.18961815092358669</v>
      </c>
      <c r="E10" s="427">
        <f>9917019.39150324-3744308</f>
        <v>6172711.3915032409</v>
      </c>
      <c r="F10" s="428">
        <f>$D$10*SUM(F$280:F$290)</f>
        <v>6381354.2220988097</v>
      </c>
      <c r="G10" s="428">
        <f t="shared" ref="G10:AG10" si="6">$D$10*SUM(G$280:G$290)</f>
        <v>6308276.8278308036</v>
      </c>
      <c r="H10" s="428">
        <f t="shared" si="6"/>
        <v>4610803.3635795005</v>
      </c>
      <c r="I10" s="428">
        <f>$D$10*SUM(I$280:I$290)</f>
        <v>5272952.3414819119</v>
      </c>
      <c r="J10" s="428">
        <f t="shared" si="6"/>
        <v>5535873.4038875904</v>
      </c>
      <c r="K10" s="428">
        <f t="shared" si="6"/>
        <v>5596888.1120076887</v>
      </c>
      <c r="L10" s="428">
        <f t="shared" si="6"/>
        <v>5605580.4143162463</v>
      </c>
      <c r="M10" s="428">
        <f t="shared" si="6"/>
        <v>5632464.2673390778</v>
      </c>
      <c r="N10" s="428">
        <f t="shared" si="6"/>
        <v>5657806.2621487761</v>
      </c>
      <c r="O10" s="428">
        <f t="shared" si="6"/>
        <v>5680888.2888488537</v>
      </c>
      <c r="P10" s="428">
        <f t="shared" si="6"/>
        <v>5706870.4230631599</v>
      </c>
      <c r="Q10" s="428">
        <f t="shared" si="6"/>
        <v>5735429.0010286951</v>
      </c>
      <c r="R10" s="428">
        <f t="shared" si="6"/>
        <v>5764844.157156799</v>
      </c>
      <c r="S10" s="428">
        <f t="shared" si="6"/>
        <v>5793183.0467522154</v>
      </c>
      <c r="T10" s="428">
        <f t="shared" si="6"/>
        <v>5824192.5926950555</v>
      </c>
      <c r="U10" s="428">
        <f t="shared" si="6"/>
        <v>5858036.9835218312</v>
      </c>
      <c r="V10" s="428">
        <f t="shared" si="6"/>
        <v>5894810.0424792338</v>
      </c>
      <c r="W10" s="428">
        <f t="shared" si="6"/>
        <v>5931123.1137508079</v>
      </c>
      <c r="X10" s="428">
        <f t="shared" si="6"/>
        <v>5965831.3377247872</v>
      </c>
      <c r="Y10" s="428">
        <f t="shared" si="6"/>
        <v>6003293.0743013052</v>
      </c>
      <c r="Z10" s="428">
        <f t="shared" si="6"/>
        <v>6040976.6554009384</v>
      </c>
      <c r="AA10" s="428">
        <f t="shared" si="6"/>
        <v>6084255.0114435349</v>
      </c>
      <c r="AB10" s="428">
        <f t="shared" si="6"/>
        <v>6121205.0568893505</v>
      </c>
      <c r="AC10" s="428">
        <f t="shared" si="6"/>
        <v>6162673.3257921049</v>
      </c>
      <c r="AD10" s="428">
        <f t="shared" si="6"/>
        <v>6208539.8593265405</v>
      </c>
      <c r="AE10" s="428">
        <f t="shared" si="6"/>
        <v>6249163.3077503396</v>
      </c>
      <c r="AF10" s="428">
        <f t="shared" si="6"/>
        <v>6289038.4756080406</v>
      </c>
      <c r="AG10" s="428">
        <f t="shared" si="6"/>
        <v>6338220.3403222384</v>
      </c>
      <c r="AH10" s="423"/>
      <c r="AI10" s="423"/>
    </row>
    <row r="11" spans="1:35" x14ac:dyDescent="0.25">
      <c r="F11" s="423"/>
      <c r="G11" s="423"/>
      <c r="H11" s="423"/>
      <c r="I11" s="423"/>
      <c r="J11" s="423"/>
      <c r="K11" s="423"/>
      <c r="L11" s="423"/>
      <c r="M11" s="423"/>
      <c r="N11" s="423"/>
      <c r="O11" s="423"/>
      <c r="P11" s="423"/>
      <c r="Q11" s="423"/>
      <c r="R11" s="423"/>
      <c r="S11" s="423"/>
      <c r="T11" s="423"/>
      <c r="U11" s="423"/>
      <c r="V11" s="423"/>
      <c r="W11" s="423"/>
      <c r="X11" s="423"/>
      <c r="Y11" s="423"/>
      <c r="Z11" s="423"/>
      <c r="AA11" s="423"/>
      <c r="AB11" s="423"/>
      <c r="AC11" s="423"/>
      <c r="AD11" s="423"/>
      <c r="AE11" s="423"/>
      <c r="AF11" s="423"/>
      <c r="AG11" s="423"/>
      <c r="AH11" s="423"/>
      <c r="AI11" s="423"/>
    </row>
    <row r="12" spans="1:35" x14ac:dyDescent="0.25">
      <c r="B12" s="422" t="s">
        <v>52</v>
      </c>
      <c r="E12" s="427">
        <f>E52</f>
        <v>4379498.2485455908</v>
      </c>
      <c r="F12" s="428">
        <f>F52</f>
        <v>4873377.2278536204</v>
      </c>
      <c r="G12" s="428">
        <f t="shared" ref="G12:AG12" si="7">G52</f>
        <v>5071968.4508221531</v>
      </c>
      <c r="H12" s="428">
        <f t="shared" si="7"/>
        <v>5274962.9792153463</v>
      </c>
      <c r="I12" s="428">
        <f t="shared" si="7"/>
        <v>5427124.6772868559</v>
      </c>
      <c r="J12" s="428">
        <f t="shared" si="7"/>
        <v>5604794.1875015181</v>
      </c>
      <c r="K12" s="428">
        <f t="shared" si="7"/>
        <v>5739521.1556496862</v>
      </c>
      <c r="L12" s="428">
        <f t="shared" si="7"/>
        <v>5949338.3003793219</v>
      </c>
      <c r="M12" s="428">
        <f t="shared" si="7"/>
        <v>6112587.9540168867</v>
      </c>
      <c r="N12" s="428">
        <f t="shared" si="7"/>
        <v>6352452.1209834572</v>
      </c>
      <c r="O12" s="428">
        <f t="shared" si="7"/>
        <v>6487026.6779666543</v>
      </c>
      <c r="P12" s="428">
        <f t="shared" si="7"/>
        <v>6664193.0209238231</v>
      </c>
      <c r="Q12" s="428">
        <f t="shared" si="7"/>
        <v>6841446.5154515617</v>
      </c>
      <c r="R12" s="428">
        <f t="shared" si="7"/>
        <v>7018775.9950561672</v>
      </c>
      <c r="S12" s="428">
        <f t="shared" si="7"/>
        <v>7283143.2084293729</v>
      </c>
      <c r="T12" s="428">
        <f t="shared" si="7"/>
        <v>7460457.084320073</v>
      </c>
      <c r="U12" s="428">
        <f t="shared" si="7"/>
        <v>7637848.0590065215</v>
      </c>
      <c r="V12" s="428">
        <f t="shared" si="7"/>
        <v>7815319.8879323527</v>
      </c>
      <c r="W12" s="428">
        <f t="shared" si="7"/>
        <v>7992874.0057784561</v>
      </c>
      <c r="X12" s="428">
        <f t="shared" si="7"/>
        <v>8257423.2238607742</v>
      </c>
      <c r="Y12" s="428">
        <f t="shared" si="7"/>
        <v>8434902.2657836601</v>
      </c>
      <c r="Z12" s="428">
        <f t="shared" si="7"/>
        <v>8612456.7389194295</v>
      </c>
      <c r="AA12" s="428">
        <f t="shared" si="7"/>
        <v>8790010.8184412383</v>
      </c>
      <c r="AB12" s="428">
        <f t="shared" si="7"/>
        <v>8967721.4025922902</v>
      </c>
      <c r="AC12" s="428">
        <f t="shared" si="7"/>
        <v>9232255.2492355183</v>
      </c>
      <c r="AD12" s="428">
        <f t="shared" si="7"/>
        <v>9409897.0888931341</v>
      </c>
      <c r="AE12" s="428">
        <f t="shared" si="7"/>
        <v>9587656.8140215706</v>
      </c>
      <c r="AF12" s="428">
        <f t="shared" si="7"/>
        <v>9765257.8291793577</v>
      </c>
      <c r="AG12" s="428">
        <f t="shared" si="7"/>
        <v>9942830.211392045</v>
      </c>
      <c r="AH12" s="423"/>
      <c r="AI12" s="423"/>
    </row>
    <row r="13" spans="1:35" x14ac:dyDescent="0.25">
      <c r="F13" s="423"/>
      <c r="G13" s="423"/>
      <c r="H13" s="423"/>
      <c r="I13" s="423"/>
      <c r="J13" s="423"/>
      <c r="K13" s="423"/>
      <c r="L13" s="423"/>
      <c r="M13" s="423"/>
      <c r="N13" s="423"/>
      <c r="O13" s="423"/>
      <c r="P13" s="423"/>
      <c r="Q13" s="423"/>
      <c r="R13" s="423"/>
      <c r="S13" s="423"/>
      <c r="T13" s="423"/>
      <c r="U13" s="423"/>
      <c r="V13" s="423"/>
      <c r="W13" s="423"/>
      <c r="X13" s="423"/>
      <c r="Y13" s="423"/>
      <c r="Z13" s="423"/>
      <c r="AA13" s="423"/>
      <c r="AB13" s="423"/>
      <c r="AC13" s="423"/>
      <c r="AD13" s="423"/>
      <c r="AE13" s="423"/>
      <c r="AF13" s="423"/>
      <c r="AG13" s="423"/>
      <c r="AH13" s="423"/>
      <c r="AI13" s="423"/>
    </row>
    <row r="14" spans="1:35" x14ac:dyDescent="0.25">
      <c r="B14" s="422" t="s">
        <v>53</v>
      </c>
      <c r="C14" s="425" t="s">
        <v>54</v>
      </c>
      <c r="E14" s="427">
        <v>457394.9300673175</v>
      </c>
      <c r="F14" s="428">
        <f>E14*(1+'Rates Dashboard'!$C$10)</f>
        <v>466542.82866866386</v>
      </c>
      <c r="G14" s="428">
        <f>F14*(1+'Rates Dashboard'!$C$10)</f>
        <v>475873.68524203717</v>
      </c>
      <c r="H14" s="428">
        <f>G14*(1+'Rates Dashboard'!$C$10)</f>
        <v>485391.15894687793</v>
      </c>
      <c r="I14" s="428">
        <f>H14*(1+'Rates Dashboard'!$C$10)</f>
        <v>495098.98212581547</v>
      </c>
      <c r="J14" s="428">
        <f>I14*(1+'Rates Dashboard'!$C$10)</f>
        <v>505000.96176833176</v>
      </c>
      <c r="K14" s="428">
        <f>J14*(1+'Rates Dashboard'!$C$10)</f>
        <v>515100.98100369843</v>
      </c>
      <c r="L14" s="428">
        <f>K14*(1+'Rates Dashboard'!$C$10)</f>
        <v>525403.00062377239</v>
      </c>
      <c r="M14" s="428">
        <f>L14*(1+'Rates Dashboard'!$C$10)</f>
        <v>535911.06063624786</v>
      </c>
      <c r="N14" s="428">
        <f>M14*(1+'Rates Dashboard'!$C$10)</f>
        <v>546629.28184897278</v>
      </c>
      <c r="O14" s="428">
        <f>N14*(1+'Rates Dashboard'!$C$10)</f>
        <v>557561.86748595221</v>
      </c>
      <c r="P14" s="428">
        <f>O14*(1+'Rates Dashboard'!$C$10)</f>
        <v>568713.10483567126</v>
      </c>
      <c r="Q14" s="428">
        <f>P14*(1+'Rates Dashboard'!$C$10)</f>
        <v>580087.36693238467</v>
      </c>
      <c r="R14" s="428">
        <f>Q14*(1+'Rates Dashboard'!$C$10)</f>
        <v>591689.11427103239</v>
      </c>
      <c r="S14" s="428">
        <f>R14*(1+'Rates Dashboard'!$C$10)</f>
        <v>603522.89655645308</v>
      </c>
      <c r="T14" s="428">
        <f>S14*(1+'Rates Dashboard'!$C$10)</f>
        <v>615593.35448758211</v>
      </c>
      <c r="U14" s="428">
        <f>T14*(1+'Rates Dashboard'!$C$10)</f>
        <v>627905.22157733375</v>
      </c>
      <c r="V14" s="428">
        <f>U14*(1+'Rates Dashboard'!$C$10)</f>
        <v>640463.32600888039</v>
      </c>
      <c r="W14" s="428">
        <f>V14*(1+'Rates Dashboard'!$C$10)</f>
        <v>653272.59252905799</v>
      </c>
      <c r="X14" s="428">
        <f>W14*(1+'Rates Dashboard'!$C$10)</f>
        <v>666338.04437963921</v>
      </c>
      <c r="Y14" s="428">
        <f>X14*(1+'Rates Dashboard'!$C$10)</f>
        <v>679664.805267232</v>
      </c>
      <c r="Z14" s="428">
        <f>Y14*(1+'Rates Dashboard'!$C$10)</f>
        <v>693258.10137257667</v>
      </c>
      <c r="AA14" s="428">
        <f>Z14*(1+'Rates Dashboard'!$C$10)</f>
        <v>707123.26340002823</v>
      </c>
      <c r="AB14" s="428">
        <f>AA14*(1+'Rates Dashboard'!$C$10)</f>
        <v>721265.72866802884</v>
      </c>
      <c r="AC14" s="428">
        <f>AB14*(1+'Rates Dashboard'!$C$10)</f>
        <v>735691.04324138945</v>
      </c>
      <c r="AD14" s="428">
        <f>AC14*(1+'Rates Dashboard'!$C$10)</f>
        <v>750404.86410621728</v>
      </c>
      <c r="AE14" s="428">
        <f>AD14*(1+'Rates Dashboard'!$C$10)</f>
        <v>765412.96138834162</v>
      </c>
      <c r="AF14" s="428">
        <f>AE14*(1+'Rates Dashboard'!$C$10)</f>
        <v>780721.22061610851</v>
      </c>
      <c r="AG14" s="428">
        <f>AF14*(1+'Rates Dashboard'!$C$10)</f>
        <v>796335.64502843074</v>
      </c>
      <c r="AH14" s="423"/>
      <c r="AI14" s="423"/>
    </row>
    <row r="15" spans="1:35" x14ac:dyDescent="0.25">
      <c r="F15" s="423"/>
      <c r="G15" s="423"/>
      <c r="H15" s="423"/>
      <c r="I15" s="423"/>
      <c r="J15" s="423"/>
      <c r="K15" s="423"/>
      <c r="L15" s="423"/>
      <c r="M15" s="423"/>
      <c r="N15" s="423"/>
      <c r="O15" s="423"/>
      <c r="P15" s="423"/>
      <c r="Q15" s="423"/>
      <c r="R15" s="423"/>
      <c r="S15" s="423"/>
      <c r="T15" s="423"/>
      <c r="U15" s="423"/>
      <c r="V15" s="423"/>
      <c r="W15" s="423"/>
      <c r="X15" s="423"/>
      <c r="Y15" s="423"/>
      <c r="Z15" s="423"/>
      <c r="AA15" s="423"/>
      <c r="AB15" s="423"/>
      <c r="AC15" s="423"/>
      <c r="AD15" s="423"/>
      <c r="AE15" s="423"/>
      <c r="AF15" s="423"/>
      <c r="AG15" s="423"/>
      <c r="AH15" s="423"/>
      <c r="AI15" s="423"/>
    </row>
    <row r="16" spans="1:35" x14ac:dyDescent="0.25">
      <c r="B16" s="422" t="s">
        <v>55</v>
      </c>
      <c r="C16" s="425" t="s">
        <v>54</v>
      </c>
      <c r="E16" s="427">
        <v>7466534.7992244428</v>
      </c>
      <c r="F16" s="428">
        <f>E16*(1+'Rates Dashboard'!$C$10)</f>
        <v>7615865.4952089321</v>
      </c>
      <c r="G16" s="428">
        <f>F16*(1+'Rates Dashboard'!$C$10)</f>
        <v>7768182.8051131107</v>
      </c>
      <c r="H16" s="428">
        <f>G16*(1+'Rates Dashboard'!$C$10)</f>
        <v>7923546.4612153731</v>
      </c>
      <c r="I16" s="428">
        <f>H16*(1+'Rates Dashboard'!$C$10)</f>
        <v>8082017.3904396808</v>
      </c>
      <c r="J16" s="428">
        <f>I16*(1+'Rates Dashboard'!$C$10)</f>
        <v>8243657.7382484749</v>
      </c>
      <c r="K16" s="428">
        <f>J16*(1+'Rates Dashboard'!$C$10)</f>
        <v>8408530.8930134438</v>
      </c>
      <c r="L16" s="428">
        <f>K16*(1+'Rates Dashboard'!$C$10)</f>
        <v>8576701.5108737126</v>
      </c>
      <c r="M16" s="428">
        <f>L16*(1+'Rates Dashboard'!$C$10)</f>
        <v>8748235.5410911869</v>
      </c>
      <c r="N16" s="428">
        <f>M16*(1+'Rates Dashboard'!$C$10)</f>
        <v>8923200.2519130111</v>
      </c>
      <c r="O16" s="428">
        <f>N16*(1+'Rates Dashboard'!$C$10)</f>
        <v>9101664.2569512706</v>
      </c>
      <c r="P16" s="428">
        <f>O16*(1+'Rates Dashboard'!$C$10)</f>
        <v>9283697.5420902967</v>
      </c>
      <c r="Q16" s="428">
        <f>P16*(1+'Rates Dashboard'!$C$10)</f>
        <v>9469371.4929321036</v>
      </c>
      <c r="R16" s="428">
        <f>Q16*(1+'Rates Dashboard'!$C$10)</f>
        <v>9658758.9227907453</v>
      </c>
      <c r="S16" s="428">
        <f>R16*(1+'Rates Dashboard'!$C$10)</f>
        <v>9851934.10124656</v>
      </c>
      <c r="T16" s="428">
        <f>S16*(1+'Rates Dashboard'!$C$10)</f>
        <v>10048972.783271492</v>
      </c>
      <c r="U16" s="428">
        <f>T16*(1+'Rates Dashboard'!$C$10)</f>
        <v>10249952.238936922</v>
      </c>
      <c r="V16" s="428">
        <f>U16*(1+'Rates Dashboard'!$C$10)</f>
        <v>10454951.28371566</v>
      </c>
      <c r="W16" s="428">
        <f>V16*(1+'Rates Dashboard'!$C$10)</f>
        <v>10664050.309389973</v>
      </c>
      <c r="X16" s="428">
        <f>W16*(1+'Rates Dashboard'!$C$10)</f>
        <v>10877331.315577773</v>
      </c>
      <c r="Y16" s="428">
        <f>X16*(1+'Rates Dashboard'!$C$10)</f>
        <v>11094877.941889329</v>
      </c>
      <c r="Z16" s="428">
        <f>Y16*(1+'Rates Dashboard'!$C$10)</f>
        <v>11316775.500727115</v>
      </c>
      <c r="AA16" s="428">
        <f>Z16*(1+'Rates Dashboard'!$C$10)</f>
        <v>11543111.010741659</v>
      </c>
      <c r="AB16" s="428">
        <f>AA16*(1+'Rates Dashboard'!$C$10)</f>
        <v>11773973.230956491</v>
      </c>
      <c r="AC16" s="428">
        <f>AB16*(1+'Rates Dashboard'!$C$10)</f>
        <v>12009452.695575621</v>
      </c>
      <c r="AD16" s="428">
        <f>AC16*(1+'Rates Dashboard'!$C$10)</f>
        <v>12249641.749487134</v>
      </c>
      <c r="AE16" s="428">
        <f>AD16*(1+'Rates Dashboard'!$C$10)</f>
        <v>12494634.584476877</v>
      </c>
      <c r="AF16" s="428">
        <f>AE16*(1+'Rates Dashboard'!$C$10)</f>
        <v>12744527.276166415</v>
      </c>
      <c r="AG16" s="428">
        <f>AF16*(1+'Rates Dashboard'!$C$10)</f>
        <v>12999417.821689744</v>
      </c>
      <c r="AH16" s="423"/>
      <c r="AI16" s="423"/>
    </row>
    <row r="17" spans="2:35" x14ac:dyDescent="0.25">
      <c r="B17" s="422"/>
      <c r="F17" s="423"/>
      <c r="G17" s="423"/>
      <c r="H17" s="423"/>
      <c r="I17" s="423"/>
      <c r="J17" s="423"/>
      <c r="K17" s="423"/>
      <c r="L17" s="423"/>
      <c r="M17" s="423"/>
      <c r="N17" s="423"/>
      <c r="O17" s="423"/>
      <c r="P17" s="423"/>
      <c r="Q17" s="423"/>
      <c r="R17" s="423"/>
      <c r="S17" s="423"/>
      <c r="T17" s="423"/>
      <c r="U17" s="423"/>
      <c r="V17" s="423"/>
      <c r="W17" s="423"/>
      <c r="X17" s="423"/>
      <c r="Y17" s="423"/>
      <c r="Z17" s="423"/>
      <c r="AA17" s="423"/>
      <c r="AB17" s="423"/>
      <c r="AC17" s="423"/>
      <c r="AD17" s="423"/>
      <c r="AE17" s="423"/>
      <c r="AF17" s="423"/>
      <c r="AG17" s="423"/>
      <c r="AH17" s="423"/>
      <c r="AI17" s="423"/>
    </row>
    <row r="18" spans="2:35" x14ac:dyDescent="0.25">
      <c r="B18" s="422" t="s">
        <v>56</v>
      </c>
      <c r="C18" s="423" t="s">
        <v>57</v>
      </c>
      <c r="F18" s="423"/>
      <c r="G18" s="423"/>
      <c r="H18" s="423"/>
      <c r="I18" s="423"/>
      <c r="J18" s="423"/>
      <c r="K18" s="423"/>
      <c r="L18" s="423"/>
      <c r="M18" s="423"/>
      <c r="N18" s="423"/>
      <c r="O18" s="423"/>
      <c r="P18" s="423"/>
      <c r="Q18" s="423"/>
      <c r="R18" s="423"/>
      <c r="S18" s="423"/>
      <c r="T18" s="423"/>
      <c r="U18" s="423"/>
      <c r="V18" s="423"/>
      <c r="W18" s="423"/>
      <c r="X18" s="423"/>
      <c r="Y18" s="423"/>
      <c r="Z18" s="423"/>
      <c r="AA18" s="423"/>
      <c r="AB18" s="423"/>
      <c r="AC18" s="423"/>
      <c r="AD18" s="423"/>
      <c r="AE18" s="423"/>
      <c r="AF18" s="423"/>
      <c r="AG18" s="423"/>
      <c r="AH18" s="423"/>
      <c r="AI18" s="423"/>
    </row>
    <row r="19" spans="2:35" x14ac:dyDescent="0.25">
      <c r="C19" s="429">
        <v>0.25750000000000001</v>
      </c>
      <c r="E19" s="427">
        <f t="shared" ref="E19:AG19" si="8">E62*$C19</f>
        <v>1869902.1079758315</v>
      </c>
      <c r="F19" s="428">
        <f t="shared" si="8"/>
        <v>2177073.0688300524</v>
      </c>
      <c r="G19" s="428">
        <f t="shared" si="8"/>
        <v>2239753.0863135406</v>
      </c>
      <c r="H19" s="428">
        <f t="shared" si="8"/>
        <v>2269422.3043654272</v>
      </c>
      <c r="I19" s="428">
        <f t="shared" si="8"/>
        <v>2284649.9547427814</v>
      </c>
      <c r="J19" s="428">
        <f t="shared" si="8"/>
        <v>2322486.3695390346</v>
      </c>
      <c r="K19" s="428">
        <f t="shared" si="8"/>
        <v>2331910.1544483695</v>
      </c>
      <c r="L19" s="428">
        <f t="shared" si="8"/>
        <v>2401234.683146684</v>
      </c>
      <c r="M19" s="428">
        <f t="shared" si="8"/>
        <v>2428047.999594871</v>
      </c>
      <c r="N19" s="428">
        <f t="shared" si="8"/>
        <v>2533059.880160491</v>
      </c>
      <c r="O19" s="428">
        <f t="shared" si="8"/>
        <v>2528688.0283880658</v>
      </c>
      <c r="P19" s="428">
        <f t="shared" si="8"/>
        <v>2560754.1263762512</v>
      </c>
      <c r="Q19" s="428">
        <f t="shared" si="8"/>
        <v>2589655.295824049</v>
      </c>
      <c r="R19" s="428">
        <f t="shared" si="8"/>
        <v>2615380.4472135142</v>
      </c>
      <c r="S19" s="428">
        <f t="shared" si="8"/>
        <v>2727703.8776385342</v>
      </c>
      <c r="T19" s="428">
        <f t="shared" si="8"/>
        <v>2745340.4395844578</v>
      </c>
      <c r="U19" s="428">
        <f t="shared" si="8"/>
        <v>2759800.8266745843</v>
      </c>
      <c r="V19" s="428">
        <f t="shared" si="8"/>
        <v>2771086.8230410228</v>
      </c>
      <c r="W19" s="428">
        <f t="shared" si="8"/>
        <v>2779198.1705423016</v>
      </c>
      <c r="X19" s="428">
        <f t="shared" si="8"/>
        <v>2873867.4338754364</v>
      </c>
      <c r="Y19" s="428">
        <f t="shared" si="8"/>
        <v>2873832.1813414032</v>
      </c>
      <c r="Z19" s="428">
        <f t="shared" si="8"/>
        <v>2870616.3161637732</v>
      </c>
      <c r="AA19" s="428">
        <f t="shared" si="8"/>
        <v>2864153.9765952723</v>
      </c>
      <c r="AB19" s="428">
        <f t="shared" si="8"/>
        <v>2854578.5986709869</v>
      </c>
      <c r="AC19" s="428">
        <f t="shared" si="8"/>
        <v>2931412.1423480106</v>
      </c>
      <c r="AD19" s="428">
        <f t="shared" si="8"/>
        <v>2913692.9691732377</v>
      </c>
      <c r="AE19" s="428">
        <f t="shared" si="8"/>
        <v>2892826.3108023982</v>
      </c>
      <c r="AF19" s="428">
        <f t="shared" si="8"/>
        <v>2868574.7906953297</v>
      </c>
      <c r="AG19" s="428">
        <f t="shared" si="8"/>
        <v>2841051.9301026026</v>
      </c>
      <c r="AH19" s="423"/>
      <c r="AI19" s="423"/>
    </row>
    <row r="20" spans="2:35" x14ac:dyDescent="0.25">
      <c r="F20" s="423"/>
      <c r="G20" s="423"/>
      <c r="H20" s="423"/>
      <c r="I20" s="423"/>
      <c r="J20" s="423"/>
      <c r="K20" s="423"/>
      <c r="L20" s="423"/>
      <c r="M20" s="423"/>
      <c r="N20" s="423"/>
      <c r="O20" s="423"/>
      <c r="P20" s="423"/>
      <c r="Q20" s="423"/>
      <c r="R20" s="423"/>
      <c r="S20" s="423"/>
      <c r="T20" s="423"/>
      <c r="U20" s="423"/>
      <c r="V20" s="423"/>
      <c r="W20" s="423"/>
      <c r="X20" s="423"/>
      <c r="Y20" s="423"/>
      <c r="Z20" s="423"/>
      <c r="AA20" s="423"/>
      <c r="AB20" s="423"/>
      <c r="AC20" s="423"/>
      <c r="AD20" s="423"/>
      <c r="AE20" s="423"/>
      <c r="AF20" s="423"/>
      <c r="AG20" s="423"/>
      <c r="AH20" s="423"/>
      <c r="AI20" s="423"/>
    </row>
    <row r="21" spans="2:35" x14ac:dyDescent="0.25">
      <c r="B21" s="422" t="s">
        <v>58</v>
      </c>
      <c r="E21" s="427">
        <f>E62</f>
        <v>7261755.7591294423</v>
      </c>
      <c r="F21" s="428">
        <f t="shared" ref="F21:AG21" si="9">F62</f>
        <v>8454652.6944856402</v>
      </c>
      <c r="G21" s="428">
        <f t="shared" si="9"/>
        <v>8698070.2381108366</v>
      </c>
      <c r="H21" s="428">
        <f t="shared" si="9"/>
        <v>8813290.5023900084</v>
      </c>
      <c r="I21" s="428">
        <f t="shared" si="9"/>
        <v>8872427.0087098312</v>
      </c>
      <c r="J21" s="428">
        <f t="shared" si="9"/>
        <v>9019364.5418991633</v>
      </c>
      <c r="K21" s="428">
        <f t="shared" si="9"/>
        <v>9055961.7648480367</v>
      </c>
      <c r="L21" s="428">
        <f t="shared" si="9"/>
        <v>9325183.2355211023</v>
      </c>
      <c r="M21" s="428">
        <f t="shared" si="9"/>
        <v>9429312.6197859067</v>
      </c>
      <c r="N21" s="428">
        <f t="shared" si="9"/>
        <v>9837125.7481960803</v>
      </c>
      <c r="O21" s="428">
        <f t="shared" si="9"/>
        <v>9820147.6830604486</v>
      </c>
      <c r="P21" s="428">
        <f t="shared" si="9"/>
        <v>9944676.2189368978</v>
      </c>
      <c r="Q21" s="428">
        <f t="shared" si="9"/>
        <v>10056913.770190481</v>
      </c>
      <c r="R21" s="428">
        <f t="shared" si="9"/>
        <v>10156817.270732094</v>
      </c>
      <c r="S21" s="428">
        <f t="shared" si="9"/>
        <v>10593024.767528288</v>
      </c>
      <c r="T21" s="428">
        <f t="shared" si="9"/>
        <v>10661516.270230904</v>
      </c>
      <c r="U21" s="428">
        <f t="shared" si="9"/>
        <v>10717673.113299357</v>
      </c>
      <c r="V21" s="428">
        <f t="shared" si="9"/>
        <v>10761502.225402029</v>
      </c>
      <c r="W21" s="428">
        <f t="shared" si="9"/>
        <v>10793002.604047773</v>
      </c>
      <c r="X21" s="428">
        <f t="shared" si="9"/>
        <v>11160650.228642471</v>
      </c>
      <c r="Y21" s="428">
        <f t="shared" si="9"/>
        <v>11160513.325597681</v>
      </c>
      <c r="Z21" s="428">
        <f t="shared" si="9"/>
        <v>11148024.528791351</v>
      </c>
      <c r="AA21" s="428">
        <f t="shared" si="9"/>
        <v>11122928.06444766</v>
      </c>
      <c r="AB21" s="428">
        <f t="shared" si="9"/>
        <v>11085742.130761115</v>
      </c>
      <c r="AC21" s="428">
        <f t="shared" si="9"/>
        <v>11384124.824652469</v>
      </c>
      <c r="AD21" s="428">
        <f t="shared" si="9"/>
        <v>11315312.501643641</v>
      </c>
      <c r="AE21" s="428">
        <f t="shared" si="9"/>
        <v>11234276.935154945</v>
      </c>
      <c r="AF21" s="428">
        <f t="shared" si="9"/>
        <v>11140096.274544969</v>
      </c>
      <c r="AG21" s="428">
        <f t="shared" si="9"/>
        <v>11033211.379039234</v>
      </c>
      <c r="AH21" s="423"/>
      <c r="AI21" s="423"/>
    </row>
    <row r="22" spans="2:35" x14ac:dyDescent="0.25">
      <c r="AH22" s="423"/>
      <c r="AI22" s="423"/>
    </row>
    <row r="23" spans="2:35" x14ac:dyDescent="0.25">
      <c r="B23" s="422" t="s">
        <v>59</v>
      </c>
      <c r="E23" s="427">
        <f>SUM(E4:E10,E12,E14,E16,E19,E21)</f>
        <v>37740159.077223711</v>
      </c>
      <c r="F23" s="428">
        <f t="shared" ref="F23:AG23" si="10">SUM(F4:F10,F12,F14,F16,F19,F21)</f>
        <v>40455911.997615293</v>
      </c>
      <c r="G23" s="428">
        <f t="shared" si="10"/>
        <v>40881069.67330265</v>
      </c>
      <c r="H23" s="428">
        <f t="shared" si="10"/>
        <v>37428174.250073671</v>
      </c>
      <c r="I23" s="428">
        <f t="shared" si="10"/>
        <v>39391619.403412312</v>
      </c>
      <c r="J23" s="428">
        <f t="shared" si="10"/>
        <v>40635163.308916375</v>
      </c>
      <c r="K23" s="428">
        <f t="shared" si="10"/>
        <v>41155551.337437518</v>
      </c>
      <c r="L23" s="428">
        <f t="shared" si="10"/>
        <v>41905849.820213951</v>
      </c>
      <c r="M23" s="428">
        <f t="shared" si="10"/>
        <v>42580421.601347968</v>
      </c>
      <c r="N23" s="428">
        <f t="shared" si="10"/>
        <v>43587189.47687611</v>
      </c>
      <c r="O23" s="428">
        <f t="shared" si="10"/>
        <v>43952107.425779328</v>
      </c>
      <c r="P23" s="428">
        <f t="shared" si="10"/>
        <v>44549176.257660255</v>
      </c>
      <c r="Q23" s="428">
        <f t="shared" si="10"/>
        <v>45141693.150897801</v>
      </c>
      <c r="R23" s="428">
        <f t="shared" si="10"/>
        <v>45913671.638609812</v>
      </c>
      <c r="S23" s="428">
        <f t="shared" si="10"/>
        <v>47008062.324869886</v>
      </c>
      <c r="T23" s="428">
        <f t="shared" si="10"/>
        <v>47564304.377384901</v>
      </c>
      <c r="U23" s="428">
        <f t="shared" si="10"/>
        <v>48116945.3650406</v>
      </c>
      <c r="V23" s="428">
        <f t="shared" si="10"/>
        <v>48666334.603582695</v>
      </c>
      <c r="W23" s="428">
        <f t="shared" si="10"/>
        <v>49446424.680379681</v>
      </c>
      <c r="X23" s="428">
        <f t="shared" si="10"/>
        <v>50487649.067643918</v>
      </c>
      <c r="Y23" s="428">
        <f t="shared" si="10"/>
        <v>50991500.159168959</v>
      </c>
      <c r="Z23" s="428">
        <f t="shared" si="10"/>
        <v>51485329.160002671</v>
      </c>
      <c r="AA23" s="428">
        <f t="shared" si="10"/>
        <v>51983322.247913986</v>
      </c>
      <c r="AB23" s="428">
        <f t="shared" si="10"/>
        <v>53364634.831128687</v>
      </c>
      <c r="AC23" s="428">
        <f t="shared" si="10"/>
        <v>54361596.868772835</v>
      </c>
      <c r="AD23" s="428">
        <f t="shared" si="10"/>
        <v>54826972.639066994</v>
      </c>
      <c r="AE23" s="428">
        <f t="shared" si="10"/>
        <v>55268222.100661784</v>
      </c>
      <c r="AF23" s="428">
        <f t="shared" si="10"/>
        <v>55696134.491505675</v>
      </c>
      <c r="AG23" s="428">
        <f t="shared" si="10"/>
        <v>56138627.077188201</v>
      </c>
      <c r="AH23" s="423"/>
      <c r="AI23" s="423"/>
    </row>
    <row r="24" spans="2:35" x14ac:dyDescent="0.25">
      <c r="F24" s="423"/>
      <c r="G24" s="423"/>
      <c r="H24" s="423"/>
      <c r="I24" s="423"/>
      <c r="J24" s="423"/>
      <c r="K24" s="423"/>
      <c r="L24" s="423"/>
      <c r="M24" s="423"/>
      <c r="N24" s="423"/>
      <c r="O24" s="423"/>
      <c r="P24" s="423"/>
      <c r="Q24" s="423"/>
      <c r="R24" s="423"/>
      <c r="S24" s="423"/>
      <c r="T24" s="423"/>
      <c r="U24" s="423"/>
      <c r="V24" s="423"/>
      <c r="W24" s="423"/>
      <c r="X24" s="423"/>
      <c r="Y24" s="423"/>
      <c r="Z24" s="423"/>
      <c r="AA24" s="423"/>
      <c r="AB24" s="423"/>
      <c r="AC24" s="423"/>
      <c r="AD24" s="423"/>
      <c r="AE24" s="423"/>
      <c r="AF24" s="423"/>
      <c r="AG24" s="423"/>
      <c r="AH24" s="423"/>
      <c r="AI24" s="423"/>
    </row>
    <row r="25" spans="2:35" x14ac:dyDescent="0.25">
      <c r="F25" s="423"/>
      <c r="G25" s="423"/>
      <c r="H25" s="423"/>
      <c r="I25" s="423"/>
      <c r="J25" s="423"/>
      <c r="K25" s="423"/>
      <c r="L25" s="423"/>
      <c r="M25" s="423"/>
      <c r="N25" s="423"/>
      <c r="O25" s="423"/>
      <c r="P25" s="423"/>
      <c r="Q25" s="423"/>
      <c r="R25" s="423"/>
      <c r="S25" s="423"/>
      <c r="T25" s="423"/>
      <c r="U25" s="423"/>
      <c r="V25" s="423"/>
      <c r="W25" s="423"/>
      <c r="X25" s="423"/>
      <c r="Y25" s="423"/>
      <c r="Z25" s="423"/>
      <c r="AA25" s="423"/>
      <c r="AB25" s="423"/>
      <c r="AC25" s="423"/>
      <c r="AD25" s="423"/>
      <c r="AE25" s="423"/>
      <c r="AF25" s="423"/>
      <c r="AG25" s="423"/>
      <c r="AH25" s="430"/>
      <c r="AI25" s="423"/>
    </row>
    <row r="26" spans="2:35" x14ac:dyDescent="0.25">
      <c r="F26" s="423"/>
      <c r="G26" s="423"/>
      <c r="H26" s="423"/>
      <c r="I26" s="423"/>
      <c r="J26" s="423"/>
      <c r="K26" s="423"/>
      <c r="L26" s="423"/>
      <c r="M26" s="423"/>
      <c r="N26" s="423"/>
      <c r="O26" s="423"/>
      <c r="P26" s="423"/>
      <c r="Q26" s="423"/>
      <c r="R26" s="423"/>
      <c r="S26" s="423"/>
      <c r="T26" s="423"/>
      <c r="U26" s="423"/>
      <c r="V26" s="423"/>
      <c r="W26" s="423"/>
      <c r="X26" s="423"/>
      <c r="Y26" s="423"/>
      <c r="Z26" s="423"/>
      <c r="AA26" s="423"/>
      <c r="AB26" s="423"/>
      <c r="AC26" s="423"/>
      <c r="AD26" s="423"/>
      <c r="AE26" s="423"/>
      <c r="AF26" s="423"/>
      <c r="AG26" s="423"/>
      <c r="AH26" s="423"/>
      <c r="AI26" s="423"/>
    </row>
    <row r="27" spans="2:35" x14ac:dyDescent="0.25">
      <c r="B27" s="422" t="s">
        <v>60</v>
      </c>
      <c r="E27" s="423">
        <v>2017</v>
      </c>
      <c r="F27" s="423">
        <v>2018</v>
      </c>
      <c r="G27" s="423">
        <v>2019</v>
      </c>
      <c r="H27" s="423">
        <v>2020</v>
      </c>
      <c r="I27" s="423">
        <v>2021</v>
      </c>
      <c r="J27" s="423">
        <v>2022</v>
      </c>
      <c r="K27" s="423">
        <v>2023</v>
      </c>
      <c r="L27" s="423">
        <v>2024</v>
      </c>
      <c r="M27" s="423">
        <v>2025</v>
      </c>
      <c r="N27" s="423">
        <v>2026</v>
      </c>
      <c r="O27" s="423">
        <v>2027</v>
      </c>
      <c r="P27" s="423">
        <v>2028</v>
      </c>
      <c r="Q27" s="423">
        <v>2029</v>
      </c>
      <c r="R27" s="423">
        <v>2030</v>
      </c>
      <c r="S27" s="423">
        <v>2031</v>
      </c>
      <c r="T27" s="423">
        <v>2032</v>
      </c>
      <c r="U27" s="423">
        <v>2033</v>
      </c>
      <c r="V27" s="423">
        <v>2034</v>
      </c>
      <c r="W27" s="423">
        <v>2035</v>
      </c>
      <c r="X27" s="423">
        <v>2036</v>
      </c>
      <c r="Y27" s="423">
        <v>2037</v>
      </c>
      <c r="Z27" s="423">
        <v>2038</v>
      </c>
      <c r="AA27" s="423">
        <v>2039</v>
      </c>
      <c r="AB27" s="423">
        <v>2040</v>
      </c>
      <c r="AC27" s="423">
        <v>2041</v>
      </c>
      <c r="AD27" s="423">
        <v>2042</v>
      </c>
      <c r="AE27" s="423">
        <v>2043</v>
      </c>
      <c r="AF27" s="423">
        <v>2044</v>
      </c>
      <c r="AG27" s="423">
        <v>2045</v>
      </c>
      <c r="AH27" s="423"/>
      <c r="AI27" s="423"/>
    </row>
    <row r="28" spans="2:35" x14ac:dyDescent="0.25">
      <c r="B28" s="421" t="s">
        <v>61</v>
      </c>
      <c r="E28" s="427">
        <v>373274.95195329573</v>
      </c>
      <c r="F28" s="428">
        <f t="shared" ref="F28:F33" si="11">E28+E37</f>
        <v>373274.95195329573</v>
      </c>
      <c r="G28" s="428">
        <f t="shared" ref="G28:AG33" si="12">F28+F37</f>
        <v>373274.95195329573</v>
      </c>
      <c r="H28" s="428">
        <f t="shared" si="12"/>
        <v>373274.95195329573</v>
      </c>
      <c r="I28" s="428">
        <f t="shared" si="12"/>
        <v>373274.95195329573</v>
      </c>
      <c r="J28" s="428">
        <f t="shared" si="12"/>
        <v>373274.95195329573</v>
      </c>
      <c r="K28" s="428">
        <f t="shared" si="12"/>
        <v>384758.04880783195</v>
      </c>
      <c r="L28" s="428">
        <f t="shared" si="12"/>
        <v>402641.25829283218</v>
      </c>
      <c r="M28" s="428">
        <f t="shared" si="12"/>
        <v>416555.41081891005</v>
      </c>
      <c r="N28" s="428">
        <f t="shared" si="12"/>
        <v>429583.03902297933</v>
      </c>
      <c r="O28" s="428">
        <f t="shared" si="12"/>
        <v>441053.14551490929</v>
      </c>
      <c r="P28" s="428">
        <f t="shared" si="12"/>
        <v>454664.08686578076</v>
      </c>
      <c r="Q28" s="428">
        <f t="shared" si="12"/>
        <v>468281.72370348038</v>
      </c>
      <c r="R28" s="428">
        <f t="shared" si="12"/>
        <v>481905.19815349113</v>
      </c>
      <c r="S28" s="428">
        <f t="shared" si="12"/>
        <v>495530.35934252269</v>
      </c>
      <c r="T28" s="428">
        <f t="shared" si="12"/>
        <v>509152.63502514182</v>
      </c>
      <c r="U28" s="428">
        <f t="shared" si="12"/>
        <v>522780.83388238691</v>
      </c>
      <c r="V28" s="428">
        <f t="shared" si="12"/>
        <v>536415.2444291201</v>
      </c>
      <c r="W28" s="428">
        <f t="shared" si="12"/>
        <v>550055.97688581073</v>
      </c>
      <c r="X28" s="428">
        <f t="shared" si="12"/>
        <v>563695.12072741578</v>
      </c>
      <c r="Y28" s="428">
        <f t="shared" si="12"/>
        <v>577330.08541822759</v>
      </c>
      <c r="Z28" s="428">
        <f t="shared" si="12"/>
        <v>590970.84517032164</v>
      </c>
      <c r="AA28" s="428">
        <f t="shared" si="12"/>
        <v>604611.57468271872</v>
      </c>
      <c r="AB28" s="428">
        <f t="shared" si="12"/>
        <v>618264.32778432686</v>
      </c>
      <c r="AC28" s="428">
        <f t="shared" si="12"/>
        <v>631902.29070323287</v>
      </c>
      <c r="AD28" s="428">
        <f t="shared" si="12"/>
        <v>645549.76245595317</v>
      </c>
      <c r="AE28" s="428">
        <f t="shared" si="12"/>
        <v>659206.29085116356</v>
      </c>
      <c r="AF28" s="428">
        <f t="shared" si="12"/>
        <v>672850.62623010343</v>
      </c>
      <c r="AG28" s="428">
        <f t="shared" si="12"/>
        <v>686492.76186088589</v>
      </c>
      <c r="AH28" s="423"/>
      <c r="AI28" s="423"/>
    </row>
    <row r="29" spans="2:35" x14ac:dyDescent="0.25">
      <c r="B29" s="421" t="s">
        <v>62</v>
      </c>
      <c r="E29" s="427">
        <v>6461466.8449999997</v>
      </c>
      <c r="F29" s="428">
        <f t="shared" si="11"/>
        <v>6492520.7875593631</v>
      </c>
      <c r="G29" s="428">
        <f t="shared" ref="G29:U29" si="13">F29+F38</f>
        <v>7461544.2219098974</v>
      </c>
      <c r="H29" s="428">
        <f t="shared" si="13"/>
        <v>7656518.3998749973</v>
      </c>
      <c r="I29" s="428">
        <f t="shared" si="13"/>
        <v>7821496.8354422441</v>
      </c>
      <c r="J29" s="428">
        <f t="shared" si="13"/>
        <v>7912622.0969665218</v>
      </c>
      <c r="K29" s="428">
        <f t="shared" si="13"/>
        <v>8111396.8854039544</v>
      </c>
      <c r="L29" s="428">
        <f t="shared" si="13"/>
        <v>8420958.9510203376</v>
      </c>
      <c r="M29" s="428">
        <f t="shared" si="13"/>
        <v>8661815.8173947372</v>
      </c>
      <c r="N29" s="428">
        <f t="shared" si="13"/>
        <v>8887326.7638675477</v>
      </c>
      <c r="O29" s="428">
        <f t="shared" si="13"/>
        <v>9085876.6864337362</v>
      </c>
      <c r="P29" s="428">
        <f t="shared" si="13"/>
        <v>9321484.9044716265</v>
      </c>
      <c r="Q29" s="428">
        <f t="shared" si="13"/>
        <v>9557209.0227753259</v>
      </c>
      <c r="R29" s="428">
        <f t="shared" si="13"/>
        <v>9793034.1913590003</v>
      </c>
      <c r="S29" s="428">
        <f t="shared" si="13"/>
        <v>10028888.557744997</v>
      </c>
      <c r="T29" s="428">
        <f t="shared" si="13"/>
        <v>10264692.975416467</v>
      </c>
      <c r="U29" s="428">
        <f t="shared" si="13"/>
        <v>10500599.924469329</v>
      </c>
      <c r="V29" s="428">
        <f t="shared" si="12"/>
        <v>10736614.399155693</v>
      </c>
      <c r="W29" s="428">
        <f t="shared" si="12"/>
        <v>10972738.307414744</v>
      </c>
      <c r="X29" s="428">
        <f t="shared" si="12"/>
        <v>11208834.716417145</v>
      </c>
      <c r="Y29" s="428">
        <f t="shared" si="12"/>
        <v>11444858.783452453</v>
      </c>
      <c r="Z29" s="428">
        <f t="shared" si="12"/>
        <v>11680983.1642006</v>
      </c>
      <c r="AA29" s="428">
        <f t="shared" si="12"/>
        <v>11917107.021493319</v>
      </c>
      <c r="AB29" s="428">
        <f t="shared" si="12"/>
        <v>12153439.00960928</v>
      </c>
      <c r="AC29" s="428">
        <f t="shared" si="12"/>
        <v>12389514.976594808</v>
      </c>
      <c r="AD29" s="428">
        <f t="shared" si="12"/>
        <v>12625755.543466033</v>
      </c>
      <c r="AE29" s="428">
        <f t="shared" si="12"/>
        <v>12862152.88269734</v>
      </c>
      <c r="AF29" s="428">
        <f t="shared" si="12"/>
        <v>13098339.158287862</v>
      </c>
      <c r="AG29" s="428">
        <f t="shared" si="12"/>
        <v>13334487.355781497</v>
      </c>
      <c r="AH29" s="423"/>
      <c r="AI29" s="423"/>
    </row>
    <row r="30" spans="2:35" x14ac:dyDescent="0.25">
      <c r="B30" s="421" t="s">
        <v>63</v>
      </c>
      <c r="E30" s="427">
        <v>16280172.592399998</v>
      </c>
      <c r="F30" s="428">
        <f t="shared" si="11"/>
        <v>29552863.086776037</v>
      </c>
      <c r="G30" s="428">
        <f t="shared" si="12"/>
        <v>29568682.348715954</v>
      </c>
      <c r="H30" s="428">
        <f t="shared" si="12"/>
        <v>29712123.766465668</v>
      </c>
      <c r="I30" s="428">
        <f t="shared" si="12"/>
        <v>30404410.983006347</v>
      </c>
      <c r="J30" s="428">
        <f t="shared" si="12"/>
        <v>30556396.8830797</v>
      </c>
      <c r="K30" s="428">
        <f t="shared" si="12"/>
        <v>31057225.555640846</v>
      </c>
      <c r="L30" s="428">
        <f t="shared" si="12"/>
        <v>31837191.463876437</v>
      </c>
      <c r="M30" s="428">
        <f t="shared" si="12"/>
        <v>32444049.23297172</v>
      </c>
      <c r="N30" s="428">
        <f t="shared" si="12"/>
        <v>33012241.753048457</v>
      </c>
      <c r="O30" s="428">
        <f t="shared" si="12"/>
        <v>33512503.85840717</v>
      </c>
      <c r="P30" s="428">
        <f t="shared" si="12"/>
        <v>34106137.246282995</v>
      </c>
      <c r="Q30" s="428">
        <f t="shared" si="12"/>
        <v>34700062.653970443</v>
      </c>
      <c r="R30" s="428">
        <f t="shared" si="12"/>
        <v>35294242.665765278</v>
      </c>
      <c r="S30" s="428">
        <f t="shared" si="12"/>
        <v>35888496.24371352</v>
      </c>
      <c r="T30" s="428">
        <f t="shared" si="12"/>
        <v>36482623.971957237</v>
      </c>
      <c r="U30" s="428">
        <f t="shared" si="12"/>
        <v>37077010.036059551</v>
      </c>
      <c r="V30" s="428">
        <f t="shared" si="12"/>
        <v>37671667.019430429</v>
      </c>
      <c r="W30" s="428">
        <f t="shared" si="12"/>
        <v>38266599.729272321</v>
      </c>
      <c r="X30" s="428">
        <f t="shared" si="12"/>
        <v>38861463.152579874</v>
      </c>
      <c r="Y30" s="428">
        <f t="shared" si="12"/>
        <v>39456144.304626398</v>
      </c>
      <c r="Z30" s="428">
        <f t="shared" si="12"/>
        <v>40051078.20494163</v>
      </c>
      <c r="AA30" s="428">
        <f t="shared" si="12"/>
        <v>40646010.786369845</v>
      </c>
      <c r="AB30" s="428">
        <f t="shared" si="12"/>
        <v>41241467.769734256</v>
      </c>
      <c r="AC30" s="428">
        <f t="shared" si="12"/>
        <v>41836279.6877767</v>
      </c>
      <c r="AD30" s="428">
        <f t="shared" si="12"/>
        <v>42431506.328143366</v>
      </c>
      <c r="AE30" s="428">
        <f t="shared" si="12"/>
        <v>43027127.968769424</v>
      </c>
      <c r="AF30" s="428">
        <f t="shared" si="12"/>
        <v>43622217.817995422</v>
      </c>
      <c r="AG30" s="428">
        <f t="shared" si="12"/>
        <v>44217211.726469241</v>
      </c>
      <c r="AH30" s="423"/>
      <c r="AI30" s="423"/>
    </row>
    <row r="31" spans="2:35" x14ac:dyDescent="0.25">
      <c r="B31" s="421" t="s">
        <v>64</v>
      </c>
      <c r="E31" s="427">
        <v>19389710.684</v>
      </c>
      <c r="F31" s="428">
        <f t="shared" si="11"/>
        <v>19389710.684</v>
      </c>
      <c r="G31" s="428">
        <f t="shared" si="12"/>
        <v>19454356.121149369</v>
      </c>
      <c r="H31" s="428">
        <f t="shared" si="12"/>
        <v>19564437.484524753</v>
      </c>
      <c r="I31" s="428">
        <f t="shared" si="12"/>
        <v>19895320.562533729</v>
      </c>
      <c r="J31" s="428">
        <f t="shared" si="12"/>
        <v>20824468.755806718</v>
      </c>
      <c r="K31" s="428">
        <f t="shared" si="12"/>
        <v>21420956.477794733</v>
      </c>
      <c r="L31" s="428">
        <f t="shared" si="12"/>
        <v>22349897.078285132</v>
      </c>
      <c r="M31" s="428">
        <f t="shared" si="12"/>
        <v>23072665.617888223</v>
      </c>
      <c r="N31" s="428">
        <f t="shared" si="12"/>
        <v>25749383.786235154</v>
      </c>
      <c r="O31" s="428">
        <f t="shared" si="12"/>
        <v>26345196.725810643</v>
      </c>
      <c r="P31" s="428">
        <f t="shared" si="12"/>
        <v>27453846.878097914</v>
      </c>
      <c r="Q31" s="428">
        <f t="shared" si="12"/>
        <v>28563042.396961994</v>
      </c>
      <c r="R31" s="428">
        <f t="shared" si="12"/>
        <v>29672713.406066675</v>
      </c>
      <c r="S31" s="428">
        <f t="shared" si="12"/>
        <v>32782521.804895114</v>
      </c>
      <c r="T31" s="428">
        <f t="shared" si="12"/>
        <v>33892095.170962699</v>
      </c>
      <c r="U31" s="428">
        <f t="shared" si="12"/>
        <v>35002150.99656646</v>
      </c>
      <c r="V31" s="428">
        <f t="shared" si="12"/>
        <v>36112712.782068171</v>
      </c>
      <c r="W31" s="428">
        <f t="shared" si="12"/>
        <v>37223789.505240716</v>
      </c>
      <c r="X31" s="428">
        <f t="shared" si="12"/>
        <v>40334736.831165045</v>
      </c>
      <c r="Y31" s="428">
        <f t="shared" si="12"/>
        <v>41445343.753288932</v>
      </c>
      <c r="Z31" s="428">
        <f t="shared" si="12"/>
        <v>42556422.69975026</v>
      </c>
      <c r="AA31" s="428">
        <f t="shared" si="12"/>
        <v>43667499.183101662</v>
      </c>
      <c r="AB31" s="428">
        <f t="shared" si="12"/>
        <v>44779555.022227675</v>
      </c>
      <c r="AC31" s="428">
        <f t="shared" si="12"/>
        <v>47890406.158616208</v>
      </c>
      <c r="AD31" s="428">
        <f t="shared" si="12"/>
        <v>49002031.816750489</v>
      </c>
      <c r="AE31" s="428">
        <f t="shared" si="12"/>
        <v>50114395.164352164</v>
      </c>
      <c r="AF31" s="428">
        <f t="shared" si="12"/>
        <v>51225765.355860025</v>
      </c>
      <c r="AG31" s="428">
        <f t="shared" si="12"/>
        <v>52336956.371580787</v>
      </c>
      <c r="AH31" s="423"/>
      <c r="AI31" s="423"/>
    </row>
    <row r="32" spans="2:35" x14ac:dyDescent="0.25">
      <c r="B32" s="421" t="s">
        <v>65</v>
      </c>
      <c r="E32" s="427">
        <v>143613281.243</v>
      </c>
      <c r="F32" s="428">
        <f t="shared" si="11"/>
        <v>150521087.24475446</v>
      </c>
      <c r="G32" s="428">
        <f t="shared" si="12"/>
        <v>156689144.22108972</v>
      </c>
      <c r="H32" s="428">
        <f t="shared" si="12"/>
        <v>161326853.62884241</v>
      </c>
      <c r="I32" s="428">
        <f t="shared" si="12"/>
        <v>165512520.48276952</v>
      </c>
      <c r="J32" s="428">
        <f t="shared" si="12"/>
        <v>171098107.64431998</v>
      </c>
      <c r="K32" s="428">
        <f t="shared" si="12"/>
        <v>175516098.21529579</v>
      </c>
      <c r="L32" s="428">
        <f t="shared" si="12"/>
        <v>182396459.1392138</v>
      </c>
      <c r="M32" s="428">
        <f t="shared" si="12"/>
        <v>187749770.65805271</v>
      </c>
      <c r="N32" s="428">
        <f t="shared" si="12"/>
        <v>195762002.0531942</v>
      </c>
      <c r="O32" s="428">
        <f t="shared" si="12"/>
        <v>200174994.73028871</v>
      </c>
      <c r="P32" s="428">
        <f t="shared" si="12"/>
        <v>206014097.01372835</v>
      </c>
      <c r="Q32" s="428">
        <f t="shared" si="12"/>
        <v>211856071.665171</v>
      </c>
      <c r="R32" s="428">
        <f t="shared" si="12"/>
        <v>217700550.65591663</v>
      </c>
      <c r="S32" s="428">
        <f t="shared" si="12"/>
        <v>226545753.25874862</v>
      </c>
      <c r="T32" s="428">
        <f t="shared" si="12"/>
        <v>232389717.97753957</v>
      </c>
      <c r="U32" s="428">
        <f t="shared" si="12"/>
        <v>238236223.74191967</v>
      </c>
      <c r="V32" s="428">
        <f t="shared" si="12"/>
        <v>244085394.32494375</v>
      </c>
      <c r="W32" s="428">
        <f t="shared" si="12"/>
        <v>249937277.01126152</v>
      </c>
      <c r="X32" s="428">
        <f t="shared" si="12"/>
        <v>258788478.18072209</v>
      </c>
      <c r="Y32" s="428">
        <f t="shared" si="12"/>
        <v>264637886.49189967</v>
      </c>
      <c r="Z32" s="428">
        <f t="shared" si="12"/>
        <v>270489780.88796246</v>
      </c>
      <c r="AA32" s="428">
        <f t="shared" si="12"/>
        <v>276341662.31117648</v>
      </c>
      <c r="AB32" s="428">
        <f t="shared" si="12"/>
        <v>282198701.8616212</v>
      </c>
      <c r="AC32" s="428">
        <f t="shared" si="12"/>
        <v>291049396.4145112</v>
      </c>
      <c r="AD32" s="428">
        <f t="shared" si="12"/>
        <v>296904170.26300663</v>
      </c>
      <c r="AE32" s="428">
        <f t="shared" si="12"/>
        <v>302762829.41674882</v>
      </c>
      <c r="AF32" s="428">
        <f t="shared" si="12"/>
        <v>308616257.75894666</v>
      </c>
      <c r="AG32" s="428">
        <f t="shared" si="12"/>
        <v>314468742.40782034</v>
      </c>
      <c r="AH32" s="423"/>
      <c r="AI32" s="423"/>
    </row>
    <row r="33" spans="2:35" x14ac:dyDescent="0.25">
      <c r="B33" s="421" t="s">
        <v>66</v>
      </c>
      <c r="E33" s="427">
        <v>17209255.526032161</v>
      </c>
      <c r="F33" s="428">
        <f t="shared" si="11"/>
        <v>18672447.601902891</v>
      </c>
      <c r="G33" s="428">
        <f t="shared" si="12"/>
        <v>19955287.050347134</v>
      </c>
      <c r="H33" s="428">
        <f t="shared" si="12"/>
        <v>21766864.286369849</v>
      </c>
      <c r="I33" s="428">
        <f t="shared" si="12"/>
        <v>22653081.919328529</v>
      </c>
      <c r="J33" s="428">
        <f t="shared" si="12"/>
        <v>23569572.311385505</v>
      </c>
      <c r="K33" s="428">
        <f t="shared" si="12"/>
        <v>24098982.460568555</v>
      </c>
      <c r="L33" s="428">
        <f t="shared" si="12"/>
        <v>24923459.752823185</v>
      </c>
      <c r="M33" s="428">
        <f t="shared" si="12"/>
        <v>25564949.906385429</v>
      </c>
      <c r="N33" s="428">
        <f t="shared" si="12"/>
        <v>26165568.248143394</v>
      </c>
      <c r="O33" s="428">
        <f t="shared" si="12"/>
        <v>26694379.497056559</v>
      </c>
      <c r="P33" s="428">
        <f t="shared" si="12"/>
        <v>27321890.575502273</v>
      </c>
      <c r="Q33" s="428">
        <f t="shared" si="12"/>
        <v>27949710.33885463</v>
      </c>
      <c r="R33" s="428">
        <f t="shared" si="12"/>
        <v>28577799.236156102</v>
      </c>
      <c r="S33" s="428">
        <f t="shared" si="12"/>
        <v>29205965.89791153</v>
      </c>
      <c r="T33" s="428">
        <f t="shared" si="12"/>
        <v>29833999.527924772</v>
      </c>
      <c r="U33" s="428">
        <f t="shared" si="12"/>
        <v>30462306.236603297</v>
      </c>
      <c r="V33" s="428">
        <f t="shared" si="12"/>
        <v>31090899.325471785</v>
      </c>
      <c r="W33" s="428">
        <f t="shared" si="12"/>
        <v>31719783.876071904</v>
      </c>
      <c r="X33" s="428">
        <f t="shared" si="12"/>
        <v>32348595.186068021</v>
      </c>
      <c r="Y33" s="428">
        <f t="shared" si="12"/>
        <v>32977213.822879113</v>
      </c>
      <c r="Z33" s="428">
        <f t="shared" si="12"/>
        <v>33606099.631890945</v>
      </c>
      <c r="AA33" s="428">
        <f t="shared" si="12"/>
        <v>34234984.046749033</v>
      </c>
      <c r="AB33" s="428">
        <f t="shared" si="12"/>
        <v>34864422.790307693</v>
      </c>
      <c r="AC33" s="428">
        <f t="shared" si="12"/>
        <v>35493179.655717112</v>
      </c>
      <c r="AD33" s="428">
        <f t="shared" si="12"/>
        <v>36122374.910978325</v>
      </c>
      <c r="AE33" s="428">
        <f t="shared" si="12"/>
        <v>36751987.708520375</v>
      </c>
      <c r="AF33" s="428">
        <f t="shared" si="12"/>
        <v>37381038.366193317</v>
      </c>
      <c r="AG33" s="428">
        <f t="shared" si="12"/>
        <v>38009987.607931614</v>
      </c>
      <c r="AH33" s="423"/>
      <c r="AI33" s="423"/>
    </row>
    <row r="34" spans="2:35" x14ac:dyDescent="0.25">
      <c r="B34" s="421" t="s">
        <v>67</v>
      </c>
      <c r="E34" s="431">
        <f>SUM(E28:E33)</f>
        <v>203327161.84238544</v>
      </c>
      <c r="F34" s="431">
        <f>SUM(F28:F33)</f>
        <v>225001904.35694605</v>
      </c>
      <c r="G34" s="431">
        <f t="shared" ref="G34:AG34" si="14">SUM(G28:G33)</f>
        <v>233502288.91516536</v>
      </c>
      <c r="H34" s="431">
        <f t="shared" si="14"/>
        <v>240400072.518031</v>
      </c>
      <c r="I34" s="431">
        <f t="shared" si="14"/>
        <v>246660105.73503366</v>
      </c>
      <c r="J34" s="431">
        <f t="shared" si="14"/>
        <v>254334442.64351171</v>
      </c>
      <c r="K34" s="431">
        <f t="shared" si="14"/>
        <v>260589417.64351171</v>
      </c>
      <c r="L34" s="431">
        <f t="shared" si="14"/>
        <v>270330607.64351171</v>
      </c>
      <c r="M34" s="431">
        <f t="shared" si="14"/>
        <v>277909806.64351171</v>
      </c>
      <c r="N34" s="431">
        <f t="shared" si="14"/>
        <v>290006105.64351171</v>
      </c>
      <c r="O34" s="431">
        <f t="shared" si="14"/>
        <v>296254004.64351171</v>
      </c>
      <c r="P34" s="431">
        <f t="shared" si="14"/>
        <v>304672120.7049489</v>
      </c>
      <c r="Q34" s="431">
        <f t="shared" si="14"/>
        <v>313094377.80143684</v>
      </c>
      <c r="R34" s="431">
        <f t="shared" si="14"/>
        <v>321520245.35341716</v>
      </c>
      <c r="S34" s="431">
        <f t="shared" si="14"/>
        <v>334947156.1223563</v>
      </c>
      <c r="T34" s="431">
        <f t="shared" si="14"/>
        <v>343372282.2588259</v>
      </c>
      <c r="U34" s="431">
        <f t="shared" si="14"/>
        <v>351801071.76950073</v>
      </c>
      <c r="V34" s="431">
        <f t="shared" si="14"/>
        <v>360233703.09549892</v>
      </c>
      <c r="W34" s="431">
        <f t="shared" si="14"/>
        <v>368670244.406147</v>
      </c>
      <c r="X34" s="431">
        <f t="shared" si="14"/>
        <v>382105803.18767959</v>
      </c>
      <c r="Y34" s="431">
        <f t="shared" si="14"/>
        <v>390538777.24156481</v>
      </c>
      <c r="Z34" s="431">
        <f t="shared" si="14"/>
        <v>398975335.43391621</v>
      </c>
      <c r="AA34" s="431">
        <f t="shared" si="14"/>
        <v>407411874.92357308</v>
      </c>
      <c r="AB34" s="431">
        <f t="shared" si="14"/>
        <v>415855850.78128445</v>
      </c>
      <c r="AC34" s="431">
        <f t="shared" si="14"/>
        <v>429290679.18391931</v>
      </c>
      <c r="AD34" s="431">
        <f t="shared" si="14"/>
        <v>437731388.6248008</v>
      </c>
      <c r="AE34" s="431">
        <f t="shared" si="14"/>
        <v>446177699.4319393</v>
      </c>
      <c r="AF34" s="431">
        <f t="shared" si="14"/>
        <v>454616469.08351338</v>
      </c>
      <c r="AG34" s="431">
        <f t="shared" si="14"/>
        <v>463053878.23144436</v>
      </c>
      <c r="AH34" s="423"/>
      <c r="AI34" s="423"/>
    </row>
    <row r="35" spans="2:35" x14ac:dyDescent="0.25">
      <c r="F35" s="423"/>
      <c r="G35" s="423"/>
      <c r="H35" s="423"/>
      <c r="I35" s="423"/>
      <c r="J35" s="423"/>
      <c r="K35" s="423"/>
      <c r="L35" s="423"/>
      <c r="M35" s="423"/>
      <c r="N35" s="423"/>
      <c r="O35" s="423"/>
      <c r="P35" s="423"/>
      <c r="Q35" s="423"/>
      <c r="R35" s="423"/>
      <c r="S35" s="423"/>
      <c r="T35" s="423"/>
      <c r="U35" s="423"/>
      <c r="V35" s="423"/>
      <c r="W35" s="423"/>
      <c r="X35" s="423"/>
      <c r="Y35" s="423"/>
      <c r="Z35" s="423"/>
      <c r="AA35" s="423"/>
      <c r="AB35" s="423"/>
      <c r="AC35" s="423"/>
      <c r="AD35" s="423"/>
      <c r="AE35" s="423"/>
      <c r="AF35" s="423"/>
      <c r="AG35" s="423"/>
      <c r="AH35" s="423"/>
      <c r="AI35" s="423"/>
    </row>
    <row r="36" spans="2:35" x14ac:dyDescent="0.25">
      <c r="B36" s="422" t="s">
        <v>68</v>
      </c>
      <c r="C36" s="421" t="s">
        <v>69</v>
      </c>
      <c r="E36" s="423">
        <v>2017</v>
      </c>
      <c r="F36" s="423">
        <v>2018</v>
      </c>
      <c r="G36" s="423">
        <v>2019</v>
      </c>
      <c r="H36" s="423">
        <v>2020</v>
      </c>
      <c r="I36" s="423">
        <v>2021</v>
      </c>
      <c r="J36" s="423">
        <v>2022</v>
      </c>
      <c r="K36" s="423">
        <v>2023</v>
      </c>
      <c r="L36" s="423">
        <v>2024</v>
      </c>
      <c r="M36" s="423">
        <v>2025</v>
      </c>
      <c r="N36" s="423">
        <v>2026</v>
      </c>
      <c r="O36" s="423">
        <v>2027</v>
      </c>
      <c r="P36" s="423">
        <v>2028</v>
      </c>
      <c r="Q36" s="423">
        <v>2029</v>
      </c>
      <c r="R36" s="423">
        <v>2030</v>
      </c>
      <c r="S36" s="423">
        <v>2031</v>
      </c>
      <c r="T36" s="423">
        <v>2032</v>
      </c>
      <c r="U36" s="423">
        <v>2033</v>
      </c>
      <c r="V36" s="423">
        <v>2034</v>
      </c>
      <c r="W36" s="423">
        <v>2035</v>
      </c>
      <c r="X36" s="423">
        <v>2036</v>
      </c>
      <c r="Y36" s="423">
        <v>2037</v>
      </c>
      <c r="Z36" s="423">
        <v>2038</v>
      </c>
      <c r="AA36" s="423">
        <v>2039</v>
      </c>
      <c r="AB36" s="423">
        <v>2040</v>
      </c>
      <c r="AC36" s="423">
        <v>2041</v>
      </c>
      <c r="AD36" s="423">
        <v>2042</v>
      </c>
      <c r="AE36" s="423">
        <v>2043</v>
      </c>
      <c r="AF36" s="423">
        <v>2044</v>
      </c>
      <c r="AG36" s="423">
        <v>2045</v>
      </c>
      <c r="AH36" s="423"/>
      <c r="AI36" s="423"/>
    </row>
    <row r="37" spans="2:35" x14ac:dyDescent="0.25">
      <c r="B37" s="421" t="s">
        <v>61</v>
      </c>
      <c r="C37" s="429">
        <v>0</v>
      </c>
      <c r="E37" s="427">
        <v>0</v>
      </c>
      <c r="F37" s="427">
        <v>0</v>
      </c>
      <c r="G37" s="427">
        <v>0</v>
      </c>
      <c r="H37" s="427">
        <v>0</v>
      </c>
      <c r="I37" s="427">
        <v>0</v>
      </c>
      <c r="J37" s="427">
        <f>' HG CapEx Plan'!C23</f>
        <v>11483.096854536185</v>
      </c>
      <c r="K37" s="427">
        <f>' HG CapEx Plan'!D23</f>
        <v>17883.209485000232</v>
      </c>
      <c r="L37" s="427">
        <f>' HG CapEx Plan'!E23</f>
        <v>13914.152526077849</v>
      </c>
      <c r="M37" s="427">
        <f>' HG CapEx Plan'!F23</f>
        <v>13027.628204069284</v>
      </c>
      <c r="N37" s="427">
        <f>' HG CapEx Plan'!G23</f>
        <v>11470.106491929988</v>
      </c>
      <c r="O37" s="428">
        <f>IF('Rates Dashboard'!$C$6="Base",AVERAGE($J37:$N37)*(SUM(O$280:O$290)/SUM(N$280:N$290)+' HG CapEx Plan'!E33),(AVERAGE($J37:$N37)*(SUM(O$280:O$290)/SUM(N$280:N$290))+' HG CapEx Plan'!E33))</f>
        <v>13610.941350871452</v>
      </c>
      <c r="P37" s="428">
        <f>IF('Rates Dashboard'!$C$6="Base",AVERAGE($J37:$N37)*(SUM(P$280:P$290)/SUM(O$280:O$290)+' HG CapEx Plan'!F33),(AVERAGE($J37:$N37)*(SUM(P$280:P$290)/SUM(O$280:O$290))+' HG CapEx Plan'!F33))</f>
        <v>13617.636837699607</v>
      </c>
      <c r="Q37" s="428">
        <f>IF('Rates Dashboard'!$C$6="Base",AVERAGE($J37:$N37)*(SUM(Q$280:Q$290)/SUM(P$280:P$290)+' HG CapEx Plan'!G33),(AVERAGE($J37:$N37)*(SUM(Q$280:Q$290)/SUM(P$280:P$290))+' HG CapEx Plan'!G33))</f>
        <v>13623.474450010737</v>
      </c>
      <c r="R37" s="428">
        <f>IF('Rates Dashboard'!$C$6="Base",(AVERAGE($J37:$N37)*(SUM(R$280:R$290)/SUM(Q$280:Q$290))+' HG CapEx Plan'!H33),(AVERAGE($J37:$N37)*(SUM(R$280:R$290)/SUM(Q$280:Q$290))+' HG CapEx Plan'!H33))</f>
        <v>13625.161189031533</v>
      </c>
      <c r="S37" s="428">
        <f>IF('Rates Dashboard'!$C$6="Base",(AVERAGE($J37:$N37)*(SUM(S$280:S$290)/SUM(R$280:R$290))+' HG CapEx Plan'!I33),(AVERAGE($J37:$N37)*(SUM(S$280:S$290)/SUM(R$280:R$290))+' HG CapEx Plan'!I33))</f>
        <v>13622.275682619111</v>
      </c>
      <c r="T37" s="428">
        <f>IF('Rates Dashboard'!$C$6="Base",(AVERAGE($J37:$N37)*(SUM(T$280:T$290)/SUM(S$280:S$290))+' HG CapEx Plan'!J33),(AVERAGE($J37:$N37)*(SUM(T$280:T$290)/SUM(S$280:S$290))+' HG CapEx Plan'!J33))</f>
        <v>13628.198857245103</v>
      </c>
      <c r="U37" s="428">
        <f>IF('Rates Dashboard'!$C$6="Base",(AVERAGE($J37:$N37)*(SUM(U$280:U$290)/SUM(T$280:T$290))+' HG CapEx Plan'!K33),(AVERAGE($J37:$N37)*(SUM(U$280:U$290)/SUM(T$280:T$290))+' HG CapEx Plan'!K33))</f>
        <v>13634.41054673317</v>
      </c>
      <c r="V37" s="428">
        <f>IF('Rates Dashboard'!$C$6="Base",(AVERAGE($J37:$N37)*(SUM(V$280:V$290)/SUM(U$280:U$290))+' HG CapEx Plan'!L33),(AVERAGE($J37:$N37)*(SUM(V$280:V$290)/SUM(U$280:U$290))+' HG CapEx Plan'!L33))</f>
        <v>13640.732456690605</v>
      </c>
      <c r="W37" s="428">
        <f>IF('Rates Dashboard'!$C$6="Base",(AVERAGE($J37:$N37)*(SUM(W$280:W$290)/SUM(V$280:V$290))+' HG CapEx Plan'!M33),(AVERAGE($J37:$N37)*(SUM(W$280:W$290)/SUM(V$280:V$290))+' HG CapEx Plan'!M33))</f>
        <v>13639.143841605084</v>
      </c>
      <c r="X37" s="428">
        <f>IF('Rates Dashboard'!$C$6="Base",(AVERAGE($J37:$N37)*(SUM(X$280:X$290)/SUM(W$280:W$290))+' HG CapEx Plan'!N33),(AVERAGE($J37:$N37)*(SUM(X$280:X$290)/SUM(W$280:W$290))+' HG CapEx Plan'!N33))</f>
        <v>13634.964690811814</v>
      </c>
      <c r="Y37" s="428">
        <f>IF('Rates Dashboard'!$C$6="Base",(AVERAGE($J37:$N37)*(SUM(Y$280:Y$290)/SUM(X$280:X$290))+' HG CapEx Plan'!O33),(AVERAGE($J37:$N37)*(SUM(Y$280:Y$290)/SUM(X$280:X$290))+' HG CapEx Plan'!O33))</f>
        <v>13640.759752094031</v>
      </c>
      <c r="Z37" s="428">
        <f>IF('Rates Dashboard'!$C$6="Base",(AVERAGE($J37:$N37)*(SUM(Z$280:Z$290)/SUM(Y$280:Y$290))+' HG CapEx Plan'!P33),(AVERAGE($J37:$N37)*(SUM(Z$280:Z$290)/SUM(Y$280:Y$290))+' HG CapEx Plan'!P33))</f>
        <v>13640.729512397063</v>
      </c>
      <c r="AA37" s="428">
        <f>IF('Rates Dashboard'!$C$6="Base",(AVERAGE($J37:$N37)*(SUM(AA$280:AA$290)/SUM(Z$280:Z$290))+' HG CapEx Plan'!Q33),(AVERAGE($J37:$N37)*(SUM(AA$280:AA$290)/SUM(Z$280:Z$290))+' HG CapEx Plan'!Q33))</f>
        <v>13652.753101608119</v>
      </c>
      <c r="AB37" s="428">
        <f>IF('Rates Dashboard'!$C$6="Base",(AVERAGE($J37:$N37)*(SUM(AB$280:AB$290)/SUM(AA$280:AA$290))+' HG CapEx Plan'!R33),(AVERAGE($J37:$N37)*(SUM(AB$280:AB$290)/SUM(AA$280:AA$290))+' HG CapEx Plan'!R33))</f>
        <v>13637.96291890598</v>
      </c>
      <c r="AC37" s="428">
        <f>IF('Rates Dashboard'!$C$6="Base",(AVERAGE($J37:$N37)*(SUM(AC$280:AC$290)/SUM(AB$280:AB$290))+' HG CapEx Plan'!S33),(AVERAGE($J37:$N37)*(SUM(AC$280:AC$290)/SUM(AB$280:AB$290))+' HG CapEx Plan'!S33))</f>
        <v>13647.471752720287</v>
      </c>
      <c r="AD37" s="428">
        <f>IF('Rates Dashboard'!$C$6="Base",(AVERAGE($J37:$N37)*(SUM(AD$280:AD$290)/SUM(AC$280:AC$290))+' HG CapEx Plan'!T33),(AVERAGE($J37:$N37)*(SUM(AD$280:AD$290)/SUM(AC$280:AC$290))+' HG CapEx Plan'!T33))</f>
        <v>13656.528395210371</v>
      </c>
      <c r="AE37" s="428">
        <f>IF('Rates Dashboard'!$C$6="Base",(AVERAGE($J37:$N37)*(SUM(AE$280:AE$290)/SUM(AD$280:AD$290))+' HG CapEx Plan'!U33),(AVERAGE($J37:$N37)*(SUM(AE$280:AE$290)/SUM(AD$280:AD$290))+' HG CapEx Plan'!U33))</f>
        <v>13644.335378939813</v>
      </c>
      <c r="AF37" s="428">
        <f>IF('Rates Dashboard'!$C$6="Base",(AVERAGE($J37:$N37)*(SUM(AF$280:AF$290)/SUM(AE$280:AE$290))+' HG CapEx Plan'!V33),(AVERAGE($J37:$N37)*(SUM(AF$280:AF$290)/SUM(AE$280:AE$290))+' HG CapEx Plan'!V33))</f>
        <v>13642.13563078247</v>
      </c>
      <c r="AG37" s="428">
        <f>IF('Rates Dashboard'!$C$6="Base",(AVERAGE($J37:$N37)*(SUM(AG$280:AG$290)/SUM(AF$280:AF$290))+' HG CapEx Plan'!W33),(AVERAGE($J37:$N37)*(SUM(AG$280:AG$290)/SUM(AF$280:AF$290))+' HG CapEx Plan'!W33))</f>
        <v>13661.647220912653</v>
      </c>
      <c r="AH37" s="423"/>
      <c r="AI37" s="423"/>
    </row>
    <row r="38" spans="2:35" x14ac:dyDescent="0.25">
      <c r="B38" s="421" t="s">
        <v>62</v>
      </c>
      <c r="C38" s="429">
        <v>0</v>
      </c>
      <c r="E38" s="427">
        <v>31053.942559362989</v>
      </c>
      <c r="F38" s="427">
        <v>969023.43435053434</v>
      </c>
      <c r="G38" s="427">
        <v>194974.1779651003</v>
      </c>
      <c r="H38" s="427">
        <v>164978.43556724684</v>
      </c>
      <c r="I38" s="427">
        <v>91125.261524277783</v>
      </c>
      <c r="J38" s="427">
        <f>' HG CapEx Plan'!C24</f>
        <v>198774.78843743302</v>
      </c>
      <c r="K38" s="427">
        <f>' HG CapEx Plan'!D24</f>
        <v>309562.06561638351</v>
      </c>
      <c r="L38" s="427">
        <f>' HG CapEx Plan'!E24</f>
        <v>240856.86637439861</v>
      </c>
      <c r="M38" s="427">
        <f>' HG CapEx Plan'!F24</f>
        <v>225510.94647281046</v>
      </c>
      <c r="N38" s="427">
        <f>' HG CapEx Plan'!G24</f>
        <v>198549.92256618923</v>
      </c>
      <c r="O38" s="428">
        <f>IF('Rates Dashboard'!$C$6="Base",AVERAGE($J38:$N38)*(SUM(O$280:O$290)/SUM(N$280:N$290)+' HG CapEx Plan'!E34),(AVERAGE($J38:$N38)*(SUM(O$280:O$290)/SUM(N$280:N$290))+' HG CapEx Plan'!E34))</f>
        <v>235608.218037891</v>
      </c>
      <c r="P38" s="428">
        <f>IF('Rates Dashboard'!$C$6="Base",AVERAGE($J38:$N38)*(SUM(P$280:P$290)/SUM(O$280:O$290)+' HG CapEx Plan'!F34),(AVERAGE($J38:$N38)*(SUM(P$280:P$290)/SUM(O$280:O$290))+' HG CapEx Plan'!F34))</f>
        <v>235724.11830370012</v>
      </c>
      <c r="Q38" s="428">
        <f>IF('Rates Dashboard'!$C$6="Base",AVERAGE($J38:$N38)*(SUM(Q$280:Q$290)/SUM(P$280:P$290)+' HG CapEx Plan'!G34),(AVERAGE($J38:$N38)*(SUM(Q$280:Q$290)/SUM(P$280:P$290))+' HG CapEx Plan'!G34))</f>
        <v>235825.16858367459</v>
      </c>
      <c r="R38" s="428">
        <f>IF('Rates Dashboard'!$C$6="Base",(AVERAGE($J38:$N38)*(SUM(R$280:R$290)/SUM(Q$280:Q$290))+' HG CapEx Plan'!H34),(AVERAGE($J38:$N38)*(SUM(R$280:R$290)/SUM(Q$280:Q$290))+' HG CapEx Plan'!H34))</f>
        <v>235854.36638599698</v>
      </c>
      <c r="S38" s="428">
        <f>IF('Rates Dashboard'!$C$6="Base",(AVERAGE($J38:$N38)*(SUM(S$280:S$290)/SUM(R$280:R$290))+' HG CapEx Plan'!I34),(AVERAGE($J38:$N38)*(SUM(S$280:S$290)/SUM(R$280:R$290))+' HG CapEx Plan'!I34))</f>
        <v>235804.41767147076</v>
      </c>
      <c r="T38" s="428">
        <f>IF('Rates Dashboard'!$C$6="Base",(AVERAGE($J38:$N38)*(SUM(T$280:T$290)/SUM(S$280:S$290))+' HG CapEx Plan'!J34),(AVERAGE($J38:$N38)*(SUM(T$280:T$290)/SUM(S$280:S$290))+' HG CapEx Plan'!J34))</f>
        <v>235906.94905286326</v>
      </c>
      <c r="U38" s="428">
        <f>IF('Rates Dashboard'!$C$6="Base",(AVERAGE($J38:$N38)*(SUM(U$280:U$290)/SUM(T$280:T$290))+' HG CapEx Plan'!K34),(AVERAGE($J38:$N38)*(SUM(U$280:U$290)/SUM(T$280:T$290))+' HG CapEx Plan'!K34))</f>
        <v>236014.4746863636</v>
      </c>
      <c r="V38" s="428">
        <f>IF('Rates Dashboard'!$C$6="Base",(AVERAGE($J38:$N38)*(SUM(V$280:V$290)/SUM(U$280:U$290))+' HG CapEx Plan'!L34),(AVERAGE($J38:$N38)*(SUM(V$280:V$290)/SUM(U$280:U$290))+' HG CapEx Plan'!L34))</f>
        <v>236123.90825905121</v>
      </c>
      <c r="W38" s="428">
        <f>IF('Rates Dashboard'!$C$6="Base",(AVERAGE($J38:$N38)*(SUM(W$280:W$290)/SUM(V$280:V$290))+' HG CapEx Plan'!M34),(AVERAGE($J38:$N38)*(SUM(W$280:W$290)/SUM(V$280:V$290))+' HG CapEx Plan'!M34))</f>
        <v>236096.40900240178</v>
      </c>
      <c r="X38" s="428">
        <f>IF('Rates Dashboard'!$C$6="Base",(AVERAGE($J38:$N38)*(SUM(X$280:X$290)/SUM(W$280:W$290))+' HG CapEx Plan'!N34),(AVERAGE($J38:$N38)*(SUM(X$280:X$290)/SUM(W$280:W$290))+' HG CapEx Plan'!N34))</f>
        <v>236024.06703530846</v>
      </c>
      <c r="Y38" s="428">
        <f>IF('Rates Dashboard'!$C$6="Base",(AVERAGE($J38:$N38)*(SUM(Y$280:Y$290)/SUM(X$280:X$290))+' HG CapEx Plan'!O34),(AVERAGE($J38:$N38)*(SUM(Y$280:Y$290)/SUM(X$280:X$290))+' HG CapEx Plan'!O34))</f>
        <v>236124.38074814627</v>
      </c>
      <c r="Z38" s="428">
        <f>IF('Rates Dashboard'!$C$6="Base",(AVERAGE($J38:$N38)*(SUM(Z$280:Z$290)/SUM(Y$280:Y$290))+' HG CapEx Plan'!P34),(AVERAGE($J38:$N38)*(SUM(Z$280:Z$290)/SUM(Y$280:Y$290))+' HG CapEx Plan'!P34))</f>
        <v>236123.85729271927</v>
      </c>
      <c r="AA38" s="428">
        <f>IF('Rates Dashboard'!$C$6="Base",(AVERAGE($J38:$N38)*(SUM(AA$280:AA$290)/SUM(Z$280:Z$290))+' HG CapEx Plan'!Q34),(AVERAGE($J38:$N38)*(SUM(AA$280:AA$290)/SUM(Z$280:Z$290))+' HG CapEx Plan'!Q34))</f>
        <v>236331.98811595989</v>
      </c>
      <c r="AB38" s="428">
        <f>IF('Rates Dashboard'!$C$6="Base",(AVERAGE($J38:$N38)*(SUM(AB$280:AB$290)/SUM(AA$280:AA$290))+' HG CapEx Plan'!R34),(AVERAGE($J38:$N38)*(SUM(AB$280:AB$290)/SUM(AA$280:AA$290))+' HG CapEx Plan'!R34))</f>
        <v>236075.96698552696</v>
      </c>
      <c r="AC38" s="428">
        <f>IF('Rates Dashboard'!$C$6="Base",(AVERAGE($J38:$N38)*(SUM(AC$280:AC$290)/SUM(AB$280:AB$290))+' HG CapEx Plan'!S34),(AVERAGE($J38:$N38)*(SUM(AC$280:AC$290)/SUM(AB$280:AB$290))+' HG CapEx Plan'!S34))</f>
        <v>236240.56687122583</v>
      </c>
      <c r="AD38" s="428">
        <f>IF('Rates Dashboard'!$C$6="Base",(AVERAGE($J38:$N38)*(SUM(AD$280:AD$290)/SUM(AC$280:AC$290))+' HG CapEx Plan'!T34),(AVERAGE($J38:$N38)*(SUM(AD$280:AD$290)/SUM(AC$280:AC$290))+' HG CapEx Plan'!T34))</f>
        <v>236397.33923130645</v>
      </c>
      <c r="AE38" s="428">
        <f>IF('Rates Dashboard'!$C$6="Base",(AVERAGE($J38:$N38)*(SUM(AE$280:AE$290)/SUM(AD$280:AD$290))+' HG CapEx Plan'!U34),(AVERAGE($J38:$N38)*(SUM(AE$280:AE$290)/SUM(AD$280:AD$290))+' HG CapEx Plan'!U34))</f>
        <v>236186.27559052239</v>
      </c>
      <c r="AF38" s="428">
        <f>IF('Rates Dashboard'!$C$6="Base",(AVERAGE($J38:$N38)*(SUM(AF$280:AF$290)/SUM(AE$280:AE$290))+' HG CapEx Plan'!V34),(AVERAGE($J38:$N38)*(SUM(AF$280:AF$290)/SUM(AE$280:AE$290))+' HG CapEx Plan'!V34))</f>
        <v>236148.19749363526</v>
      </c>
      <c r="AG38" s="428">
        <f>IF('Rates Dashboard'!$C$6="Base",(AVERAGE($J38:$N38)*(SUM(AG$280:AG$290)/SUM(AF$280:AF$290))+' HG CapEx Plan'!W34),(AVERAGE($J38:$N38)*(SUM(AG$280:AG$290)/SUM(AF$280:AF$290))+' HG CapEx Plan'!W34))</f>
        <v>236485.94716598719</v>
      </c>
      <c r="AH38" s="423"/>
      <c r="AI38" s="423"/>
    </row>
    <row r="39" spans="2:35" x14ac:dyDescent="0.25">
      <c r="B39" s="421" t="s">
        <v>63</v>
      </c>
      <c r="C39" s="429">
        <v>0</v>
      </c>
      <c r="E39" s="427">
        <v>13272690.494376039</v>
      </c>
      <c r="F39" s="427">
        <v>15819.261939917791</v>
      </c>
      <c r="G39" s="427">
        <v>143441.41774971495</v>
      </c>
      <c r="H39" s="427">
        <v>692287.21654067806</v>
      </c>
      <c r="I39" s="427">
        <v>151985.9000733537</v>
      </c>
      <c r="J39" s="427">
        <f>' HG CapEx Plan'!C25</f>
        <v>500828.67256114585</v>
      </c>
      <c r="K39" s="427">
        <f>' HG CapEx Plan'!D25</f>
        <v>779965.90823558986</v>
      </c>
      <c r="L39" s="427">
        <f>' HG CapEx Plan'!E25</f>
        <v>606857.76909528242</v>
      </c>
      <c r="M39" s="427">
        <f>' HG CapEx Plan'!F25</f>
        <v>568192.52007673681</v>
      </c>
      <c r="N39" s="427">
        <f>' HG CapEx Plan'!G25</f>
        <v>500262.10535871214</v>
      </c>
      <c r="O39" s="428">
        <f>IF('Rates Dashboard'!$C$6="Base",AVERAGE($J39:$N39)*(SUM(O$280:O$290)/SUM(N$280:N$290)+' HG CapEx Plan'!E35),(AVERAGE($J39:$N39)*(SUM(O$280:O$290)/SUM(N$280:N$290))+' HG CapEx Plan'!E35))</f>
        <v>593633.38787582633</v>
      </c>
      <c r="P39" s="428">
        <f>IF('Rates Dashboard'!$C$6="Base",AVERAGE($J39:$N39)*(SUM(P$280:P$290)/SUM(O$280:O$290)+' HG CapEx Plan'!F35),(AVERAGE($J39:$N39)*(SUM(P$280:P$290)/SUM(O$280:O$290))+' HG CapEx Plan'!F35))</f>
        <v>593925.40768744808</v>
      </c>
      <c r="Q39" s="428">
        <f>IF('Rates Dashboard'!$C$6="Base",AVERAGE($J39:$N39)*(SUM(Q$280:Q$290)/SUM(P$280:P$290)+' HG CapEx Plan'!G35),(AVERAGE($J39:$N39)*(SUM(Q$280:Q$290)/SUM(P$280:P$290))+' HG CapEx Plan'!G35))</f>
        <v>594180.01179483708</v>
      </c>
      <c r="R39" s="428">
        <f>IF('Rates Dashboard'!$C$6="Base",(AVERAGE($J39:$N39)*(SUM(R$280:R$290)/SUM(Q$280:Q$290))+' HG CapEx Plan'!H35),(AVERAGE($J39:$N39)*(SUM(R$280:R$290)/SUM(Q$280:Q$290))+' HG CapEx Plan'!H35))</f>
        <v>594253.57794823998</v>
      </c>
      <c r="S39" s="428">
        <f>IF('Rates Dashboard'!$C$6="Base",(AVERAGE($J39:$N39)*(SUM(S$280:S$290)/SUM(R$280:R$290))+' HG CapEx Plan'!I35),(AVERAGE($J39:$N39)*(SUM(S$280:S$290)/SUM(R$280:R$290))+' HG CapEx Plan'!I35))</f>
        <v>594127.72824371292</v>
      </c>
      <c r="T39" s="428">
        <f>IF('Rates Dashboard'!$C$6="Base",(AVERAGE($J39:$N39)*(SUM(T$280:T$290)/SUM(S$280:S$290))+' HG CapEx Plan'!J35),(AVERAGE($J39:$N39)*(SUM(T$280:T$290)/SUM(S$280:S$290))+' HG CapEx Plan'!J35))</f>
        <v>594386.06410231104</v>
      </c>
      <c r="U39" s="428">
        <f>IF('Rates Dashboard'!$C$6="Base",(AVERAGE($J39:$N39)*(SUM(U$280:U$290)/SUM(T$280:T$290))+' HG CapEx Plan'!K35),(AVERAGE($J39:$N39)*(SUM(U$280:U$290)/SUM(T$280:T$290))+' HG CapEx Plan'!K35))</f>
        <v>594656.98337087431</v>
      </c>
      <c r="V39" s="428">
        <f>IF('Rates Dashboard'!$C$6="Base",(AVERAGE($J39:$N39)*(SUM(V$280:V$290)/SUM(U$280:U$290))+' HG CapEx Plan'!L35),(AVERAGE($J39:$N39)*(SUM(V$280:V$290)/SUM(U$280:U$290))+' HG CapEx Plan'!L35))</f>
        <v>594932.70984189003</v>
      </c>
      <c r="W39" s="428">
        <f>IF('Rates Dashboard'!$C$6="Base",(AVERAGE($J39:$N39)*(SUM(W$280:W$290)/SUM(V$280:V$290))+' HG CapEx Plan'!M35),(AVERAGE($J39:$N39)*(SUM(W$280:W$290)/SUM(V$280:V$290))+' HG CapEx Plan'!M35))</f>
        <v>594863.42330755433</v>
      </c>
      <c r="X39" s="428">
        <f>IF('Rates Dashboard'!$C$6="Base",(AVERAGE($J39:$N39)*(SUM(X$280:X$290)/SUM(W$280:W$290))+' HG CapEx Plan'!N35),(AVERAGE($J39:$N39)*(SUM(X$280:X$290)/SUM(W$280:W$290))+' HG CapEx Plan'!N35))</f>
        <v>594681.15204652259</v>
      </c>
      <c r="Y39" s="428">
        <f>IF('Rates Dashboard'!$C$6="Base",(AVERAGE($J39:$N39)*(SUM(Y$280:Y$290)/SUM(X$280:X$290))+' HG CapEx Plan'!O35),(AVERAGE($J39:$N39)*(SUM(Y$280:Y$290)/SUM(X$280:X$290))+' HG CapEx Plan'!O35))</f>
        <v>594933.9003152299</v>
      </c>
      <c r="Z39" s="428">
        <f>IF('Rates Dashboard'!$C$6="Base",(AVERAGE($J39:$N39)*(SUM(Z$280:Z$290)/SUM(Y$280:Y$290))+' HG CapEx Plan'!P35),(AVERAGE($J39:$N39)*(SUM(Z$280:Z$290)/SUM(Y$280:Y$290))+' HG CapEx Plan'!P35))</f>
        <v>594932.58142821863</v>
      </c>
      <c r="AA39" s="428">
        <f>IF('Rates Dashboard'!$C$6="Base",(AVERAGE($J39:$N39)*(SUM(AA$280:AA$290)/SUM(Z$280:Z$290))+' HG CapEx Plan'!Q35),(AVERAGE($J39:$N39)*(SUM(AA$280:AA$290)/SUM(Z$280:Z$290))+' HG CapEx Plan'!Q35))</f>
        <v>595456.98336441012</v>
      </c>
      <c r="AB39" s="428">
        <f>IF('Rates Dashboard'!$C$6="Base",(AVERAGE($J39:$N39)*(SUM(AB$280:AB$290)/SUM(AA$280:AA$290))+' HG CapEx Plan'!R35),(AVERAGE($J39:$N39)*(SUM(AB$280:AB$290)/SUM(AA$280:AA$290))+' HG CapEx Plan'!R35))</f>
        <v>594811.91804244311</v>
      </c>
      <c r="AC39" s="428">
        <f>IF('Rates Dashboard'!$C$6="Base",(AVERAGE($J39:$N39)*(SUM(AC$280:AC$290)/SUM(AB$280:AB$290))+' HG CapEx Plan'!S35),(AVERAGE($J39:$N39)*(SUM(AC$280:AC$290)/SUM(AB$280:AB$290))+' HG CapEx Plan'!S35))</f>
        <v>595226.64036666905</v>
      </c>
      <c r="AD39" s="428">
        <f>IF('Rates Dashboard'!$C$6="Base",(AVERAGE($J39:$N39)*(SUM(AD$280:AD$290)/SUM(AC$280:AC$290))+' HG CapEx Plan'!T35),(AVERAGE($J39:$N39)*(SUM(AD$280:AD$290)/SUM(AC$280:AC$290))+' HG CapEx Plan'!T35))</f>
        <v>595621.64062606136</v>
      </c>
      <c r="AE39" s="428">
        <f>IF('Rates Dashboard'!$C$6="Base",(AVERAGE($J39:$N39)*(SUM(AE$280:AE$290)/SUM(AD$280:AD$290))+' HG CapEx Plan'!U35),(AVERAGE($J39:$N39)*(SUM(AE$280:AE$290)/SUM(AD$280:AD$290))+' HG CapEx Plan'!U35))</f>
        <v>595089.8492260013</v>
      </c>
      <c r="AF39" s="428">
        <f>IF('Rates Dashboard'!$C$6="Base",(AVERAGE($J39:$N39)*(SUM(AF$280:AF$290)/SUM(AE$280:AE$290))+' HG CapEx Plan'!V35),(AVERAGE($J39:$N39)*(SUM(AF$280:AF$290)/SUM(AE$280:AE$290))+' HG CapEx Plan'!V35))</f>
        <v>594993.90847381856</v>
      </c>
      <c r="AG39" s="428">
        <f>IF('Rates Dashboard'!$C$6="Base",(AVERAGE($J39:$N39)*(SUM(AG$280:AG$290)/SUM(AF$280:AF$290))+' HG CapEx Plan'!W35),(AVERAGE($J39:$N39)*(SUM(AG$280:AG$290)/SUM(AF$280:AF$290))+' HG CapEx Plan'!W35))</f>
        <v>595844.89526843023</v>
      </c>
      <c r="AH39" s="423"/>
      <c r="AI39" s="423"/>
    </row>
    <row r="40" spans="2:35" x14ac:dyDescent="0.25">
      <c r="B40" s="421" t="s">
        <v>64</v>
      </c>
      <c r="C40" s="429">
        <v>0</v>
      </c>
      <c r="E40" s="427">
        <v>0</v>
      </c>
      <c r="F40" s="427">
        <v>64645.437149368001</v>
      </c>
      <c r="G40" s="427">
        <v>110081.36337538603</v>
      </c>
      <c r="H40" s="427">
        <v>330883.07800897426</v>
      </c>
      <c r="I40" s="427">
        <v>929148.19327298843</v>
      </c>
      <c r="J40" s="427">
        <f>' HG CapEx Plan'!C26</f>
        <v>596487.72198801476</v>
      </c>
      <c r="K40" s="427">
        <f>' HG CapEx Plan'!D26</f>
        <v>928940.60049039847</v>
      </c>
      <c r="L40" s="427">
        <f>' HG CapEx Plan'!E26</f>
        <v>722768.53960309038</v>
      </c>
      <c r="M40" s="427">
        <f>' HG CapEx Plan'!F26+' HG CapEx Plan'!C36</f>
        <v>2676718.1683469284</v>
      </c>
      <c r="N40" s="427">
        <f>' HG CapEx Plan'!G26+' HG CapEx Plan'!D36</f>
        <v>595812.93957548926</v>
      </c>
      <c r="O40" s="428">
        <f>IF('Rates Dashboard'!$C$6="Base",AVERAGE($J40:$N40)*(SUM(O$280:O$290)/SUM(N$280:N$290)+' HG CapEx Plan'!E36),(AVERAGE($J40:$N40)*(SUM(O$280:O$290)/SUM(N$280:N$290))+' HG CapEx Plan'!E36))</f>
        <v>1108650.1522872709</v>
      </c>
      <c r="P40" s="428">
        <f>IF('Rates Dashboard'!$C$6="Base",AVERAGE($J40:$N40)*(SUM(P$280:P$290)/SUM(O$280:O$290)+' HG CapEx Plan'!F36),(AVERAGE($J40:$N40)*(SUM(P$280:P$290)/SUM(O$280:O$290))+' HG CapEx Plan'!F36))</f>
        <v>1109195.5188640801</v>
      </c>
      <c r="Q40" s="428">
        <f>IF('Rates Dashboard'!$C$6="Base",AVERAGE($J40:$N40)*(SUM(Q$280:Q$290)/SUM(P$280:P$290)+' HG CapEx Plan'!G36),(AVERAGE($J40:$N40)*(SUM(Q$280:Q$290)/SUM(P$280:P$290))+' HG CapEx Plan'!G36))</f>
        <v>1109671.0091046807</v>
      </c>
      <c r="R40" s="428">
        <f>IF('Rates Dashboard'!$C$6="Base",(AVERAGE($J40:$N40)*(SUM(R$280:R$290)/SUM(Q$280:Q$290))+' HG CapEx Plan'!H36),(AVERAGE($J40:$N40)*(SUM(R$280:R$290)/SUM(Q$280:Q$290))+' HG CapEx Plan'!H36))</f>
        <v>3109808.398828438</v>
      </c>
      <c r="S40" s="428">
        <f>IF('Rates Dashboard'!$C$6="Base",(AVERAGE($J40:$N40)*(SUM(S$280:S$290)/SUM(R$280:R$290))+' HG CapEx Plan'!I36),(AVERAGE($J40:$N40)*(SUM(S$280:S$290)/SUM(R$280:R$290))+' HG CapEx Plan'!I36))</f>
        <v>1109573.3660675811</v>
      </c>
      <c r="T40" s="428">
        <f>IF('Rates Dashboard'!$C$6="Base",(AVERAGE($J40:$N40)*(SUM(T$280:T$290)/SUM(S$280:S$290))+' HG CapEx Plan'!J36),(AVERAGE($J40:$N40)*(SUM(T$280:T$290)/SUM(S$280:S$290))+' HG CapEx Plan'!J36))</f>
        <v>1110055.8256037622</v>
      </c>
      <c r="U40" s="428">
        <f>IF('Rates Dashboard'!$C$6="Base",(AVERAGE($J40:$N40)*(SUM(U$280:U$290)/SUM(T$280:T$290))+' HG CapEx Plan'!K36),(AVERAGE($J40:$N40)*(SUM(U$280:U$290)/SUM(T$280:T$290))+' HG CapEx Plan'!K36))</f>
        <v>1110561.7855017134</v>
      </c>
      <c r="V40" s="428">
        <f>IF('Rates Dashboard'!$C$6="Base",(AVERAGE($J40:$N40)*(SUM(V$280:V$290)/SUM(U$280:U$290))+' HG CapEx Plan'!L36),(AVERAGE($J40:$N40)*(SUM(V$280:V$290)/SUM(U$280:U$290))+' HG CapEx Plan'!L36))</f>
        <v>1111076.7231725461</v>
      </c>
      <c r="W40" s="428">
        <f>IF('Rates Dashboard'!$C$6="Base",(AVERAGE($J40:$N40)*(SUM(W$280:W$290)/SUM(V$280:V$290))+' HG CapEx Plan'!M36),(AVERAGE($J40:$N40)*(SUM(W$280:W$290)/SUM(V$280:V$290))+' HG CapEx Plan'!M36))</f>
        <v>3110947.3259243257</v>
      </c>
      <c r="X40" s="428">
        <f>IF('Rates Dashboard'!$C$6="Base",(AVERAGE($J40:$N40)*(SUM(X$280:X$290)/SUM(W$280:W$290))+' HG CapEx Plan'!N36),(AVERAGE($J40:$N40)*(SUM(X$280:X$290)/SUM(W$280:W$290))+' HG CapEx Plan'!N36))</f>
        <v>1110606.9221238869</v>
      </c>
      <c r="Y40" s="428">
        <f>IF('Rates Dashboard'!$C$6="Base",(AVERAGE($J40:$N40)*(SUM(Y$280:Y$290)/SUM(X$280:X$290))+' HG CapEx Plan'!O36),(AVERAGE($J40:$N40)*(SUM(Y$280:Y$290)/SUM(X$280:X$290))+' HG CapEx Plan'!O36))</f>
        <v>1111078.9464613241</v>
      </c>
      <c r="Z40" s="428">
        <f>IF('Rates Dashboard'!$C$6="Base",(AVERAGE($J40:$N40)*(SUM(Z$280:Z$290)/SUM(Y$280:Y$290))+' HG CapEx Plan'!P36),(AVERAGE($J40:$N40)*(SUM(Z$280:Z$290)/SUM(Y$280:Y$290))+' HG CapEx Plan'!P36))</f>
        <v>1111076.4833514052</v>
      </c>
      <c r="AA40" s="428">
        <f>IF('Rates Dashboard'!$C$6="Base",(AVERAGE($J40:$N40)*(SUM(AA$280:AA$290)/SUM(Z$280:Z$290))+' HG CapEx Plan'!Q36),(AVERAGE($J40:$N40)*(SUM(AA$280:AA$290)/SUM(Z$280:Z$290))+' HG CapEx Plan'!Q36))</f>
        <v>1112055.8391260169</v>
      </c>
      <c r="AB40" s="428">
        <f>IF('Rates Dashboard'!$C$6="Base",(AVERAGE($J40:$N40)*(SUM(AB$280:AB$290)/SUM(AA$280:AA$290))+' HG CapEx Plan'!R36),(AVERAGE($J40:$N40)*(SUM(AB$280:AB$290)/SUM(AA$280:AA$290))+' HG CapEx Plan'!R36))</f>
        <v>3110851.1363885361</v>
      </c>
      <c r="AC40" s="428">
        <f>IF('Rates Dashboard'!$C$6="Base",(AVERAGE($J40:$N40)*(SUM(AC$280:AC$290)/SUM(AB$280:AB$290))+' HG CapEx Plan'!S36),(AVERAGE($J40:$N40)*(SUM(AC$280:AC$290)/SUM(AB$280:AB$290))+' HG CapEx Plan'!S36))</f>
        <v>1111625.6581342809</v>
      </c>
      <c r="AD40" s="428">
        <f>IF('Rates Dashboard'!$C$6="Base",(AVERAGE($J40:$N40)*(SUM(AD$280:AD$290)/SUM(AC$280:AC$290))+' HG CapEx Plan'!T36),(AVERAGE($J40:$N40)*(SUM(AD$280:AD$290)/SUM(AC$280:AC$290))+' HG CapEx Plan'!T36))</f>
        <v>1112363.347601674</v>
      </c>
      <c r="AE40" s="428">
        <f>IF('Rates Dashboard'!$C$6="Base",(AVERAGE($J40:$N40)*(SUM(AE$280:AE$290)/SUM(AD$280:AD$290))+' HG CapEx Plan'!U36),(AVERAGE($J40:$N40)*(SUM(AE$280:AE$290)/SUM(AD$280:AD$290))+' HG CapEx Plan'!U36))</f>
        <v>1111370.1915078575</v>
      </c>
      <c r="AF40" s="428">
        <f>IF('Rates Dashboard'!$C$6="Base",(AVERAGE($J40:$N40)*(SUM(AF$280:AF$290)/SUM(AE$280:AE$290))+' HG CapEx Plan'!V36),(AVERAGE($J40:$N40)*(SUM(AF$280:AF$290)/SUM(AE$280:AE$290))+' HG CapEx Plan'!V36))</f>
        <v>1111191.0157207637</v>
      </c>
      <c r="AG40" s="428">
        <f>IF('Rates Dashboard'!$C$6="Base",(AVERAGE($J40:$N40)*(SUM(AG$280:AG$290)/SUM(AF$280:AF$290))+' HG CapEx Plan'!W36),(AVERAGE($J40:$N40)*(SUM(AG$280:AG$290)/SUM(AF$280:AF$290))+' HG CapEx Plan'!W36))</f>
        <v>1112780.29061451</v>
      </c>
      <c r="AH40" s="423"/>
      <c r="AI40" s="423"/>
    </row>
    <row r="41" spans="2:35" x14ac:dyDescent="0.25">
      <c r="B41" s="421" t="s">
        <v>65</v>
      </c>
      <c r="C41" s="429">
        <v>0</v>
      </c>
      <c r="E41" s="427">
        <v>6907806.001754459</v>
      </c>
      <c r="F41" s="427">
        <v>6168056.9763352545</v>
      </c>
      <c r="G41" s="427">
        <v>4637709.4077526964</v>
      </c>
      <c r="H41" s="427">
        <v>4185666.8539271108</v>
      </c>
      <c r="I41" s="427">
        <v>5585587.1615504734</v>
      </c>
      <c r="J41" s="427">
        <f>' HG CapEx Plan'!C27</f>
        <v>4417990.5709758224</v>
      </c>
      <c r="K41" s="427">
        <f>' HG CapEx Plan'!D27</f>
        <v>6880360.9239179967</v>
      </c>
      <c r="L41" s="427">
        <f>' HG CapEx Plan'!E27</f>
        <v>5353311.5188389048</v>
      </c>
      <c r="M41" s="427">
        <f>' HG CapEx Plan'!F27+' HG CapEx Plan'!C37</f>
        <v>8012231.3951414898</v>
      </c>
      <c r="N41" s="427">
        <f>' HG CapEx Plan'!G27+' HG CapEx Plan'!D37</f>
        <v>4412992.6770945154</v>
      </c>
      <c r="O41" s="428">
        <f>IF('Rates Dashboard'!$C$6="Base",AVERAGE($J41:$N41)*(SUM(O$280:O$290)/SUM(N$280:N$290)+' HG CapEx Plan'!E37),(AVERAGE($J41:$N41)*(SUM(O$280:O$290)/SUM(N$280:N$290))+' HG CapEx Plan'!E37))</f>
        <v>5839102.2834396455</v>
      </c>
      <c r="P41" s="428">
        <f>IF('Rates Dashboard'!$C$6="Base",AVERAGE($J41:$N41)*(SUM(P$280:P$290)/SUM(O$280:O$290)+' HG CapEx Plan'!F37),(AVERAGE($J41:$N41)*(SUM(P$280:P$290)/SUM(O$280:O$290))+' HG CapEx Plan'!F37))</f>
        <v>5841974.6514426516</v>
      </c>
      <c r="Q41" s="428">
        <f>IF('Rates Dashboard'!$C$6="Base",AVERAGE($J41:$N41)*(SUM(Q$280:Q$290)/SUM(P$280:P$290)+' HG CapEx Plan'!G37),(AVERAGE($J41:$N41)*(SUM(Q$280:Q$290)/SUM(P$280:P$290))+' HG CapEx Plan'!G37))</f>
        <v>5844478.9907456469</v>
      </c>
      <c r="R41" s="428">
        <f>IF('Rates Dashboard'!$C$6="Base",(AVERAGE($J41:$N41)*(SUM(R$280:R$290)/SUM(Q$280:Q$290))+' HG CapEx Plan'!H37),(AVERAGE($J41:$N41)*(SUM(R$280:R$290)/SUM(Q$280:Q$290))+' HG CapEx Plan'!H37))</f>
        <v>8845202.6028319821</v>
      </c>
      <c r="S41" s="428">
        <f>IF('Rates Dashboard'!$C$6="Base",(AVERAGE($J41:$N41)*(SUM(S$280:S$290)/SUM(R$280:R$290))+' HG CapEx Plan'!I37),(AVERAGE($J41:$N41)*(SUM(S$280:S$290)/SUM(R$280:R$290))+' HG CapEx Plan'!I37))</f>
        <v>5843964.7187909512</v>
      </c>
      <c r="T41" s="428">
        <f>IF('Rates Dashboard'!$C$6="Base",(AVERAGE($J41:$N41)*(SUM(T$280:T$290)/SUM(S$280:S$290))+' HG CapEx Plan'!J37),(AVERAGE($J41:$N41)*(SUM(T$280:T$290)/SUM(S$280:S$290))+' HG CapEx Plan'!J37))</f>
        <v>5846505.764380103</v>
      </c>
      <c r="U41" s="428">
        <f>IF('Rates Dashboard'!$C$6="Base",(AVERAGE($J41:$N41)*(SUM(U$280:U$290)/SUM(T$280:T$290))+' HG CapEx Plan'!K37),(AVERAGE($J41:$N41)*(SUM(U$280:U$290)/SUM(T$280:T$290))+' HG CapEx Plan'!K37))</f>
        <v>5849170.5830240743</v>
      </c>
      <c r="V41" s="428">
        <f>IF('Rates Dashboard'!$C$6="Base",(AVERAGE($J41:$N41)*(SUM(V$280:V$290)/SUM(U$280:U$290))+' HG CapEx Plan'!L37),(AVERAGE($J41:$N41)*(SUM(V$280:V$290)/SUM(U$280:U$290))+' HG CapEx Plan'!L37))</f>
        <v>5851882.6863177819</v>
      </c>
      <c r="W41" s="428">
        <f>IF('Rates Dashboard'!$C$6="Base",(AVERAGE($J41:$N41)*(SUM(W$280:W$290)/SUM(V$280:V$290))+' HG CapEx Plan'!M37),(AVERAGE($J41:$N41)*(SUM(W$280:W$290)/SUM(V$280:V$290))+' HG CapEx Plan'!M37))</f>
        <v>8851201.1694605537</v>
      </c>
      <c r="X41" s="428">
        <f>IF('Rates Dashboard'!$C$6="Base",(AVERAGE($J41:$N41)*(SUM(X$280:X$290)/SUM(W$280:W$290))+' HG CapEx Plan'!N37),(AVERAGE($J41:$N41)*(SUM(X$280:X$290)/SUM(W$280:W$290))+' HG CapEx Plan'!N37))</f>
        <v>5849408.3111775909</v>
      </c>
      <c r="Y41" s="428">
        <f>IF('Rates Dashboard'!$C$6="Base",(AVERAGE($J41:$N41)*(SUM(Y$280:Y$290)/SUM(X$280:X$290))+' HG CapEx Plan'!O37),(AVERAGE($J41:$N41)*(SUM(Y$280:Y$290)/SUM(X$280:X$290))+' HG CapEx Plan'!O37))</f>
        <v>5851894.3960627848</v>
      </c>
      <c r="Z41" s="428">
        <f>IF('Rates Dashboard'!$C$6="Base",(AVERAGE($J41:$N41)*(SUM(Z$280:Z$290)/SUM(Y$280:Y$290))+' HG CapEx Plan'!P37),(AVERAGE($J41:$N41)*(SUM(Z$280:Z$290)/SUM(Y$280:Y$290))+' HG CapEx Plan'!P37))</f>
        <v>5851881.4232140258</v>
      </c>
      <c r="AA41" s="428">
        <f>IF('Rates Dashboard'!$C$6="Base",(AVERAGE($J41:$N41)*(SUM(AA$280:AA$290)/SUM(Z$280:Z$290))+' HG CapEx Plan'!Q37),(AVERAGE($J41:$N41)*(SUM(AA$280:AA$290)/SUM(Z$280:Z$290))+' HG CapEx Plan'!Q37))</f>
        <v>5857039.5504447278</v>
      </c>
      <c r="AB41" s="428">
        <f>IF('Rates Dashboard'!$C$6="Base",(AVERAGE($J41:$N41)*(SUM(AB$280:AB$290)/SUM(AA$280:AA$290))+' HG CapEx Plan'!R37),(AVERAGE($J41:$N41)*(SUM(AB$280:AB$290)/SUM(AA$280:AA$290))+' HG CapEx Plan'!R37))</f>
        <v>8850694.5528900195</v>
      </c>
      <c r="AC41" s="428">
        <f>IF('Rates Dashboard'!$C$6="Base",(AVERAGE($J41:$N41)*(SUM(AC$280:AC$290)/SUM(AB$280:AB$290))+' HG CapEx Plan'!S37),(AVERAGE($J41:$N41)*(SUM(AC$280:AC$290)/SUM(AB$280:AB$290))+' HG CapEx Plan'!S37))</f>
        <v>5854773.8484954191</v>
      </c>
      <c r="AD41" s="428">
        <f>IF('Rates Dashboard'!$C$6="Base",(AVERAGE($J41:$N41)*(SUM(AD$280:AD$290)/SUM(AC$280:AC$290))+' HG CapEx Plan'!T37),(AVERAGE($J41:$N41)*(SUM(AD$280:AD$290)/SUM(AC$280:AC$290))+' HG CapEx Plan'!T37))</f>
        <v>5858659.1537421988</v>
      </c>
      <c r="AE41" s="428">
        <f>IF('Rates Dashboard'!$C$6="Base",(AVERAGE($J41:$N41)*(SUM(AE$280:AE$290)/SUM(AD$280:AD$290))+' HG CapEx Plan'!U37),(AVERAGE($J41:$N41)*(SUM(AE$280:AE$290)/SUM(AD$280:AD$290))+' HG CapEx Plan'!U37))</f>
        <v>5853428.3421978625</v>
      </c>
      <c r="AF41" s="428">
        <f>IF('Rates Dashboard'!$C$6="Base",(AVERAGE($J41:$N41)*(SUM(AF$280:AF$290)/SUM(AE$280:AE$290))+' HG CapEx Plan'!V37),(AVERAGE($J41:$N41)*(SUM(AF$280:AF$290)/SUM(AE$280:AE$290))+' HG CapEx Plan'!V37))</f>
        <v>5852484.6488736887</v>
      </c>
      <c r="AG41" s="428">
        <f>IF('Rates Dashboard'!$C$6="Base",(AVERAGE($J41:$N41)*(SUM(AG$280:AG$290)/SUM(AF$280:AF$290))+' HG CapEx Plan'!W37),(AVERAGE($J41:$N41)*(SUM(AG$280:AG$290)/SUM(AF$280:AF$290))+' HG CapEx Plan'!W37))</f>
        <v>5860855.1331440806</v>
      </c>
      <c r="AH41" s="423"/>
      <c r="AI41" s="423"/>
    </row>
    <row r="42" spans="2:35" x14ac:dyDescent="0.25">
      <c r="B42" s="421" t="s">
        <v>66</v>
      </c>
      <c r="C42" s="429">
        <v>0</v>
      </c>
      <c r="E42" s="427">
        <v>1463192.0758707311</v>
      </c>
      <c r="F42" s="427">
        <v>1282839.4484442445</v>
      </c>
      <c r="G42" s="427">
        <v>1811577.2360227152</v>
      </c>
      <c r="H42" s="427">
        <v>886217.63295868167</v>
      </c>
      <c r="I42" s="427">
        <v>916490.3920569761</v>
      </c>
      <c r="J42" s="427">
        <f>' HG CapEx Plan'!C28</f>
        <v>529410.14918304794</v>
      </c>
      <c r="K42" s="427">
        <f>' HG CapEx Plan'!D28</f>
        <v>824477.29225463164</v>
      </c>
      <c r="L42" s="427">
        <f>' HG CapEx Plan'!E28</f>
        <v>641490.15356224566</v>
      </c>
      <c r="M42" s="427">
        <f>' HG CapEx Plan'!F28</f>
        <v>600618.34175796295</v>
      </c>
      <c r="N42" s="427">
        <f>' HG CapEx Plan'!G28</f>
        <v>528811.24891316367</v>
      </c>
      <c r="O42" s="428">
        <f>IF('Rates Dashboard'!$C$6="Base",AVERAGE($J42:$N42)*(SUM(O$280:O$290)/SUM(N$280:N$290)+' HG CapEx Plan'!E38),(AVERAGE($J42:$N42)*(SUM(O$280:O$290)/SUM(N$280:N$290))+' HG CapEx Plan'!E38))</f>
        <v>627511.07844571257</v>
      </c>
      <c r="P42" s="428">
        <f>IF('Rates Dashboard'!$C$6="Base",AVERAGE($J42:$N42)*(SUM(P$280:P$290)/SUM(O$280:O$290)+' HG CapEx Plan'!F38),(AVERAGE($J42:$N42)*(SUM(P$280:P$290)/SUM(O$280:O$290))+' HG CapEx Plan'!F38))</f>
        <v>627819.76335235836</v>
      </c>
      <c r="Q42" s="428">
        <f>IF('Rates Dashboard'!$C$6="Base",AVERAGE($J42:$N42)*(SUM(Q$280:Q$290)/SUM(P$280:P$290)+' HG CapEx Plan'!G38),(AVERAGE($J42:$N42)*(SUM(Q$280:Q$290)/SUM(P$280:P$290))+' HG CapEx Plan'!G38))</f>
        <v>628088.89730147144</v>
      </c>
      <c r="R42" s="428">
        <f>IF('Rates Dashboard'!$C$6="Base",(AVERAGE($J42:$N42)*(SUM(R$280:R$290)/SUM(Q$280:Q$290))+' HG CapEx Plan'!H38),(AVERAGE($J42:$N42)*(SUM(R$280:R$290)/SUM(Q$280:Q$290))+' HG CapEx Plan'!H38))</f>
        <v>628166.66175542877</v>
      </c>
      <c r="S42" s="428">
        <f>IF('Rates Dashboard'!$C$6="Base",(AVERAGE($J42:$N42)*(SUM(S$280:S$290)/SUM(R$280:R$290))+' HG CapEx Plan'!I38),(AVERAGE($J42:$N42)*(SUM(S$280:S$290)/SUM(R$280:R$290))+' HG CapEx Plan'!I38))</f>
        <v>628033.63001324108</v>
      </c>
      <c r="T42" s="428">
        <f>IF('Rates Dashboard'!$C$6="Base",(AVERAGE($J42:$N42)*(SUM(T$280:T$290)/SUM(S$280:S$290))+' HG CapEx Plan'!J38),(AVERAGE($J42:$N42)*(SUM(T$280:T$290)/SUM(S$280:S$290))+' HG CapEx Plan'!J38))</f>
        <v>628306.7086785268</v>
      </c>
      <c r="U42" s="428">
        <f>IF('Rates Dashboard'!$C$6="Base",(AVERAGE($J42:$N42)*(SUM(U$280:U$290)/SUM(T$280:T$290))+' HG CapEx Plan'!K38),(AVERAGE($J42:$N42)*(SUM(U$280:U$290)/SUM(T$280:T$290))+' HG CapEx Plan'!K38))</f>
        <v>628593.08886848902</v>
      </c>
      <c r="V42" s="428">
        <f>IF('Rates Dashboard'!$C$6="Base",(AVERAGE($J42:$N42)*(SUM(V$280:V$290)/SUM(U$280:U$290))+' HG CapEx Plan'!L38),(AVERAGE($J42:$N42)*(SUM(V$280:V$290)/SUM(U$280:U$290))+' HG CapEx Plan'!L38))</f>
        <v>628884.55060011812</v>
      </c>
      <c r="W42" s="428">
        <f>IF('Rates Dashboard'!$C$6="Base",(AVERAGE($J42:$N42)*(SUM(W$280:W$290)/SUM(V$280:V$290))+' HG CapEx Plan'!M38),(AVERAGE($J42:$N42)*(SUM(W$280:W$290)/SUM(V$280:V$290))+' HG CapEx Plan'!M38))</f>
        <v>628811.30999611784</v>
      </c>
      <c r="X42" s="428">
        <f>IF('Rates Dashboard'!$C$6="Base",(AVERAGE($J42:$N42)*(SUM(X$280:X$290)/SUM(W$280:W$290))+' HG CapEx Plan'!N38),(AVERAGE($J42:$N42)*(SUM(X$280:X$290)/SUM(W$280:W$290))+' HG CapEx Plan'!N38))</f>
        <v>628618.63681109191</v>
      </c>
      <c r="Y42" s="428">
        <f>IF('Rates Dashboard'!$C$6="Base",(AVERAGE($J42:$N42)*(SUM(Y$280:Y$290)/SUM(X$280:X$290))+' HG CapEx Plan'!O38),(AVERAGE($J42:$N42)*(SUM(Y$280:Y$290)/SUM(X$280:X$290))+' HG CapEx Plan'!O38))</f>
        <v>628885.80901183246</v>
      </c>
      <c r="Z42" s="428">
        <f>IF('Rates Dashboard'!$C$6="Base",(AVERAGE($J42:$N42)*(SUM(Z$280:Z$290)/SUM(Y$280:Y$290))+' HG CapEx Plan'!P38),(AVERAGE($J42:$N42)*(SUM(Z$280:Z$290)/SUM(Y$280:Y$290))+' HG CapEx Plan'!P38))</f>
        <v>628884.41485808766</v>
      </c>
      <c r="AA42" s="428">
        <f>IF('Rates Dashboard'!$C$6="Base",(AVERAGE($J42:$N42)*(SUM(AA$280:AA$290)/SUM(Z$280:Z$290))+' HG CapEx Plan'!Q38),(AVERAGE($J42:$N42)*(SUM(AA$280:AA$290)/SUM(Z$280:Z$290))+' HG CapEx Plan'!Q38))</f>
        <v>629438.74355866166</v>
      </c>
      <c r="AB42" s="428">
        <f>IF('Rates Dashboard'!$C$6="Base",(AVERAGE($J42:$N42)*(SUM(AB$280:AB$290)/SUM(AA$280:AA$290))+' HG CapEx Plan'!R38),(AVERAGE($J42:$N42)*(SUM(AB$280:AB$290)/SUM(AA$280:AA$290))+' HG CapEx Plan'!R38))</f>
        <v>628756.86540941556</v>
      </c>
      <c r="AC42" s="428">
        <f>IF('Rates Dashboard'!$C$6="Base",(AVERAGE($J42:$N42)*(SUM(AC$280:AC$290)/SUM(AB$280:AB$290))+' HG CapEx Plan'!S38),(AVERAGE($J42:$N42)*(SUM(AC$280:AC$290)/SUM(AB$280:AB$290))+' HG CapEx Plan'!S38))</f>
        <v>629195.25526120898</v>
      </c>
      <c r="AD42" s="428">
        <f>IF('Rates Dashboard'!$C$6="Base",(AVERAGE($J42:$N42)*(SUM(AD$280:AD$290)/SUM(AC$280:AC$290))+' HG CapEx Plan'!T38),(AVERAGE($J42:$N42)*(SUM(AD$280:AD$290)/SUM(AC$280:AC$290))+' HG CapEx Plan'!T38))</f>
        <v>629612.79754205095</v>
      </c>
      <c r="AE42" s="428">
        <f>IF('Rates Dashboard'!$C$6="Base",(AVERAGE($J42:$N42)*(SUM(AE$280:AE$290)/SUM(AD$280:AD$290))+' HG CapEx Plan'!U38),(AVERAGE($J42:$N42)*(SUM(AE$280:AE$290)/SUM(AD$280:AD$290))+' HG CapEx Plan'!U38))</f>
        <v>629050.65767294087</v>
      </c>
      <c r="AF42" s="428">
        <f>IF('Rates Dashboard'!$C$6="Base",(AVERAGE($J42:$N42)*(SUM(AF$280:AF$290)/SUM(AE$280:AE$290))+' HG CapEx Plan'!V38),(AVERAGE($J42:$N42)*(SUM(AF$280:AF$290)/SUM(AE$280:AE$290))+' HG CapEx Plan'!V38))</f>
        <v>628949.2417382939</v>
      </c>
      <c r="AG42" s="428">
        <f>IF('Rates Dashboard'!$C$6="Base",(AVERAGE($J42:$N42)*(SUM(AG$280:AG$290)/SUM(AF$280:AF$290))+' HG CapEx Plan'!W38),(AVERAGE($J42:$N42)*(SUM(AG$280:AG$290)/SUM(AF$280:AF$290))+' HG CapEx Plan'!W38))</f>
        <v>629848.79296323541</v>
      </c>
      <c r="AH42" s="423"/>
      <c r="AI42" s="423"/>
    </row>
    <row r="43" spans="2:35" x14ac:dyDescent="0.25">
      <c r="B43" s="421" t="s">
        <v>67</v>
      </c>
      <c r="E43" s="431">
        <f t="shared" ref="E43:AG43" si="15">SUM(E37:E42)</f>
        <v>21674742.514560591</v>
      </c>
      <c r="F43" s="431">
        <f t="shared" si="15"/>
        <v>8500384.5582193192</v>
      </c>
      <c r="G43" s="431">
        <f t="shared" si="15"/>
        <v>6897783.6028656131</v>
      </c>
      <c r="H43" s="431">
        <f t="shared" si="15"/>
        <v>6260033.2170026908</v>
      </c>
      <c r="I43" s="431">
        <f t="shared" si="15"/>
        <v>7674336.9084780701</v>
      </c>
      <c r="J43" s="431">
        <f t="shared" si="15"/>
        <v>6254975</v>
      </c>
      <c r="K43" s="431">
        <f t="shared" si="15"/>
        <v>9741190.0000000019</v>
      </c>
      <c r="L43" s="431">
        <f t="shared" si="15"/>
        <v>7579199</v>
      </c>
      <c r="M43" s="431">
        <f t="shared" si="15"/>
        <v>12096298.999999998</v>
      </c>
      <c r="N43" s="431">
        <f t="shared" si="15"/>
        <v>6247899</v>
      </c>
      <c r="O43" s="431">
        <f t="shared" si="15"/>
        <v>8418116.0614372175</v>
      </c>
      <c r="P43" s="431">
        <f t="shared" si="15"/>
        <v>8422257.0964879375</v>
      </c>
      <c r="Q43" s="431">
        <f t="shared" si="15"/>
        <v>8425867.5519803204</v>
      </c>
      <c r="R43" s="431">
        <f t="shared" si="15"/>
        <v>13426910.768939117</v>
      </c>
      <c r="S43" s="431">
        <f t="shared" si="15"/>
        <v>8425126.1364695765</v>
      </c>
      <c r="T43" s="431">
        <f t="shared" si="15"/>
        <v>8428789.5106748119</v>
      </c>
      <c r="U43" s="431">
        <f t="shared" si="15"/>
        <v>8432631.3259982485</v>
      </c>
      <c r="V43" s="431">
        <f t="shared" si="15"/>
        <v>8436541.3106480781</v>
      </c>
      <c r="W43" s="431">
        <f t="shared" si="15"/>
        <v>13435558.78153256</v>
      </c>
      <c r="X43" s="431">
        <f t="shared" si="15"/>
        <v>8432974.0538852122</v>
      </c>
      <c r="Y43" s="431">
        <f t="shared" si="15"/>
        <v>8436558.192351412</v>
      </c>
      <c r="Z43" s="431">
        <f t="shared" si="15"/>
        <v>8436539.4896568544</v>
      </c>
      <c r="AA43" s="431">
        <f t="shared" si="15"/>
        <v>8443975.8577113841</v>
      </c>
      <c r="AB43" s="431">
        <f t="shared" si="15"/>
        <v>13434828.402634848</v>
      </c>
      <c r="AC43" s="431">
        <f t="shared" si="15"/>
        <v>8440709.4408815242</v>
      </c>
      <c r="AD43" s="431">
        <f t="shared" si="15"/>
        <v>8446310.8071385026</v>
      </c>
      <c r="AE43" s="431">
        <f t="shared" si="15"/>
        <v>8438769.6515741255</v>
      </c>
      <c r="AF43" s="431">
        <f t="shared" si="15"/>
        <v>8437409.1479309816</v>
      </c>
      <c r="AG43" s="431">
        <f t="shared" si="15"/>
        <v>8449476.7063771561</v>
      </c>
      <c r="AH43" s="423"/>
      <c r="AI43" s="423"/>
    </row>
    <row r="44" spans="2:35" x14ac:dyDescent="0.25">
      <c r="F44" s="423"/>
      <c r="G44" s="423"/>
      <c r="H44" s="423"/>
      <c r="I44" s="423"/>
      <c r="J44" s="423"/>
      <c r="K44" s="423"/>
      <c r="L44" s="423"/>
      <c r="M44" s="423"/>
      <c r="N44" s="423"/>
      <c r="O44" s="423"/>
      <c r="P44" s="423"/>
      <c r="Q44" s="423"/>
      <c r="R44" s="423"/>
      <c r="S44" s="423"/>
      <c r="T44" s="423"/>
      <c r="U44" s="423"/>
      <c r="V44" s="423"/>
      <c r="W44" s="423"/>
      <c r="X44" s="423"/>
      <c r="Y44" s="423"/>
      <c r="Z44" s="423"/>
      <c r="AA44" s="423"/>
      <c r="AB44" s="423"/>
      <c r="AC44" s="423"/>
      <c r="AD44" s="423"/>
      <c r="AE44" s="423"/>
      <c r="AF44" s="423"/>
      <c r="AG44" s="423"/>
      <c r="AH44" s="423"/>
      <c r="AI44" s="423"/>
    </row>
    <row r="45" spans="2:35" x14ac:dyDescent="0.25">
      <c r="B45" s="422" t="s">
        <v>52</v>
      </c>
      <c r="C45" s="423" t="s">
        <v>70</v>
      </c>
      <c r="D45" s="423" t="s">
        <v>71</v>
      </c>
      <c r="E45" s="423">
        <v>2017</v>
      </c>
      <c r="F45" s="423">
        <v>2018</v>
      </c>
      <c r="G45" s="423">
        <v>2019</v>
      </c>
      <c r="H45" s="423">
        <v>2020</v>
      </c>
      <c r="I45" s="423">
        <v>2021</v>
      </c>
      <c r="J45" s="423">
        <v>2022</v>
      </c>
      <c r="K45" s="423">
        <v>2023</v>
      </c>
      <c r="L45" s="423">
        <v>2024</v>
      </c>
      <c r="M45" s="423">
        <v>2025</v>
      </c>
      <c r="N45" s="423">
        <v>2026</v>
      </c>
      <c r="O45" s="423">
        <v>2027</v>
      </c>
      <c r="P45" s="423">
        <v>2028</v>
      </c>
      <c r="Q45" s="423">
        <v>2029</v>
      </c>
      <c r="R45" s="423">
        <v>2030</v>
      </c>
      <c r="S45" s="423">
        <v>2031</v>
      </c>
      <c r="T45" s="423">
        <v>2032</v>
      </c>
      <c r="U45" s="423">
        <v>2033</v>
      </c>
      <c r="V45" s="423">
        <v>2034</v>
      </c>
      <c r="W45" s="423">
        <v>2035</v>
      </c>
      <c r="X45" s="423">
        <v>2036</v>
      </c>
      <c r="Y45" s="423">
        <v>2037</v>
      </c>
      <c r="Z45" s="423">
        <v>2038</v>
      </c>
      <c r="AA45" s="423">
        <v>2039</v>
      </c>
      <c r="AB45" s="423">
        <v>2040</v>
      </c>
      <c r="AC45" s="423">
        <v>2041</v>
      </c>
      <c r="AD45" s="423">
        <v>2042</v>
      </c>
      <c r="AE45" s="423">
        <v>2043</v>
      </c>
      <c r="AF45" s="423">
        <v>2044</v>
      </c>
      <c r="AG45" s="423">
        <v>2045</v>
      </c>
      <c r="AH45" s="423"/>
      <c r="AI45" s="423"/>
    </row>
    <row r="46" spans="2:35" x14ac:dyDescent="0.25">
      <c r="B46" s="421" t="s">
        <v>61</v>
      </c>
      <c r="C46" s="432"/>
      <c r="D46" s="433">
        <v>0</v>
      </c>
      <c r="E46" s="428">
        <f t="shared" ref="E46:E51" si="16">$D46*E28</f>
        <v>0</v>
      </c>
      <c r="F46" s="428">
        <f t="shared" ref="F46:AG51" si="17">$D46*F28</f>
        <v>0</v>
      </c>
      <c r="G46" s="428">
        <f t="shared" si="17"/>
        <v>0</v>
      </c>
      <c r="H46" s="428">
        <f t="shared" si="17"/>
        <v>0</v>
      </c>
      <c r="I46" s="428">
        <f t="shared" si="17"/>
        <v>0</v>
      </c>
      <c r="J46" s="428">
        <f t="shared" si="17"/>
        <v>0</v>
      </c>
      <c r="K46" s="428">
        <f t="shared" si="17"/>
        <v>0</v>
      </c>
      <c r="L46" s="428">
        <f t="shared" si="17"/>
        <v>0</v>
      </c>
      <c r="M46" s="428">
        <f t="shared" si="17"/>
        <v>0</v>
      </c>
      <c r="N46" s="428">
        <f t="shared" si="17"/>
        <v>0</v>
      </c>
      <c r="O46" s="428">
        <f t="shared" si="17"/>
        <v>0</v>
      </c>
      <c r="P46" s="428">
        <f t="shared" si="17"/>
        <v>0</v>
      </c>
      <c r="Q46" s="428">
        <f t="shared" si="17"/>
        <v>0</v>
      </c>
      <c r="R46" s="428">
        <f t="shared" si="17"/>
        <v>0</v>
      </c>
      <c r="S46" s="428">
        <f t="shared" si="17"/>
        <v>0</v>
      </c>
      <c r="T46" s="428">
        <f t="shared" si="17"/>
        <v>0</v>
      </c>
      <c r="U46" s="428">
        <f t="shared" si="17"/>
        <v>0</v>
      </c>
      <c r="V46" s="428">
        <f t="shared" si="17"/>
        <v>0</v>
      </c>
      <c r="W46" s="428">
        <f t="shared" si="17"/>
        <v>0</v>
      </c>
      <c r="X46" s="428">
        <f t="shared" si="17"/>
        <v>0</v>
      </c>
      <c r="Y46" s="428">
        <f t="shared" si="17"/>
        <v>0</v>
      </c>
      <c r="Z46" s="428">
        <f t="shared" si="17"/>
        <v>0</v>
      </c>
      <c r="AA46" s="428">
        <f t="shared" si="17"/>
        <v>0</v>
      </c>
      <c r="AB46" s="428">
        <f t="shared" si="17"/>
        <v>0</v>
      </c>
      <c r="AC46" s="428">
        <f t="shared" si="17"/>
        <v>0</v>
      </c>
      <c r="AD46" s="428">
        <f t="shared" si="17"/>
        <v>0</v>
      </c>
      <c r="AE46" s="428">
        <f t="shared" si="17"/>
        <v>0</v>
      </c>
      <c r="AF46" s="428">
        <f t="shared" si="17"/>
        <v>0</v>
      </c>
      <c r="AG46" s="428">
        <f t="shared" si="17"/>
        <v>0</v>
      </c>
      <c r="AH46" s="423"/>
      <c r="AI46" s="423"/>
    </row>
    <row r="47" spans="2:35" x14ac:dyDescent="0.25">
      <c r="B47" s="421" t="s">
        <v>62</v>
      </c>
      <c r="C47" s="432"/>
      <c r="D47" s="433">
        <v>4.8053717127755375E-3</v>
      </c>
      <c r="E47" s="428">
        <f t="shared" si="16"/>
        <v>31049.749999999996</v>
      </c>
      <c r="F47" s="428">
        <f t="shared" ref="F47:T47" si="18">$D47*F29</f>
        <v>31198.97573714492</v>
      </c>
      <c r="G47" s="428">
        <f t="shared" si="18"/>
        <v>35855.49353758958</v>
      </c>
      <c r="H47" s="428">
        <f t="shared" si="18"/>
        <v>36792.416937104732</v>
      </c>
      <c r="I47" s="428">
        <f t="shared" si="18"/>
        <v>37585.199644597546</v>
      </c>
      <c r="J47" s="428">
        <f t="shared" si="18"/>
        <v>38023.090398645581</v>
      </c>
      <c r="K47" s="428">
        <f t="shared" si="18"/>
        <v>38978.277144215761</v>
      </c>
      <c r="L47" s="428">
        <f t="shared" si="18"/>
        <v>40465.83793767709</v>
      </c>
      <c r="M47" s="428">
        <f t="shared" si="18"/>
        <v>41623.244710180392</v>
      </c>
      <c r="N47" s="428">
        <f t="shared" si="18"/>
        <v>42706.908633282073</v>
      </c>
      <c r="O47" s="428">
        <f t="shared" si="18"/>
        <v>43661.014814755406</v>
      </c>
      <c r="P47" s="428">
        <f t="shared" si="18"/>
        <v>44793.199881012137</v>
      </c>
      <c r="Q47" s="428">
        <f t="shared" si="18"/>
        <v>45925.941891127688</v>
      </c>
      <c r="R47" s="428">
        <f t="shared" si="18"/>
        <v>47059.169485400198</v>
      </c>
      <c r="S47" s="428">
        <f t="shared" si="18"/>
        <v>48192.537385966061</v>
      </c>
      <c r="T47" s="428">
        <f t="shared" si="18"/>
        <v>49325.665264392053</v>
      </c>
      <c r="U47" s="428">
        <f t="shared" si="17"/>
        <v>50459.285844217862</v>
      </c>
      <c r="V47" s="428">
        <f t="shared" si="17"/>
        <v>51593.423124681292</v>
      </c>
      <c r="W47" s="428">
        <f t="shared" si="17"/>
        <v>52728.086274139343</v>
      </c>
      <c r="X47" s="428">
        <f t="shared" si="17"/>
        <v>53862.61727944736</v>
      </c>
      <c r="Y47" s="428">
        <f t="shared" si="17"/>
        <v>54996.800654713072</v>
      </c>
      <c r="Z47" s="428">
        <f t="shared" si="17"/>
        <v>56131.466074656855</v>
      </c>
      <c r="AA47" s="428">
        <f t="shared" si="17"/>
        <v>57266.128979202738</v>
      </c>
      <c r="AB47" s="428">
        <f t="shared" si="17"/>
        <v>58401.792029719181</v>
      </c>
      <c r="AC47" s="428">
        <f t="shared" si="17"/>
        <v>59536.224803537567</v>
      </c>
      <c r="AD47" s="428">
        <f t="shared" si="17"/>
        <v>60671.448540990612</v>
      </c>
      <c r="AE47" s="428">
        <f t="shared" si="17"/>
        <v>61807.425627908131</v>
      </c>
      <c r="AF47" s="428">
        <f t="shared" si="17"/>
        <v>62942.388475576634</v>
      </c>
      <c r="AG47" s="428">
        <f t="shared" si="17"/>
        <v>64077.168343835481</v>
      </c>
      <c r="AH47" s="423"/>
      <c r="AI47" s="423"/>
    </row>
    <row r="48" spans="2:35" x14ac:dyDescent="0.25">
      <c r="B48" s="421" t="s">
        <v>63</v>
      </c>
      <c r="C48" s="432"/>
      <c r="D48" s="433">
        <v>2.0826361334188824E-2</v>
      </c>
      <c r="E48" s="428">
        <f t="shared" si="16"/>
        <v>339056.75699227996</v>
      </c>
      <c r="F48" s="428">
        <f t="shared" si="17"/>
        <v>615478.60510500858</v>
      </c>
      <c r="G48" s="428">
        <f t="shared" si="17"/>
        <v>615808.06277020951</v>
      </c>
      <c r="H48" s="428">
        <f t="shared" si="17"/>
        <v>618795.42556655337</v>
      </c>
      <c r="I48" s="428">
        <f t="shared" si="17"/>
        <v>633213.24928526941</v>
      </c>
      <c r="J48" s="428">
        <f t="shared" si="17"/>
        <v>636378.56255789893</v>
      </c>
      <c r="K48" s="428">
        <f t="shared" si="17"/>
        <v>646809.00145917956</v>
      </c>
      <c r="L48" s="428">
        <f t="shared" si="17"/>
        <v>663052.85329244274</v>
      </c>
      <c r="M48" s="428">
        <f t="shared" si="17"/>
        <v>675691.49247008085</v>
      </c>
      <c r="N48" s="428">
        <f t="shared" si="17"/>
        <v>687524.87520058232</v>
      </c>
      <c r="O48" s="428">
        <f t="shared" si="17"/>
        <v>697943.51456858485</v>
      </c>
      <c r="P48" s="428">
        <f t="shared" si="17"/>
        <v>710306.73800452542</v>
      </c>
      <c r="Q48" s="428">
        <f t="shared" si="17"/>
        <v>722676.04315057967</v>
      </c>
      <c r="R48" s="428">
        <f t="shared" si="17"/>
        <v>735050.65077377146</v>
      </c>
      <c r="S48" s="428">
        <f t="shared" si="17"/>
        <v>747426.79051225609</v>
      </c>
      <c r="T48" s="428">
        <f t="shared" si="17"/>
        <v>759800.30925932049</v>
      </c>
      <c r="U48" s="428">
        <f t="shared" si="17"/>
        <v>772179.20820232166</v>
      </c>
      <c r="V48" s="428">
        <f t="shared" si="17"/>
        <v>784563.74940790224</v>
      </c>
      <c r="W48" s="428">
        <f t="shared" si="17"/>
        <v>796954.03299259755</v>
      </c>
      <c r="X48" s="428">
        <f t="shared" si="17"/>
        <v>809342.87359089323</v>
      </c>
      <c r="Y48" s="428">
        <f t="shared" si="17"/>
        <v>821727.91814204585</v>
      </c>
      <c r="Z48" s="428">
        <f t="shared" si="17"/>
        <v>834118.22651996906</v>
      </c>
      <c r="AA48" s="428">
        <f t="shared" si="17"/>
        <v>846508.50743027485</v>
      </c>
      <c r="AB48" s="428">
        <f t="shared" si="17"/>
        <v>858909.70972478809</v>
      </c>
      <c r="AC48" s="428">
        <f t="shared" si="17"/>
        <v>871297.47765582195</v>
      </c>
      <c r="AD48" s="428">
        <f t="shared" si="17"/>
        <v>883693.88274383335</v>
      </c>
      <c r="AE48" s="428">
        <f t="shared" si="17"/>
        <v>896098.51424997405</v>
      </c>
      <c r="AF48" s="428">
        <f t="shared" si="17"/>
        <v>908492.0704762626</v>
      </c>
      <c r="AG48" s="428">
        <f t="shared" si="17"/>
        <v>920883.62860577961</v>
      </c>
      <c r="AH48" s="423"/>
      <c r="AI48" s="423"/>
    </row>
    <row r="49" spans="2:35" x14ac:dyDescent="0.25">
      <c r="B49" s="421" t="s">
        <v>64</v>
      </c>
      <c r="C49" s="432"/>
      <c r="D49" s="433">
        <v>1.6019422511595841E-2</v>
      </c>
      <c r="E49" s="428">
        <f t="shared" si="16"/>
        <v>310611.9678246</v>
      </c>
      <c r="F49" s="428">
        <f t="shared" si="17"/>
        <v>310611.9678246</v>
      </c>
      <c r="G49" s="428">
        <f t="shared" si="17"/>
        <v>311647.55039574252</v>
      </c>
      <c r="H49" s="428">
        <f t="shared" si="17"/>
        <v>313410.99026630534</v>
      </c>
      <c r="I49" s="428">
        <f t="shared" si="17"/>
        <v>318711.54609486845</v>
      </c>
      <c r="J49" s="428">
        <f t="shared" si="17"/>
        <v>333595.96357879438</v>
      </c>
      <c r="K49" s="428">
        <f t="shared" si="17"/>
        <v>343151.35242029966</v>
      </c>
      <c r="L49" s="428">
        <f t="shared" si="17"/>
        <v>358032.44438773097</v>
      </c>
      <c r="M49" s="428">
        <f t="shared" si="17"/>
        <v>369610.77900172194</v>
      </c>
      <c r="N49" s="428">
        <f t="shared" si="17"/>
        <v>412490.25828493637</v>
      </c>
      <c r="O49" s="428">
        <f t="shared" si="17"/>
        <v>422034.83750187204</v>
      </c>
      <c r="P49" s="428">
        <f t="shared" si="17"/>
        <v>439794.77270890691</v>
      </c>
      <c r="Q49" s="428">
        <f t="shared" si="17"/>
        <v>457563.44437355938</v>
      </c>
      <c r="R49" s="428">
        <f t="shared" si="17"/>
        <v>475339.73311727616</v>
      </c>
      <c r="S49" s="428">
        <f t="shared" si="17"/>
        <v>525157.06778821826</v>
      </c>
      <c r="T49" s="428">
        <f t="shared" si="17"/>
        <v>542931.79234686855</v>
      </c>
      <c r="U49" s="428">
        <f t="shared" si="17"/>
        <v>560714.24562867358</v>
      </c>
      <c r="V49" s="428">
        <f t="shared" si="17"/>
        <v>578504.80409585766</v>
      </c>
      <c r="W49" s="428">
        <f t="shared" si="17"/>
        <v>596303.61156715814</v>
      </c>
      <c r="X49" s="428">
        <f t="shared" si="17"/>
        <v>646139.1911924592</v>
      </c>
      <c r="Y49" s="428">
        <f t="shared" si="17"/>
        <v>663930.47272226482</v>
      </c>
      <c r="Z49" s="428">
        <f t="shared" si="17"/>
        <v>681729.31580936757</v>
      </c>
      <c r="AA49" s="428">
        <f t="shared" si="17"/>
        <v>699528.11943887174</v>
      </c>
      <c r="AB49" s="428">
        <f t="shared" si="17"/>
        <v>717342.61178231856</v>
      </c>
      <c r="AC49" s="428">
        <f t="shared" si="17"/>
        <v>767176.65050680458</v>
      </c>
      <c r="AD49" s="428">
        <f t="shared" si="17"/>
        <v>784984.25159918843</v>
      </c>
      <c r="AE49" s="428">
        <f t="shared" si="17"/>
        <v>802803.67005083279</v>
      </c>
      <c r="AF49" s="428">
        <f t="shared" si="17"/>
        <v>820607.17871539039</v>
      </c>
      <c r="AG49" s="428">
        <f t="shared" si="17"/>
        <v>838407.8170873106</v>
      </c>
      <c r="AH49" s="423"/>
      <c r="AI49" s="423"/>
    </row>
    <row r="50" spans="2:35" x14ac:dyDescent="0.25">
      <c r="B50" s="421" t="s">
        <v>65</v>
      </c>
      <c r="C50" s="432"/>
      <c r="D50" s="433">
        <v>1.8325644455275587E-2</v>
      </c>
      <c r="E50" s="428">
        <f t="shared" si="16"/>
        <v>2631805.9311147165</v>
      </c>
      <c r="F50" s="428">
        <f t="shared" si="17"/>
        <v>2758395.9278688873</v>
      </c>
      <c r="G50" s="428">
        <f t="shared" si="17"/>
        <v>2871429.5469970894</v>
      </c>
      <c r="H50" s="428">
        <f t="shared" si="17"/>
        <v>2956418.5606904523</v>
      </c>
      <c r="I50" s="428">
        <f t="shared" si="17"/>
        <v>3033123.6032637521</v>
      </c>
      <c r="J50" s="428">
        <f t="shared" si="17"/>
        <v>3135483.0876602777</v>
      </c>
      <c r="K50" s="428">
        <f t="shared" si="17"/>
        <v>3216445.6120707407</v>
      </c>
      <c r="L50" s="428">
        <f t="shared" si="17"/>
        <v>3342532.6600864334</v>
      </c>
      <c r="M50" s="428">
        <f t="shared" si="17"/>
        <v>3440635.5436390066</v>
      </c>
      <c r="N50" s="428">
        <f t="shared" si="17"/>
        <v>3587464.8474797662</v>
      </c>
      <c r="O50" s="428">
        <f t="shared" si="17"/>
        <v>3668335.7822639351</v>
      </c>
      <c r="P50" s="428">
        <f t="shared" si="17"/>
        <v>3775341.0946482378</v>
      </c>
      <c r="Q50" s="428">
        <f t="shared" si="17"/>
        <v>3882399.0450273082</v>
      </c>
      <c r="R50" s="428">
        <f t="shared" si="17"/>
        <v>3989502.8890380408</v>
      </c>
      <c r="S50" s="428">
        <f t="shared" si="17"/>
        <v>4151596.9270724179</v>
      </c>
      <c r="T50" s="428">
        <f t="shared" si="17"/>
        <v>4258691.3467181558</v>
      </c>
      <c r="U50" s="428">
        <f t="shared" si="17"/>
        <v>4365832.3326619044</v>
      </c>
      <c r="V50" s="428">
        <f t="shared" si="17"/>
        <v>4473022.1531246603</v>
      </c>
      <c r="W50" s="428">
        <f t="shared" si="17"/>
        <v>4580261.6746281032</v>
      </c>
      <c r="X50" s="428">
        <f t="shared" si="17"/>
        <v>4742465.6402617572</v>
      </c>
      <c r="Y50" s="428">
        <f t="shared" si="17"/>
        <v>4849659.8172461316</v>
      </c>
      <c r="Z50" s="428">
        <f t="shared" si="17"/>
        <v>4956899.553338198</v>
      </c>
      <c r="AA50" s="428">
        <f t="shared" si="17"/>
        <v>5064139.05169445</v>
      </c>
      <c r="AB50" s="428">
        <f t="shared" si="17"/>
        <v>5171473.0760563873</v>
      </c>
      <c r="AC50" s="428">
        <f t="shared" si="17"/>
        <v>5333667.7576148938</v>
      </c>
      <c r="AD50" s="428">
        <f t="shared" si="17"/>
        <v>5440960.2615284659</v>
      </c>
      <c r="AE50" s="428">
        <f t="shared" si="17"/>
        <v>5548323.9661645917</v>
      </c>
      <c r="AF50" s="428">
        <f t="shared" si="17"/>
        <v>5655591.812808142</v>
      </c>
      <c r="AG50" s="428">
        <f t="shared" si="17"/>
        <v>5762842.3656633599</v>
      </c>
      <c r="AH50" s="423"/>
      <c r="AI50" s="423"/>
    </row>
    <row r="51" spans="2:35" x14ac:dyDescent="0.25">
      <c r="B51" s="421" t="s">
        <v>66</v>
      </c>
      <c r="D51" s="433">
        <v>6.2E-2</v>
      </c>
      <c r="E51" s="428">
        <f t="shared" si="16"/>
        <v>1066973.8426139939</v>
      </c>
      <c r="F51" s="428">
        <f t="shared" si="17"/>
        <v>1157691.7513179793</v>
      </c>
      <c r="G51" s="428">
        <f t="shared" si="17"/>
        <v>1237227.7971215222</v>
      </c>
      <c r="H51" s="428">
        <f t="shared" si="17"/>
        <v>1349545.5857549307</v>
      </c>
      <c r="I51" s="428">
        <f t="shared" si="17"/>
        <v>1404491.0789983687</v>
      </c>
      <c r="J51" s="428">
        <f t="shared" si="17"/>
        <v>1461313.4833059013</v>
      </c>
      <c r="K51" s="428">
        <f t="shared" si="17"/>
        <v>1494136.9125552503</v>
      </c>
      <c r="L51" s="428">
        <f t="shared" si="17"/>
        <v>1545254.5046750375</v>
      </c>
      <c r="M51" s="428">
        <f t="shared" si="17"/>
        <v>1585026.8941958966</v>
      </c>
      <c r="N51" s="428">
        <f t="shared" si="17"/>
        <v>1622265.2313848904</v>
      </c>
      <c r="O51" s="428">
        <f t="shared" si="17"/>
        <v>1655051.5288175067</v>
      </c>
      <c r="P51" s="428">
        <f t="shared" si="17"/>
        <v>1693957.215681141</v>
      </c>
      <c r="Q51" s="428">
        <f t="shared" si="17"/>
        <v>1732882.041008987</v>
      </c>
      <c r="R51" s="428">
        <f t="shared" si="17"/>
        <v>1771823.5526416784</v>
      </c>
      <c r="S51" s="428">
        <f t="shared" si="17"/>
        <v>1810769.8856705148</v>
      </c>
      <c r="T51" s="428">
        <f t="shared" si="17"/>
        <v>1849707.9707313359</v>
      </c>
      <c r="U51" s="428">
        <f t="shared" si="17"/>
        <v>1888662.9866694044</v>
      </c>
      <c r="V51" s="428">
        <f t="shared" si="17"/>
        <v>1927635.7581792506</v>
      </c>
      <c r="W51" s="428">
        <f t="shared" si="17"/>
        <v>1966626.6003164579</v>
      </c>
      <c r="X51" s="428">
        <f t="shared" si="17"/>
        <v>2005612.9015362172</v>
      </c>
      <c r="Y51" s="428">
        <f t="shared" si="17"/>
        <v>2044587.2570185049</v>
      </c>
      <c r="Z51" s="428">
        <f t="shared" si="17"/>
        <v>2083578.1771772385</v>
      </c>
      <c r="AA51" s="428">
        <f t="shared" si="17"/>
        <v>2122569.0108984401</v>
      </c>
      <c r="AB51" s="428">
        <f t="shared" si="17"/>
        <v>2161594.212999077</v>
      </c>
      <c r="AC51" s="428">
        <f t="shared" si="17"/>
        <v>2200577.1386544611</v>
      </c>
      <c r="AD51" s="428">
        <f t="shared" si="17"/>
        <v>2239587.244480656</v>
      </c>
      <c r="AE51" s="428">
        <f t="shared" si="17"/>
        <v>2278623.2379282634</v>
      </c>
      <c r="AF51" s="428">
        <f t="shared" si="17"/>
        <v>2317624.3787039858</v>
      </c>
      <c r="AG51" s="428">
        <f t="shared" si="17"/>
        <v>2356619.23169176</v>
      </c>
      <c r="AH51" s="423"/>
      <c r="AI51" s="423"/>
    </row>
    <row r="52" spans="2:35" x14ac:dyDescent="0.25">
      <c r="B52" s="421" t="s">
        <v>67</v>
      </c>
      <c r="E52" s="428">
        <f>SUM(E46:E51)</f>
        <v>4379498.2485455908</v>
      </c>
      <c r="F52" s="428">
        <f t="shared" ref="F52:AG52" si="19">SUM(F46:F51)</f>
        <v>4873377.2278536204</v>
      </c>
      <c r="G52" s="428">
        <f t="shared" si="19"/>
        <v>5071968.4508221531</v>
      </c>
      <c r="H52" s="428">
        <f t="shared" si="19"/>
        <v>5274962.9792153463</v>
      </c>
      <c r="I52" s="428">
        <f t="shared" si="19"/>
        <v>5427124.6772868559</v>
      </c>
      <c r="J52" s="428">
        <f t="shared" si="19"/>
        <v>5604794.1875015181</v>
      </c>
      <c r="K52" s="428">
        <f t="shared" si="19"/>
        <v>5739521.1556496862</v>
      </c>
      <c r="L52" s="428">
        <f t="shared" si="19"/>
        <v>5949338.3003793219</v>
      </c>
      <c r="M52" s="428">
        <f t="shared" si="19"/>
        <v>6112587.9540168867</v>
      </c>
      <c r="N52" s="428">
        <f t="shared" si="19"/>
        <v>6352452.1209834572</v>
      </c>
      <c r="O52" s="428">
        <f t="shared" si="19"/>
        <v>6487026.6779666543</v>
      </c>
      <c r="P52" s="428">
        <f t="shared" si="19"/>
        <v>6664193.0209238231</v>
      </c>
      <c r="Q52" s="428">
        <f t="shared" si="19"/>
        <v>6841446.5154515617</v>
      </c>
      <c r="R52" s="428">
        <f t="shared" si="19"/>
        <v>7018775.9950561672</v>
      </c>
      <c r="S52" s="428">
        <f t="shared" si="19"/>
        <v>7283143.2084293729</v>
      </c>
      <c r="T52" s="428">
        <f t="shared" si="19"/>
        <v>7460457.084320073</v>
      </c>
      <c r="U52" s="428">
        <f t="shared" si="19"/>
        <v>7637848.0590065215</v>
      </c>
      <c r="V52" s="428">
        <f t="shared" si="19"/>
        <v>7815319.8879323527</v>
      </c>
      <c r="W52" s="428">
        <f t="shared" si="19"/>
        <v>7992874.0057784561</v>
      </c>
      <c r="X52" s="428">
        <f t="shared" si="19"/>
        <v>8257423.2238607742</v>
      </c>
      <c r="Y52" s="428">
        <f t="shared" si="19"/>
        <v>8434902.2657836601</v>
      </c>
      <c r="Z52" s="428">
        <f t="shared" si="19"/>
        <v>8612456.7389194295</v>
      </c>
      <c r="AA52" s="428">
        <f t="shared" si="19"/>
        <v>8790010.8184412383</v>
      </c>
      <c r="AB52" s="428">
        <f t="shared" si="19"/>
        <v>8967721.4025922902</v>
      </c>
      <c r="AC52" s="428">
        <f t="shared" si="19"/>
        <v>9232255.2492355183</v>
      </c>
      <c r="AD52" s="428">
        <f t="shared" si="19"/>
        <v>9409897.0888931341</v>
      </c>
      <c r="AE52" s="428">
        <f t="shared" si="19"/>
        <v>9587656.8140215706</v>
      </c>
      <c r="AF52" s="428">
        <f t="shared" si="19"/>
        <v>9765257.8291793577</v>
      </c>
      <c r="AG52" s="428">
        <f t="shared" si="19"/>
        <v>9942830.211392045</v>
      </c>
      <c r="AH52" s="423"/>
      <c r="AI52" s="423"/>
    </row>
    <row r="53" spans="2:35" x14ac:dyDescent="0.25">
      <c r="F53" s="423"/>
      <c r="G53" s="423"/>
      <c r="H53" s="423"/>
      <c r="I53" s="423"/>
      <c r="J53" s="423"/>
      <c r="K53" s="423"/>
      <c r="L53" s="423"/>
      <c r="M53" s="423"/>
      <c r="N53" s="423"/>
      <c r="O53" s="423"/>
      <c r="P53" s="423"/>
      <c r="Q53" s="423"/>
      <c r="R53" s="423"/>
      <c r="S53" s="423"/>
      <c r="T53" s="423"/>
      <c r="U53" s="423"/>
      <c r="V53" s="423"/>
      <c r="W53" s="423"/>
      <c r="X53" s="423"/>
      <c r="Y53" s="423"/>
      <c r="Z53" s="423"/>
      <c r="AA53" s="423"/>
      <c r="AB53" s="423"/>
      <c r="AC53" s="423"/>
      <c r="AD53" s="423"/>
      <c r="AE53" s="423"/>
      <c r="AF53" s="423"/>
      <c r="AG53" s="423"/>
      <c r="AH53" s="423"/>
      <c r="AI53" s="423"/>
    </row>
    <row r="54" spans="2:35" x14ac:dyDescent="0.25">
      <c r="F54" s="423"/>
      <c r="G54" s="423"/>
      <c r="H54" s="423"/>
      <c r="I54" s="423"/>
      <c r="J54" s="423"/>
      <c r="K54" s="423"/>
      <c r="L54" s="423"/>
      <c r="M54" s="423"/>
      <c r="N54" s="423"/>
      <c r="O54" s="423"/>
      <c r="P54" s="423"/>
      <c r="Q54" s="423"/>
      <c r="R54" s="423"/>
      <c r="S54" s="423"/>
      <c r="T54" s="423"/>
      <c r="U54" s="423"/>
      <c r="V54" s="423"/>
      <c r="W54" s="423"/>
      <c r="X54" s="423"/>
      <c r="Y54" s="423"/>
      <c r="Z54" s="423"/>
      <c r="AA54" s="423"/>
      <c r="AB54" s="423"/>
      <c r="AC54" s="423"/>
      <c r="AD54" s="423"/>
      <c r="AE54" s="423"/>
      <c r="AF54" s="423"/>
      <c r="AG54" s="423"/>
      <c r="AH54" s="423"/>
      <c r="AI54" s="423"/>
    </row>
    <row r="55" spans="2:35" x14ac:dyDescent="0.25">
      <c r="B55" s="434" t="s">
        <v>72</v>
      </c>
      <c r="E55" s="423">
        <v>2017</v>
      </c>
      <c r="F55" s="423">
        <v>2018</v>
      </c>
      <c r="G55" s="423">
        <v>2019</v>
      </c>
      <c r="H55" s="423">
        <v>2020</v>
      </c>
      <c r="I55" s="423">
        <v>2021</v>
      </c>
      <c r="J55" s="423">
        <v>2022</v>
      </c>
      <c r="K55" s="423">
        <v>2023</v>
      </c>
      <c r="L55" s="423">
        <v>2024</v>
      </c>
      <c r="M55" s="423">
        <v>2025</v>
      </c>
      <c r="N55" s="423">
        <v>2026</v>
      </c>
      <c r="O55" s="423">
        <v>2027</v>
      </c>
      <c r="P55" s="423">
        <v>2028</v>
      </c>
      <c r="Q55" s="423">
        <v>2029</v>
      </c>
      <c r="R55" s="423">
        <v>2030</v>
      </c>
      <c r="S55" s="423">
        <v>2031</v>
      </c>
      <c r="T55" s="423">
        <v>2032</v>
      </c>
      <c r="U55" s="423">
        <v>2033</v>
      </c>
      <c r="V55" s="423">
        <v>2034</v>
      </c>
      <c r="W55" s="423">
        <v>2035</v>
      </c>
      <c r="X55" s="423">
        <v>2036</v>
      </c>
      <c r="Y55" s="423">
        <v>2037</v>
      </c>
      <c r="Z55" s="423">
        <v>2038</v>
      </c>
      <c r="AA55" s="423">
        <v>2039</v>
      </c>
      <c r="AB55" s="423">
        <v>2040</v>
      </c>
      <c r="AC55" s="423">
        <v>2041</v>
      </c>
      <c r="AD55" s="423">
        <v>2042</v>
      </c>
      <c r="AE55" s="423">
        <v>2043</v>
      </c>
      <c r="AF55" s="423">
        <v>2044</v>
      </c>
      <c r="AG55" s="423">
        <v>2045</v>
      </c>
      <c r="AH55" s="423"/>
      <c r="AI55" s="423"/>
    </row>
    <row r="56" spans="2:35" x14ac:dyDescent="0.25">
      <c r="B56" s="421" t="s">
        <v>60</v>
      </c>
      <c r="E56" s="428">
        <f>E34</f>
        <v>203327161.84238544</v>
      </c>
      <c r="F56" s="428">
        <f t="shared" ref="F56:AG56" si="20">F34</f>
        <v>225001904.35694605</v>
      </c>
      <c r="G56" s="428">
        <f t="shared" si="20"/>
        <v>233502288.91516536</v>
      </c>
      <c r="H56" s="428">
        <f t="shared" si="20"/>
        <v>240400072.518031</v>
      </c>
      <c r="I56" s="428">
        <f t="shared" si="20"/>
        <v>246660105.73503366</v>
      </c>
      <c r="J56" s="428">
        <f t="shared" si="20"/>
        <v>254334442.64351171</v>
      </c>
      <c r="K56" s="428">
        <f t="shared" si="20"/>
        <v>260589417.64351171</v>
      </c>
      <c r="L56" s="428">
        <f t="shared" si="20"/>
        <v>270330607.64351171</v>
      </c>
      <c r="M56" s="428">
        <f t="shared" si="20"/>
        <v>277909806.64351171</v>
      </c>
      <c r="N56" s="428">
        <f t="shared" si="20"/>
        <v>290006105.64351171</v>
      </c>
      <c r="O56" s="428">
        <f t="shared" si="20"/>
        <v>296254004.64351171</v>
      </c>
      <c r="P56" s="428">
        <f t="shared" si="20"/>
        <v>304672120.7049489</v>
      </c>
      <c r="Q56" s="428">
        <f t="shared" si="20"/>
        <v>313094377.80143684</v>
      </c>
      <c r="R56" s="428">
        <f t="shared" si="20"/>
        <v>321520245.35341716</v>
      </c>
      <c r="S56" s="428">
        <f t="shared" si="20"/>
        <v>334947156.1223563</v>
      </c>
      <c r="T56" s="428">
        <f t="shared" si="20"/>
        <v>343372282.2588259</v>
      </c>
      <c r="U56" s="428">
        <f t="shared" si="20"/>
        <v>351801071.76950073</v>
      </c>
      <c r="V56" s="428">
        <f t="shared" si="20"/>
        <v>360233703.09549892</v>
      </c>
      <c r="W56" s="428">
        <f t="shared" si="20"/>
        <v>368670244.406147</v>
      </c>
      <c r="X56" s="428">
        <f t="shared" si="20"/>
        <v>382105803.18767959</v>
      </c>
      <c r="Y56" s="428">
        <f t="shared" si="20"/>
        <v>390538777.24156481</v>
      </c>
      <c r="Z56" s="428">
        <f t="shared" si="20"/>
        <v>398975335.43391621</v>
      </c>
      <c r="AA56" s="428">
        <f t="shared" si="20"/>
        <v>407411874.92357308</v>
      </c>
      <c r="AB56" s="428">
        <f t="shared" si="20"/>
        <v>415855850.78128445</v>
      </c>
      <c r="AC56" s="428">
        <f t="shared" si="20"/>
        <v>429290679.18391931</v>
      </c>
      <c r="AD56" s="428">
        <f t="shared" si="20"/>
        <v>437731388.6248008</v>
      </c>
      <c r="AE56" s="428">
        <f t="shared" si="20"/>
        <v>446177699.4319393</v>
      </c>
      <c r="AF56" s="428">
        <f t="shared" si="20"/>
        <v>454616469.08351338</v>
      </c>
      <c r="AG56" s="428">
        <f t="shared" si="20"/>
        <v>463053878.23144436</v>
      </c>
      <c r="AH56" s="423"/>
      <c r="AI56" s="423"/>
    </row>
    <row r="57" spans="2:35" x14ac:dyDescent="0.25">
      <c r="B57" s="421" t="s">
        <v>73</v>
      </c>
      <c r="E57" s="428">
        <v>-50096445.207944803</v>
      </c>
      <c r="F57" s="428">
        <f>E57-F52</f>
        <v>-54969822.435798422</v>
      </c>
      <c r="G57" s="428">
        <f t="shared" ref="G57:AG57" si="21">F57-G52</f>
        <v>-60041790.886620574</v>
      </c>
      <c r="H57" s="428">
        <f t="shared" si="21"/>
        <v>-65316753.86583592</v>
      </c>
      <c r="I57" s="428">
        <f t="shared" si="21"/>
        <v>-70743878.543122768</v>
      </c>
      <c r="J57" s="428">
        <f t="shared" si="21"/>
        <v>-76348672.730624288</v>
      </c>
      <c r="K57" s="428">
        <f t="shared" si="21"/>
        <v>-82088193.88627398</v>
      </c>
      <c r="L57" s="428">
        <f t="shared" si="21"/>
        <v>-88037532.186653301</v>
      </c>
      <c r="M57" s="428">
        <f t="shared" si="21"/>
        <v>-94150120.14067018</v>
      </c>
      <c r="N57" s="428">
        <f t="shared" si="21"/>
        <v>-100502572.26165363</v>
      </c>
      <c r="O57" s="428">
        <f t="shared" si="21"/>
        <v>-106989598.93962029</v>
      </c>
      <c r="P57" s="428">
        <f t="shared" si="21"/>
        <v>-113653791.96054411</v>
      </c>
      <c r="Q57" s="428">
        <f t="shared" si="21"/>
        <v>-120495238.47599567</v>
      </c>
      <c r="R57" s="428">
        <f t="shared" si="21"/>
        <v>-127514014.47105184</v>
      </c>
      <c r="S57" s="428">
        <f t="shared" si="21"/>
        <v>-134797157.67948121</v>
      </c>
      <c r="T57" s="428">
        <f t="shared" si="21"/>
        <v>-142257614.76380128</v>
      </c>
      <c r="U57" s="428">
        <f t="shared" si="21"/>
        <v>-149895462.82280779</v>
      </c>
      <c r="V57" s="428">
        <f t="shared" si="21"/>
        <v>-157710782.71074015</v>
      </c>
      <c r="W57" s="428">
        <f t="shared" si="21"/>
        <v>-165703656.71651861</v>
      </c>
      <c r="X57" s="428">
        <f t="shared" si="21"/>
        <v>-173961079.94037938</v>
      </c>
      <c r="Y57" s="428">
        <f t="shared" si="21"/>
        <v>-182395982.20616305</v>
      </c>
      <c r="Z57" s="428">
        <f t="shared" si="21"/>
        <v>-191008438.94508249</v>
      </c>
      <c r="AA57" s="428">
        <f t="shared" si="21"/>
        <v>-199798449.76352373</v>
      </c>
      <c r="AB57" s="428">
        <f t="shared" si="21"/>
        <v>-208766171.16611603</v>
      </c>
      <c r="AC57" s="428">
        <f t="shared" si="21"/>
        <v>-217998426.41535154</v>
      </c>
      <c r="AD57" s="428">
        <f t="shared" si="21"/>
        <v>-227408323.50424469</v>
      </c>
      <c r="AE57" s="428">
        <f t="shared" si="21"/>
        <v>-236995980.31826624</v>
      </c>
      <c r="AF57" s="428">
        <f t="shared" si="21"/>
        <v>-246761238.14744559</v>
      </c>
      <c r="AG57" s="428">
        <f t="shared" si="21"/>
        <v>-256704068.35883763</v>
      </c>
      <c r="AH57" s="423"/>
      <c r="AI57" s="423"/>
    </row>
    <row r="58" spans="2:35" x14ac:dyDescent="0.25">
      <c r="B58" s="421" t="s">
        <v>74</v>
      </c>
      <c r="E58" s="428">
        <v>-50952466.505856939</v>
      </c>
      <c r="F58" s="428">
        <v>-50952466.505856939</v>
      </c>
      <c r="G58" s="428">
        <v>-50952466.505856939</v>
      </c>
      <c r="H58" s="428">
        <v>-50952466.505856939</v>
      </c>
      <c r="I58" s="428">
        <v>-50952466.505856939</v>
      </c>
      <c r="J58" s="428">
        <v>-50952466.505856939</v>
      </c>
      <c r="K58" s="428">
        <v>-50952466.505856939</v>
      </c>
      <c r="L58" s="428">
        <v>-50952466.505856939</v>
      </c>
      <c r="M58" s="428">
        <v>-50952466.505856939</v>
      </c>
      <c r="N58" s="428">
        <v>-50952466.505856939</v>
      </c>
      <c r="O58" s="428">
        <v>-50952466.505856939</v>
      </c>
      <c r="P58" s="428">
        <v>-50952466.505856939</v>
      </c>
      <c r="Q58" s="428">
        <v>-50952466.505856939</v>
      </c>
      <c r="R58" s="428">
        <v>-50952466.505856939</v>
      </c>
      <c r="S58" s="428">
        <v>-50952466.505856939</v>
      </c>
      <c r="T58" s="428">
        <v>-50952466.505856939</v>
      </c>
      <c r="U58" s="428">
        <v>-50952466.505856939</v>
      </c>
      <c r="V58" s="428">
        <v>-50952466.505856939</v>
      </c>
      <c r="W58" s="428">
        <v>-50952466.505856939</v>
      </c>
      <c r="X58" s="428">
        <v>-50952466.505856939</v>
      </c>
      <c r="Y58" s="428">
        <v>-50952466.505856939</v>
      </c>
      <c r="Z58" s="428">
        <v>-50952466.505856939</v>
      </c>
      <c r="AA58" s="428">
        <v>-50952466.505856939</v>
      </c>
      <c r="AB58" s="428">
        <v>-50952466.505856939</v>
      </c>
      <c r="AC58" s="428">
        <v>-50952466.505856939</v>
      </c>
      <c r="AD58" s="428">
        <v>-50952466.505856939</v>
      </c>
      <c r="AE58" s="428">
        <v>-50952466.505856939</v>
      </c>
      <c r="AF58" s="428">
        <v>-50952466.505856939</v>
      </c>
      <c r="AG58" s="428">
        <v>-50952466.505856939</v>
      </c>
      <c r="AH58" s="423"/>
      <c r="AI58" s="423"/>
    </row>
    <row r="59" spans="2:35" x14ac:dyDescent="0.25">
      <c r="B59" s="421" t="s">
        <v>75</v>
      </c>
      <c r="E59" s="428"/>
      <c r="F59" s="428"/>
      <c r="G59" s="428"/>
      <c r="H59" s="428"/>
      <c r="I59" s="428"/>
      <c r="J59" s="428"/>
      <c r="K59" s="428"/>
      <c r="L59" s="428"/>
      <c r="M59" s="428"/>
      <c r="N59" s="428"/>
      <c r="O59" s="428"/>
      <c r="P59" s="428"/>
      <c r="Q59" s="428"/>
      <c r="R59" s="428"/>
      <c r="S59" s="428"/>
      <c r="T59" s="428"/>
      <c r="U59" s="428"/>
      <c r="V59" s="428"/>
      <c r="W59" s="428"/>
      <c r="X59" s="428"/>
      <c r="Y59" s="428"/>
      <c r="Z59" s="428"/>
      <c r="AA59" s="428"/>
      <c r="AB59" s="428"/>
      <c r="AC59" s="428"/>
      <c r="AD59" s="428"/>
      <c r="AE59" s="428"/>
      <c r="AF59" s="428"/>
      <c r="AG59" s="428"/>
      <c r="AH59" s="423"/>
      <c r="AI59" s="423"/>
    </row>
    <row r="60" spans="2:35" x14ac:dyDescent="0.25">
      <c r="B60" s="421" t="s">
        <v>76</v>
      </c>
      <c r="E60" s="428">
        <f>E56+E57+E58+E59</f>
        <v>102278250.1285837</v>
      </c>
      <c r="F60" s="428">
        <f t="shared" ref="F60:AG60" si="22">F56+F57+F58+F59</f>
        <v>119079615.41529071</v>
      </c>
      <c r="G60" s="428">
        <f t="shared" si="22"/>
        <v>122508031.52268785</v>
      </c>
      <c r="H60" s="428">
        <f t="shared" si="22"/>
        <v>124130852.14633816</v>
      </c>
      <c r="I60" s="428">
        <f t="shared" si="22"/>
        <v>124963760.68605396</v>
      </c>
      <c r="J60" s="428">
        <f t="shared" si="22"/>
        <v>127033303.40703049</v>
      </c>
      <c r="K60" s="428">
        <f t="shared" si="22"/>
        <v>127548757.2513808</v>
      </c>
      <c r="L60" s="428">
        <f t="shared" si="22"/>
        <v>131340608.95100147</v>
      </c>
      <c r="M60" s="428">
        <f t="shared" si="22"/>
        <v>132807219.9969846</v>
      </c>
      <c r="N60" s="428">
        <f t="shared" si="22"/>
        <v>138551066.87600115</v>
      </c>
      <c r="O60" s="428">
        <f t="shared" si="22"/>
        <v>138311939.1980345</v>
      </c>
      <c r="P60" s="428">
        <f t="shared" si="22"/>
        <v>140065862.23854786</v>
      </c>
      <c r="Q60" s="428">
        <f t="shared" si="22"/>
        <v>141646672.81958425</v>
      </c>
      <c r="R60" s="428">
        <f t="shared" si="22"/>
        <v>143053764.37650838</v>
      </c>
      <c r="S60" s="428">
        <f t="shared" si="22"/>
        <v>149197531.93701816</v>
      </c>
      <c r="T60" s="428">
        <f t="shared" si="22"/>
        <v>150162200.98916769</v>
      </c>
      <c r="U60" s="428">
        <f t="shared" si="22"/>
        <v>150953142.44083601</v>
      </c>
      <c r="V60" s="428">
        <f t="shared" si="22"/>
        <v>151570453.87890184</v>
      </c>
      <c r="W60" s="428">
        <f t="shared" si="22"/>
        <v>152014121.18377146</v>
      </c>
      <c r="X60" s="428">
        <f t="shared" si="22"/>
        <v>157192256.74144328</v>
      </c>
      <c r="Y60" s="428">
        <f t="shared" si="22"/>
        <v>157190328.52954483</v>
      </c>
      <c r="Z60" s="428">
        <f t="shared" si="22"/>
        <v>157014429.98297679</v>
      </c>
      <c r="AA60" s="428">
        <f t="shared" si="22"/>
        <v>156660958.65419242</v>
      </c>
      <c r="AB60" s="428">
        <f t="shared" si="22"/>
        <v>156137213.10931149</v>
      </c>
      <c r="AC60" s="428">
        <f t="shared" si="22"/>
        <v>160339786.26271084</v>
      </c>
      <c r="AD60" s="428">
        <f t="shared" si="22"/>
        <v>159370598.61469918</v>
      </c>
      <c r="AE60" s="428">
        <f t="shared" si="22"/>
        <v>158229252.60781613</v>
      </c>
      <c r="AF60" s="428">
        <f t="shared" si="22"/>
        <v>156902764.43021086</v>
      </c>
      <c r="AG60" s="428">
        <f t="shared" si="22"/>
        <v>155397343.36674979</v>
      </c>
      <c r="AH60" s="423"/>
      <c r="AI60" s="423"/>
    </row>
    <row r="61" spans="2:35" x14ac:dyDescent="0.25">
      <c r="B61" s="421" t="s">
        <v>77</v>
      </c>
      <c r="E61" s="435">
        <v>7.0999999999999994E-2</v>
      </c>
      <c r="F61" s="435">
        <v>7.0999999999999994E-2</v>
      </c>
      <c r="G61" s="435">
        <v>7.0999999999999994E-2</v>
      </c>
      <c r="H61" s="435">
        <v>7.0999999999999994E-2</v>
      </c>
      <c r="I61" s="435">
        <v>7.0999999999999994E-2</v>
      </c>
      <c r="J61" s="435">
        <v>7.0999999999999994E-2</v>
      </c>
      <c r="K61" s="435">
        <v>7.0999999999999994E-2</v>
      </c>
      <c r="L61" s="435">
        <v>7.0999999999999994E-2</v>
      </c>
      <c r="M61" s="435">
        <v>7.0999999999999994E-2</v>
      </c>
      <c r="N61" s="435">
        <v>7.0999999999999994E-2</v>
      </c>
      <c r="O61" s="435">
        <v>7.0999999999999994E-2</v>
      </c>
      <c r="P61" s="435">
        <v>7.0999999999999994E-2</v>
      </c>
      <c r="Q61" s="435">
        <v>7.0999999999999994E-2</v>
      </c>
      <c r="R61" s="435">
        <v>7.0999999999999994E-2</v>
      </c>
      <c r="S61" s="435">
        <v>7.0999999999999994E-2</v>
      </c>
      <c r="T61" s="435">
        <v>7.0999999999999994E-2</v>
      </c>
      <c r="U61" s="435">
        <v>7.0999999999999994E-2</v>
      </c>
      <c r="V61" s="435">
        <v>7.0999999999999994E-2</v>
      </c>
      <c r="W61" s="435">
        <v>7.0999999999999994E-2</v>
      </c>
      <c r="X61" s="435">
        <v>7.0999999999999994E-2</v>
      </c>
      <c r="Y61" s="435">
        <v>7.0999999999999994E-2</v>
      </c>
      <c r="Z61" s="435">
        <v>7.0999999999999994E-2</v>
      </c>
      <c r="AA61" s="435">
        <v>7.0999999999999994E-2</v>
      </c>
      <c r="AB61" s="435">
        <v>7.0999999999999994E-2</v>
      </c>
      <c r="AC61" s="435">
        <v>7.0999999999999994E-2</v>
      </c>
      <c r="AD61" s="435">
        <v>7.0999999999999994E-2</v>
      </c>
      <c r="AE61" s="435">
        <v>7.0999999999999994E-2</v>
      </c>
      <c r="AF61" s="435">
        <v>7.0999999999999994E-2</v>
      </c>
      <c r="AG61" s="435">
        <v>7.0999999999999994E-2</v>
      </c>
      <c r="AH61" s="423"/>
      <c r="AI61" s="423"/>
    </row>
    <row r="62" spans="2:35" x14ac:dyDescent="0.25">
      <c r="B62" s="421" t="s">
        <v>78</v>
      </c>
      <c r="E62" s="428">
        <f>E60*E61</f>
        <v>7261755.7591294423</v>
      </c>
      <c r="F62" s="428">
        <f t="shared" ref="F62:AG62" si="23">F60*F61</f>
        <v>8454652.6944856402</v>
      </c>
      <c r="G62" s="428">
        <f t="shared" si="23"/>
        <v>8698070.2381108366</v>
      </c>
      <c r="H62" s="428">
        <f t="shared" si="23"/>
        <v>8813290.5023900084</v>
      </c>
      <c r="I62" s="428">
        <f t="shared" si="23"/>
        <v>8872427.0087098312</v>
      </c>
      <c r="J62" s="428">
        <f t="shared" si="23"/>
        <v>9019364.5418991633</v>
      </c>
      <c r="K62" s="428">
        <f t="shared" si="23"/>
        <v>9055961.7648480367</v>
      </c>
      <c r="L62" s="428">
        <f t="shared" si="23"/>
        <v>9325183.2355211023</v>
      </c>
      <c r="M62" s="428">
        <f t="shared" si="23"/>
        <v>9429312.6197859067</v>
      </c>
      <c r="N62" s="428">
        <f t="shared" si="23"/>
        <v>9837125.7481960803</v>
      </c>
      <c r="O62" s="428">
        <f t="shared" si="23"/>
        <v>9820147.6830604486</v>
      </c>
      <c r="P62" s="428">
        <f t="shared" si="23"/>
        <v>9944676.2189368978</v>
      </c>
      <c r="Q62" s="428">
        <f t="shared" si="23"/>
        <v>10056913.770190481</v>
      </c>
      <c r="R62" s="428">
        <f t="shared" si="23"/>
        <v>10156817.270732094</v>
      </c>
      <c r="S62" s="428">
        <f t="shared" si="23"/>
        <v>10593024.767528288</v>
      </c>
      <c r="T62" s="428">
        <f t="shared" si="23"/>
        <v>10661516.270230904</v>
      </c>
      <c r="U62" s="428">
        <f t="shared" si="23"/>
        <v>10717673.113299357</v>
      </c>
      <c r="V62" s="428">
        <f t="shared" si="23"/>
        <v>10761502.225402029</v>
      </c>
      <c r="W62" s="428">
        <f t="shared" si="23"/>
        <v>10793002.604047773</v>
      </c>
      <c r="X62" s="428">
        <f t="shared" si="23"/>
        <v>11160650.228642471</v>
      </c>
      <c r="Y62" s="428">
        <f t="shared" si="23"/>
        <v>11160513.325597681</v>
      </c>
      <c r="Z62" s="428">
        <f t="shared" si="23"/>
        <v>11148024.528791351</v>
      </c>
      <c r="AA62" s="428">
        <f t="shared" si="23"/>
        <v>11122928.06444766</v>
      </c>
      <c r="AB62" s="428">
        <f t="shared" si="23"/>
        <v>11085742.130761115</v>
      </c>
      <c r="AC62" s="428">
        <f t="shared" si="23"/>
        <v>11384124.824652469</v>
      </c>
      <c r="AD62" s="428">
        <f t="shared" si="23"/>
        <v>11315312.501643641</v>
      </c>
      <c r="AE62" s="428">
        <f t="shared" si="23"/>
        <v>11234276.935154945</v>
      </c>
      <c r="AF62" s="428">
        <f t="shared" si="23"/>
        <v>11140096.274544969</v>
      </c>
      <c r="AG62" s="428">
        <f t="shared" si="23"/>
        <v>11033211.379039234</v>
      </c>
      <c r="AH62" s="423"/>
      <c r="AI62" s="423"/>
    </row>
    <row r="63" spans="2:35" ht="19.5" customHeight="1" x14ac:dyDescent="0.25">
      <c r="F63" s="423"/>
      <c r="G63" s="423"/>
      <c r="H63" s="423"/>
      <c r="I63" s="423"/>
      <c r="J63" s="423"/>
      <c r="K63" s="423"/>
      <c r="L63" s="423"/>
      <c r="M63" s="423"/>
      <c r="N63" s="423"/>
      <c r="O63" s="423"/>
      <c r="P63" s="423"/>
      <c r="Q63" s="423"/>
      <c r="R63" s="423"/>
      <c r="S63" s="423"/>
      <c r="T63" s="423"/>
      <c r="U63" s="423"/>
      <c r="V63" s="423"/>
      <c r="W63" s="423"/>
      <c r="X63" s="423"/>
      <c r="Y63" s="423"/>
      <c r="Z63" s="423"/>
      <c r="AA63" s="423"/>
      <c r="AB63" s="423"/>
      <c r="AC63" s="423"/>
      <c r="AD63" s="423"/>
      <c r="AE63" s="423"/>
      <c r="AF63" s="423"/>
      <c r="AG63" s="423"/>
      <c r="AH63" s="423"/>
      <c r="AI63" s="423"/>
    </row>
    <row r="64" spans="2:35" x14ac:dyDescent="0.25">
      <c r="E64" s="423"/>
      <c r="F64" s="423"/>
      <c r="G64" s="423"/>
      <c r="H64" s="423"/>
      <c r="I64" s="423"/>
      <c r="J64" s="423"/>
      <c r="K64" s="423"/>
      <c r="L64" s="423"/>
      <c r="M64" s="423"/>
      <c r="N64" s="423"/>
      <c r="O64" s="423"/>
      <c r="P64" s="423"/>
      <c r="Q64" s="423"/>
      <c r="R64" s="423"/>
      <c r="S64" s="423"/>
      <c r="T64" s="423"/>
      <c r="U64" s="423"/>
      <c r="V64" s="423"/>
      <c r="W64" s="423"/>
      <c r="X64" s="423"/>
      <c r="Y64" s="423"/>
      <c r="Z64" s="423"/>
      <c r="AA64" s="423"/>
      <c r="AB64" s="423"/>
      <c r="AC64" s="423"/>
      <c r="AD64" s="423"/>
      <c r="AE64" s="423"/>
      <c r="AF64" s="423"/>
      <c r="AG64" s="423"/>
      <c r="AH64" s="423"/>
      <c r="AI64" s="423"/>
    </row>
    <row r="65" spans="1:35" hidden="1" x14ac:dyDescent="0.25">
      <c r="A65" s="449"/>
      <c r="B65" s="539" t="s">
        <v>79</v>
      </c>
      <c r="C65" s="449"/>
      <c r="D65" s="449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23"/>
      <c r="AI65" s="423"/>
    </row>
    <row r="66" spans="1:35" hidden="1" x14ac:dyDescent="0.25">
      <c r="A66" s="449"/>
      <c r="B66" s="449" t="s">
        <v>80</v>
      </c>
      <c r="C66" s="450" t="s">
        <v>81</v>
      </c>
      <c r="D66" s="449"/>
      <c r="E66" s="450">
        <v>2017</v>
      </c>
      <c r="F66" s="450">
        <v>2018</v>
      </c>
      <c r="G66" s="450">
        <v>2019</v>
      </c>
      <c r="H66" s="450">
        <v>2020</v>
      </c>
      <c r="I66" s="450">
        <v>2021</v>
      </c>
      <c r="J66" s="450">
        <v>2022</v>
      </c>
      <c r="K66" s="450">
        <v>2023</v>
      </c>
      <c r="L66" s="450">
        <v>2024</v>
      </c>
      <c r="M66" s="450">
        <v>2025</v>
      </c>
      <c r="N66" s="450">
        <v>2026</v>
      </c>
      <c r="O66" s="450">
        <v>2027</v>
      </c>
      <c r="P66" s="450">
        <v>2028</v>
      </c>
      <c r="Q66" s="450">
        <v>2029</v>
      </c>
      <c r="R66" s="450">
        <v>2030</v>
      </c>
      <c r="S66" s="450">
        <v>2031</v>
      </c>
      <c r="T66" s="450">
        <v>2032</v>
      </c>
      <c r="U66" s="450">
        <v>2033</v>
      </c>
      <c r="V66" s="450">
        <v>2034</v>
      </c>
      <c r="W66" s="450">
        <v>2035</v>
      </c>
      <c r="X66" s="450">
        <v>2036</v>
      </c>
      <c r="Y66" s="450">
        <v>2037</v>
      </c>
      <c r="Z66" s="450">
        <v>2038</v>
      </c>
      <c r="AA66" s="450">
        <v>2039</v>
      </c>
      <c r="AB66" s="450">
        <v>2040</v>
      </c>
      <c r="AC66" s="450">
        <v>2041</v>
      </c>
      <c r="AD66" s="450">
        <v>2042</v>
      </c>
      <c r="AE66" s="450">
        <v>2043</v>
      </c>
      <c r="AF66" s="450">
        <v>2044</v>
      </c>
      <c r="AG66" s="450">
        <v>2045</v>
      </c>
      <c r="AH66" s="423"/>
      <c r="AI66" s="423"/>
    </row>
    <row r="67" spans="1:35" hidden="1" x14ac:dyDescent="0.25">
      <c r="A67" s="451">
        <v>1</v>
      </c>
      <c r="B67" s="449" t="s">
        <v>82</v>
      </c>
      <c r="C67" s="540">
        <v>1</v>
      </c>
      <c r="D67" s="449"/>
      <c r="E67" s="541">
        <f t="shared" ref="E67:E77" si="24">$C67*E$4</f>
        <v>294544.59064937802</v>
      </c>
      <c r="F67" s="541">
        <f t="shared" ref="F67:AG75" si="25">$C67*F$4</f>
        <v>304500.44525393506</v>
      </c>
      <c r="G67" s="541">
        <f t="shared" si="25"/>
        <v>301013.3955904725</v>
      </c>
      <c r="H67" s="541">
        <f t="shared" si="25"/>
        <v>220014.69097675796</v>
      </c>
      <c r="I67" s="541">
        <f t="shared" si="25"/>
        <v>251610.59547889177</v>
      </c>
      <c r="J67" s="541">
        <f t="shared" si="25"/>
        <v>264156.45608821482</v>
      </c>
      <c r="K67" s="541">
        <f t="shared" si="25"/>
        <v>267067.90797491145</v>
      </c>
      <c r="L67" s="541">
        <f t="shared" si="25"/>
        <v>267482.68042463245</v>
      </c>
      <c r="M67" s="541">
        <f t="shared" si="25"/>
        <v>268765.50299342902</v>
      </c>
      <c r="N67" s="541">
        <f t="shared" si="25"/>
        <v>269974.75238385663</v>
      </c>
      <c r="O67" s="541">
        <f t="shared" si="25"/>
        <v>271076.16239228356</v>
      </c>
      <c r="P67" s="541">
        <f t="shared" si="25"/>
        <v>272315.95745169366</v>
      </c>
      <c r="Q67" s="541">
        <f t="shared" si="25"/>
        <v>273678.69322903221</v>
      </c>
      <c r="R67" s="541">
        <f t="shared" si="25"/>
        <v>275082.30252989248</v>
      </c>
      <c r="S67" s="541">
        <f t="shared" si="25"/>
        <v>276434.55539025291</v>
      </c>
      <c r="T67" s="541">
        <f t="shared" si="25"/>
        <v>277914.24453115935</v>
      </c>
      <c r="U67" s="541">
        <f t="shared" si="25"/>
        <v>279529.20457215077</v>
      </c>
      <c r="V67" s="541">
        <f t="shared" si="25"/>
        <v>281283.91249717103</v>
      </c>
      <c r="W67" s="541">
        <f t="shared" si="25"/>
        <v>283016.6710913328</v>
      </c>
      <c r="X67" s="541">
        <f t="shared" si="25"/>
        <v>284672.85084350052</v>
      </c>
      <c r="Y67" s="541">
        <f t="shared" si="25"/>
        <v>286460.42054587376</v>
      </c>
      <c r="Z67" s="541">
        <f t="shared" si="25"/>
        <v>288258.57605083915</v>
      </c>
      <c r="AA67" s="541">
        <f t="shared" si="25"/>
        <v>290323.69862923987</v>
      </c>
      <c r="AB67" s="541">
        <f t="shared" si="25"/>
        <v>292086.85185640916</v>
      </c>
      <c r="AC67" s="541">
        <f t="shared" si="25"/>
        <v>294065.60211933468</v>
      </c>
      <c r="AD67" s="541">
        <f t="shared" si="25"/>
        <v>296254.22531707596</v>
      </c>
      <c r="AE67" s="541">
        <f t="shared" si="25"/>
        <v>298192.66310038534</v>
      </c>
      <c r="AF67" s="541">
        <f t="shared" si="25"/>
        <v>300095.39501976344</v>
      </c>
      <c r="AG67" s="541">
        <f t="shared" si="25"/>
        <v>302442.21658500895</v>
      </c>
      <c r="AH67" s="423"/>
      <c r="AI67" s="423"/>
    </row>
    <row r="68" spans="1:35" hidden="1" x14ac:dyDescent="0.25">
      <c r="A68" s="451">
        <v>2</v>
      </c>
      <c r="B68" s="449" t="s">
        <v>83</v>
      </c>
      <c r="C68" s="540">
        <v>0</v>
      </c>
      <c r="D68" s="449"/>
      <c r="E68" s="541">
        <f t="shared" si="24"/>
        <v>0</v>
      </c>
      <c r="F68" s="541">
        <f t="shared" ref="F68:T68" si="26">$C68*F$4</f>
        <v>0</v>
      </c>
      <c r="G68" s="541">
        <f t="shared" si="26"/>
        <v>0</v>
      </c>
      <c r="H68" s="541">
        <f t="shared" si="26"/>
        <v>0</v>
      </c>
      <c r="I68" s="541">
        <f t="shared" si="26"/>
        <v>0</v>
      </c>
      <c r="J68" s="541">
        <f t="shared" si="26"/>
        <v>0</v>
      </c>
      <c r="K68" s="541">
        <f t="shared" si="26"/>
        <v>0</v>
      </c>
      <c r="L68" s="541">
        <f t="shared" si="26"/>
        <v>0</v>
      </c>
      <c r="M68" s="541">
        <f t="shared" si="26"/>
        <v>0</v>
      </c>
      <c r="N68" s="541">
        <f t="shared" si="26"/>
        <v>0</v>
      </c>
      <c r="O68" s="541">
        <f t="shared" si="26"/>
        <v>0</v>
      </c>
      <c r="P68" s="541">
        <f t="shared" si="26"/>
        <v>0</v>
      </c>
      <c r="Q68" s="541">
        <f t="shared" si="26"/>
        <v>0</v>
      </c>
      <c r="R68" s="541">
        <f t="shared" si="26"/>
        <v>0</v>
      </c>
      <c r="S68" s="541">
        <f t="shared" si="26"/>
        <v>0</v>
      </c>
      <c r="T68" s="541">
        <f t="shared" si="26"/>
        <v>0</v>
      </c>
      <c r="U68" s="541">
        <f t="shared" si="25"/>
        <v>0</v>
      </c>
      <c r="V68" s="541">
        <f t="shared" si="25"/>
        <v>0</v>
      </c>
      <c r="W68" s="541">
        <f t="shared" si="25"/>
        <v>0</v>
      </c>
      <c r="X68" s="541">
        <f t="shared" si="25"/>
        <v>0</v>
      </c>
      <c r="Y68" s="541">
        <f t="shared" si="25"/>
        <v>0</v>
      </c>
      <c r="Z68" s="541">
        <f t="shared" si="25"/>
        <v>0</v>
      </c>
      <c r="AA68" s="541">
        <f t="shared" si="25"/>
        <v>0</v>
      </c>
      <c r="AB68" s="541">
        <f t="shared" si="25"/>
        <v>0</v>
      </c>
      <c r="AC68" s="541">
        <f t="shared" si="25"/>
        <v>0</v>
      </c>
      <c r="AD68" s="541">
        <f t="shared" si="25"/>
        <v>0</v>
      </c>
      <c r="AE68" s="541">
        <f t="shared" si="25"/>
        <v>0</v>
      </c>
      <c r="AF68" s="541">
        <f t="shared" si="25"/>
        <v>0</v>
      </c>
      <c r="AG68" s="541">
        <f t="shared" si="25"/>
        <v>0</v>
      </c>
      <c r="AH68" s="423"/>
      <c r="AI68" s="423"/>
    </row>
    <row r="69" spans="1:35" hidden="1" x14ac:dyDescent="0.25">
      <c r="A69" s="451">
        <v>3</v>
      </c>
      <c r="B69" s="449" t="s">
        <v>84</v>
      </c>
      <c r="C69" s="540">
        <v>0</v>
      </c>
      <c r="D69" s="449"/>
      <c r="E69" s="541">
        <f t="shared" si="24"/>
        <v>0</v>
      </c>
      <c r="F69" s="541">
        <f t="shared" si="25"/>
        <v>0</v>
      </c>
      <c r="G69" s="541">
        <f t="shared" si="25"/>
        <v>0</v>
      </c>
      <c r="H69" s="541">
        <f t="shared" si="25"/>
        <v>0</v>
      </c>
      <c r="I69" s="541">
        <f t="shared" si="25"/>
        <v>0</v>
      </c>
      <c r="J69" s="541">
        <f t="shared" si="25"/>
        <v>0</v>
      </c>
      <c r="K69" s="541">
        <f t="shared" si="25"/>
        <v>0</v>
      </c>
      <c r="L69" s="541">
        <f t="shared" si="25"/>
        <v>0</v>
      </c>
      <c r="M69" s="541">
        <f t="shared" si="25"/>
        <v>0</v>
      </c>
      <c r="N69" s="541">
        <f t="shared" si="25"/>
        <v>0</v>
      </c>
      <c r="O69" s="541">
        <f t="shared" si="25"/>
        <v>0</v>
      </c>
      <c r="P69" s="541">
        <f t="shared" si="25"/>
        <v>0</v>
      </c>
      <c r="Q69" s="541">
        <f t="shared" si="25"/>
        <v>0</v>
      </c>
      <c r="R69" s="541">
        <f t="shared" si="25"/>
        <v>0</v>
      </c>
      <c r="S69" s="541">
        <f t="shared" si="25"/>
        <v>0</v>
      </c>
      <c r="T69" s="541">
        <f t="shared" si="25"/>
        <v>0</v>
      </c>
      <c r="U69" s="541">
        <f t="shared" si="25"/>
        <v>0</v>
      </c>
      <c r="V69" s="541">
        <f t="shared" si="25"/>
        <v>0</v>
      </c>
      <c r="W69" s="541">
        <f t="shared" si="25"/>
        <v>0</v>
      </c>
      <c r="X69" s="541">
        <f t="shared" si="25"/>
        <v>0</v>
      </c>
      <c r="Y69" s="541">
        <f t="shared" si="25"/>
        <v>0</v>
      </c>
      <c r="Z69" s="541">
        <f t="shared" si="25"/>
        <v>0</v>
      </c>
      <c r="AA69" s="541">
        <f t="shared" si="25"/>
        <v>0</v>
      </c>
      <c r="AB69" s="541">
        <f t="shared" si="25"/>
        <v>0</v>
      </c>
      <c r="AC69" s="541">
        <f t="shared" si="25"/>
        <v>0</v>
      </c>
      <c r="AD69" s="541">
        <f t="shared" si="25"/>
        <v>0</v>
      </c>
      <c r="AE69" s="541">
        <f t="shared" si="25"/>
        <v>0</v>
      </c>
      <c r="AF69" s="541">
        <f t="shared" si="25"/>
        <v>0</v>
      </c>
      <c r="AG69" s="541">
        <f t="shared" si="25"/>
        <v>0</v>
      </c>
      <c r="AH69" s="423"/>
      <c r="AI69" s="423"/>
    </row>
    <row r="70" spans="1:35" hidden="1" x14ac:dyDescent="0.25">
      <c r="A70" s="451">
        <v>4</v>
      </c>
      <c r="B70" s="449" t="s">
        <v>85</v>
      </c>
      <c r="C70" s="540">
        <v>0</v>
      </c>
      <c r="D70" s="449"/>
      <c r="E70" s="541">
        <f t="shared" si="24"/>
        <v>0</v>
      </c>
      <c r="F70" s="541">
        <f t="shared" si="25"/>
        <v>0</v>
      </c>
      <c r="G70" s="541">
        <f t="shared" si="25"/>
        <v>0</v>
      </c>
      <c r="H70" s="541">
        <f t="shared" si="25"/>
        <v>0</v>
      </c>
      <c r="I70" s="541">
        <f t="shared" si="25"/>
        <v>0</v>
      </c>
      <c r="J70" s="541">
        <f t="shared" si="25"/>
        <v>0</v>
      </c>
      <c r="K70" s="541">
        <f t="shared" si="25"/>
        <v>0</v>
      </c>
      <c r="L70" s="541">
        <f t="shared" si="25"/>
        <v>0</v>
      </c>
      <c r="M70" s="541">
        <f t="shared" si="25"/>
        <v>0</v>
      </c>
      <c r="N70" s="541">
        <f t="shared" si="25"/>
        <v>0</v>
      </c>
      <c r="O70" s="541">
        <f t="shared" si="25"/>
        <v>0</v>
      </c>
      <c r="P70" s="541">
        <f t="shared" si="25"/>
        <v>0</v>
      </c>
      <c r="Q70" s="541">
        <f t="shared" si="25"/>
        <v>0</v>
      </c>
      <c r="R70" s="541">
        <f t="shared" si="25"/>
        <v>0</v>
      </c>
      <c r="S70" s="541">
        <f t="shared" si="25"/>
        <v>0</v>
      </c>
      <c r="T70" s="541">
        <f t="shared" si="25"/>
        <v>0</v>
      </c>
      <c r="U70" s="541">
        <f t="shared" si="25"/>
        <v>0</v>
      </c>
      <c r="V70" s="541">
        <f t="shared" si="25"/>
        <v>0</v>
      </c>
      <c r="W70" s="541">
        <f t="shared" si="25"/>
        <v>0</v>
      </c>
      <c r="X70" s="541">
        <f t="shared" si="25"/>
        <v>0</v>
      </c>
      <c r="Y70" s="541">
        <f t="shared" si="25"/>
        <v>0</v>
      </c>
      <c r="Z70" s="541">
        <f t="shared" si="25"/>
        <v>0</v>
      </c>
      <c r="AA70" s="541">
        <f t="shared" si="25"/>
        <v>0</v>
      </c>
      <c r="AB70" s="541">
        <f t="shared" si="25"/>
        <v>0</v>
      </c>
      <c r="AC70" s="541">
        <f t="shared" si="25"/>
        <v>0</v>
      </c>
      <c r="AD70" s="541">
        <f t="shared" si="25"/>
        <v>0</v>
      </c>
      <c r="AE70" s="541">
        <f t="shared" si="25"/>
        <v>0</v>
      </c>
      <c r="AF70" s="541">
        <f t="shared" si="25"/>
        <v>0</v>
      </c>
      <c r="AG70" s="541">
        <f t="shared" si="25"/>
        <v>0</v>
      </c>
      <c r="AH70" s="423"/>
      <c r="AI70" s="423"/>
    </row>
    <row r="71" spans="1:35" hidden="1" x14ac:dyDescent="0.25">
      <c r="A71" s="451">
        <v>5</v>
      </c>
      <c r="B71" s="449" t="s">
        <v>86</v>
      </c>
      <c r="C71" s="540">
        <v>0</v>
      </c>
      <c r="D71" s="449"/>
      <c r="E71" s="541">
        <f t="shared" si="24"/>
        <v>0</v>
      </c>
      <c r="F71" s="541">
        <f t="shared" si="25"/>
        <v>0</v>
      </c>
      <c r="G71" s="541">
        <f t="shared" si="25"/>
        <v>0</v>
      </c>
      <c r="H71" s="541">
        <f t="shared" si="25"/>
        <v>0</v>
      </c>
      <c r="I71" s="541">
        <f t="shared" si="25"/>
        <v>0</v>
      </c>
      <c r="J71" s="541">
        <f t="shared" si="25"/>
        <v>0</v>
      </c>
      <c r="K71" s="541">
        <f t="shared" si="25"/>
        <v>0</v>
      </c>
      <c r="L71" s="541">
        <f t="shared" si="25"/>
        <v>0</v>
      </c>
      <c r="M71" s="541">
        <f t="shared" si="25"/>
        <v>0</v>
      </c>
      <c r="N71" s="541">
        <f t="shared" si="25"/>
        <v>0</v>
      </c>
      <c r="O71" s="541">
        <f t="shared" si="25"/>
        <v>0</v>
      </c>
      <c r="P71" s="541">
        <f t="shared" si="25"/>
        <v>0</v>
      </c>
      <c r="Q71" s="541">
        <f t="shared" si="25"/>
        <v>0</v>
      </c>
      <c r="R71" s="541">
        <f t="shared" si="25"/>
        <v>0</v>
      </c>
      <c r="S71" s="541">
        <f t="shared" si="25"/>
        <v>0</v>
      </c>
      <c r="T71" s="541">
        <f t="shared" si="25"/>
        <v>0</v>
      </c>
      <c r="U71" s="541">
        <f t="shared" si="25"/>
        <v>0</v>
      </c>
      <c r="V71" s="541">
        <f t="shared" si="25"/>
        <v>0</v>
      </c>
      <c r="W71" s="541">
        <f t="shared" si="25"/>
        <v>0</v>
      </c>
      <c r="X71" s="541">
        <f t="shared" si="25"/>
        <v>0</v>
      </c>
      <c r="Y71" s="541">
        <f t="shared" si="25"/>
        <v>0</v>
      </c>
      <c r="Z71" s="541">
        <f t="shared" si="25"/>
        <v>0</v>
      </c>
      <c r="AA71" s="541">
        <f t="shared" si="25"/>
        <v>0</v>
      </c>
      <c r="AB71" s="541">
        <f t="shared" si="25"/>
        <v>0</v>
      </c>
      <c r="AC71" s="541">
        <f t="shared" si="25"/>
        <v>0</v>
      </c>
      <c r="AD71" s="541">
        <f t="shared" si="25"/>
        <v>0</v>
      </c>
      <c r="AE71" s="541">
        <f t="shared" si="25"/>
        <v>0</v>
      </c>
      <c r="AF71" s="541">
        <f t="shared" si="25"/>
        <v>0</v>
      </c>
      <c r="AG71" s="541">
        <f t="shared" si="25"/>
        <v>0</v>
      </c>
      <c r="AH71" s="423"/>
      <c r="AI71" s="423"/>
    </row>
    <row r="72" spans="1:35" hidden="1" x14ac:dyDescent="0.25">
      <c r="A72" s="451">
        <v>6</v>
      </c>
      <c r="B72" s="449" t="s">
        <v>87</v>
      </c>
      <c r="C72" s="540">
        <v>0</v>
      </c>
      <c r="D72" s="449"/>
      <c r="E72" s="541">
        <f t="shared" si="24"/>
        <v>0</v>
      </c>
      <c r="F72" s="541">
        <f t="shared" si="25"/>
        <v>0</v>
      </c>
      <c r="G72" s="541">
        <f t="shared" si="25"/>
        <v>0</v>
      </c>
      <c r="H72" s="541">
        <f t="shared" si="25"/>
        <v>0</v>
      </c>
      <c r="I72" s="541">
        <f t="shared" si="25"/>
        <v>0</v>
      </c>
      <c r="J72" s="541">
        <f t="shared" si="25"/>
        <v>0</v>
      </c>
      <c r="K72" s="541">
        <f t="shared" si="25"/>
        <v>0</v>
      </c>
      <c r="L72" s="541">
        <f t="shared" si="25"/>
        <v>0</v>
      </c>
      <c r="M72" s="541">
        <f t="shared" si="25"/>
        <v>0</v>
      </c>
      <c r="N72" s="541">
        <f t="shared" si="25"/>
        <v>0</v>
      </c>
      <c r="O72" s="541">
        <f t="shared" si="25"/>
        <v>0</v>
      </c>
      <c r="P72" s="541">
        <f t="shared" si="25"/>
        <v>0</v>
      </c>
      <c r="Q72" s="541">
        <f t="shared" si="25"/>
        <v>0</v>
      </c>
      <c r="R72" s="541">
        <f t="shared" si="25"/>
        <v>0</v>
      </c>
      <c r="S72" s="541">
        <f t="shared" si="25"/>
        <v>0</v>
      </c>
      <c r="T72" s="541">
        <f t="shared" si="25"/>
        <v>0</v>
      </c>
      <c r="U72" s="541">
        <f t="shared" si="25"/>
        <v>0</v>
      </c>
      <c r="V72" s="541">
        <f t="shared" si="25"/>
        <v>0</v>
      </c>
      <c r="W72" s="541">
        <f t="shared" si="25"/>
        <v>0</v>
      </c>
      <c r="X72" s="541">
        <f t="shared" si="25"/>
        <v>0</v>
      </c>
      <c r="Y72" s="541">
        <f t="shared" si="25"/>
        <v>0</v>
      </c>
      <c r="Z72" s="541">
        <f t="shared" si="25"/>
        <v>0</v>
      </c>
      <c r="AA72" s="541">
        <f t="shared" si="25"/>
        <v>0</v>
      </c>
      <c r="AB72" s="541">
        <f t="shared" si="25"/>
        <v>0</v>
      </c>
      <c r="AC72" s="541">
        <f t="shared" si="25"/>
        <v>0</v>
      </c>
      <c r="AD72" s="541">
        <f t="shared" si="25"/>
        <v>0</v>
      </c>
      <c r="AE72" s="541">
        <f t="shared" si="25"/>
        <v>0</v>
      </c>
      <c r="AF72" s="541">
        <f t="shared" si="25"/>
        <v>0</v>
      </c>
      <c r="AG72" s="541">
        <f t="shared" si="25"/>
        <v>0</v>
      </c>
      <c r="AH72" s="423"/>
      <c r="AI72" s="423"/>
    </row>
    <row r="73" spans="1:35" hidden="1" x14ac:dyDescent="0.25">
      <c r="A73" s="451">
        <v>7</v>
      </c>
      <c r="B73" s="449" t="s">
        <v>88</v>
      </c>
      <c r="C73" s="540">
        <v>0</v>
      </c>
      <c r="D73" s="449"/>
      <c r="E73" s="541">
        <f t="shared" si="24"/>
        <v>0</v>
      </c>
      <c r="F73" s="541">
        <f t="shared" si="25"/>
        <v>0</v>
      </c>
      <c r="G73" s="541">
        <f t="shared" si="25"/>
        <v>0</v>
      </c>
      <c r="H73" s="541">
        <f t="shared" si="25"/>
        <v>0</v>
      </c>
      <c r="I73" s="541">
        <f t="shared" si="25"/>
        <v>0</v>
      </c>
      <c r="J73" s="541">
        <f t="shared" si="25"/>
        <v>0</v>
      </c>
      <c r="K73" s="541">
        <f t="shared" si="25"/>
        <v>0</v>
      </c>
      <c r="L73" s="541">
        <f t="shared" si="25"/>
        <v>0</v>
      </c>
      <c r="M73" s="541">
        <f t="shared" si="25"/>
        <v>0</v>
      </c>
      <c r="N73" s="541">
        <f t="shared" si="25"/>
        <v>0</v>
      </c>
      <c r="O73" s="541">
        <f t="shared" si="25"/>
        <v>0</v>
      </c>
      <c r="P73" s="541">
        <f t="shared" si="25"/>
        <v>0</v>
      </c>
      <c r="Q73" s="541">
        <f t="shared" si="25"/>
        <v>0</v>
      </c>
      <c r="R73" s="541">
        <f t="shared" si="25"/>
        <v>0</v>
      </c>
      <c r="S73" s="541">
        <f t="shared" si="25"/>
        <v>0</v>
      </c>
      <c r="T73" s="541">
        <f t="shared" si="25"/>
        <v>0</v>
      </c>
      <c r="U73" s="541">
        <f t="shared" si="25"/>
        <v>0</v>
      </c>
      <c r="V73" s="541">
        <f t="shared" si="25"/>
        <v>0</v>
      </c>
      <c r="W73" s="541">
        <f t="shared" si="25"/>
        <v>0</v>
      </c>
      <c r="X73" s="541">
        <f t="shared" si="25"/>
        <v>0</v>
      </c>
      <c r="Y73" s="541">
        <f t="shared" si="25"/>
        <v>0</v>
      </c>
      <c r="Z73" s="541">
        <f t="shared" si="25"/>
        <v>0</v>
      </c>
      <c r="AA73" s="541">
        <f t="shared" si="25"/>
        <v>0</v>
      </c>
      <c r="AB73" s="541">
        <f t="shared" si="25"/>
        <v>0</v>
      </c>
      <c r="AC73" s="541">
        <f t="shared" si="25"/>
        <v>0</v>
      </c>
      <c r="AD73" s="541">
        <f t="shared" si="25"/>
        <v>0</v>
      </c>
      <c r="AE73" s="541">
        <f t="shared" si="25"/>
        <v>0</v>
      </c>
      <c r="AF73" s="541">
        <f t="shared" si="25"/>
        <v>0</v>
      </c>
      <c r="AG73" s="541">
        <f t="shared" si="25"/>
        <v>0</v>
      </c>
      <c r="AH73" s="423"/>
      <c r="AI73" s="423"/>
    </row>
    <row r="74" spans="1:35" hidden="1" x14ac:dyDescent="0.25">
      <c r="A74" s="451">
        <v>8</v>
      </c>
      <c r="B74" s="449" t="s">
        <v>89</v>
      </c>
      <c r="C74" s="540">
        <v>0</v>
      </c>
      <c r="D74" s="449"/>
      <c r="E74" s="541">
        <f t="shared" si="24"/>
        <v>0</v>
      </c>
      <c r="F74" s="541">
        <f t="shared" si="25"/>
        <v>0</v>
      </c>
      <c r="G74" s="541">
        <f t="shared" si="25"/>
        <v>0</v>
      </c>
      <c r="H74" s="541">
        <f t="shared" si="25"/>
        <v>0</v>
      </c>
      <c r="I74" s="541">
        <f t="shared" si="25"/>
        <v>0</v>
      </c>
      <c r="J74" s="541">
        <f t="shared" si="25"/>
        <v>0</v>
      </c>
      <c r="K74" s="541">
        <f t="shared" si="25"/>
        <v>0</v>
      </c>
      <c r="L74" s="541">
        <f t="shared" si="25"/>
        <v>0</v>
      </c>
      <c r="M74" s="541">
        <f t="shared" si="25"/>
        <v>0</v>
      </c>
      <c r="N74" s="541">
        <f t="shared" si="25"/>
        <v>0</v>
      </c>
      <c r="O74" s="541">
        <f t="shared" si="25"/>
        <v>0</v>
      </c>
      <c r="P74" s="541">
        <f t="shared" si="25"/>
        <v>0</v>
      </c>
      <c r="Q74" s="541">
        <f t="shared" si="25"/>
        <v>0</v>
      </c>
      <c r="R74" s="541">
        <f t="shared" si="25"/>
        <v>0</v>
      </c>
      <c r="S74" s="541">
        <f t="shared" si="25"/>
        <v>0</v>
      </c>
      <c r="T74" s="541">
        <f t="shared" si="25"/>
        <v>0</v>
      </c>
      <c r="U74" s="541">
        <f t="shared" si="25"/>
        <v>0</v>
      </c>
      <c r="V74" s="541">
        <f t="shared" si="25"/>
        <v>0</v>
      </c>
      <c r="W74" s="541">
        <f t="shared" si="25"/>
        <v>0</v>
      </c>
      <c r="X74" s="541">
        <f t="shared" si="25"/>
        <v>0</v>
      </c>
      <c r="Y74" s="541">
        <f t="shared" si="25"/>
        <v>0</v>
      </c>
      <c r="Z74" s="541">
        <f t="shared" si="25"/>
        <v>0</v>
      </c>
      <c r="AA74" s="541">
        <f t="shared" si="25"/>
        <v>0</v>
      </c>
      <c r="AB74" s="541">
        <f t="shared" si="25"/>
        <v>0</v>
      </c>
      <c r="AC74" s="541">
        <f t="shared" si="25"/>
        <v>0</v>
      </c>
      <c r="AD74" s="541">
        <f t="shared" si="25"/>
        <v>0</v>
      </c>
      <c r="AE74" s="541">
        <f t="shared" si="25"/>
        <v>0</v>
      </c>
      <c r="AF74" s="541">
        <f t="shared" si="25"/>
        <v>0</v>
      </c>
      <c r="AG74" s="541">
        <f t="shared" si="25"/>
        <v>0</v>
      </c>
      <c r="AH74" s="423"/>
      <c r="AI74" s="423"/>
    </row>
    <row r="75" spans="1:35" hidden="1" x14ac:dyDescent="0.25">
      <c r="A75" s="451">
        <v>9</v>
      </c>
      <c r="B75" s="449" t="s">
        <v>90</v>
      </c>
      <c r="C75" s="540">
        <v>0</v>
      </c>
      <c r="D75" s="449"/>
      <c r="E75" s="541">
        <f t="shared" si="24"/>
        <v>0</v>
      </c>
      <c r="F75" s="541">
        <f t="shared" si="25"/>
        <v>0</v>
      </c>
      <c r="G75" s="541">
        <f t="shared" si="25"/>
        <v>0</v>
      </c>
      <c r="H75" s="541">
        <f t="shared" si="25"/>
        <v>0</v>
      </c>
      <c r="I75" s="541">
        <f t="shared" si="25"/>
        <v>0</v>
      </c>
      <c r="J75" s="541">
        <f t="shared" si="25"/>
        <v>0</v>
      </c>
      <c r="K75" s="541">
        <f t="shared" si="25"/>
        <v>0</v>
      </c>
      <c r="L75" s="541">
        <f t="shared" si="25"/>
        <v>0</v>
      </c>
      <c r="M75" s="541">
        <f t="shared" si="25"/>
        <v>0</v>
      </c>
      <c r="N75" s="541">
        <f t="shared" si="25"/>
        <v>0</v>
      </c>
      <c r="O75" s="541">
        <f t="shared" si="25"/>
        <v>0</v>
      </c>
      <c r="P75" s="541">
        <f t="shared" si="25"/>
        <v>0</v>
      </c>
      <c r="Q75" s="541">
        <f t="shared" si="25"/>
        <v>0</v>
      </c>
      <c r="R75" s="541">
        <f t="shared" si="25"/>
        <v>0</v>
      </c>
      <c r="S75" s="541">
        <f t="shared" si="25"/>
        <v>0</v>
      </c>
      <c r="T75" s="541">
        <f t="shared" si="25"/>
        <v>0</v>
      </c>
      <c r="U75" s="541">
        <f t="shared" si="25"/>
        <v>0</v>
      </c>
      <c r="V75" s="541">
        <f t="shared" si="25"/>
        <v>0</v>
      </c>
      <c r="W75" s="541">
        <f t="shared" si="25"/>
        <v>0</v>
      </c>
      <c r="X75" s="541">
        <f t="shared" ref="F75:AG77" si="27">$C75*X$4</f>
        <v>0</v>
      </c>
      <c r="Y75" s="541">
        <f t="shared" si="27"/>
        <v>0</v>
      </c>
      <c r="Z75" s="541">
        <f t="shared" si="27"/>
        <v>0</v>
      </c>
      <c r="AA75" s="541">
        <f t="shared" si="27"/>
        <v>0</v>
      </c>
      <c r="AB75" s="541">
        <f t="shared" si="27"/>
        <v>0</v>
      </c>
      <c r="AC75" s="541">
        <f t="shared" si="27"/>
        <v>0</v>
      </c>
      <c r="AD75" s="541">
        <f t="shared" si="27"/>
        <v>0</v>
      </c>
      <c r="AE75" s="541">
        <f t="shared" si="27"/>
        <v>0</v>
      </c>
      <c r="AF75" s="541">
        <f t="shared" si="27"/>
        <v>0</v>
      </c>
      <c r="AG75" s="541">
        <f t="shared" si="27"/>
        <v>0</v>
      </c>
      <c r="AH75" s="423"/>
      <c r="AI75" s="423"/>
    </row>
    <row r="76" spans="1:35" hidden="1" x14ac:dyDescent="0.25">
      <c r="A76" s="451">
        <v>10</v>
      </c>
      <c r="B76" s="449" t="s">
        <v>91</v>
      </c>
      <c r="C76" s="540">
        <v>0</v>
      </c>
      <c r="D76" s="449"/>
      <c r="E76" s="541">
        <f t="shared" si="24"/>
        <v>0</v>
      </c>
      <c r="F76" s="541">
        <f t="shared" si="27"/>
        <v>0</v>
      </c>
      <c r="G76" s="541">
        <f t="shared" si="27"/>
        <v>0</v>
      </c>
      <c r="H76" s="541">
        <f t="shared" si="27"/>
        <v>0</v>
      </c>
      <c r="I76" s="541">
        <f t="shared" si="27"/>
        <v>0</v>
      </c>
      <c r="J76" s="541">
        <f t="shared" si="27"/>
        <v>0</v>
      </c>
      <c r="K76" s="541">
        <f t="shared" si="27"/>
        <v>0</v>
      </c>
      <c r="L76" s="541">
        <f t="shared" si="27"/>
        <v>0</v>
      </c>
      <c r="M76" s="541">
        <f t="shared" si="27"/>
        <v>0</v>
      </c>
      <c r="N76" s="541">
        <f t="shared" si="27"/>
        <v>0</v>
      </c>
      <c r="O76" s="541">
        <f t="shared" si="27"/>
        <v>0</v>
      </c>
      <c r="P76" s="541">
        <f t="shared" si="27"/>
        <v>0</v>
      </c>
      <c r="Q76" s="541">
        <f t="shared" si="27"/>
        <v>0</v>
      </c>
      <c r="R76" s="541">
        <f t="shared" si="27"/>
        <v>0</v>
      </c>
      <c r="S76" s="541">
        <f t="shared" si="27"/>
        <v>0</v>
      </c>
      <c r="T76" s="541">
        <f t="shared" si="27"/>
        <v>0</v>
      </c>
      <c r="U76" s="541">
        <f t="shared" si="27"/>
        <v>0</v>
      </c>
      <c r="V76" s="541">
        <f t="shared" si="27"/>
        <v>0</v>
      </c>
      <c r="W76" s="541">
        <f t="shared" si="27"/>
        <v>0</v>
      </c>
      <c r="X76" s="541">
        <f t="shared" si="27"/>
        <v>0</v>
      </c>
      <c r="Y76" s="541">
        <f t="shared" si="27"/>
        <v>0</v>
      </c>
      <c r="Z76" s="541">
        <f t="shared" si="27"/>
        <v>0</v>
      </c>
      <c r="AA76" s="541">
        <f t="shared" si="27"/>
        <v>0</v>
      </c>
      <c r="AB76" s="541">
        <f t="shared" si="27"/>
        <v>0</v>
      </c>
      <c r="AC76" s="541">
        <f t="shared" si="27"/>
        <v>0</v>
      </c>
      <c r="AD76" s="541">
        <f t="shared" si="27"/>
        <v>0</v>
      </c>
      <c r="AE76" s="541">
        <f t="shared" si="27"/>
        <v>0</v>
      </c>
      <c r="AF76" s="541">
        <f t="shared" si="27"/>
        <v>0</v>
      </c>
      <c r="AG76" s="541">
        <f t="shared" si="27"/>
        <v>0</v>
      </c>
      <c r="AH76" s="423"/>
      <c r="AI76" s="423"/>
    </row>
    <row r="77" spans="1:35" ht="15.75" hidden="1" customHeight="1" x14ac:dyDescent="0.25">
      <c r="A77" s="451">
        <v>11</v>
      </c>
      <c r="B77" s="449" t="s">
        <v>92</v>
      </c>
      <c r="C77" s="540">
        <v>0</v>
      </c>
      <c r="D77" s="449"/>
      <c r="E77" s="541">
        <f t="shared" si="24"/>
        <v>0</v>
      </c>
      <c r="F77" s="541">
        <f t="shared" si="27"/>
        <v>0</v>
      </c>
      <c r="G77" s="541">
        <f t="shared" si="27"/>
        <v>0</v>
      </c>
      <c r="H77" s="541">
        <f t="shared" si="27"/>
        <v>0</v>
      </c>
      <c r="I77" s="541">
        <f t="shared" si="27"/>
        <v>0</v>
      </c>
      <c r="J77" s="541">
        <f t="shared" si="27"/>
        <v>0</v>
      </c>
      <c r="K77" s="541">
        <f t="shared" si="27"/>
        <v>0</v>
      </c>
      <c r="L77" s="541">
        <f t="shared" si="27"/>
        <v>0</v>
      </c>
      <c r="M77" s="541">
        <f t="shared" si="27"/>
        <v>0</v>
      </c>
      <c r="N77" s="541">
        <f t="shared" si="27"/>
        <v>0</v>
      </c>
      <c r="O77" s="541">
        <f t="shared" si="27"/>
        <v>0</v>
      </c>
      <c r="P77" s="541">
        <f t="shared" si="27"/>
        <v>0</v>
      </c>
      <c r="Q77" s="541">
        <f t="shared" si="27"/>
        <v>0</v>
      </c>
      <c r="R77" s="541">
        <f t="shared" si="27"/>
        <v>0</v>
      </c>
      <c r="S77" s="541">
        <f t="shared" si="27"/>
        <v>0</v>
      </c>
      <c r="T77" s="541">
        <f t="shared" si="27"/>
        <v>0</v>
      </c>
      <c r="U77" s="541">
        <f t="shared" si="27"/>
        <v>0</v>
      </c>
      <c r="V77" s="541">
        <f t="shared" si="27"/>
        <v>0</v>
      </c>
      <c r="W77" s="541">
        <f t="shared" si="27"/>
        <v>0</v>
      </c>
      <c r="X77" s="541">
        <f t="shared" si="27"/>
        <v>0</v>
      </c>
      <c r="Y77" s="541">
        <f t="shared" si="27"/>
        <v>0</v>
      </c>
      <c r="Z77" s="541">
        <f t="shared" si="27"/>
        <v>0</v>
      </c>
      <c r="AA77" s="541">
        <f t="shared" si="27"/>
        <v>0</v>
      </c>
      <c r="AB77" s="541">
        <f t="shared" si="27"/>
        <v>0</v>
      </c>
      <c r="AC77" s="541">
        <f t="shared" si="27"/>
        <v>0</v>
      </c>
      <c r="AD77" s="541">
        <f t="shared" si="27"/>
        <v>0</v>
      </c>
      <c r="AE77" s="541">
        <f t="shared" si="27"/>
        <v>0</v>
      </c>
      <c r="AF77" s="541">
        <f t="shared" si="27"/>
        <v>0</v>
      </c>
      <c r="AG77" s="541">
        <f t="shared" si="27"/>
        <v>0</v>
      </c>
      <c r="AH77" s="423"/>
      <c r="AI77" s="423"/>
    </row>
    <row r="78" spans="1:35" hidden="1" x14ac:dyDescent="0.25">
      <c r="A78" s="449"/>
      <c r="B78" s="449" t="s">
        <v>67</v>
      </c>
      <c r="C78" s="451" t="s">
        <v>0</v>
      </c>
      <c r="D78" s="449"/>
      <c r="E78" s="541">
        <f t="shared" ref="E78:AG78" si="28">SUM(E67:E77)</f>
        <v>294544.59064937802</v>
      </c>
      <c r="F78" s="541">
        <f t="shared" si="28"/>
        <v>304500.44525393506</v>
      </c>
      <c r="G78" s="541">
        <f t="shared" si="28"/>
        <v>301013.3955904725</v>
      </c>
      <c r="H78" s="541">
        <f t="shared" si="28"/>
        <v>220014.69097675796</v>
      </c>
      <c r="I78" s="541">
        <f t="shared" si="28"/>
        <v>251610.59547889177</v>
      </c>
      <c r="J78" s="541">
        <f t="shared" si="28"/>
        <v>264156.45608821482</v>
      </c>
      <c r="K78" s="541">
        <f t="shared" si="28"/>
        <v>267067.90797491145</v>
      </c>
      <c r="L78" s="541">
        <f t="shared" si="28"/>
        <v>267482.68042463245</v>
      </c>
      <c r="M78" s="541">
        <f t="shared" si="28"/>
        <v>268765.50299342902</v>
      </c>
      <c r="N78" s="541">
        <f t="shared" si="28"/>
        <v>269974.75238385663</v>
      </c>
      <c r="O78" s="541">
        <f t="shared" si="28"/>
        <v>271076.16239228356</v>
      </c>
      <c r="P78" s="541">
        <f t="shared" si="28"/>
        <v>272315.95745169366</v>
      </c>
      <c r="Q78" s="541">
        <f t="shared" si="28"/>
        <v>273678.69322903221</v>
      </c>
      <c r="R78" s="541">
        <f t="shared" si="28"/>
        <v>275082.30252989248</v>
      </c>
      <c r="S78" s="541">
        <f t="shared" si="28"/>
        <v>276434.55539025291</v>
      </c>
      <c r="T78" s="541">
        <f t="shared" si="28"/>
        <v>277914.24453115935</v>
      </c>
      <c r="U78" s="541">
        <f t="shared" si="28"/>
        <v>279529.20457215077</v>
      </c>
      <c r="V78" s="541">
        <f t="shared" si="28"/>
        <v>281283.91249717103</v>
      </c>
      <c r="W78" s="541">
        <f t="shared" si="28"/>
        <v>283016.6710913328</v>
      </c>
      <c r="X78" s="541">
        <f t="shared" si="28"/>
        <v>284672.85084350052</v>
      </c>
      <c r="Y78" s="541">
        <f t="shared" si="28"/>
        <v>286460.42054587376</v>
      </c>
      <c r="Z78" s="541">
        <f t="shared" si="28"/>
        <v>288258.57605083915</v>
      </c>
      <c r="AA78" s="541">
        <f t="shared" si="28"/>
        <v>290323.69862923987</v>
      </c>
      <c r="AB78" s="541">
        <f t="shared" si="28"/>
        <v>292086.85185640916</v>
      </c>
      <c r="AC78" s="541">
        <f t="shared" si="28"/>
        <v>294065.60211933468</v>
      </c>
      <c r="AD78" s="541">
        <f t="shared" si="28"/>
        <v>296254.22531707596</v>
      </c>
      <c r="AE78" s="541">
        <f t="shared" si="28"/>
        <v>298192.66310038534</v>
      </c>
      <c r="AF78" s="541">
        <f t="shared" si="28"/>
        <v>300095.39501976344</v>
      </c>
      <c r="AG78" s="541">
        <f t="shared" si="28"/>
        <v>302442.21658500895</v>
      </c>
      <c r="AH78" s="423"/>
      <c r="AI78" s="423"/>
    </row>
    <row r="79" spans="1:35" hidden="1" x14ac:dyDescent="0.25">
      <c r="A79" s="449"/>
      <c r="B79" s="449"/>
      <c r="C79" s="449"/>
      <c r="D79" s="449"/>
      <c r="E79" s="450"/>
      <c r="F79" s="450"/>
      <c r="G79" s="450"/>
      <c r="H79" s="450"/>
      <c r="I79" s="450"/>
      <c r="J79" s="450"/>
      <c r="K79" s="450"/>
      <c r="L79" s="450"/>
      <c r="M79" s="450"/>
      <c r="N79" s="450"/>
      <c r="O79" s="450"/>
      <c r="P79" s="450"/>
      <c r="Q79" s="450"/>
      <c r="R79" s="450"/>
      <c r="S79" s="450"/>
      <c r="T79" s="450"/>
      <c r="U79" s="450"/>
      <c r="V79" s="450"/>
      <c r="W79" s="450"/>
      <c r="X79" s="450"/>
      <c r="Y79" s="450"/>
      <c r="Z79" s="450"/>
      <c r="AA79" s="450"/>
      <c r="AB79" s="450"/>
      <c r="AC79" s="450"/>
      <c r="AD79" s="450"/>
      <c r="AE79" s="450"/>
      <c r="AF79" s="450"/>
      <c r="AG79" s="450"/>
      <c r="AH79" s="423"/>
      <c r="AI79" s="423"/>
    </row>
    <row r="80" spans="1:35" hidden="1" x14ac:dyDescent="0.25">
      <c r="A80" s="449"/>
      <c r="B80" s="539" t="s">
        <v>45</v>
      </c>
      <c r="C80" s="449"/>
      <c r="D80" s="449"/>
      <c r="E80" s="450"/>
      <c r="F80" s="450"/>
      <c r="G80" s="450"/>
      <c r="H80" s="450"/>
      <c r="I80" s="450"/>
      <c r="J80" s="450"/>
      <c r="K80" s="450"/>
      <c r="L80" s="450"/>
      <c r="M80" s="450"/>
      <c r="N80" s="450"/>
      <c r="O80" s="450"/>
      <c r="P80" s="450"/>
      <c r="Q80" s="450"/>
      <c r="R80" s="450"/>
      <c r="S80" s="450"/>
      <c r="T80" s="450"/>
      <c r="U80" s="450"/>
      <c r="V80" s="450"/>
      <c r="W80" s="450"/>
      <c r="X80" s="450"/>
      <c r="Y80" s="450"/>
      <c r="Z80" s="450"/>
      <c r="AA80" s="450"/>
      <c r="AB80" s="450"/>
      <c r="AC80" s="450"/>
      <c r="AD80" s="450"/>
      <c r="AE80" s="450"/>
      <c r="AF80" s="450"/>
      <c r="AG80" s="450"/>
      <c r="AH80" s="423"/>
      <c r="AI80" s="423"/>
    </row>
    <row r="81" spans="1:35" hidden="1" x14ac:dyDescent="0.25">
      <c r="A81" s="449"/>
      <c r="B81" s="449" t="s">
        <v>80</v>
      </c>
      <c r="C81" s="450" t="s">
        <v>81</v>
      </c>
      <c r="D81" s="449"/>
      <c r="E81" s="450">
        <v>2017</v>
      </c>
      <c r="F81" s="450">
        <v>2018</v>
      </c>
      <c r="G81" s="450">
        <v>2019</v>
      </c>
      <c r="H81" s="450">
        <v>2020</v>
      </c>
      <c r="I81" s="450">
        <v>2021</v>
      </c>
      <c r="J81" s="450">
        <v>2022</v>
      </c>
      <c r="K81" s="450">
        <v>2023</v>
      </c>
      <c r="L81" s="450">
        <v>2024</v>
      </c>
      <c r="M81" s="450">
        <v>2025</v>
      </c>
      <c r="N81" s="450">
        <v>2026</v>
      </c>
      <c r="O81" s="450">
        <v>2027</v>
      </c>
      <c r="P81" s="450">
        <v>2028</v>
      </c>
      <c r="Q81" s="450">
        <v>2029</v>
      </c>
      <c r="R81" s="450">
        <v>2030</v>
      </c>
      <c r="S81" s="450">
        <v>2031</v>
      </c>
      <c r="T81" s="450">
        <v>2032</v>
      </c>
      <c r="U81" s="450">
        <v>2033</v>
      </c>
      <c r="V81" s="450">
        <v>2034</v>
      </c>
      <c r="W81" s="450">
        <v>2035</v>
      </c>
      <c r="X81" s="450">
        <v>2036</v>
      </c>
      <c r="Y81" s="450">
        <v>2037</v>
      </c>
      <c r="Z81" s="450">
        <v>2038</v>
      </c>
      <c r="AA81" s="450">
        <v>2039</v>
      </c>
      <c r="AB81" s="450">
        <v>2040</v>
      </c>
      <c r="AC81" s="450">
        <v>2041</v>
      </c>
      <c r="AD81" s="450">
        <v>2042</v>
      </c>
      <c r="AE81" s="450">
        <v>2043</v>
      </c>
      <c r="AF81" s="450">
        <v>2044</v>
      </c>
      <c r="AG81" s="450">
        <v>2045</v>
      </c>
      <c r="AH81" s="423"/>
      <c r="AI81" s="423"/>
    </row>
    <row r="82" spans="1:35" hidden="1" x14ac:dyDescent="0.25">
      <c r="A82" s="451">
        <v>1</v>
      </c>
      <c r="B82" s="449" t="s">
        <v>82</v>
      </c>
      <c r="C82" s="540">
        <v>0</v>
      </c>
      <c r="D82" s="449"/>
      <c r="E82" s="541">
        <f t="shared" ref="E82:E92" si="29">$C82*E$5</f>
        <v>0</v>
      </c>
      <c r="F82" s="541">
        <f t="shared" ref="F82:AG90" si="30">$C82*F$5</f>
        <v>0</v>
      </c>
      <c r="G82" s="541">
        <f t="shared" si="30"/>
        <v>0</v>
      </c>
      <c r="H82" s="541">
        <f t="shared" si="30"/>
        <v>0</v>
      </c>
      <c r="I82" s="541">
        <f t="shared" si="30"/>
        <v>0</v>
      </c>
      <c r="J82" s="541">
        <f t="shared" si="30"/>
        <v>0</v>
      </c>
      <c r="K82" s="541">
        <f t="shared" si="30"/>
        <v>0</v>
      </c>
      <c r="L82" s="541">
        <f t="shared" si="30"/>
        <v>0</v>
      </c>
      <c r="M82" s="541">
        <f t="shared" si="30"/>
        <v>0</v>
      </c>
      <c r="N82" s="541">
        <f t="shared" si="30"/>
        <v>0</v>
      </c>
      <c r="O82" s="541">
        <f t="shared" si="30"/>
        <v>0</v>
      </c>
      <c r="P82" s="541">
        <f t="shared" si="30"/>
        <v>0</v>
      </c>
      <c r="Q82" s="541">
        <f t="shared" si="30"/>
        <v>0</v>
      </c>
      <c r="R82" s="541">
        <f t="shared" si="30"/>
        <v>0</v>
      </c>
      <c r="S82" s="541">
        <f t="shared" si="30"/>
        <v>0</v>
      </c>
      <c r="T82" s="541">
        <f t="shared" si="30"/>
        <v>0</v>
      </c>
      <c r="U82" s="541">
        <f t="shared" si="30"/>
        <v>0</v>
      </c>
      <c r="V82" s="541">
        <f t="shared" si="30"/>
        <v>0</v>
      </c>
      <c r="W82" s="541">
        <f t="shared" si="30"/>
        <v>0</v>
      </c>
      <c r="X82" s="541">
        <f t="shared" si="30"/>
        <v>0</v>
      </c>
      <c r="Y82" s="541">
        <f t="shared" si="30"/>
        <v>0</v>
      </c>
      <c r="Z82" s="541">
        <f t="shared" si="30"/>
        <v>0</v>
      </c>
      <c r="AA82" s="541">
        <f t="shared" si="30"/>
        <v>0</v>
      </c>
      <c r="AB82" s="541">
        <f t="shared" si="30"/>
        <v>0</v>
      </c>
      <c r="AC82" s="541">
        <f t="shared" si="30"/>
        <v>0</v>
      </c>
      <c r="AD82" s="541">
        <f t="shared" si="30"/>
        <v>0</v>
      </c>
      <c r="AE82" s="541">
        <f t="shared" si="30"/>
        <v>0</v>
      </c>
      <c r="AF82" s="541">
        <f t="shared" si="30"/>
        <v>0</v>
      </c>
      <c r="AG82" s="541">
        <f t="shared" si="30"/>
        <v>0</v>
      </c>
      <c r="AH82" s="423"/>
      <c r="AI82" s="423"/>
    </row>
    <row r="83" spans="1:35" hidden="1" x14ac:dyDescent="0.25">
      <c r="A83" s="451">
        <v>2</v>
      </c>
      <c r="B83" s="449" t="s">
        <v>83</v>
      </c>
      <c r="C83" s="540">
        <v>0</v>
      </c>
      <c r="D83" s="449"/>
      <c r="E83" s="541">
        <f t="shared" si="29"/>
        <v>0</v>
      </c>
      <c r="F83" s="541">
        <f t="shared" ref="F83:T83" si="31">$C83*F$5</f>
        <v>0</v>
      </c>
      <c r="G83" s="541">
        <f t="shared" si="31"/>
        <v>0</v>
      </c>
      <c r="H83" s="541">
        <f t="shared" si="31"/>
        <v>0</v>
      </c>
      <c r="I83" s="541">
        <f t="shared" si="31"/>
        <v>0</v>
      </c>
      <c r="J83" s="541">
        <f t="shared" si="31"/>
        <v>0</v>
      </c>
      <c r="K83" s="541">
        <f t="shared" si="31"/>
        <v>0</v>
      </c>
      <c r="L83" s="541">
        <f t="shared" si="31"/>
        <v>0</v>
      </c>
      <c r="M83" s="541">
        <f t="shared" si="31"/>
        <v>0</v>
      </c>
      <c r="N83" s="541">
        <f t="shared" si="31"/>
        <v>0</v>
      </c>
      <c r="O83" s="541">
        <f t="shared" si="31"/>
        <v>0</v>
      </c>
      <c r="P83" s="541">
        <f t="shared" si="31"/>
        <v>0</v>
      </c>
      <c r="Q83" s="541">
        <f t="shared" si="31"/>
        <v>0</v>
      </c>
      <c r="R83" s="541">
        <f t="shared" si="31"/>
        <v>0</v>
      </c>
      <c r="S83" s="541">
        <f t="shared" si="31"/>
        <v>0</v>
      </c>
      <c r="T83" s="541">
        <f t="shared" si="31"/>
        <v>0</v>
      </c>
      <c r="U83" s="541">
        <f t="shared" si="30"/>
        <v>0</v>
      </c>
      <c r="V83" s="541">
        <f t="shared" si="30"/>
        <v>0</v>
      </c>
      <c r="W83" s="541">
        <f t="shared" si="30"/>
        <v>0</v>
      </c>
      <c r="X83" s="541">
        <f t="shared" si="30"/>
        <v>0</v>
      </c>
      <c r="Y83" s="541">
        <f t="shared" si="30"/>
        <v>0</v>
      </c>
      <c r="Z83" s="541">
        <f t="shared" si="30"/>
        <v>0</v>
      </c>
      <c r="AA83" s="541">
        <f t="shared" si="30"/>
        <v>0</v>
      </c>
      <c r="AB83" s="541">
        <f t="shared" si="30"/>
        <v>0</v>
      </c>
      <c r="AC83" s="541">
        <f t="shared" si="30"/>
        <v>0</v>
      </c>
      <c r="AD83" s="541">
        <f t="shared" si="30"/>
        <v>0</v>
      </c>
      <c r="AE83" s="541">
        <f t="shared" si="30"/>
        <v>0</v>
      </c>
      <c r="AF83" s="541">
        <f t="shared" si="30"/>
        <v>0</v>
      </c>
      <c r="AG83" s="541">
        <f t="shared" si="30"/>
        <v>0</v>
      </c>
      <c r="AH83" s="423"/>
      <c r="AI83" s="423"/>
    </row>
    <row r="84" spans="1:35" hidden="1" x14ac:dyDescent="0.25">
      <c r="A84" s="451">
        <v>3</v>
      </c>
      <c r="B84" s="449" t="s">
        <v>84</v>
      </c>
      <c r="C84" s="540">
        <v>1</v>
      </c>
      <c r="D84" s="449"/>
      <c r="E84" s="541">
        <f t="shared" si="29"/>
        <v>15378.069508142768</v>
      </c>
      <c r="F84" s="541">
        <f>$C84*F$5</f>
        <v>15897.861176305134</v>
      </c>
      <c r="G84" s="541">
        <f t="shared" si="30"/>
        <v>15715.803539514558</v>
      </c>
      <c r="H84" s="541">
        <f t="shared" si="30"/>
        <v>11486.889652917414</v>
      </c>
      <c r="I84" s="541">
        <f t="shared" si="30"/>
        <v>13136.500717018891</v>
      </c>
      <c r="J84" s="541">
        <f t="shared" si="30"/>
        <v>13791.515687975538</v>
      </c>
      <c r="K84" s="541">
        <f t="shared" si="30"/>
        <v>13943.521567236552</v>
      </c>
      <c r="L84" s="541">
        <f t="shared" si="30"/>
        <v>13965.176690991533</v>
      </c>
      <c r="M84" s="541">
        <f t="shared" si="30"/>
        <v>14032.152406234089</v>
      </c>
      <c r="N84" s="541">
        <f t="shared" si="30"/>
        <v>14095.286891704276</v>
      </c>
      <c r="O84" s="541">
        <f t="shared" si="30"/>
        <v>14152.791120959382</v>
      </c>
      <c r="P84" s="541">
        <f t="shared" si="30"/>
        <v>14217.520385066478</v>
      </c>
      <c r="Q84" s="541">
        <f t="shared" si="30"/>
        <v>14288.668340827417</v>
      </c>
      <c r="R84" s="541">
        <f t="shared" si="30"/>
        <v>14361.95028887921</v>
      </c>
      <c r="S84" s="541">
        <f t="shared" si="30"/>
        <v>14432.550935230791</v>
      </c>
      <c r="T84" s="541">
        <f t="shared" si="30"/>
        <v>14509.804984979715</v>
      </c>
      <c r="U84" s="541">
        <f t="shared" si="30"/>
        <v>14594.121480857251</v>
      </c>
      <c r="V84" s="541">
        <f t="shared" si="30"/>
        <v>14685.734164620886</v>
      </c>
      <c r="W84" s="541">
        <f t="shared" si="30"/>
        <v>14776.200881538363</v>
      </c>
      <c r="X84" s="541">
        <f t="shared" si="30"/>
        <v>14862.669444042474</v>
      </c>
      <c r="Y84" s="541">
        <f t="shared" si="30"/>
        <v>14955.997829646638</v>
      </c>
      <c r="Z84" s="541">
        <f t="shared" si="30"/>
        <v>15049.878896281891</v>
      </c>
      <c r="AA84" s="541">
        <f t="shared" si="30"/>
        <v>15157.698219948525</v>
      </c>
      <c r="AB84" s="541">
        <f t="shared" si="30"/>
        <v>15249.751829967769</v>
      </c>
      <c r="AC84" s="541">
        <f t="shared" si="30"/>
        <v>15353.061685414228</v>
      </c>
      <c r="AD84" s="541">
        <f t="shared" si="30"/>
        <v>15467.328932990555</v>
      </c>
      <c r="AE84" s="541">
        <f t="shared" si="30"/>
        <v>15568.534088051189</v>
      </c>
      <c r="AF84" s="541">
        <f t="shared" si="30"/>
        <v>15667.875052511095</v>
      </c>
      <c r="AG84" s="541">
        <f t="shared" si="30"/>
        <v>15790.401781228089</v>
      </c>
      <c r="AH84" s="423"/>
      <c r="AI84" s="423"/>
    </row>
    <row r="85" spans="1:35" hidden="1" x14ac:dyDescent="0.25">
      <c r="A85" s="451">
        <v>4</v>
      </c>
      <c r="B85" s="449" t="s">
        <v>85</v>
      </c>
      <c r="C85" s="540">
        <v>0</v>
      </c>
      <c r="D85" s="449"/>
      <c r="E85" s="541">
        <f t="shared" si="29"/>
        <v>0</v>
      </c>
      <c r="F85" s="541">
        <f t="shared" si="30"/>
        <v>0</v>
      </c>
      <c r="G85" s="541">
        <f t="shared" si="30"/>
        <v>0</v>
      </c>
      <c r="H85" s="541">
        <f t="shared" si="30"/>
        <v>0</v>
      </c>
      <c r="I85" s="541">
        <f t="shared" si="30"/>
        <v>0</v>
      </c>
      <c r="J85" s="541">
        <f t="shared" si="30"/>
        <v>0</v>
      </c>
      <c r="K85" s="541">
        <f t="shared" si="30"/>
        <v>0</v>
      </c>
      <c r="L85" s="541">
        <f t="shared" si="30"/>
        <v>0</v>
      </c>
      <c r="M85" s="541">
        <f t="shared" si="30"/>
        <v>0</v>
      </c>
      <c r="N85" s="541">
        <f t="shared" si="30"/>
        <v>0</v>
      </c>
      <c r="O85" s="541">
        <f t="shared" si="30"/>
        <v>0</v>
      </c>
      <c r="P85" s="541">
        <f t="shared" si="30"/>
        <v>0</v>
      </c>
      <c r="Q85" s="541">
        <f t="shared" si="30"/>
        <v>0</v>
      </c>
      <c r="R85" s="541">
        <f t="shared" si="30"/>
        <v>0</v>
      </c>
      <c r="S85" s="541">
        <f t="shared" si="30"/>
        <v>0</v>
      </c>
      <c r="T85" s="541">
        <f t="shared" si="30"/>
        <v>0</v>
      </c>
      <c r="U85" s="541">
        <f t="shared" si="30"/>
        <v>0</v>
      </c>
      <c r="V85" s="541">
        <f t="shared" si="30"/>
        <v>0</v>
      </c>
      <c r="W85" s="541">
        <f t="shared" si="30"/>
        <v>0</v>
      </c>
      <c r="X85" s="541">
        <f t="shared" si="30"/>
        <v>0</v>
      </c>
      <c r="Y85" s="541">
        <f t="shared" si="30"/>
        <v>0</v>
      </c>
      <c r="Z85" s="541">
        <f t="shared" si="30"/>
        <v>0</v>
      </c>
      <c r="AA85" s="541">
        <f t="shared" si="30"/>
        <v>0</v>
      </c>
      <c r="AB85" s="541">
        <f t="shared" si="30"/>
        <v>0</v>
      </c>
      <c r="AC85" s="541">
        <f t="shared" si="30"/>
        <v>0</v>
      </c>
      <c r="AD85" s="541">
        <f t="shared" si="30"/>
        <v>0</v>
      </c>
      <c r="AE85" s="541">
        <f t="shared" si="30"/>
        <v>0</v>
      </c>
      <c r="AF85" s="541">
        <f t="shared" si="30"/>
        <v>0</v>
      </c>
      <c r="AG85" s="541">
        <f t="shared" si="30"/>
        <v>0</v>
      </c>
      <c r="AH85" s="423"/>
      <c r="AI85" s="423"/>
    </row>
    <row r="86" spans="1:35" hidden="1" x14ac:dyDescent="0.25">
      <c r="A86" s="451">
        <v>5</v>
      </c>
      <c r="B86" s="449" t="s">
        <v>86</v>
      </c>
      <c r="C86" s="540">
        <v>0</v>
      </c>
      <c r="D86" s="449"/>
      <c r="E86" s="541">
        <f t="shared" si="29"/>
        <v>0</v>
      </c>
      <c r="F86" s="541">
        <f t="shared" si="30"/>
        <v>0</v>
      </c>
      <c r="G86" s="541">
        <f t="shared" si="30"/>
        <v>0</v>
      </c>
      <c r="H86" s="541">
        <f t="shared" si="30"/>
        <v>0</v>
      </c>
      <c r="I86" s="541">
        <f t="shared" si="30"/>
        <v>0</v>
      </c>
      <c r="J86" s="541">
        <f t="shared" si="30"/>
        <v>0</v>
      </c>
      <c r="K86" s="541">
        <f t="shared" si="30"/>
        <v>0</v>
      </c>
      <c r="L86" s="541">
        <f t="shared" si="30"/>
        <v>0</v>
      </c>
      <c r="M86" s="541">
        <f t="shared" si="30"/>
        <v>0</v>
      </c>
      <c r="N86" s="541">
        <f t="shared" si="30"/>
        <v>0</v>
      </c>
      <c r="O86" s="541">
        <f t="shared" si="30"/>
        <v>0</v>
      </c>
      <c r="P86" s="541">
        <f t="shared" si="30"/>
        <v>0</v>
      </c>
      <c r="Q86" s="541">
        <f t="shared" si="30"/>
        <v>0</v>
      </c>
      <c r="R86" s="541">
        <f t="shared" si="30"/>
        <v>0</v>
      </c>
      <c r="S86" s="541">
        <f t="shared" si="30"/>
        <v>0</v>
      </c>
      <c r="T86" s="541">
        <f t="shared" si="30"/>
        <v>0</v>
      </c>
      <c r="U86" s="541">
        <f t="shared" si="30"/>
        <v>0</v>
      </c>
      <c r="V86" s="541">
        <f t="shared" si="30"/>
        <v>0</v>
      </c>
      <c r="W86" s="541">
        <f t="shared" si="30"/>
        <v>0</v>
      </c>
      <c r="X86" s="541">
        <f t="shared" si="30"/>
        <v>0</v>
      </c>
      <c r="Y86" s="541">
        <f t="shared" si="30"/>
        <v>0</v>
      </c>
      <c r="Z86" s="541">
        <f t="shared" si="30"/>
        <v>0</v>
      </c>
      <c r="AA86" s="541">
        <f t="shared" si="30"/>
        <v>0</v>
      </c>
      <c r="AB86" s="541">
        <f t="shared" si="30"/>
        <v>0</v>
      </c>
      <c r="AC86" s="541">
        <f t="shared" si="30"/>
        <v>0</v>
      </c>
      <c r="AD86" s="541">
        <f t="shared" si="30"/>
        <v>0</v>
      </c>
      <c r="AE86" s="541">
        <f t="shared" si="30"/>
        <v>0</v>
      </c>
      <c r="AF86" s="541">
        <f t="shared" si="30"/>
        <v>0</v>
      </c>
      <c r="AG86" s="541">
        <f t="shared" si="30"/>
        <v>0</v>
      </c>
      <c r="AH86" s="423"/>
      <c r="AI86" s="423"/>
    </row>
    <row r="87" spans="1:35" hidden="1" x14ac:dyDescent="0.25">
      <c r="A87" s="451">
        <v>6</v>
      </c>
      <c r="B87" s="449" t="s">
        <v>87</v>
      </c>
      <c r="C87" s="540">
        <v>0</v>
      </c>
      <c r="D87" s="449"/>
      <c r="E87" s="541">
        <f t="shared" si="29"/>
        <v>0</v>
      </c>
      <c r="F87" s="541">
        <f t="shared" si="30"/>
        <v>0</v>
      </c>
      <c r="G87" s="541">
        <f t="shared" si="30"/>
        <v>0</v>
      </c>
      <c r="H87" s="541">
        <f t="shared" si="30"/>
        <v>0</v>
      </c>
      <c r="I87" s="541">
        <f t="shared" si="30"/>
        <v>0</v>
      </c>
      <c r="J87" s="541">
        <f t="shared" si="30"/>
        <v>0</v>
      </c>
      <c r="K87" s="541">
        <f t="shared" si="30"/>
        <v>0</v>
      </c>
      <c r="L87" s="541">
        <f t="shared" si="30"/>
        <v>0</v>
      </c>
      <c r="M87" s="541">
        <f t="shared" si="30"/>
        <v>0</v>
      </c>
      <c r="N87" s="541">
        <f t="shared" si="30"/>
        <v>0</v>
      </c>
      <c r="O87" s="541">
        <f t="shared" si="30"/>
        <v>0</v>
      </c>
      <c r="P87" s="541">
        <f t="shared" si="30"/>
        <v>0</v>
      </c>
      <c r="Q87" s="541">
        <f t="shared" si="30"/>
        <v>0</v>
      </c>
      <c r="R87" s="541">
        <f t="shared" si="30"/>
        <v>0</v>
      </c>
      <c r="S87" s="541">
        <f t="shared" si="30"/>
        <v>0</v>
      </c>
      <c r="T87" s="541">
        <f t="shared" si="30"/>
        <v>0</v>
      </c>
      <c r="U87" s="541">
        <f t="shared" si="30"/>
        <v>0</v>
      </c>
      <c r="V87" s="541">
        <f t="shared" si="30"/>
        <v>0</v>
      </c>
      <c r="W87" s="541">
        <f t="shared" si="30"/>
        <v>0</v>
      </c>
      <c r="X87" s="541">
        <f t="shared" si="30"/>
        <v>0</v>
      </c>
      <c r="Y87" s="541">
        <f t="shared" si="30"/>
        <v>0</v>
      </c>
      <c r="Z87" s="541">
        <f t="shared" si="30"/>
        <v>0</v>
      </c>
      <c r="AA87" s="541">
        <f t="shared" si="30"/>
        <v>0</v>
      </c>
      <c r="AB87" s="541">
        <f t="shared" si="30"/>
        <v>0</v>
      </c>
      <c r="AC87" s="541">
        <f t="shared" si="30"/>
        <v>0</v>
      </c>
      <c r="AD87" s="541">
        <f t="shared" si="30"/>
        <v>0</v>
      </c>
      <c r="AE87" s="541">
        <f t="shared" si="30"/>
        <v>0</v>
      </c>
      <c r="AF87" s="541">
        <f t="shared" si="30"/>
        <v>0</v>
      </c>
      <c r="AG87" s="541">
        <f t="shared" si="30"/>
        <v>0</v>
      </c>
      <c r="AH87" s="423"/>
      <c r="AI87" s="423"/>
    </row>
    <row r="88" spans="1:35" hidden="1" x14ac:dyDescent="0.25">
      <c r="A88" s="451">
        <v>7</v>
      </c>
      <c r="B88" s="449" t="s">
        <v>88</v>
      </c>
      <c r="C88" s="540">
        <v>0</v>
      </c>
      <c r="D88" s="449"/>
      <c r="E88" s="541">
        <f t="shared" si="29"/>
        <v>0</v>
      </c>
      <c r="F88" s="541">
        <f t="shared" si="30"/>
        <v>0</v>
      </c>
      <c r="G88" s="541">
        <f t="shared" si="30"/>
        <v>0</v>
      </c>
      <c r="H88" s="541">
        <f t="shared" si="30"/>
        <v>0</v>
      </c>
      <c r="I88" s="541">
        <f t="shared" si="30"/>
        <v>0</v>
      </c>
      <c r="J88" s="541">
        <f t="shared" si="30"/>
        <v>0</v>
      </c>
      <c r="K88" s="541">
        <f t="shared" si="30"/>
        <v>0</v>
      </c>
      <c r="L88" s="541">
        <f t="shared" si="30"/>
        <v>0</v>
      </c>
      <c r="M88" s="541">
        <f t="shared" si="30"/>
        <v>0</v>
      </c>
      <c r="N88" s="541">
        <f t="shared" si="30"/>
        <v>0</v>
      </c>
      <c r="O88" s="541">
        <f t="shared" si="30"/>
        <v>0</v>
      </c>
      <c r="P88" s="541">
        <f t="shared" si="30"/>
        <v>0</v>
      </c>
      <c r="Q88" s="541">
        <f t="shared" si="30"/>
        <v>0</v>
      </c>
      <c r="R88" s="541">
        <f t="shared" si="30"/>
        <v>0</v>
      </c>
      <c r="S88" s="541">
        <f t="shared" si="30"/>
        <v>0</v>
      </c>
      <c r="T88" s="541">
        <f t="shared" si="30"/>
        <v>0</v>
      </c>
      <c r="U88" s="541">
        <f t="shared" si="30"/>
        <v>0</v>
      </c>
      <c r="V88" s="541">
        <f t="shared" si="30"/>
        <v>0</v>
      </c>
      <c r="W88" s="541">
        <f t="shared" si="30"/>
        <v>0</v>
      </c>
      <c r="X88" s="541">
        <f t="shared" si="30"/>
        <v>0</v>
      </c>
      <c r="Y88" s="541">
        <f t="shared" si="30"/>
        <v>0</v>
      </c>
      <c r="Z88" s="541">
        <f t="shared" si="30"/>
        <v>0</v>
      </c>
      <c r="AA88" s="541">
        <f t="shared" si="30"/>
        <v>0</v>
      </c>
      <c r="AB88" s="541">
        <f t="shared" si="30"/>
        <v>0</v>
      </c>
      <c r="AC88" s="541">
        <f t="shared" si="30"/>
        <v>0</v>
      </c>
      <c r="AD88" s="541">
        <f t="shared" si="30"/>
        <v>0</v>
      </c>
      <c r="AE88" s="541">
        <f t="shared" si="30"/>
        <v>0</v>
      </c>
      <c r="AF88" s="541">
        <f t="shared" si="30"/>
        <v>0</v>
      </c>
      <c r="AG88" s="541">
        <f t="shared" si="30"/>
        <v>0</v>
      </c>
      <c r="AH88" s="423"/>
      <c r="AI88" s="423"/>
    </row>
    <row r="89" spans="1:35" hidden="1" x14ac:dyDescent="0.25">
      <c r="A89" s="451">
        <v>8</v>
      </c>
      <c r="B89" s="449" t="s">
        <v>89</v>
      </c>
      <c r="C89" s="540">
        <v>0</v>
      </c>
      <c r="D89" s="449"/>
      <c r="E89" s="541">
        <f t="shared" si="29"/>
        <v>0</v>
      </c>
      <c r="F89" s="541">
        <f t="shared" si="30"/>
        <v>0</v>
      </c>
      <c r="G89" s="541">
        <f t="shared" si="30"/>
        <v>0</v>
      </c>
      <c r="H89" s="541">
        <f t="shared" si="30"/>
        <v>0</v>
      </c>
      <c r="I89" s="541">
        <f t="shared" si="30"/>
        <v>0</v>
      </c>
      <c r="J89" s="541">
        <f t="shared" si="30"/>
        <v>0</v>
      </c>
      <c r="K89" s="541">
        <f t="shared" si="30"/>
        <v>0</v>
      </c>
      <c r="L89" s="541">
        <f t="shared" si="30"/>
        <v>0</v>
      </c>
      <c r="M89" s="541">
        <f t="shared" si="30"/>
        <v>0</v>
      </c>
      <c r="N89" s="541">
        <f t="shared" si="30"/>
        <v>0</v>
      </c>
      <c r="O89" s="541">
        <f t="shared" si="30"/>
        <v>0</v>
      </c>
      <c r="P89" s="541">
        <f t="shared" si="30"/>
        <v>0</v>
      </c>
      <c r="Q89" s="541">
        <f t="shared" si="30"/>
        <v>0</v>
      </c>
      <c r="R89" s="541">
        <f t="shared" si="30"/>
        <v>0</v>
      </c>
      <c r="S89" s="541">
        <f t="shared" si="30"/>
        <v>0</v>
      </c>
      <c r="T89" s="541">
        <f t="shared" si="30"/>
        <v>0</v>
      </c>
      <c r="U89" s="541">
        <f t="shared" si="30"/>
        <v>0</v>
      </c>
      <c r="V89" s="541">
        <f t="shared" si="30"/>
        <v>0</v>
      </c>
      <c r="W89" s="541">
        <f t="shared" si="30"/>
        <v>0</v>
      </c>
      <c r="X89" s="541">
        <f t="shared" si="30"/>
        <v>0</v>
      </c>
      <c r="Y89" s="541">
        <f t="shared" si="30"/>
        <v>0</v>
      </c>
      <c r="Z89" s="541">
        <f t="shared" si="30"/>
        <v>0</v>
      </c>
      <c r="AA89" s="541">
        <f t="shared" si="30"/>
        <v>0</v>
      </c>
      <c r="AB89" s="541">
        <f t="shared" si="30"/>
        <v>0</v>
      </c>
      <c r="AC89" s="541">
        <f t="shared" si="30"/>
        <v>0</v>
      </c>
      <c r="AD89" s="541">
        <f t="shared" si="30"/>
        <v>0</v>
      </c>
      <c r="AE89" s="541">
        <f t="shared" si="30"/>
        <v>0</v>
      </c>
      <c r="AF89" s="541">
        <f t="shared" si="30"/>
        <v>0</v>
      </c>
      <c r="AG89" s="541">
        <f t="shared" si="30"/>
        <v>0</v>
      </c>
      <c r="AH89" s="423"/>
      <c r="AI89" s="423"/>
    </row>
    <row r="90" spans="1:35" hidden="1" x14ac:dyDescent="0.25">
      <c r="A90" s="451">
        <v>9</v>
      </c>
      <c r="B90" s="449" t="s">
        <v>90</v>
      </c>
      <c r="C90" s="540">
        <v>0</v>
      </c>
      <c r="D90" s="449"/>
      <c r="E90" s="541">
        <f t="shared" si="29"/>
        <v>0</v>
      </c>
      <c r="F90" s="541">
        <f t="shared" si="30"/>
        <v>0</v>
      </c>
      <c r="G90" s="541">
        <f t="shared" si="30"/>
        <v>0</v>
      </c>
      <c r="H90" s="541">
        <f t="shared" si="30"/>
        <v>0</v>
      </c>
      <c r="I90" s="541">
        <f t="shared" si="30"/>
        <v>0</v>
      </c>
      <c r="J90" s="541">
        <f t="shared" si="30"/>
        <v>0</v>
      </c>
      <c r="K90" s="541">
        <f t="shared" si="30"/>
        <v>0</v>
      </c>
      <c r="L90" s="541">
        <f t="shared" si="30"/>
        <v>0</v>
      </c>
      <c r="M90" s="541">
        <f t="shared" si="30"/>
        <v>0</v>
      </c>
      <c r="N90" s="541">
        <f t="shared" si="30"/>
        <v>0</v>
      </c>
      <c r="O90" s="541">
        <f t="shared" si="30"/>
        <v>0</v>
      </c>
      <c r="P90" s="541">
        <f t="shared" si="30"/>
        <v>0</v>
      </c>
      <c r="Q90" s="541">
        <f t="shared" si="30"/>
        <v>0</v>
      </c>
      <c r="R90" s="541">
        <f t="shared" si="30"/>
        <v>0</v>
      </c>
      <c r="S90" s="541">
        <f t="shared" si="30"/>
        <v>0</v>
      </c>
      <c r="T90" s="541">
        <f t="shared" si="30"/>
        <v>0</v>
      </c>
      <c r="U90" s="541">
        <f t="shared" si="30"/>
        <v>0</v>
      </c>
      <c r="V90" s="541">
        <f t="shared" si="30"/>
        <v>0</v>
      </c>
      <c r="W90" s="541">
        <f t="shared" si="30"/>
        <v>0</v>
      </c>
      <c r="X90" s="541">
        <f t="shared" ref="F90:AG92" si="32">$C90*X$5</f>
        <v>0</v>
      </c>
      <c r="Y90" s="541">
        <f t="shared" si="32"/>
        <v>0</v>
      </c>
      <c r="Z90" s="541">
        <f t="shared" si="32"/>
        <v>0</v>
      </c>
      <c r="AA90" s="541">
        <f t="shared" si="32"/>
        <v>0</v>
      </c>
      <c r="AB90" s="541">
        <f t="shared" si="32"/>
        <v>0</v>
      </c>
      <c r="AC90" s="541">
        <f t="shared" si="32"/>
        <v>0</v>
      </c>
      <c r="AD90" s="541">
        <f t="shared" si="32"/>
        <v>0</v>
      </c>
      <c r="AE90" s="541">
        <f t="shared" si="32"/>
        <v>0</v>
      </c>
      <c r="AF90" s="541">
        <f t="shared" si="32"/>
        <v>0</v>
      </c>
      <c r="AG90" s="541">
        <f t="shared" si="32"/>
        <v>0</v>
      </c>
      <c r="AH90" s="423"/>
      <c r="AI90" s="423"/>
    </row>
    <row r="91" spans="1:35" hidden="1" x14ac:dyDescent="0.25">
      <c r="A91" s="451">
        <v>10</v>
      </c>
      <c r="B91" s="449" t="s">
        <v>91</v>
      </c>
      <c r="C91" s="540">
        <v>0</v>
      </c>
      <c r="D91" s="449"/>
      <c r="E91" s="541">
        <f t="shared" si="29"/>
        <v>0</v>
      </c>
      <c r="F91" s="541">
        <f t="shared" si="32"/>
        <v>0</v>
      </c>
      <c r="G91" s="541">
        <f t="shared" si="32"/>
        <v>0</v>
      </c>
      <c r="H91" s="541">
        <f t="shared" si="32"/>
        <v>0</v>
      </c>
      <c r="I91" s="541">
        <f t="shared" si="32"/>
        <v>0</v>
      </c>
      <c r="J91" s="541">
        <f t="shared" si="32"/>
        <v>0</v>
      </c>
      <c r="K91" s="541">
        <f t="shared" si="32"/>
        <v>0</v>
      </c>
      <c r="L91" s="541">
        <f t="shared" si="32"/>
        <v>0</v>
      </c>
      <c r="M91" s="541">
        <f t="shared" si="32"/>
        <v>0</v>
      </c>
      <c r="N91" s="541">
        <f t="shared" si="32"/>
        <v>0</v>
      </c>
      <c r="O91" s="541">
        <f t="shared" si="32"/>
        <v>0</v>
      </c>
      <c r="P91" s="541">
        <f t="shared" si="32"/>
        <v>0</v>
      </c>
      <c r="Q91" s="541">
        <f t="shared" si="32"/>
        <v>0</v>
      </c>
      <c r="R91" s="541">
        <f t="shared" si="32"/>
        <v>0</v>
      </c>
      <c r="S91" s="541">
        <f t="shared" si="32"/>
        <v>0</v>
      </c>
      <c r="T91" s="541">
        <f t="shared" si="32"/>
        <v>0</v>
      </c>
      <c r="U91" s="541">
        <f t="shared" si="32"/>
        <v>0</v>
      </c>
      <c r="V91" s="541">
        <f t="shared" si="32"/>
        <v>0</v>
      </c>
      <c r="W91" s="541">
        <f t="shared" si="32"/>
        <v>0</v>
      </c>
      <c r="X91" s="541">
        <f t="shared" si="32"/>
        <v>0</v>
      </c>
      <c r="Y91" s="541">
        <f t="shared" si="32"/>
        <v>0</v>
      </c>
      <c r="Z91" s="541">
        <f t="shared" si="32"/>
        <v>0</v>
      </c>
      <c r="AA91" s="541">
        <f t="shared" si="32"/>
        <v>0</v>
      </c>
      <c r="AB91" s="541">
        <f t="shared" si="32"/>
        <v>0</v>
      </c>
      <c r="AC91" s="541">
        <f t="shared" si="32"/>
        <v>0</v>
      </c>
      <c r="AD91" s="541">
        <f t="shared" si="32"/>
        <v>0</v>
      </c>
      <c r="AE91" s="541">
        <f t="shared" si="32"/>
        <v>0</v>
      </c>
      <c r="AF91" s="541">
        <f t="shared" si="32"/>
        <v>0</v>
      </c>
      <c r="AG91" s="541">
        <f t="shared" si="32"/>
        <v>0</v>
      </c>
      <c r="AH91" s="423"/>
      <c r="AI91" s="423"/>
    </row>
    <row r="92" spans="1:35" ht="15.75" hidden="1" customHeight="1" x14ac:dyDescent="0.25">
      <c r="A92" s="451">
        <v>11</v>
      </c>
      <c r="B92" s="449" t="s">
        <v>92</v>
      </c>
      <c r="C92" s="540">
        <v>0</v>
      </c>
      <c r="D92" s="449"/>
      <c r="E92" s="541">
        <f t="shared" si="29"/>
        <v>0</v>
      </c>
      <c r="F92" s="541">
        <f t="shared" si="32"/>
        <v>0</v>
      </c>
      <c r="G92" s="541">
        <f t="shared" si="32"/>
        <v>0</v>
      </c>
      <c r="H92" s="541">
        <f t="shared" si="32"/>
        <v>0</v>
      </c>
      <c r="I92" s="541">
        <f t="shared" si="32"/>
        <v>0</v>
      </c>
      <c r="J92" s="541">
        <f t="shared" si="32"/>
        <v>0</v>
      </c>
      <c r="K92" s="541">
        <f t="shared" si="32"/>
        <v>0</v>
      </c>
      <c r="L92" s="541">
        <f t="shared" si="32"/>
        <v>0</v>
      </c>
      <c r="M92" s="541">
        <f t="shared" si="32"/>
        <v>0</v>
      </c>
      <c r="N92" s="541">
        <f t="shared" si="32"/>
        <v>0</v>
      </c>
      <c r="O92" s="541">
        <f t="shared" si="32"/>
        <v>0</v>
      </c>
      <c r="P92" s="541">
        <f t="shared" si="32"/>
        <v>0</v>
      </c>
      <c r="Q92" s="541">
        <f t="shared" si="32"/>
        <v>0</v>
      </c>
      <c r="R92" s="541">
        <f t="shared" si="32"/>
        <v>0</v>
      </c>
      <c r="S92" s="541">
        <f t="shared" si="32"/>
        <v>0</v>
      </c>
      <c r="T92" s="541">
        <f t="shared" si="32"/>
        <v>0</v>
      </c>
      <c r="U92" s="541">
        <f t="shared" si="32"/>
        <v>0</v>
      </c>
      <c r="V92" s="541">
        <f t="shared" si="32"/>
        <v>0</v>
      </c>
      <c r="W92" s="541">
        <f t="shared" si="32"/>
        <v>0</v>
      </c>
      <c r="X92" s="541">
        <f t="shared" si="32"/>
        <v>0</v>
      </c>
      <c r="Y92" s="541">
        <f t="shared" si="32"/>
        <v>0</v>
      </c>
      <c r="Z92" s="541">
        <f t="shared" si="32"/>
        <v>0</v>
      </c>
      <c r="AA92" s="541">
        <f t="shared" si="32"/>
        <v>0</v>
      </c>
      <c r="AB92" s="541">
        <f t="shared" si="32"/>
        <v>0</v>
      </c>
      <c r="AC92" s="541">
        <f t="shared" si="32"/>
        <v>0</v>
      </c>
      <c r="AD92" s="541">
        <f t="shared" si="32"/>
        <v>0</v>
      </c>
      <c r="AE92" s="541">
        <f t="shared" si="32"/>
        <v>0</v>
      </c>
      <c r="AF92" s="541">
        <f t="shared" si="32"/>
        <v>0</v>
      </c>
      <c r="AG92" s="541">
        <f t="shared" si="32"/>
        <v>0</v>
      </c>
      <c r="AH92" s="423"/>
      <c r="AI92" s="423"/>
    </row>
    <row r="93" spans="1:35" hidden="1" x14ac:dyDescent="0.25">
      <c r="A93" s="449"/>
      <c r="B93" s="449" t="s">
        <v>67</v>
      </c>
      <c r="C93" s="451" t="s">
        <v>0</v>
      </c>
      <c r="D93" s="449"/>
      <c r="E93" s="541">
        <f t="shared" ref="E93:AG93" si="33">SUM(E82:E92)</f>
        <v>15378.069508142768</v>
      </c>
      <c r="F93" s="541">
        <f t="shared" si="33"/>
        <v>15897.861176305134</v>
      </c>
      <c r="G93" s="541">
        <f t="shared" si="33"/>
        <v>15715.803539514558</v>
      </c>
      <c r="H93" s="541">
        <f t="shared" si="33"/>
        <v>11486.889652917414</v>
      </c>
      <c r="I93" s="541">
        <f t="shared" si="33"/>
        <v>13136.500717018891</v>
      </c>
      <c r="J93" s="541">
        <f t="shared" si="33"/>
        <v>13791.515687975538</v>
      </c>
      <c r="K93" s="541">
        <f t="shared" si="33"/>
        <v>13943.521567236552</v>
      </c>
      <c r="L93" s="541">
        <f t="shared" si="33"/>
        <v>13965.176690991533</v>
      </c>
      <c r="M93" s="541">
        <f t="shared" si="33"/>
        <v>14032.152406234089</v>
      </c>
      <c r="N93" s="541">
        <f t="shared" si="33"/>
        <v>14095.286891704276</v>
      </c>
      <c r="O93" s="541">
        <f t="shared" si="33"/>
        <v>14152.791120959382</v>
      </c>
      <c r="P93" s="541">
        <f t="shared" si="33"/>
        <v>14217.520385066478</v>
      </c>
      <c r="Q93" s="541">
        <f t="shared" si="33"/>
        <v>14288.668340827417</v>
      </c>
      <c r="R93" s="541">
        <f t="shared" si="33"/>
        <v>14361.95028887921</v>
      </c>
      <c r="S93" s="541">
        <f t="shared" si="33"/>
        <v>14432.550935230791</v>
      </c>
      <c r="T93" s="541">
        <f t="shared" si="33"/>
        <v>14509.804984979715</v>
      </c>
      <c r="U93" s="541">
        <f t="shared" si="33"/>
        <v>14594.121480857251</v>
      </c>
      <c r="V93" s="541">
        <f t="shared" si="33"/>
        <v>14685.734164620886</v>
      </c>
      <c r="W93" s="541">
        <f t="shared" si="33"/>
        <v>14776.200881538363</v>
      </c>
      <c r="X93" s="541">
        <f t="shared" si="33"/>
        <v>14862.669444042474</v>
      </c>
      <c r="Y93" s="541">
        <f t="shared" si="33"/>
        <v>14955.997829646638</v>
      </c>
      <c r="Z93" s="541">
        <f t="shared" si="33"/>
        <v>15049.878896281891</v>
      </c>
      <c r="AA93" s="541">
        <f t="shared" si="33"/>
        <v>15157.698219948525</v>
      </c>
      <c r="AB93" s="541">
        <f t="shared" si="33"/>
        <v>15249.751829967769</v>
      </c>
      <c r="AC93" s="541">
        <f t="shared" si="33"/>
        <v>15353.061685414228</v>
      </c>
      <c r="AD93" s="541">
        <f t="shared" si="33"/>
        <v>15467.328932990555</v>
      </c>
      <c r="AE93" s="541">
        <f t="shared" si="33"/>
        <v>15568.534088051189</v>
      </c>
      <c r="AF93" s="541">
        <f t="shared" si="33"/>
        <v>15667.875052511095</v>
      </c>
      <c r="AG93" s="541">
        <f t="shared" si="33"/>
        <v>15790.401781228089</v>
      </c>
      <c r="AH93" s="423"/>
      <c r="AI93" s="423"/>
    </row>
    <row r="94" spans="1:35" hidden="1" x14ac:dyDescent="0.25">
      <c r="A94" s="449"/>
      <c r="B94" s="449"/>
      <c r="C94" s="449"/>
      <c r="D94" s="449"/>
      <c r="E94" s="450"/>
      <c r="F94" s="450"/>
      <c r="G94" s="450"/>
      <c r="H94" s="450"/>
      <c r="I94" s="450"/>
      <c r="J94" s="450"/>
      <c r="K94" s="450"/>
      <c r="L94" s="450"/>
      <c r="M94" s="450"/>
      <c r="N94" s="450"/>
      <c r="O94" s="450"/>
      <c r="P94" s="450"/>
      <c r="Q94" s="450"/>
      <c r="R94" s="450"/>
      <c r="S94" s="450"/>
      <c r="T94" s="450"/>
      <c r="U94" s="450"/>
      <c r="V94" s="450"/>
      <c r="W94" s="450"/>
      <c r="X94" s="450"/>
      <c r="Y94" s="450"/>
      <c r="Z94" s="450"/>
      <c r="AA94" s="450"/>
      <c r="AB94" s="450"/>
      <c r="AC94" s="450"/>
      <c r="AD94" s="450"/>
      <c r="AE94" s="450"/>
      <c r="AF94" s="450"/>
      <c r="AG94" s="450"/>
      <c r="AH94" s="423"/>
      <c r="AI94" s="423"/>
    </row>
    <row r="95" spans="1:35" hidden="1" x14ac:dyDescent="0.25">
      <c r="A95" s="449"/>
      <c r="B95" s="539" t="s">
        <v>46</v>
      </c>
      <c r="C95" s="449"/>
      <c r="D95" s="449"/>
      <c r="E95" s="450"/>
      <c r="F95" s="450"/>
      <c r="G95" s="450"/>
      <c r="H95" s="450"/>
      <c r="I95" s="450"/>
      <c r="J95" s="450"/>
      <c r="K95" s="450"/>
      <c r="L95" s="450"/>
      <c r="M95" s="450"/>
      <c r="N95" s="450"/>
      <c r="O95" s="450"/>
      <c r="P95" s="450"/>
      <c r="Q95" s="450"/>
      <c r="R95" s="450"/>
      <c r="S95" s="450"/>
      <c r="T95" s="450"/>
      <c r="U95" s="450"/>
      <c r="V95" s="450"/>
      <c r="W95" s="450"/>
      <c r="X95" s="450"/>
      <c r="Y95" s="450"/>
      <c r="Z95" s="450"/>
      <c r="AA95" s="450"/>
      <c r="AB95" s="450"/>
      <c r="AC95" s="450"/>
      <c r="AD95" s="450"/>
      <c r="AE95" s="450"/>
      <c r="AF95" s="450"/>
      <c r="AG95" s="450"/>
      <c r="AH95" s="423"/>
      <c r="AI95" s="423"/>
    </row>
    <row r="96" spans="1:35" hidden="1" x14ac:dyDescent="0.25">
      <c r="A96" s="449"/>
      <c r="B96" s="449" t="s">
        <v>80</v>
      </c>
      <c r="C96" s="450" t="s">
        <v>81</v>
      </c>
      <c r="D96" s="449"/>
      <c r="E96" s="450">
        <v>2017</v>
      </c>
      <c r="F96" s="450">
        <v>2018</v>
      </c>
      <c r="G96" s="450">
        <v>2019</v>
      </c>
      <c r="H96" s="450">
        <v>2020</v>
      </c>
      <c r="I96" s="450">
        <v>2021</v>
      </c>
      <c r="J96" s="450">
        <v>2022</v>
      </c>
      <c r="K96" s="450">
        <v>2023</v>
      </c>
      <c r="L96" s="450">
        <v>2024</v>
      </c>
      <c r="M96" s="450">
        <v>2025</v>
      </c>
      <c r="N96" s="450">
        <v>2026</v>
      </c>
      <c r="O96" s="450">
        <v>2027</v>
      </c>
      <c r="P96" s="450">
        <v>2028</v>
      </c>
      <c r="Q96" s="450">
        <v>2029</v>
      </c>
      <c r="R96" s="450">
        <v>2030</v>
      </c>
      <c r="S96" s="450">
        <v>2031</v>
      </c>
      <c r="T96" s="450">
        <v>2032</v>
      </c>
      <c r="U96" s="450">
        <v>2033</v>
      </c>
      <c r="V96" s="450">
        <v>2034</v>
      </c>
      <c r="W96" s="450">
        <v>2035</v>
      </c>
      <c r="X96" s="450">
        <v>2036</v>
      </c>
      <c r="Y96" s="450">
        <v>2037</v>
      </c>
      <c r="Z96" s="450">
        <v>2038</v>
      </c>
      <c r="AA96" s="450">
        <v>2039</v>
      </c>
      <c r="AB96" s="450">
        <v>2040</v>
      </c>
      <c r="AC96" s="450">
        <v>2041</v>
      </c>
      <c r="AD96" s="450">
        <v>2042</v>
      </c>
      <c r="AE96" s="450">
        <v>2043</v>
      </c>
      <c r="AF96" s="450">
        <v>2044</v>
      </c>
      <c r="AG96" s="450">
        <v>2045</v>
      </c>
      <c r="AH96" s="423"/>
      <c r="AI96" s="423"/>
    </row>
    <row r="97" spans="1:35" hidden="1" x14ac:dyDescent="0.25">
      <c r="A97" s="451">
        <v>1</v>
      </c>
      <c r="B97" s="449" t="s">
        <v>82</v>
      </c>
      <c r="C97" s="540">
        <v>1.2240391145302229E-3</v>
      </c>
      <c r="D97" s="449"/>
      <c r="E97" s="541">
        <f t="shared" ref="E97:E107" si="34">$C97*E$6</f>
        <v>8757.3366848722253</v>
      </c>
      <c r="F97" s="541">
        <f t="shared" ref="F97:AG105" si="35">$C97*F$6</f>
        <v>9053.3420216720715</v>
      </c>
      <c r="G97" s="541">
        <f t="shared" si="35"/>
        <v>8949.6658079195568</v>
      </c>
      <c r="H97" s="541">
        <f t="shared" si="35"/>
        <v>6541.4296703046848</v>
      </c>
      <c r="I97" s="541">
        <f t="shared" si="35"/>
        <v>7480.8323358848884</v>
      </c>
      <c r="J97" s="541">
        <f t="shared" si="35"/>
        <v>7853.8431765019004</v>
      </c>
      <c r="K97" s="541">
        <f t="shared" si="35"/>
        <v>7940.4058404347088</v>
      </c>
      <c r="L97" s="541">
        <f t="shared" si="35"/>
        <v>7952.7377660756047</v>
      </c>
      <c r="M97" s="541">
        <f t="shared" si="35"/>
        <v>8144.8386312826424</v>
      </c>
      <c r="N97" s="541">
        <f t="shared" si="35"/>
        <v>8180.7917751669165</v>
      </c>
      <c r="O97" s="541">
        <f t="shared" si="35"/>
        <v>8213.5386616421256</v>
      </c>
      <c r="P97" s="541">
        <f t="shared" si="35"/>
        <v>8250.3999828144424</v>
      </c>
      <c r="Q97" s="541">
        <f t="shared" si="35"/>
        <v>8290.9165510812854</v>
      </c>
      <c r="R97" s="541">
        <f t="shared" si="35"/>
        <v>8563.5548200992307</v>
      </c>
      <c r="S97" s="541">
        <f t="shared" si="35"/>
        <v>8603.7597125236662</v>
      </c>
      <c r="T97" s="541">
        <f t="shared" si="35"/>
        <v>8647.7535131475342</v>
      </c>
      <c r="U97" s="541">
        <f t="shared" si="35"/>
        <v>8695.7691592009778</v>
      </c>
      <c r="V97" s="541">
        <f t="shared" si="35"/>
        <v>8747.9397594117545</v>
      </c>
      <c r="W97" s="541">
        <f t="shared" si="35"/>
        <v>9096.9141711335815</v>
      </c>
      <c r="X97" s="541">
        <f t="shared" si="35"/>
        <v>9139.2262002739808</v>
      </c>
      <c r="Y97" s="541">
        <f t="shared" si="35"/>
        <v>9185.7237691729988</v>
      </c>
      <c r="Z97" s="541">
        <f t="shared" si="35"/>
        <v>9232.8039143495171</v>
      </c>
      <c r="AA97" s="541">
        <f t="shared" si="35"/>
        <v>9288.0785211252914</v>
      </c>
      <c r="AB97" s="541">
        <f t="shared" si="35"/>
        <v>10449.033899667154</v>
      </c>
      <c r="AC97" s="541">
        <f t="shared" si="35"/>
        <v>10502.2239680854</v>
      </c>
      <c r="AD97" s="541">
        <f t="shared" si="35"/>
        <v>10561.881161917205</v>
      </c>
      <c r="AE97" s="541">
        <f t="shared" si="35"/>
        <v>10614.317972900544</v>
      </c>
      <c r="AF97" s="541">
        <f t="shared" si="35"/>
        <v>10665.902477747635</v>
      </c>
      <c r="AG97" s="541">
        <f t="shared" si="35"/>
        <v>10730.89142421062</v>
      </c>
      <c r="AH97" s="423"/>
      <c r="AI97" s="423"/>
    </row>
    <row r="98" spans="1:35" hidden="1" x14ac:dyDescent="0.25">
      <c r="A98" s="451">
        <v>2</v>
      </c>
      <c r="B98" s="449" t="s">
        <v>83</v>
      </c>
      <c r="C98" s="540">
        <v>4.0430304847560288E-4</v>
      </c>
      <c r="D98" s="449"/>
      <c r="E98" s="541">
        <f t="shared" si="34"/>
        <v>2892.5692620369682</v>
      </c>
      <c r="F98" s="541">
        <f t="shared" ref="F98:T98" si="36">$C98*F$6</f>
        <v>2990.3405330793612</v>
      </c>
      <c r="G98" s="541">
        <f t="shared" si="36"/>
        <v>2956.0960315949151</v>
      </c>
      <c r="H98" s="541">
        <f t="shared" si="36"/>
        <v>2160.6498727844705</v>
      </c>
      <c r="I98" s="541">
        <f t="shared" si="36"/>
        <v>2470.936821078561</v>
      </c>
      <c r="J98" s="541">
        <f t="shared" si="36"/>
        <v>2594.1431942946529</v>
      </c>
      <c r="K98" s="541">
        <f t="shared" si="36"/>
        <v>2622.7350493234321</v>
      </c>
      <c r="L98" s="541">
        <f t="shared" si="36"/>
        <v>2626.8083138711113</v>
      </c>
      <c r="M98" s="541">
        <f t="shared" si="36"/>
        <v>2690.2596893182222</v>
      </c>
      <c r="N98" s="541">
        <f t="shared" si="36"/>
        <v>2702.1350987738037</v>
      </c>
      <c r="O98" s="541">
        <f t="shared" si="36"/>
        <v>2712.9514737350669</v>
      </c>
      <c r="P98" s="541">
        <f t="shared" si="36"/>
        <v>2725.1268563220247</v>
      </c>
      <c r="Q98" s="541">
        <f t="shared" si="36"/>
        <v>2738.5095757707745</v>
      </c>
      <c r="R98" s="541">
        <f t="shared" si="36"/>
        <v>2828.5626484108361</v>
      </c>
      <c r="S98" s="541">
        <f t="shared" si="36"/>
        <v>2841.8424205830447</v>
      </c>
      <c r="T98" s="541">
        <f t="shared" si="36"/>
        <v>2856.3736781998273</v>
      </c>
      <c r="U98" s="541">
        <f t="shared" si="35"/>
        <v>2872.233360985686</v>
      </c>
      <c r="V98" s="541">
        <f t="shared" si="35"/>
        <v>2889.4654350719088</v>
      </c>
      <c r="W98" s="541">
        <f t="shared" si="35"/>
        <v>3004.732518308268</v>
      </c>
      <c r="X98" s="541">
        <f t="shared" si="35"/>
        <v>3018.7082827798286</v>
      </c>
      <c r="Y98" s="541">
        <f t="shared" si="35"/>
        <v>3034.0665410490442</v>
      </c>
      <c r="Z98" s="541">
        <f t="shared" si="35"/>
        <v>3049.6172256567384</v>
      </c>
      <c r="AA98" s="541">
        <f t="shared" si="35"/>
        <v>3067.8745605388126</v>
      </c>
      <c r="AB98" s="541">
        <f t="shared" si="35"/>
        <v>3451.3409000673223</v>
      </c>
      <c r="AC98" s="541">
        <f t="shared" si="35"/>
        <v>3468.9097069419095</v>
      </c>
      <c r="AD98" s="541">
        <f t="shared" si="35"/>
        <v>3488.6146208154792</v>
      </c>
      <c r="AE98" s="541">
        <f t="shared" si="35"/>
        <v>3505.934624956883</v>
      </c>
      <c r="AF98" s="541">
        <f t="shared" si="35"/>
        <v>3522.973110342039</v>
      </c>
      <c r="AG98" s="541">
        <f t="shared" si="35"/>
        <v>3544.439114867791</v>
      </c>
      <c r="AH98" s="423"/>
      <c r="AI98" s="423"/>
    </row>
    <row r="99" spans="1:35" hidden="1" x14ac:dyDescent="0.25">
      <c r="A99" s="451">
        <v>3</v>
      </c>
      <c r="B99" s="449" t="s">
        <v>84</v>
      </c>
      <c r="C99" s="540">
        <v>1.0179322248246867E-3</v>
      </c>
      <c r="D99" s="449"/>
      <c r="E99" s="541">
        <f t="shared" si="34"/>
        <v>7282.7535569335969</v>
      </c>
      <c r="F99" s="541">
        <f t="shared" si="35"/>
        <v>7528.916745243383</v>
      </c>
      <c r="G99" s="541">
        <f t="shared" si="35"/>
        <v>7442.6978020137776</v>
      </c>
      <c r="H99" s="541">
        <f t="shared" si="35"/>
        <v>5439.9667288271548</v>
      </c>
      <c r="I99" s="541">
        <f t="shared" si="35"/>
        <v>6221.1903302864102</v>
      </c>
      <c r="J99" s="541">
        <f t="shared" si="35"/>
        <v>6531.3926353971638</v>
      </c>
      <c r="K99" s="541">
        <f t="shared" si="35"/>
        <v>6603.3796528363027</v>
      </c>
      <c r="L99" s="541">
        <f t="shared" si="35"/>
        <v>6613.6350967637036</v>
      </c>
      <c r="M99" s="541">
        <f t="shared" si="35"/>
        <v>6773.389518652416</v>
      </c>
      <c r="N99" s="541">
        <f t="shared" si="35"/>
        <v>6803.2887786589945</v>
      </c>
      <c r="O99" s="541">
        <f t="shared" si="35"/>
        <v>6830.5216592181951</v>
      </c>
      <c r="P99" s="541">
        <f t="shared" si="35"/>
        <v>6861.17617525898</v>
      </c>
      <c r="Q99" s="541">
        <f t="shared" si="35"/>
        <v>6894.8704583815879</v>
      </c>
      <c r="R99" s="541">
        <f t="shared" si="35"/>
        <v>7121.6011865579521</v>
      </c>
      <c r="S99" s="541">
        <f t="shared" si="35"/>
        <v>7155.0362746271348</v>
      </c>
      <c r="T99" s="541">
        <f t="shared" si="35"/>
        <v>7191.6222846785658</v>
      </c>
      <c r="U99" s="541">
        <f t="shared" si="35"/>
        <v>7231.5529313657298</v>
      </c>
      <c r="V99" s="541">
        <f t="shared" si="35"/>
        <v>7274.938910222605</v>
      </c>
      <c r="W99" s="541">
        <f t="shared" si="35"/>
        <v>7565.1521028518464</v>
      </c>
      <c r="X99" s="541">
        <f t="shared" si="35"/>
        <v>7600.3395224763108</v>
      </c>
      <c r="Y99" s="541">
        <f t="shared" si="35"/>
        <v>7639.007709788676</v>
      </c>
      <c r="Z99" s="541">
        <f t="shared" si="35"/>
        <v>7678.1603776697157</v>
      </c>
      <c r="AA99" s="541">
        <f t="shared" si="35"/>
        <v>7724.1277023929679</v>
      </c>
      <c r="AB99" s="541">
        <f t="shared" si="35"/>
        <v>8689.5983947693803</v>
      </c>
      <c r="AC99" s="541">
        <f t="shared" si="35"/>
        <v>8733.8321811254173</v>
      </c>
      <c r="AD99" s="541">
        <f t="shared" si="35"/>
        <v>8783.4441414975427</v>
      </c>
      <c r="AE99" s="541">
        <f t="shared" si="35"/>
        <v>8827.0515058647106</v>
      </c>
      <c r="AF99" s="541">
        <f t="shared" si="35"/>
        <v>8869.9500776196091</v>
      </c>
      <c r="AG99" s="541">
        <f t="shared" si="35"/>
        <v>8923.9960162475345</v>
      </c>
      <c r="AH99" s="423"/>
      <c r="AI99" s="423"/>
    </row>
    <row r="100" spans="1:35" hidden="1" x14ac:dyDescent="0.25">
      <c r="A100" s="451">
        <v>4</v>
      </c>
      <c r="B100" s="449" t="s">
        <v>85</v>
      </c>
      <c r="C100" s="540">
        <v>0.45427734583901763</v>
      </c>
      <c r="D100" s="449"/>
      <c r="E100" s="541">
        <f t="shared" si="34"/>
        <v>3250108.2837938908</v>
      </c>
      <c r="F100" s="541">
        <f t="shared" si="35"/>
        <v>3359964.6741325497</v>
      </c>
      <c r="G100" s="541">
        <f t="shared" si="35"/>
        <v>3321487.3455479909</v>
      </c>
      <c r="H100" s="541">
        <f t="shared" si="35"/>
        <v>2427719.2398047666</v>
      </c>
      <c r="I100" s="541">
        <f t="shared" si="35"/>
        <v>2776359.5279524671</v>
      </c>
      <c r="J100" s="541">
        <f t="shared" si="35"/>
        <v>2914794.9526322666</v>
      </c>
      <c r="K100" s="541">
        <f t="shared" si="35"/>
        <v>2946920.9335370869</v>
      </c>
      <c r="L100" s="541">
        <f t="shared" si="35"/>
        <v>2951497.6781710852</v>
      </c>
      <c r="M100" s="541">
        <f t="shared" si="35"/>
        <v>3022792.0266471342</v>
      </c>
      <c r="N100" s="541">
        <f t="shared" si="35"/>
        <v>3036135.3083972312</v>
      </c>
      <c r="O100" s="541">
        <f t="shared" si="35"/>
        <v>3048288.65259666</v>
      </c>
      <c r="P100" s="541">
        <f t="shared" si="35"/>
        <v>3061968.9859679565</v>
      </c>
      <c r="Q100" s="541">
        <f t="shared" si="35"/>
        <v>3077005.8903252413</v>
      </c>
      <c r="R100" s="541">
        <f t="shared" si="35"/>
        <v>3178190.066348203</v>
      </c>
      <c r="S100" s="541">
        <f t="shared" si="35"/>
        <v>3193111.2985241255</v>
      </c>
      <c r="T100" s="541">
        <f t="shared" si="35"/>
        <v>3209438.7073001526</v>
      </c>
      <c r="U100" s="541">
        <f t="shared" si="35"/>
        <v>3227258.7426151806</v>
      </c>
      <c r="V100" s="541">
        <f t="shared" si="35"/>
        <v>3246620.8050797256</v>
      </c>
      <c r="W100" s="541">
        <f t="shared" si="35"/>
        <v>3376135.5956128426</v>
      </c>
      <c r="X100" s="541">
        <f t="shared" si="35"/>
        <v>3391838.8489376684</v>
      </c>
      <c r="Y100" s="541">
        <f t="shared" si="35"/>
        <v>3409095.4806389515</v>
      </c>
      <c r="Z100" s="541">
        <f t="shared" si="35"/>
        <v>3426568.3237357289</v>
      </c>
      <c r="AA100" s="541">
        <f t="shared" si="35"/>
        <v>3447082.37541947</v>
      </c>
      <c r="AB100" s="541">
        <f t="shared" si="35"/>
        <v>3877947.4693049216</v>
      </c>
      <c r="AC100" s="541">
        <f t="shared" si="35"/>
        <v>3897687.8867631578</v>
      </c>
      <c r="AD100" s="541">
        <f t="shared" si="35"/>
        <v>3919828.4469400416</v>
      </c>
      <c r="AE100" s="541">
        <f t="shared" si="35"/>
        <v>3939289.3081453769</v>
      </c>
      <c r="AF100" s="541">
        <f t="shared" si="35"/>
        <v>3958433.8531768071</v>
      </c>
      <c r="AG100" s="541">
        <f t="shared" si="35"/>
        <v>3982553.1854412914</v>
      </c>
      <c r="AH100" s="423"/>
      <c r="AI100" s="423"/>
    </row>
    <row r="101" spans="1:35" hidden="1" x14ac:dyDescent="0.25">
      <c r="A101" s="451">
        <v>5</v>
      </c>
      <c r="B101" s="449" t="s">
        <v>86</v>
      </c>
      <c r="C101" s="540">
        <v>0.23161740298243108</v>
      </c>
      <c r="D101" s="449"/>
      <c r="E101" s="541">
        <f t="shared" si="34"/>
        <v>1657097.0289387719</v>
      </c>
      <c r="F101" s="541">
        <f t="shared" si="35"/>
        <v>1713108.3006086587</v>
      </c>
      <c r="G101" s="541">
        <f t="shared" si="35"/>
        <v>1693490.2875114016</v>
      </c>
      <c r="H101" s="541">
        <f t="shared" si="35"/>
        <v>1237794.5557807432</v>
      </c>
      <c r="I101" s="541">
        <f t="shared" si="35"/>
        <v>1415551.9519077176</v>
      </c>
      <c r="J101" s="541">
        <f t="shared" si="35"/>
        <v>1486134.5020586285</v>
      </c>
      <c r="K101" s="541">
        <f t="shared" si="35"/>
        <v>1502514.2232434803</v>
      </c>
      <c r="L101" s="541">
        <f t="shared" si="35"/>
        <v>1504847.717783655</v>
      </c>
      <c r="M101" s="541">
        <f t="shared" si="35"/>
        <v>1541197.7845272401</v>
      </c>
      <c r="N101" s="541">
        <f t="shared" si="35"/>
        <v>1548000.977102279</v>
      </c>
      <c r="O101" s="541">
        <f t="shared" si="35"/>
        <v>1554197.4692822362</v>
      </c>
      <c r="P101" s="541">
        <f t="shared" si="35"/>
        <v>1561172.5106670128</v>
      </c>
      <c r="Q101" s="541">
        <f t="shared" si="35"/>
        <v>1568839.2120071314</v>
      </c>
      <c r="R101" s="541">
        <f t="shared" si="35"/>
        <v>1620428.8769728607</v>
      </c>
      <c r="S101" s="541">
        <f t="shared" si="35"/>
        <v>1628036.6018077894</v>
      </c>
      <c r="T101" s="541">
        <f t="shared" si="35"/>
        <v>1636361.2784679283</v>
      </c>
      <c r="U101" s="541">
        <f t="shared" si="35"/>
        <v>1645446.9842345209</v>
      </c>
      <c r="V101" s="541">
        <f t="shared" si="35"/>
        <v>1655318.9064545005</v>
      </c>
      <c r="W101" s="541">
        <f t="shared" si="35"/>
        <v>1721353.1908093372</v>
      </c>
      <c r="X101" s="541">
        <f t="shared" si="35"/>
        <v>1729359.6361819406</v>
      </c>
      <c r="Y101" s="541">
        <f t="shared" si="35"/>
        <v>1738158.0855333901</v>
      </c>
      <c r="Z101" s="541">
        <f t="shared" si="35"/>
        <v>1747066.7722153564</v>
      </c>
      <c r="AA101" s="541">
        <f t="shared" si="35"/>
        <v>1757526.04653127</v>
      </c>
      <c r="AB101" s="541">
        <f t="shared" si="35"/>
        <v>1977206.5016444651</v>
      </c>
      <c r="AC101" s="541">
        <f t="shared" si="35"/>
        <v>1987271.3315712605</v>
      </c>
      <c r="AD101" s="541">
        <f t="shared" si="35"/>
        <v>1998559.8959157465</v>
      </c>
      <c r="AE101" s="541">
        <f t="shared" si="35"/>
        <v>2008482.1915650184</v>
      </c>
      <c r="AF101" s="541">
        <f t="shared" si="35"/>
        <v>2018243.210559418</v>
      </c>
      <c r="AG101" s="541">
        <f t="shared" si="35"/>
        <v>2030540.6697040126</v>
      </c>
      <c r="AH101" s="423"/>
      <c r="AI101" s="423"/>
    </row>
    <row r="102" spans="1:35" hidden="1" x14ac:dyDescent="0.25">
      <c r="A102" s="451">
        <v>6</v>
      </c>
      <c r="B102" s="449" t="s">
        <v>87</v>
      </c>
      <c r="C102" s="540">
        <v>0.30821570965716849</v>
      </c>
      <c r="D102" s="449"/>
      <c r="E102" s="541">
        <f t="shared" si="34"/>
        <v>2205116.4125343836</v>
      </c>
      <c r="F102" s="541">
        <f t="shared" si="35"/>
        <v>2279651.1997491601</v>
      </c>
      <c r="G102" s="541">
        <f t="shared" si="35"/>
        <v>2253545.3037716742</v>
      </c>
      <c r="H102" s="541">
        <f t="shared" si="35"/>
        <v>1647146.2096856339</v>
      </c>
      <c r="I102" s="541">
        <f t="shared" si="35"/>
        <v>1883689.8428004635</v>
      </c>
      <c r="J102" s="541">
        <f t="shared" si="35"/>
        <v>1977614.783258525</v>
      </c>
      <c r="K102" s="541">
        <f t="shared" si="35"/>
        <v>1999411.450192739</v>
      </c>
      <c r="L102" s="541">
        <f t="shared" si="35"/>
        <v>2002516.655874264</v>
      </c>
      <c r="M102" s="541">
        <f t="shared" si="35"/>
        <v>2050888.0712912192</v>
      </c>
      <c r="N102" s="541">
        <f t="shared" si="35"/>
        <v>2059941.1510704146</v>
      </c>
      <c r="O102" s="541">
        <f t="shared" si="35"/>
        <v>2068186.8882647629</v>
      </c>
      <c r="P102" s="541">
        <f t="shared" si="35"/>
        <v>2077468.6490591369</v>
      </c>
      <c r="Q102" s="541">
        <f t="shared" si="35"/>
        <v>2087670.8090170978</v>
      </c>
      <c r="R102" s="541">
        <f t="shared" si="35"/>
        <v>2156321.7177728354</v>
      </c>
      <c r="S102" s="541">
        <f t="shared" si="35"/>
        <v>2166445.3970762072</v>
      </c>
      <c r="T102" s="541">
        <f t="shared" si="35"/>
        <v>2177523.1316999127</v>
      </c>
      <c r="U102" s="541">
        <f t="shared" si="35"/>
        <v>2189613.5757448231</v>
      </c>
      <c r="V102" s="541">
        <f t="shared" si="35"/>
        <v>2202750.2462779186</v>
      </c>
      <c r="W102" s="541">
        <f t="shared" si="35"/>
        <v>2290622.7616936667</v>
      </c>
      <c r="X102" s="541">
        <f t="shared" si="35"/>
        <v>2301277.0226022718</v>
      </c>
      <c r="Y102" s="541">
        <f t="shared" si="35"/>
        <v>2312985.2115199473</v>
      </c>
      <c r="Z102" s="541">
        <f t="shared" si="35"/>
        <v>2324840.0944106076</v>
      </c>
      <c r="AA102" s="541">
        <f t="shared" si="35"/>
        <v>2338758.3605437567</v>
      </c>
      <c r="AB102" s="541">
        <f t="shared" si="35"/>
        <v>2631089.4483578233</v>
      </c>
      <c r="AC102" s="541">
        <f t="shared" si="35"/>
        <v>2644482.8232015143</v>
      </c>
      <c r="AD102" s="541">
        <f t="shared" si="35"/>
        <v>2659504.6342815319</v>
      </c>
      <c r="AE102" s="541">
        <f t="shared" si="35"/>
        <v>2672708.3372658044</v>
      </c>
      <c r="AF102" s="541">
        <f t="shared" si="35"/>
        <v>2685697.4277123637</v>
      </c>
      <c r="AG102" s="541">
        <f t="shared" si="35"/>
        <v>2702061.7856942154</v>
      </c>
      <c r="AH102" s="423"/>
      <c r="AI102" s="423"/>
    </row>
    <row r="103" spans="1:35" hidden="1" x14ac:dyDescent="0.25">
      <c r="A103" s="451">
        <v>7</v>
      </c>
      <c r="B103" s="449" t="s">
        <v>88</v>
      </c>
      <c r="C103" s="540">
        <v>2.6793340449485408E-3</v>
      </c>
      <c r="D103" s="449"/>
      <c r="E103" s="541">
        <f t="shared" si="34"/>
        <v>19169.183438929718</v>
      </c>
      <c r="F103" s="541">
        <f t="shared" si="35"/>
        <v>19817.117942786379</v>
      </c>
      <c r="G103" s="541">
        <f t="shared" si="35"/>
        <v>19590.178128640742</v>
      </c>
      <c r="H103" s="541">
        <f t="shared" si="35"/>
        <v>14318.721526321859</v>
      </c>
      <c r="I103" s="541">
        <f t="shared" si="35"/>
        <v>16375.006749503182</v>
      </c>
      <c r="J103" s="541">
        <f t="shared" si="35"/>
        <v>17191.500791675688</v>
      </c>
      <c r="K103" s="541">
        <f t="shared" si="35"/>
        <v>17380.980269695166</v>
      </c>
      <c r="L103" s="541">
        <f t="shared" si="35"/>
        <v>17407.973972606454</v>
      </c>
      <c r="M103" s="541">
        <f t="shared" si="35"/>
        <v>17828.469022236324</v>
      </c>
      <c r="N103" s="541">
        <f t="shared" si="35"/>
        <v>17907.167881846737</v>
      </c>
      <c r="O103" s="541">
        <f t="shared" si="35"/>
        <v>17978.848473387938</v>
      </c>
      <c r="P103" s="541">
        <f t="shared" si="35"/>
        <v>18059.535268104199</v>
      </c>
      <c r="Q103" s="541">
        <f t="shared" si="35"/>
        <v>18148.22313718712</v>
      </c>
      <c r="R103" s="541">
        <f t="shared" si="35"/>
        <v>18745.008801521039</v>
      </c>
      <c r="S103" s="541">
        <f t="shared" si="35"/>
        <v>18833.014434484514</v>
      </c>
      <c r="T103" s="541">
        <f t="shared" si="35"/>
        <v>18929.313716410194</v>
      </c>
      <c r="U103" s="541">
        <f t="shared" si="35"/>
        <v>19034.416530228824</v>
      </c>
      <c r="V103" s="541">
        <f t="shared" si="35"/>
        <v>19148.614241421888</v>
      </c>
      <c r="W103" s="541">
        <f t="shared" si="35"/>
        <v>19912.494260485684</v>
      </c>
      <c r="X103" s="541">
        <f t="shared" si="35"/>
        <v>20005.112264960349</v>
      </c>
      <c r="Y103" s="541">
        <f t="shared" si="35"/>
        <v>20106.892116502342</v>
      </c>
      <c r="Z103" s="541">
        <f t="shared" si="35"/>
        <v>20209.947185833997</v>
      </c>
      <c r="AA103" s="541">
        <f t="shared" si="35"/>
        <v>20330.939345314382</v>
      </c>
      <c r="AB103" s="541">
        <f t="shared" si="35"/>
        <v>22872.187605658706</v>
      </c>
      <c r="AC103" s="541">
        <f t="shared" si="35"/>
        <v>22988.616859817666</v>
      </c>
      <c r="AD103" s="541">
        <f t="shared" si="35"/>
        <v>23119.202188801206</v>
      </c>
      <c r="AE103" s="541">
        <f t="shared" si="35"/>
        <v>23233.982616328733</v>
      </c>
      <c r="AF103" s="541">
        <f t="shared" si="35"/>
        <v>23346.897406704255</v>
      </c>
      <c r="AG103" s="541">
        <f t="shared" si="35"/>
        <v>23489.153560724666</v>
      </c>
      <c r="AH103" s="423"/>
      <c r="AI103" s="423"/>
    </row>
    <row r="104" spans="1:35" hidden="1" x14ac:dyDescent="0.25">
      <c r="A104" s="451">
        <v>8</v>
      </c>
      <c r="B104" s="449" t="s">
        <v>89</v>
      </c>
      <c r="C104" s="540">
        <v>1.7043331237619784E-5</v>
      </c>
      <c r="D104" s="449"/>
      <c r="E104" s="541">
        <f t="shared" si="34"/>
        <v>121.93580099514968</v>
      </c>
      <c r="F104" s="541">
        <f t="shared" si="35"/>
        <v>126.05733350444305</v>
      </c>
      <c r="G104" s="541">
        <f t="shared" si="35"/>
        <v>124.6137619457641</v>
      </c>
      <c r="H104" s="541">
        <f t="shared" si="35"/>
        <v>91.081854587126401</v>
      </c>
      <c r="I104" s="541">
        <f t="shared" si="35"/>
        <v>104.16195195078876</v>
      </c>
      <c r="J104" s="541">
        <f t="shared" si="35"/>
        <v>109.35569718032633</v>
      </c>
      <c r="K104" s="541">
        <f t="shared" si="35"/>
        <v>110.56098231926066</v>
      </c>
      <c r="L104" s="541">
        <f t="shared" si="35"/>
        <v>110.73269014379055</v>
      </c>
      <c r="M104" s="541">
        <f t="shared" si="35"/>
        <v>113.40747286755462</v>
      </c>
      <c r="N104" s="541">
        <f t="shared" si="35"/>
        <v>113.90807888004193</v>
      </c>
      <c r="O104" s="541">
        <f t="shared" si="35"/>
        <v>114.36404146046316</v>
      </c>
      <c r="P104" s="541">
        <f t="shared" si="35"/>
        <v>114.87729279298877</v>
      </c>
      <c r="Q104" s="541">
        <f t="shared" si="35"/>
        <v>115.44143922048954</v>
      </c>
      <c r="R104" s="541">
        <f t="shared" si="35"/>
        <v>119.23761229352691</v>
      </c>
      <c r="S104" s="541">
        <f t="shared" si="35"/>
        <v>119.79741899482298</v>
      </c>
      <c r="T104" s="541">
        <f t="shared" si="35"/>
        <v>120.40998186763782</v>
      </c>
      <c r="U104" s="541">
        <f t="shared" si="35"/>
        <v>121.07854429392206</v>
      </c>
      <c r="V104" s="541">
        <f t="shared" si="35"/>
        <v>121.80495965900538</v>
      </c>
      <c r="W104" s="541">
        <f t="shared" si="35"/>
        <v>126.66402537171447</v>
      </c>
      <c r="X104" s="541">
        <f t="shared" si="35"/>
        <v>127.2531715186106</v>
      </c>
      <c r="Y104" s="541">
        <f t="shared" si="35"/>
        <v>127.90059647348563</v>
      </c>
      <c r="Z104" s="541">
        <f t="shared" si="35"/>
        <v>128.55613313030776</v>
      </c>
      <c r="AA104" s="541">
        <f t="shared" si="35"/>
        <v>129.32576820252541</v>
      </c>
      <c r="AB104" s="541">
        <f t="shared" si="35"/>
        <v>145.49073126106228</v>
      </c>
      <c r="AC104" s="541">
        <f t="shared" si="35"/>
        <v>146.2313415437261</v>
      </c>
      <c r="AD104" s="541">
        <f t="shared" si="35"/>
        <v>147.06199908000309</v>
      </c>
      <c r="AE104" s="541">
        <f t="shared" si="35"/>
        <v>147.79212112269329</v>
      </c>
      <c r="AF104" s="541">
        <f t="shared" si="35"/>
        <v>148.51037578661797</v>
      </c>
      <c r="AG104" s="541">
        <f t="shared" si="35"/>
        <v>149.41527182156022</v>
      </c>
      <c r="AH104" s="423"/>
      <c r="AI104" s="423"/>
    </row>
    <row r="105" spans="1:35" hidden="1" x14ac:dyDescent="0.25">
      <c r="A105" s="451">
        <v>9</v>
      </c>
      <c r="B105" s="449" t="s">
        <v>90</v>
      </c>
      <c r="C105" s="540">
        <v>1.858374774123498E-8</v>
      </c>
      <c r="D105" s="449"/>
      <c r="E105" s="541">
        <f t="shared" si="34"/>
        <v>0.13295664648689634</v>
      </c>
      <c r="F105" s="541">
        <f t="shared" si="35"/>
        <v>0.13745069283218722</v>
      </c>
      <c r="G105" s="541">
        <f t="shared" si="35"/>
        <v>0.13587664786885892</v>
      </c>
      <c r="H105" s="541">
        <f t="shared" si="35"/>
        <v>9.9314047579784764E-2</v>
      </c>
      <c r="I105" s="541">
        <f t="shared" si="35"/>
        <v>0.1135763550153493</v>
      </c>
      <c r="J105" s="541">
        <f t="shared" si="35"/>
        <v>0.11923952319721984</v>
      </c>
      <c r="K105" s="541">
        <f t="shared" si="35"/>
        <v>0.12055374485177375</v>
      </c>
      <c r="L105" s="541">
        <f t="shared" si="35"/>
        <v>0.12074097203475641</v>
      </c>
      <c r="M105" s="541">
        <f t="shared" si="35"/>
        <v>0.12365750793422454</v>
      </c>
      <c r="N105" s="541">
        <f t="shared" si="35"/>
        <v>0.124203359899671</v>
      </c>
      <c r="O105" s="541">
        <f t="shared" si="35"/>
        <v>0.12470053345429201</v>
      </c>
      <c r="P105" s="541">
        <f t="shared" si="35"/>
        <v>0.1252601736536478</v>
      </c>
      <c r="Q105" s="541">
        <f t="shared" si="35"/>
        <v>0.12587530896678731</v>
      </c>
      <c r="R105" s="541">
        <f t="shared" si="35"/>
        <v>0.13001458912204689</v>
      </c>
      <c r="S105" s="541">
        <f t="shared" si="35"/>
        <v>0.1306249924742845</v>
      </c>
      <c r="T105" s="541">
        <f t="shared" si="35"/>
        <v>0.13129292022533998</v>
      </c>
      <c r="U105" s="541">
        <f t="shared" si="35"/>
        <v>0.13202190890167986</v>
      </c>
      <c r="V105" s="541">
        <f t="shared" si="35"/>
        <v>0.13281397940197431</v>
      </c>
      <c r="W105" s="541">
        <f t="shared" si="35"/>
        <v>0.13811221894236128</v>
      </c>
      <c r="X105" s="541">
        <f t="shared" ref="F105:AG107" si="37">$C105*X$6</f>
        <v>0.13875461350854043</v>
      </c>
      <c r="Y105" s="541">
        <f t="shared" si="37"/>
        <v>0.13946055425891563</v>
      </c>
      <c r="Z105" s="541">
        <f t="shared" si="37"/>
        <v>0.14017533986600542</v>
      </c>
      <c r="AA105" s="541">
        <f t="shared" si="37"/>
        <v>0.14101453637257391</v>
      </c>
      <c r="AB105" s="541">
        <f t="shared" si="37"/>
        <v>0.1586405269455404</v>
      </c>
      <c r="AC105" s="541">
        <f t="shared" si="37"/>
        <v>0.15944807533356969</v>
      </c>
      <c r="AD105" s="541">
        <f t="shared" si="37"/>
        <v>0.16035380965852689</v>
      </c>
      <c r="AE105" s="541">
        <f t="shared" si="37"/>
        <v>0.16114992185469898</v>
      </c>
      <c r="AF105" s="541">
        <f t="shared" si="37"/>
        <v>0.16193309407040285</v>
      </c>
      <c r="AG105" s="541">
        <f t="shared" si="37"/>
        <v>0.16291977674475536</v>
      </c>
      <c r="AH105" s="423"/>
      <c r="AI105" s="423"/>
    </row>
    <row r="106" spans="1:35" hidden="1" x14ac:dyDescent="0.25">
      <c r="A106" s="451">
        <v>10</v>
      </c>
      <c r="B106" s="449" t="s">
        <v>91</v>
      </c>
      <c r="C106" s="540">
        <v>9.1989823647385555E-5</v>
      </c>
      <c r="D106" s="449"/>
      <c r="E106" s="541">
        <f t="shared" si="34"/>
        <v>658.13734847137948</v>
      </c>
      <c r="F106" s="541">
        <f t="shared" si="37"/>
        <v>680.38294373681617</v>
      </c>
      <c r="G106" s="541">
        <f t="shared" si="37"/>
        <v>672.591398102114</v>
      </c>
      <c r="H106" s="541">
        <f t="shared" si="37"/>
        <v>491.60599087885242</v>
      </c>
      <c r="I106" s="541">
        <f t="shared" si="37"/>
        <v>562.20462168631036</v>
      </c>
      <c r="J106" s="541">
        <f t="shared" si="37"/>
        <v>590.23738717525555</v>
      </c>
      <c r="K106" s="541">
        <f t="shared" si="37"/>
        <v>596.74280362404534</v>
      </c>
      <c r="L106" s="541">
        <f t="shared" si="37"/>
        <v>597.66958092345703</v>
      </c>
      <c r="M106" s="541">
        <f t="shared" si="37"/>
        <v>612.10647636506053</v>
      </c>
      <c r="N106" s="541">
        <f t="shared" si="37"/>
        <v>614.80845159299486</v>
      </c>
      <c r="O106" s="541">
        <f t="shared" si="37"/>
        <v>617.26946797400456</v>
      </c>
      <c r="P106" s="541">
        <f t="shared" si="37"/>
        <v>620.03969516184452</v>
      </c>
      <c r="Q106" s="541">
        <f t="shared" si="37"/>
        <v>623.08462397614517</v>
      </c>
      <c r="R106" s="541">
        <f t="shared" si="37"/>
        <v>643.57412140214421</v>
      </c>
      <c r="S106" s="541">
        <f t="shared" si="37"/>
        <v>646.59562694063789</v>
      </c>
      <c r="T106" s="541">
        <f t="shared" si="37"/>
        <v>649.90187909624899</v>
      </c>
      <c r="U106" s="541">
        <f t="shared" si="37"/>
        <v>653.51038372681114</v>
      </c>
      <c r="V106" s="541">
        <f t="shared" si="37"/>
        <v>657.43114431035633</v>
      </c>
      <c r="W106" s="541">
        <f t="shared" si="37"/>
        <v>683.65750767625377</v>
      </c>
      <c r="X106" s="541">
        <f t="shared" si="37"/>
        <v>686.8373701925608</v>
      </c>
      <c r="Y106" s="541">
        <f t="shared" si="37"/>
        <v>690.33178725185098</v>
      </c>
      <c r="Z106" s="541">
        <f t="shared" si="37"/>
        <v>693.86998648149199</v>
      </c>
      <c r="AA106" s="541">
        <f t="shared" si="37"/>
        <v>698.02402148668341</v>
      </c>
      <c r="AB106" s="541">
        <f t="shared" si="37"/>
        <v>785.27293311606161</v>
      </c>
      <c r="AC106" s="541">
        <f t="shared" si="37"/>
        <v>789.27030947070909</v>
      </c>
      <c r="AD106" s="541">
        <f t="shared" si="37"/>
        <v>793.75370765197692</v>
      </c>
      <c r="AE106" s="541">
        <f t="shared" si="37"/>
        <v>797.69447468934413</v>
      </c>
      <c r="AF106" s="541">
        <f t="shared" si="37"/>
        <v>801.57118863376957</v>
      </c>
      <c r="AG106" s="541">
        <f t="shared" si="37"/>
        <v>806.45528233077039</v>
      </c>
      <c r="AH106" s="423"/>
      <c r="AI106" s="423"/>
    </row>
    <row r="107" spans="1:35" ht="15.75" hidden="1" customHeight="1" x14ac:dyDescent="0.25">
      <c r="A107" s="451">
        <v>11</v>
      </c>
      <c r="B107" s="449" t="s">
        <v>92</v>
      </c>
      <c r="C107" s="540">
        <v>6.7893171253253205E-5</v>
      </c>
      <c r="D107" s="449"/>
      <c r="E107" s="541">
        <f t="shared" si="34"/>
        <v>485.7388560631216</v>
      </c>
      <c r="F107" s="541">
        <f t="shared" si="37"/>
        <v>502.1572374568745</v>
      </c>
      <c r="G107" s="541">
        <f t="shared" si="37"/>
        <v>496.40668026337346</v>
      </c>
      <c r="H107" s="541">
        <f t="shared" si="37"/>
        <v>362.83023930779939</v>
      </c>
      <c r="I107" s="541">
        <f t="shared" si="37"/>
        <v>414.9356216382302</v>
      </c>
      <c r="J107" s="541">
        <f t="shared" si="37"/>
        <v>435.62522916850122</v>
      </c>
      <c r="K107" s="541">
        <f t="shared" si="37"/>
        <v>440.42655757113442</v>
      </c>
      <c r="L107" s="541">
        <f t="shared" si="37"/>
        <v>441.11056638219355</v>
      </c>
      <c r="M107" s="541">
        <f t="shared" si="37"/>
        <v>451.76572991788265</v>
      </c>
      <c r="N107" s="541">
        <f t="shared" si="37"/>
        <v>453.75992514077359</v>
      </c>
      <c r="O107" s="541">
        <f t="shared" si="37"/>
        <v>455.57628047213529</v>
      </c>
      <c r="P107" s="541">
        <f t="shared" si="37"/>
        <v>457.62084911480798</v>
      </c>
      <c r="Q107" s="541">
        <f t="shared" si="37"/>
        <v>459.86816153749197</v>
      </c>
      <c r="R107" s="541">
        <f t="shared" si="37"/>
        <v>474.9904533571696</v>
      </c>
      <c r="S107" s="541">
        <f t="shared" si="37"/>
        <v>477.22047821028752</v>
      </c>
      <c r="T107" s="541">
        <f t="shared" si="37"/>
        <v>479.66066055771523</v>
      </c>
      <c r="U107" s="541">
        <f t="shared" si="37"/>
        <v>482.32392061341466</v>
      </c>
      <c r="V107" s="541">
        <f t="shared" si="37"/>
        <v>485.2176414532546</v>
      </c>
      <c r="W107" s="541">
        <f t="shared" si="37"/>
        <v>504.57403228813939</v>
      </c>
      <c r="X107" s="541">
        <f t="shared" si="37"/>
        <v>506.92093264973789</v>
      </c>
      <c r="Y107" s="541">
        <f t="shared" si="37"/>
        <v>509.49999027187323</v>
      </c>
      <c r="Z107" s="541">
        <f t="shared" si="37"/>
        <v>512.11136136382095</v>
      </c>
      <c r="AA107" s="541">
        <f t="shared" si="37"/>
        <v>515.1772505982708</v>
      </c>
      <c r="AB107" s="541">
        <f t="shared" si="37"/>
        <v>579.57138751519369</v>
      </c>
      <c r="AC107" s="541">
        <f t="shared" si="37"/>
        <v>582.52165469311637</v>
      </c>
      <c r="AD107" s="541">
        <f t="shared" si="37"/>
        <v>585.83063071294373</v>
      </c>
      <c r="AE107" s="541">
        <f t="shared" si="37"/>
        <v>588.73911733384125</v>
      </c>
      <c r="AF107" s="541">
        <f t="shared" si="37"/>
        <v>591.60032951245853</v>
      </c>
      <c r="AG107" s="541">
        <f t="shared" si="37"/>
        <v>595.205039214463</v>
      </c>
      <c r="AH107" s="423"/>
      <c r="AI107" s="423"/>
    </row>
    <row r="108" spans="1:35" hidden="1" x14ac:dyDescent="0.25">
      <c r="A108" s="449"/>
      <c r="B108" s="449" t="s">
        <v>67</v>
      </c>
      <c r="C108" s="451" t="s">
        <v>0</v>
      </c>
      <c r="D108" s="449"/>
      <c r="E108" s="541">
        <f t="shared" ref="E108:AG108" si="38">SUM(E97:E107)</f>
        <v>7151689.5131719941</v>
      </c>
      <c r="F108" s="541">
        <f t="shared" si="38"/>
        <v>7393422.6266985415</v>
      </c>
      <c r="G108" s="541">
        <f t="shared" si="38"/>
        <v>7308755.3223181963</v>
      </c>
      <c r="H108" s="541">
        <f t="shared" si="38"/>
        <v>5342066.3904682053</v>
      </c>
      <c r="I108" s="541">
        <f t="shared" si="38"/>
        <v>6109230.7046690322</v>
      </c>
      <c r="J108" s="541">
        <f t="shared" si="38"/>
        <v>6413850.4553003358</v>
      </c>
      <c r="K108" s="541">
        <f t="shared" si="38"/>
        <v>6484541.9586828547</v>
      </c>
      <c r="L108" s="541">
        <f t="shared" si="38"/>
        <v>6494612.8405567417</v>
      </c>
      <c r="M108" s="541">
        <f t="shared" si="38"/>
        <v>6651492.242663742</v>
      </c>
      <c r="N108" s="541">
        <f t="shared" si="38"/>
        <v>6680853.4207633454</v>
      </c>
      <c r="O108" s="541">
        <f t="shared" si="38"/>
        <v>6707596.2049020827</v>
      </c>
      <c r="P108" s="541">
        <f t="shared" si="38"/>
        <v>6737699.0470738485</v>
      </c>
      <c r="Q108" s="541">
        <f t="shared" si="38"/>
        <v>6770786.9511719337</v>
      </c>
      <c r="R108" s="541">
        <f t="shared" si="38"/>
        <v>6993437.320752129</v>
      </c>
      <c r="S108" s="541">
        <f t="shared" si="38"/>
        <v>7026270.6943994798</v>
      </c>
      <c r="T108" s="541">
        <f t="shared" si="38"/>
        <v>7062198.2844748702</v>
      </c>
      <c r="U108" s="541">
        <f t="shared" si="38"/>
        <v>7101410.3194468487</v>
      </c>
      <c r="V108" s="541">
        <f t="shared" si="38"/>
        <v>7144015.5027176747</v>
      </c>
      <c r="W108" s="541">
        <f t="shared" si="38"/>
        <v>7429005.8748461809</v>
      </c>
      <c r="X108" s="541">
        <f t="shared" si="38"/>
        <v>7463560.0442213453</v>
      </c>
      <c r="Y108" s="541">
        <f t="shared" si="38"/>
        <v>7501532.3396633537</v>
      </c>
      <c r="Z108" s="541">
        <f t="shared" si="38"/>
        <v>7539980.3967215177</v>
      </c>
      <c r="AA108" s="541">
        <f t="shared" si="38"/>
        <v>7585120.4706786918</v>
      </c>
      <c r="AB108" s="541">
        <f t="shared" si="38"/>
        <v>8533216.0737997908</v>
      </c>
      <c r="AC108" s="541">
        <f t="shared" si="38"/>
        <v>8576653.8070056885</v>
      </c>
      <c r="AD108" s="541">
        <f t="shared" si="38"/>
        <v>8625372.9259416051</v>
      </c>
      <c r="AE108" s="541">
        <f t="shared" si="38"/>
        <v>8668195.5105593204</v>
      </c>
      <c r="AF108" s="541">
        <f t="shared" si="38"/>
        <v>8710322.0583480299</v>
      </c>
      <c r="AG108" s="541">
        <f t="shared" si="38"/>
        <v>8763395.3594687134</v>
      </c>
      <c r="AH108" s="423"/>
      <c r="AI108" s="423"/>
    </row>
    <row r="109" spans="1:35" hidden="1" x14ac:dyDescent="0.25">
      <c r="A109" s="449"/>
      <c r="B109" s="449"/>
      <c r="C109" s="449"/>
      <c r="D109" s="449"/>
      <c r="E109" s="450"/>
      <c r="F109" s="450"/>
      <c r="G109" s="450"/>
      <c r="H109" s="450"/>
      <c r="I109" s="450"/>
      <c r="J109" s="450"/>
      <c r="K109" s="450"/>
      <c r="L109" s="450"/>
      <c r="M109" s="450"/>
      <c r="N109" s="450"/>
      <c r="O109" s="450"/>
      <c r="P109" s="450"/>
      <c r="Q109" s="450"/>
      <c r="R109" s="450"/>
      <c r="S109" s="450"/>
      <c r="T109" s="450"/>
      <c r="U109" s="450"/>
      <c r="V109" s="450"/>
      <c r="W109" s="450"/>
      <c r="X109" s="450"/>
      <c r="Y109" s="450"/>
      <c r="Z109" s="450"/>
      <c r="AA109" s="450"/>
      <c r="AB109" s="450"/>
      <c r="AC109" s="450"/>
      <c r="AD109" s="450"/>
      <c r="AE109" s="450"/>
      <c r="AF109" s="450"/>
      <c r="AG109" s="450"/>
      <c r="AH109" s="423"/>
      <c r="AI109" s="423"/>
    </row>
    <row r="110" spans="1:35" hidden="1" x14ac:dyDescent="0.25">
      <c r="A110" s="449"/>
      <c r="B110" s="539" t="s">
        <v>47</v>
      </c>
      <c r="C110" s="449"/>
      <c r="D110" s="449"/>
      <c r="E110" s="450"/>
      <c r="F110" s="450"/>
      <c r="G110" s="450"/>
      <c r="H110" s="450"/>
      <c r="I110" s="450"/>
      <c r="J110" s="450"/>
      <c r="K110" s="450"/>
      <c r="L110" s="450"/>
      <c r="M110" s="450"/>
      <c r="N110" s="450"/>
      <c r="O110" s="450"/>
      <c r="P110" s="450"/>
      <c r="Q110" s="450"/>
      <c r="R110" s="450"/>
      <c r="S110" s="450"/>
      <c r="T110" s="450"/>
      <c r="U110" s="450"/>
      <c r="V110" s="450"/>
      <c r="W110" s="450"/>
      <c r="X110" s="450"/>
      <c r="Y110" s="450"/>
      <c r="Z110" s="450"/>
      <c r="AA110" s="450"/>
      <c r="AB110" s="450"/>
      <c r="AC110" s="450"/>
      <c r="AD110" s="450"/>
      <c r="AE110" s="450"/>
      <c r="AF110" s="450"/>
      <c r="AG110" s="450"/>
      <c r="AH110" s="423"/>
      <c r="AI110" s="423"/>
    </row>
    <row r="111" spans="1:35" hidden="1" x14ac:dyDescent="0.25">
      <c r="A111" s="449"/>
      <c r="B111" s="449" t="s">
        <v>80</v>
      </c>
      <c r="C111" s="450" t="s">
        <v>81</v>
      </c>
      <c r="D111" s="449"/>
      <c r="E111" s="450">
        <v>2017</v>
      </c>
      <c r="F111" s="450">
        <v>2018</v>
      </c>
      <c r="G111" s="450">
        <v>2019</v>
      </c>
      <c r="H111" s="450">
        <v>2020</v>
      </c>
      <c r="I111" s="450">
        <v>2021</v>
      </c>
      <c r="J111" s="450">
        <v>2022</v>
      </c>
      <c r="K111" s="450">
        <v>2023</v>
      </c>
      <c r="L111" s="450">
        <v>2024</v>
      </c>
      <c r="M111" s="450">
        <v>2025</v>
      </c>
      <c r="N111" s="450">
        <v>2026</v>
      </c>
      <c r="O111" s="450">
        <v>2027</v>
      </c>
      <c r="P111" s="450">
        <v>2028</v>
      </c>
      <c r="Q111" s="450">
        <v>2029</v>
      </c>
      <c r="R111" s="450">
        <v>2030</v>
      </c>
      <c r="S111" s="450">
        <v>2031</v>
      </c>
      <c r="T111" s="450">
        <v>2032</v>
      </c>
      <c r="U111" s="450">
        <v>2033</v>
      </c>
      <c r="V111" s="450">
        <v>2034</v>
      </c>
      <c r="W111" s="450">
        <v>2035</v>
      </c>
      <c r="X111" s="450">
        <v>2036</v>
      </c>
      <c r="Y111" s="450">
        <v>2037</v>
      </c>
      <c r="Z111" s="450">
        <v>2038</v>
      </c>
      <c r="AA111" s="450">
        <v>2039</v>
      </c>
      <c r="AB111" s="450">
        <v>2040</v>
      </c>
      <c r="AC111" s="450">
        <v>2041</v>
      </c>
      <c r="AD111" s="450">
        <v>2042</v>
      </c>
      <c r="AE111" s="450">
        <v>2043</v>
      </c>
      <c r="AF111" s="450">
        <v>2044</v>
      </c>
      <c r="AG111" s="450">
        <v>2045</v>
      </c>
      <c r="AH111" s="423"/>
      <c r="AI111" s="423"/>
    </row>
    <row r="112" spans="1:35" hidden="1" x14ac:dyDescent="0.25">
      <c r="A112" s="451">
        <v>1</v>
      </c>
      <c r="B112" s="449" t="s">
        <v>82</v>
      </c>
      <c r="C112" s="540">
        <v>0</v>
      </c>
      <c r="D112" s="449"/>
      <c r="E112" s="541">
        <f t="shared" ref="E112:E122" si="39">$C112*E$7</f>
        <v>0</v>
      </c>
      <c r="F112" s="541">
        <f t="shared" ref="F112:AG121" si="40">$C112*F$7</f>
        <v>0</v>
      </c>
      <c r="G112" s="541">
        <f t="shared" si="40"/>
        <v>0</v>
      </c>
      <c r="H112" s="541">
        <f t="shared" si="40"/>
        <v>0</v>
      </c>
      <c r="I112" s="541">
        <f t="shared" si="40"/>
        <v>0</v>
      </c>
      <c r="J112" s="541">
        <f t="shared" si="40"/>
        <v>0</v>
      </c>
      <c r="K112" s="541">
        <f t="shared" si="40"/>
        <v>0</v>
      </c>
      <c r="L112" s="541">
        <f t="shared" si="40"/>
        <v>0</v>
      </c>
      <c r="M112" s="541">
        <f t="shared" si="40"/>
        <v>0</v>
      </c>
      <c r="N112" s="541">
        <f t="shared" si="40"/>
        <v>0</v>
      </c>
      <c r="O112" s="541">
        <f t="shared" si="40"/>
        <v>0</v>
      </c>
      <c r="P112" s="541">
        <f t="shared" si="40"/>
        <v>0</v>
      </c>
      <c r="Q112" s="541">
        <f t="shared" si="40"/>
        <v>0</v>
      </c>
      <c r="R112" s="541">
        <f t="shared" si="40"/>
        <v>0</v>
      </c>
      <c r="S112" s="541">
        <f t="shared" si="40"/>
        <v>0</v>
      </c>
      <c r="T112" s="541">
        <f t="shared" si="40"/>
        <v>0</v>
      </c>
      <c r="U112" s="541">
        <f t="shared" si="40"/>
        <v>0</v>
      </c>
      <c r="V112" s="541">
        <f t="shared" si="40"/>
        <v>0</v>
      </c>
      <c r="W112" s="541">
        <f t="shared" si="40"/>
        <v>0</v>
      </c>
      <c r="X112" s="541">
        <f t="shared" si="40"/>
        <v>0</v>
      </c>
      <c r="Y112" s="541">
        <f t="shared" si="40"/>
        <v>0</v>
      </c>
      <c r="Z112" s="541">
        <f t="shared" si="40"/>
        <v>0</v>
      </c>
      <c r="AA112" s="541">
        <f t="shared" si="40"/>
        <v>0</v>
      </c>
      <c r="AB112" s="541">
        <f t="shared" si="40"/>
        <v>0</v>
      </c>
      <c r="AC112" s="541">
        <f t="shared" si="40"/>
        <v>0</v>
      </c>
      <c r="AD112" s="541">
        <f t="shared" si="40"/>
        <v>0</v>
      </c>
      <c r="AE112" s="541">
        <f t="shared" si="40"/>
        <v>0</v>
      </c>
      <c r="AF112" s="541">
        <f t="shared" si="40"/>
        <v>0</v>
      </c>
      <c r="AG112" s="541">
        <f t="shared" si="40"/>
        <v>0</v>
      </c>
      <c r="AH112" s="423"/>
      <c r="AI112" s="423"/>
    </row>
    <row r="113" spans="1:35" hidden="1" x14ac:dyDescent="0.25">
      <c r="A113" s="451">
        <v>2</v>
      </c>
      <c r="B113" s="449" t="s">
        <v>83</v>
      </c>
      <c r="C113" s="540">
        <v>5.9580200500179958E-5</v>
      </c>
      <c r="D113" s="449"/>
      <c r="E113" s="541">
        <f t="shared" si="39"/>
        <v>99.552118471437851</v>
      </c>
      <c r="F113" s="541">
        <f t="shared" ref="F113:T113" si="41">$C113*F$7</f>
        <v>103.62892942618988</v>
      </c>
      <c r="G113" s="541">
        <f t="shared" si="41"/>
        <v>99.64151481171227</v>
      </c>
      <c r="H113" s="541">
        <f t="shared" si="41"/>
        <v>102.4947852779967</v>
      </c>
      <c r="I113" s="541">
        <f t="shared" si="41"/>
        <v>102.65468380027015</v>
      </c>
      <c r="J113" s="541">
        <f t="shared" si="41"/>
        <v>107.77349668099367</v>
      </c>
      <c r="K113" s="541">
        <f t="shared" si="41"/>
        <v>108.96159437352392</v>
      </c>
      <c r="L113" s="541">
        <f t="shared" si="41"/>
        <v>109.13107887810398</v>
      </c>
      <c r="M113" s="541">
        <f t="shared" si="41"/>
        <v>109.65471669768199</v>
      </c>
      <c r="N113" s="541">
        <f t="shared" si="41"/>
        <v>110.14833760413283</v>
      </c>
      <c r="O113" s="541">
        <f t="shared" si="41"/>
        <v>110.59796142587204</v>
      </c>
      <c r="P113" s="541">
        <f t="shared" si="41"/>
        <v>111.10404457348989</v>
      </c>
      <c r="Q113" s="541">
        <f t="shared" si="41"/>
        <v>111.66028595718858</v>
      </c>
      <c r="R113" s="541">
        <f t="shared" si="41"/>
        <v>112.23320321424158</v>
      </c>
      <c r="S113" s="541">
        <f t="shared" si="41"/>
        <v>112.7851677022668</v>
      </c>
      <c r="T113" s="541">
        <f t="shared" si="41"/>
        <v>113.3891245582608</v>
      </c>
      <c r="U113" s="541">
        <f t="shared" si="40"/>
        <v>114.048270206509</v>
      </c>
      <c r="V113" s="541">
        <f t="shared" si="40"/>
        <v>114.7644311990388</v>
      </c>
      <c r="W113" s="541">
        <f t="shared" si="40"/>
        <v>115.47163714609974</v>
      </c>
      <c r="X113" s="541">
        <f t="shared" si="40"/>
        <v>116.1475999078251</v>
      </c>
      <c r="Y113" s="541">
        <f t="shared" si="40"/>
        <v>116.87716808403074</v>
      </c>
      <c r="Z113" s="541">
        <f t="shared" si="40"/>
        <v>117.61105513192076</v>
      </c>
      <c r="AA113" s="541">
        <f t="shared" si="40"/>
        <v>118.45386132166068</v>
      </c>
      <c r="AB113" s="541">
        <f t="shared" si="40"/>
        <v>119.17346788914809</v>
      </c>
      <c r="AC113" s="541">
        <f t="shared" si="40"/>
        <v>119.9810352819829</v>
      </c>
      <c r="AD113" s="541">
        <f t="shared" si="40"/>
        <v>120.87422814039854</v>
      </c>
      <c r="AE113" s="541">
        <f t="shared" si="40"/>
        <v>121.66534855859656</v>
      </c>
      <c r="AF113" s="541">
        <f t="shared" si="40"/>
        <v>122.44190144227302</v>
      </c>
      <c r="AG113" s="541">
        <f t="shared" si="40"/>
        <v>123.39963720558292</v>
      </c>
      <c r="AH113" s="423"/>
      <c r="AI113" s="423"/>
    </row>
    <row r="114" spans="1:35" hidden="1" x14ac:dyDescent="0.25">
      <c r="A114" s="451">
        <v>3</v>
      </c>
      <c r="B114" s="449" t="s">
        <v>84</v>
      </c>
      <c r="C114" s="540">
        <v>0</v>
      </c>
      <c r="D114" s="449"/>
      <c r="E114" s="541">
        <f t="shared" si="39"/>
        <v>0</v>
      </c>
      <c r="F114" s="541">
        <f t="shared" si="40"/>
        <v>0</v>
      </c>
      <c r="G114" s="541">
        <f t="shared" si="40"/>
        <v>0</v>
      </c>
      <c r="H114" s="541">
        <f t="shared" si="40"/>
        <v>0</v>
      </c>
      <c r="I114" s="541">
        <f t="shared" si="40"/>
        <v>0</v>
      </c>
      <c r="J114" s="541">
        <f t="shared" si="40"/>
        <v>0</v>
      </c>
      <c r="K114" s="541">
        <f t="shared" si="40"/>
        <v>0</v>
      </c>
      <c r="L114" s="541">
        <f t="shared" si="40"/>
        <v>0</v>
      </c>
      <c r="M114" s="541">
        <f t="shared" si="40"/>
        <v>0</v>
      </c>
      <c r="N114" s="541">
        <f t="shared" si="40"/>
        <v>0</v>
      </c>
      <c r="O114" s="541">
        <f t="shared" si="40"/>
        <v>0</v>
      </c>
      <c r="P114" s="541">
        <f t="shared" si="40"/>
        <v>0</v>
      </c>
      <c r="Q114" s="541">
        <f t="shared" si="40"/>
        <v>0</v>
      </c>
      <c r="R114" s="541">
        <f t="shared" si="40"/>
        <v>0</v>
      </c>
      <c r="S114" s="541">
        <f t="shared" si="40"/>
        <v>0</v>
      </c>
      <c r="T114" s="541">
        <f t="shared" si="40"/>
        <v>0</v>
      </c>
      <c r="U114" s="541">
        <f t="shared" si="40"/>
        <v>0</v>
      </c>
      <c r="V114" s="541">
        <f t="shared" si="40"/>
        <v>0</v>
      </c>
      <c r="W114" s="541">
        <f t="shared" si="40"/>
        <v>0</v>
      </c>
      <c r="X114" s="541">
        <f t="shared" si="40"/>
        <v>0</v>
      </c>
      <c r="Y114" s="541">
        <f t="shared" si="40"/>
        <v>0</v>
      </c>
      <c r="Z114" s="541">
        <f t="shared" si="40"/>
        <v>0</v>
      </c>
      <c r="AA114" s="541">
        <f t="shared" si="40"/>
        <v>0</v>
      </c>
      <c r="AB114" s="541">
        <f t="shared" si="40"/>
        <v>0</v>
      </c>
      <c r="AC114" s="541">
        <f t="shared" si="40"/>
        <v>0</v>
      </c>
      <c r="AD114" s="541">
        <f t="shared" si="40"/>
        <v>0</v>
      </c>
      <c r="AE114" s="541">
        <f t="shared" si="40"/>
        <v>0</v>
      </c>
      <c r="AF114" s="541">
        <f t="shared" si="40"/>
        <v>0</v>
      </c>
      <c r="AG114" s="541">
        <f t="shared" si="40"/>
        <v>0</v>
      </c>
      <c r="AH114" s="423"/>
      <c r="AI114" s="423"/>
    </row>
    <row r="115" spans="1:35" hidden="1" x14ac:dyDescent="0.25">
      <c r="A115" s="451">
        <v>4</v>
      </c>
      <c r="B115" s="449" t="s">
        <v>85</v>
      </c>
      <c r="C115" s="540">
        <v>0</v>
      </c>
      <c r="D115" s="449"/>
      <c r="E115" s="541">
        <f t="shared" si="39"/>
        <v>0</v>
      </c>
      <c r="F115" s="541">
        <f t="shared" si="40"/>
        <v>0</v>
      </c>
      <c r="G115" s="541">
        <f t="shared" si="40"/>
        <v>0</v>
      </c>
      <c r="H115" s="541">
        <f t="shared" si="40"/>
        <v>0</v>
      </c>
      <c r="I115" s="541">
        <f t="shared" si="40"/>
        <v>0</v>
      </c>
      <c r="J115" s="541">
        <f t="shared" si="40"/>
        <v>0</v>
      </c>
      <c r="K115" s="541">
        <f t="shared" si="40"/>
        <v>0</v>
      </c>
      <c r="L115" s="541">
        <f t="shared" si="40"/>
        <v>0</v>
      </c>
      <c r="M115" s="541">
        <f t="shared" si="40"/>
        <v>0</v>
      </c>
      <c r="N115" s="541">
        <f t="shared" si="40"/>
        <v>0</v>
      </c>
      <c r="O115" s="541">
        <f t="shared" si="40"/>
        <v>0</v>
      </c>
      <c r="P115" s="541">
        <f t="shared" si="40"/>
        <v>0</v>
      </c>
      <c r="Q115" s="541">
        <f t="shared" si="40"/>
        <v>0</v>
      </c>
      <c r="R115" s="541">
        <f t="shared" si="40"/>
        <v>0</v>
      </c>
      <c r="S115" s="541">
        <f t="shared" si="40"/>
        <v>0</v>
      </c>
      <c r="T115" s="541">
        <f t="shared" si="40"/>
        <v>0</v>
      </c>
      <c r="U115" s="541">
        <f t="shared" si="40"/>
        <v>0</v>
      </c>
      <c r="V115" s="541">
        <f t="shared" si="40"/>
        <v>0</v>
      </c>
      <c r="W115" s="541">
        <f t="shared" si="40"/>
        <v>0</v>
      </c>
      <c r="X115" s="541">
        <f t="shared" si="40"/>
        <v>0</v>
      </c>
      <c r="Y115" s="541">
        <f t="shared" si="40"/>
        <v>0</v>
      </c>
      <c r="Z115" s="541">
        <f t="shared" si="40"/>
        <v>0</v>
      </c>
      <c r="AA115" s="541">
        <f t="shared" si="40"/>
        <v>0</v>
      </c>
      <c r="AB115" s="541">
        <f t="shared" si="40"/>
        <v>0</v>
      </c>
      <c r="AC115" s="541">
        <f t="shared" si="40"/>
        <v>0</v>
      </c>
      <c r="AD115" s="541">
        <f t="shared" si="40"/>
        <v>0</v>
      </c>
      <c r="AE115" s="541">
        <f t="shared" si="40"/>
        <v>0</v>
      </c>
      <c r="AF115" s="541">
        <f t="shared" si="40"/>
        <v>0</v>
      </c>
      <c r="AG115" s="541">
        <f t="shared" si="40"/>
        <v>0</v>
      </c>
      <c r="AH115" s="423"/>
      <c r="AI115" s="423"/>
    </row>
    <row r="116" spans="1:35" hidden="1" x14ac:dyDescent="0.25">
      <c r="A116" s="451">
        <v>5</v>
      </c>
      <c r="B116" s="449" t="s">
        <v>86</v>
      </c>
      <c r="C116" s="540">
        <v>5.9580200500179958E-5</v>
      </c>
      <c r="D116" s="449"/>
      <c r="E116" s="541">
        <f t="shared" si="39"/>
        <v>99.552118471437851</v>
      </c>
      <c r="F116" s="541">
        <f t="shared" si="40"/>
        <v>103.62892942618988</v>
      </c>
      <c r="G116" s="541">
        <f t="shared" si="40"/>
        <v>99.64151481171227</v>
      </c>
      <c r="H116" s="541">
        <f t="shared" si="40"/>
        <v>102.4947852779967</v>
      </c>
      <c r="I116" s="541">
        <f t="shared" si="40"/>
        <v>102.65468380027015</v>
      </c>
      <c r="J116" s="541">
        <f t="shared" si="40"/>
        <v>107.77349668099367</v>
      </c>
      <c r="K116" s="541">
        <f t="shared" si="40"/>
        <v>108.96159437352392</v>
      </c>
      <c r="L116" s="541">
        <f t="shared" si="40"/>
        <v>109.13107887810398</v>
      </c>
      <c r="M116" s="541">
        <f t="shared" si="40"/>
        <v>109.65471669768199</v>
      </c>
      <c r="N116" s="541">
        <f t="shared" si="40"/>
        <v>110.14833760413283</v>
      </c>
      <c r="O116" s="541">
        <f t="shared" si="40"/>
        <v>110.59796142587204</v>
      </c>
      <c r="P116" s="541">
        <f t="shared" si="40"/>
        <v>111.10404457348989</v>
      </c>
      <c r="Q116" s="541">
        <f t="shared" si="40"/>
        <v>111.66028595718858</v>
      </c>
      <c r="R116" s="541">
        <f t="shared" si="40"/>
        <v>112.23320321424158</v>
      </c>
      <c r="S116" s="541">
        <f t="shared" si="40"/>
        <v>112.7851677022668</v>
      </c>
      <c r="T116" s="541">
        <f t="shared" si="40"/>
        <v>113.3891245582608</v>
      </c>
      <c r="U116" s="541">
        <f t="shared" si="40"/>
        <v>114.048270206509</v>
      </c>
      <c r="V116" s="541">
        <f t="shared" si="40"/>
        <v>114.7644311990388</v>
      </c>
      <c r="W116" s="541">
        <f t="shared" si="40"/>
        <v>115.47163714609974</v>
      </c>
      <c r="X116" s="541">
        <f t="shared" si="40"/>
        <v>116.1475999078251</v>
      </c>
      <c r="Y116" s="541">
        <f t="shared" si="40"/>
        <v>116.87716808403074</v>
      </c>
      <c r="Z116" s="541">
        <f t="shared" si="40"/>
        <v>117.61105513192076</v>
      </c>
      <c r="AA116" s="541">
        <f t="shared" si="40"/>
        <v>118.45386132166068</v>
      </c>
      <c r="AB116" s="541">
        <f t="shared" si="40"/>
        <v>119.17346788914809</v>
      </c>
      <c r="AC116" s="541">
        <f t="shared" si="40"/>
        <v>119.9810352819829</v>
      </c>
      <c r="AD116" s="541">
        <f t="shared" si="40"/>
        <v>120.87422814039854</v>
      </c>
      <c r="AE116" s="541">
        <f t="shared" si="40"/>
        <v>121.66534855859656</v>
      </c>
      <c r="AF116" s="541">
        <f t="shared" si="40"/>
        <v>122.44190144227302</v>
      </c>
      <c r="AG116" s="541">
        <f t="shared" si="40"/>
        <v>123.39963720558292</v>
      </c>
      <c r="AH116" s="423"/>
      <c r="AI116" s="423"/>
    </row>
    <row r="117" spans="1:35" hidden="1" x14ac:dyDescent="0.25">
      <c r="A117" s="451">
        <v>6</v>
      </c>
      <c r="B117" s="449" t="s">
        <v>87</v>
      </c>
      <c r="C117" s="540">
        <v>1.4895050125044985E-4</v>
      </c>
      <c r="D117" s="449"/>
      <c r="E117" s="541">
        <f t="shared" si="39"/>
        <v>248.88029617859453</v>
      </c>
      <c r="F117" s="541">
        <f t="shared" si="40"/>
        <v>259.07232356547468</v>
      </c>
      <c r="G117" s="541">
        <f t="shared" si="40"/>
        <v>249.1037870292806</v>
      </c>
      <c r="H117" s="541">
        <f t="shared" si="40"/>
        <v>256.23696319499169</v>
      </c>
      <c r="I117" s="541">
        <f t="shared" si="40"/>
        <v>256.63670950067529</v>
      </c>
      <c r="J117" s="541">
        <f t="shared" si="40"/>
        <v>269.4337417024841</v>
      </c>
      <c r="K117" s="541">
        <f t="shared" si="40"/>
        <v>272.40398593380974</v>
      </c>
      <c r="L117" s="541">
        <f t="shared" si="40"/>
        <v>272.82769719525987</v>
      </c>
      <c r="M117" s="541">
        <f t="shared" si="40"/>
        <v>274.13679174420491</v>
      </c>
      <c r="N117" s="541">
        <f t="shared" si="40"/>
        <v>275.37084401033201</v>
      </c>
      <c r="O117" s="541">
        <f t="shared" si="40"/>
        <v>276.49490356468004</v>
      </c>
      <c r="P117" s="541">
        <f t="shared" si="40"/>
        <v>277.76011143372466</v>
      </c>
      <c r="Q117" s="541">
        <f t="shared" si="40"/>
        <v>279.15071489297139</v>
      </c>
      <c r="R117" s="541">
        <f t="shared" si="40"/>
        <v>280.58300803560388</v>
      </c>
      <c r="S117" s="541">
        <f t="shared" si="40"/>
        <v>281.96291925566692</v>
      </c>
      <c r="T117" s="541">
        <f t="shared" si="40"/>
        <v>283.47281139565195</v>
      </c>
      <c r="U117" s="541">
        <f t="shared" si="40"/>
        <v>285.1206755162724</v>
      </c>
      <c r="V117" s="541">
        <f t="shared" si="40"/>
        <v>286.91107799759692</v>
      </c>
      <c r="W117" s="541">
        <f t="shared" si="40"/>
        <v>288.67909286524929</v>
      </c>
      <c r="X117" s="541">
        <f t="shared" si="40"/>
        <v>290.36899976956266</v>
      </c>
      <c r="Y117" s="541">
        <f t="shared" si="40"/>
        <v>292.19292021007675</v>
      </c>
      <c r="Z117" s="541">
        <f t="shared" si="40"/>
        <v>294.02763782980185</v>
      </c>
      <c r="AA117" s="541">
        <f t="shared" si="40"/>
        <v>296.13465330415158</v>
      </c>
      <c r="AB117" s="541">
        <f t="shared" si="40"/>
        <v>297.93366972287009</v>
      </c>
      <c r="AC117" s="541">
        <f t="shared" si="40"/>
        <v>299.95258820495712</v>
      </c>
      <c r="AD117" s="541">
        <f t="shared" si="40"/>
        <v>302.18557035099627</v>
      </c>
      <c r="AE117" s="541">
        <f t="shared" si="40"/>
        <v>304.1633713964913</v>
      </c>
      <c r="AF117" s="541">
        <f t="shared" si="40"/>
        <v>306.1047536056825</v>
      </c>
      <c r="AG117" s="541">
        <f t="shared" si="40"/>
        <v>308.49909301395718</v>
      </c>
      <c r="AH117" s="423"/>
      <c r="AI117" s="423"/>
    </row>
    <row r="118" spans="1:35" hidden="1" x14ac:dyDescent="0.25">
      <c r="A118" s="451">
        <v>7</v>
      </c>
      <c r="B118" s="449" t="s">
        <v>88</v>
      </c>
      <c r="C118" s="540">
        <v>0.28248700483774403</v>
      </c>
      <c r="D118" s="449"/>
      <c r="E118" s="541">
        <f t="shared" si="39"/>
        <v>472005.45711765083</v>
      </c>
      <c r="F118" s="541">
        <f t="shared" si="40"/>
        <v>491334.79985616897</v>
      </c>
      <c r="G118" s="541">
        <f t="shared" si="40"/>
        <v>472429.31108584115</v>
      </c>
      <c r="H118" s="541">
        <f t="shared" si="40"/>
        <v>485957.49362376746</v>
      </c>
      <c r="I118" s="541">
        <f t="shared" si="40"/>
        <v>486715.61887772445</v>
      </c>
      <c r="J118" s="541">
        <f t="shared" si="40"/>
        <v>510985.39485801983</v>
      </c>
      <c r="K118" s="541">
        <f t="shared" si="40"/>
        <v>516618.51048703649</v>
      </c>
      <c r="L118" s="541">
        <f t="shared" si="40"/>
        <v>517422.08566240169</v>
      </c>
      <c r="M118" s="541">
        <f t="shared" si="40"/>
        <v>519904.80438490602</v>
      </c>
      <c r="N118" s="541">
        <f t="shared" si="40"/>
        <v>522245.20421938074</v>
      </c>
      <c r="O118" s="541">
        <f t="shared" si="40"/>
        <v>524377.00111903076</v>
      </c>
      <c r="P118" s="541">
        <f t="shared" si="40"/>
        <v>526776.48805209319</v>
      </c>
      <c r="Q118" s="541">
        <f t="shared" si="40"/>
        <v>529413.78972494288</v>
      </c>
      <c r="R118" s="541">
        <f t="shared" si="40"/>
        <v>532130.1565482514</v>
      </c>
      <c r="S118" s="541">
        <f t="shared" si="40"/>
        <v>534747.18021869997</v>
      </c>
      <c r="T118" s="541">
        <f t="shared" si="40"/>
        <v>537610.71477999189</v>
      </c>
      <c r="U118" s="541">
        <f t="shared" si="40"/>
        <v>540735.91540641314</v>
      </c>
      <c r="V118" s="541">
        <f t="shared" si="40"/>
        <v>544131.44231070345</v>
      </c>
      <c r="W118" s="541">
        <f t="shared" si="40"/>
        <v>547484.51074806263</v>
      </c>
      <c r="X118" s="541">
        <f t="shared" si="40"/>
        <v>550689.44618531526</v>
      </c>
      <c r="Y118" s="541">
        <f t="shared" si="40"/>
        <v>554148.54043459776</v>
      </c>
      <c r="Z118" s="541">
        <f t="shared" si="40"/>
        <v>557628.11170671927</v>
      </c>
      <c r="AA118" s="541">
        <f t="shared" si="40"/>
        <v>561624.10020960483</v>
      </c>
      <c r="AB118" s="541">
        <f t="shared" si="40"/>
        <v>565035.96358375507</v>
      </c>
      <c r="AC118" s="541">
        <f t="shared" si="40"/>
        <v>568864.87473362335</v>
      </c>
      <c r="AD118" s="541">
        <f t="shared" si="40"/>
        <v>573099.76104145881</v>
      </c>
      <c r="AE118" s="541">
        <f t="shared" si="40"/>
        <v>576850.69231605344</v>
      </c>
      <c r="AF118" s="541">
        <f t="shared" si="40"/>
        <v>580532.55468587228</v>
      </c>
      <c r="AG118" s="541">
        <f t="shared" si="40"/>
        <v>585073.45761892945</v>
      </c>
      <c r="AH118" s="423"/>
      <c r="AI118" s="423"/>
    </row>
    <row r="119" spans="1:35" hidden="1" x14ac:dyDescent="0.25">
      <c r="A119" s="451">
        <v>8</v>
      </c>
      <c r="B119" s="449" t="s">
        <v>89</v>
      </c>
      <c r="C119" s="540">
        <v>0.24884985504317014</v>
      </c>
      <c r="D119" s="449"/>
      <c r="E119" s="541">
        <f t="shared" si="39"/>
        <v>415801.39111453615</v>
      </c>
      <c r="F119" s="541">
        <f t="shared" si="40"/>
        <v>432829.09170318034</v>
      </c>
      <c r="G119" s="541">
        <f t="shared" si="40"/>
        <v>416174.7746569197</v>
      </c>
      <c r="H119" s="541">
        <f t="shared" si="40"/>
        <v>428092.08839492389</v>
      </c>
      <c r="I119" s="541">
        <f t="shared" si="40"/>
        <v>428759.93985825096</v>
      </c>
      <c r="J119" s="541">
        <f t="shared" si="40"/>
        <v>450139.79143087723</v>
      </c>
      <c r="K119" s="541">
        <f t="shared" si="40"/>
        <v>455102.14362306875</v>
      </c>
      <c r="L119" s="541">
        <f t="shared" si="40"/>
        <v>455810.03305685276</v>
      </c>
      <c r="M119" s="541">
        <f t="shared" si="40"/>
        <v>457997.12196228059</v>
      </c>
      <c r="N119" s="541">
        <f t="shared" si="40"/>
        <v>460058.8386061546</v>
      </c>
      <c r="O119" s="541">
        <f t="shared" si="40"/>
        <v>461936.79171682632</v>
      </c>
      <c r="P119" s="541">
        <f t="shared" si="40"/>
        <v>464050.55966099619</v>
      </c>
      <c r="Q119" s="541">
        <f t="shared" si="40"/>
        <v>466373.8245466525</v>
      </c>
      <c r="R119" s="541">
        <f t="shared" si="40"/>
        <v>468766.73989726364</v>
      </c>
      <c r="S119" s="541">
        <f t="shared" si="40"/>
        <v>471072.1413843506</v>
      </c>
      <c r="T119" s="541">
        <f t="shared" si="40"/>
        <v>473594.70046949468</v>
      </c>
      <c r="U119" s="541">
        <f t="shared" si="40"/>
        <v>476347.76772408379</v>
      </c>
      <c r="V119" s="541">
        <f t="shared" si="40"/>
        <v>479338.97214572842</v>
      </c>
      <c r="W119" s="541">
        <f t="shared" si="40"/>
        <v>482292.77384384884</v>
      </c>
      <c r="X119" s="541">
        <f t="shared" si="40"/>
        <v>485116.08148393355</v>
      </c>
      <c r="Y119" s="541">
        <f t="shared" si="40"/>
        <v>488163.28396678407</v>
      </c>
      <c r="Z119" s="541">
        <f t="shared" si="40"/>
        <v>491228.52517027658</v>
      </c>
      <c r="AA119" s="541">
        <f t="shared" si="40"/>
        <v>494748.69120505906</v>
      </c>
      <c r="AB119" s="541">
        <f t="shared" si="40"/>
        <v>497754.28683085443</v>
      </c>
      <c r="AC119" s="541">
        <f t="shared" si="40"/>
        <v>501127.27025416342</v>
      </c>
      <c r="AD119" s="541">
        <f t="shared" si="40"/>
        <v>504857.88732957357</v>
      </c>
      <c r="AE119" s="541">
        <f t="shared" si="40"/>
        <v>508162.17633393285</v>
      </c>
      <c r="AF119" s="541">
        <f t="shared" si="40"/>
        <v>511405.6208157228</v>
      </c>
      <c r="AG119" s="541">
        <f t="shared" si="40"/>
        <v>515405.81557620544</v>
      </c>
      <c r="AH119" s="423"/>
      <c r="AI119" s="423"/>
    </row>
    <row r="120" spans="1:35" hidden="1" x14ac:dyDescent="0.25">
      <c r="A120" s="451">
        <v>9</v>
      </c>
      <c r="B120" s="449" t="s">
        <v>90</v>
      </c>
      <c r="C120" s="540">
        <v>7.0397404954886791E-2</v>
      </c>
      <c r="D120" s="449"/>
      <c r="E120" s="541">
        <f t="shared" si="39"/>
        <v>117626.50577400302</v>
      </c>
      <c r="F120" s="541">
        <f t="shared" si="40"/>
        <v>122443.49043160469</v>
      </c>
      <c r="G120" s="541">
        <f t="shared" si="40"/>
        <v>117732.13264861825</v>
      </c>
      <c r="H120" s="541">
        <f t="shared" si="40"/>
        <v>121103.43443636967</v>
      </c>
      <c r="I120" s="541">
        <f t="shared" si="40"/>
        <v>121292.36365999888</v>
      </c>
      <c r="J120" s="541">
        <f t="shared" si="40"/>
        <v>127340.53302209251</v>
      </c>
      <c r="K120" s="541">
        <f t="shared" si="40"/>
        <v>128744.33820711814</v>
      </c>
      <c r="L120" s="541">
        <f t="shared" si="40"/>
        <v>128944.59381556416</v>
      </c>
      <c r="M120" s="541">
        <f t="shared" si="40"/>
        <v>129563.30176426293</v>
      </c>
      <c r="N120" s="541">
        <f t="shared" si="40"/>
        <v>130146.54301813406</v>
      </c>
      <c r="O120" s="541">
        <f t="shared" si="40"/>
        <v>130677.79920711322</v>
      </c>
      <c r="P120" s="541">
        <f t="shared" si="40"/>
        <v>131275.76530968767</v>
      </c>
      <c r="Q120" s="541">
        <f t="shared" si="40"/>
        <v>131932.99622888851</v>
      </c>
      <c r="R120" s="541">
        <f t="shared" si="40"/>
        <v>132609.9306435399</v>
      </c>
      <c r="S120" s="541">
        <f t="shared" si="40"/>
        <v>133262.10816657645</v>
      </c>
      <c r="T120" s="541">
        <f t="shared" si="40"/>
        <v>133975.71763767186</v>
      </c>
      <c r="U120" s="541">
        <f t="shared" si="40"/>
        <v>134754.53581442236</v>
      </c>
      <c r="V120" s="541">
        <f t="shared" si="40"/>
        <v>135600.72087222291</v>
      </c>
      <c r="W120" s="541">
        <f t="shared" si="40"/>
        <v>136436.32503306496</v>
      </c>
      <c r="X120" s="541">
        <f t="shared" si="40"/>
        <v>137235.01358852658</v>
      </c>
      <c r="Y120" s="541">
        <f t="shared" si="40"/>
        <v>138097.03999849799</v>
      </c>
      <c r="Z120" s="541">
        <f t="shared" si="40"/>
        <v>138964.16940168463</v>
      </c>
      <c r="AA120" s="541">
        <f t="shared" si="40"/>
        <v>139959.99298300047</v>
      </c>
      <c r="AB120" s="541">
        <f t="shared" si="40"/>
        <v>140810.24918412644</v>
      </c>
      <c r="AC120" s="541">
        <f t="shared" si="40"/>
        <v>141764.43611710903</v>
      </c>
      <c r="AD120" s="541">
        <f t="shared" si="40"/>
        <v>142819.79442119043</v>
      </c>
      <c r="AE120" s="541">
        <f t="shared" si="40"/>
        <v>143754.54831561208</v>
      </c>
      <c r="AF120" s="541">
        <f t="shared" si="40"/>
        <v>144672.08983715985</v>
      </c>
      <c r="AG120" s="541">
        <f t="shared" si="40"/>
        <v>145803.70926447783</v>
      </c>
      <c r="AH120" s="423"/>
      <c r="AI120" s="423"/>
    </row>
    <row r="121" spans="1:35" hidden="1" x14ac:dyDescent="0.25">
      <c r="A121" s="451">
        <v>10</v>
      </c>
      <c r="B121" s="449" t="s">
        <v>91</v>
      </c>
      <c r="C121" s="540">
        <v>0.39799762426194846</v>
      </c>
      <c r="D121" s="449"/>
      <c r="E121" s="541">
        <f t="shared" si="39"/>
        <v>665011.30088940577</v>
      </c>
      <c r="F121" s="541">
        <f t="shared" si="40"/>
        <v>692244.52704398206</v>
      </c>
      <c r="G121" s="541">
        <f t="shared" si="40"/>
        <v>665608.47127064387</v>
      </c>
      <c r="H121" s="541">
        <f t="shared" si="40"/>
        <v>684668.40825347684</v>
      </c>
      <c r="I121" s="541">
        <f t="shared" si="40"/>
        <v>685736.53544092458</v>
      </c>
      <c r="J121" s="541">
        <f t="shared" si="40"/>
        <v>719930.36742648948</v>
      </c>
      <c r="K121" s="541">
        <f t="shared" si="40"/>
        <v>727866.89760007814</v>
      </c>
      <c r="L121" s="541">
        <f t="shared" si="40"/>
        <v>728999.05945260276</v>
      </c>
      <c r="M121" s="541">
        <f t="shared" si="40"/>
        <v>732496.97665355494</v>
      </c>
      <c r="N121" s="541">
        <f t="shared" si="40"/>
        <v>735794.37992518162</v>
      </c>
      <c r="O121" s="541">
        <f t="shared" si="40"/>
        <v>738797.88127901207</v>
      </c>
      <c r="P121" s="541">
        <f t="shared" si="40"/>
        <v>742178.53271589847</v>
      </c>
      <c r="Q121" s="541">
        <f t="shared" si="40"/>
        <v>745894.24275664578</v>
      </c>
      <c r="R121" s="541">
        <f t="shared" si="40"/>
        <v>749721.34815896943</v>
      </c>
      <c r="S121" s="541">
        <f t="shared" si="40"/>
        <v>753408.48840131122</v>
      </c>
      <c r="T121" s="541">
        <f t="shared" si="40"/>
        <v>757442.93930655112</v>
      </c>
      <c r="U121" s="541">
        <f t="shared" si="40"/>
        <v>761846.05309004022</v>
      </c>
      <c r="V121" s="541">
        <f t="shared" si="40"/>
        <v>766630.03117710748</v>
      </c>
      <c r="W121" s="541">
        <f t="shared" si="40"/>
        <v>771354.18927713484</v>
      </c>
      <c r="X121" s="541">
        <f t="shared" ref="F121:AG122" si="42">$C121*X$7</f>
        <v>775869.6419106893</v>
      </c>
      <c r="Y121" s="541">
        <f t="shared" si="42"/>
        <v>780743.18040887022</v>
      </c>
      <c r="Z121" s="541">
        <f t="shared" si="42"/>
        <v>785645.56910653773</v>
      </c>
      <c r="AA121" s="541">
        <f t="shared" si="42"/>
        <v>791275.54111760436</v>
      </c>
      <c r="AB121" s="541">
        <f t="shared" si="42"/>
        <v>796082.53575439507</v>
      </c>
      <c r="AC121" s="541">
        <f t="shared" si="42"/>
        <v>801477.11148729641</v>
      </c>
      <c r="AD121" s="541">
        <f t="shared" si="42"/>
        <v>807443.66803918476</v>
      </c>
      <c r="AE121" s="541">
        <f t="shared" si="42"/>
        <v>812728.3774611844</v>
      </c>
      <c r="AF121" s="541">
        <f t="shared" si="42"/>
        <v>817915.77529171144</v>
      </c>
      <c r="AG121" s="541">
        <f t="shared" si="42"/>
        <v>824313.48049021757</v>
      </c>
      <c r="AH121" s="423"/>
      <c r="AI121" s="423"/>
    </row>
    <row r="122" spans="1:35" ht="15.75" hidden="1" customHeight="1" x14ac:dyDescent="0.25">
      <c r="A122" s="451">
        <v>11</v>
      </c>
      <c r="B122" s="449" t="s">
        <v>92</v>
      </c>
      <c r="C122" s="540">
        <v>0</v>
      </c>
      <c r="D122" s="449"/>
      <c r="E122" s="541">
        <f t="shared" si="39"/>
        <v>0</v>
      </c>
      <c r="F122" s="541">
        <f t="shared" si="42"/>
        <v>0</v>
      </c>
      <c r="G122" s="541">
        <f t="shared" si="42"/>
        <v>0</v>
      </c>
      <c r="H122" s="541">
        <f t="shared" si="42"/>
        <v>0</v>
      </c>
      <c r="I122" s="541">
        <f t="shared" si="42"/>
        <v>0</v>
      </c>
      <c r="J122" s="541">
        <f t="shared" si="42"/>
        <v>0</v>
      </c>
      <c r="K122" s="541">
        <f t="shared" si="42"/>
        <v>0</v>
      </c>
      <c r="L122" s="541">
        <f t="shared" si="42"/>
        <v>0</v>
      </c>
      <c r="M122" s="541">
        <f t="shared" si="42"/>
        <v>0</v>
      </c>
      <c r="N122" s="541">
        <f t="shared" si="42"/>
        <v>0</v>
      </c>
      <c r="O122" s="541">
        <f t="shared" si="42"/>
        <v>0</v>
      </c>
      <c r="P122" s="541">
        <f t="shared" si="42"/>
        <v>0</v>
      </c>
      <c r="Q122" s="541">
        <f t="shared" si="42"/>
        <v>0</v>
      </c>
      <c r="R122" s="541">
        <f t="shared" si="42"/>
        <v>0</v>
      </c>
      <c r="S122" s="541">
        <f t="shared" si="42"/>
        <v>0</v>
      </c>
      <c r="T122" s="541">
        <f t="shared" si="42"/>
        <v>0</v>
      </c>
      <c r="U122" s="541">
        <f t="shared" si="42"/>
        <v>0</v>
      </c>
      <c r="V122" s="541">
        <f t="shared" si="42"/>
        <v>0</v>
      </c>
      <c r="W122" s="541">
        <f t="shared" si="42"/>
        <v>0</v>
      </c>
      <c r="X122" s="541">
        <f t="shared" si="42"/>
        <v>0</v>
      </c>
      <c r="Y122" s="541">
        <f t="shared" si="42"/>
        <v>0</v>
      </c>
      <c r="Z122" s="541">
        <f t="shared" si="42"/>
        <v>0</v>
      </c>
      <c r="AA122" s="541">
        <f t="shared" si="42"/>
        <v>0</v>
      </c>
      <c r="AB122" s="541">
        <f t="shared" si="42"/>
        <v>0</v>
      </c>
      <c r="AC122" s="541">
        <f t="shared" si="42"/>
        <v>0</v>
      </c>
      <c r="AD122" s="541">
        <f t="shared" si="42"/>
        <v>0</v>
      </c>
      <c r="AE122" s="541">
        <f t="shared" si="42"/>
        <v>0</v>
      </c>
      <c r="AF122" s="541">
        <f t="shared" si="42"/>
        <v>0</v>
      </c>
      <c r="AG122" s="541">
        <f t="shared" si="42"/>
        <v>0</v>
      </c>
      <c r="AH122" s="423"/>
      <c r="AI122" s="423"/>
    </row>
    <row r="123" spans="1:35" hidden="1" x14ac:dyDescent="0.25">
      <c r="A123" s="449"/>
      <c r="B123" s="449" t="s">
        <v>67</v>
      </c>
      <c r="C123" s="451" t="s">
        <v>0</v>
      </c>
      <c r="D123" s="449"/>
      <c r="E123" s="541">
        <f t="shared" ref="E123:AG123" si="43">SUM(E112:E122)</f>
        <v>1670892.6394287171</v>
      </c>
      <c r="F123" s="541">
        <f t="shared" si="43"/>
        <v>1739318.239217354</v>
      </c>
      <c r="G123" s="541">
        <f t="shared" si="43"/>
        <v>1672393.0764786757</v>
      </c>
      <c r="H123" s="541">
        <f t="shared" si="43"/>
        <v>1720282.6512422888</v>
      </c>
      <c r="I123" s="541">
        <f t="shared" si="43"/>
        <v>1722966.4039140001</v>
      </c>
      <c r="J123" s="541">
        <f t="shared" si="43"/>
        <v>1808881.0674725436</v>
      </c>
      <c r="K123" s="541">
        <f t="shared" si="43"/>
        <v>1828822.2170919823</v>
      </c>
      <c r="L123" s="541">
        <f t="shared" si="43"/>
        <v>1831666.8618423729</v>
      </c>
      <c r="M123" s="541">
        <f t="shared" si="43"/>
        <v>1840455.6509901439</v>
      </c>
      <c r="N123" s="541">
        <f t="shared" si="43"/>
        <v>1848740.6332880696</v>
      </c>
      <c r="O123" s="541">
        <f t="shared" si="43"/>
        <v>1856287.1641483987</v>
      </c>
      <c r="P123" s="541">
        <f t="shared" si="43"/>
        <v>1864781.3139392561</v>
      </c>
      <c r="Q123" s="541">
        <f t="shared" si="43"/>
        <v>1874117.3245439371</v>
      </c>
      <c r="R123" s="541">
        <f t="shared" si="43"/>
        <v>1883733.2246624883</v>
      </c>
      <c r="S123" s="541">
        <f t="shared" si="43"/>
        <v>1892997.4514255985</v>
      </c>
      <c r="T123" s="541">
        <f t="shared" si="43"/>
        <v>1903134.3232542216</v>
      </c>
      <c r="U123" s="541">
        <f t="shared" si="43"/>
        <v>1914197.489250889</v>
      </c>
      <c r="V123" s="541">
        <f t="shared" si="43"/>
        <v>1926217.6064461579</v>
      </c>
      <c r="W123" s="541">
        <f t="shared" si="43"/>
        <v>1938087.4212692687</v>
      </c>
      <c r="X123" s="541">
        <f t="shared" si="43"/>
        <v>1949432.8473680499</v>
      </c>
      <c r="Y123" s="541">
        <f t="shared" si="43"/>
        <v>1961677.9920651284</v>
      </c>
      <c r="Z123" s="541">
        <f t="shared" si="43"/>
        <v>1973995.6251333118</v>
      </c>
      <c r="AA123" s="541">
        <f t="shared" si="43"/>
        <v>1988141.3678912162</v>
      </c>
      <c r="AB123" s="541">
        <f t="shared" si="43"/>
        <v>2000219.3159586322</v>
      </c>
      <c r="AC123" s="541">
        <f t="shared" si="43"/>
        <v>2013773.607250961</v>
      </c>
      <c r="AD123" s="541">
        <f t="shared" si="43"/>
        <v>2028765.0448580394</v>
      </c>
      <c r="AE123" s="541">
        <f t="shared" si="43"/>
        <v>2042043.2884952966</v>
      </c>
      <c r="AF123" s="541">
        <f t="shared" si="43"/>
        <v>2055077.0291869566</v>
      </c>
      <c r="AG123" s="541">
        <f t="shared" si="43"/>
        <v>2071151.7613172554</v>
      </c>
      <c r="AH123" s="423"/>
      <c r="AI123" s="423"/>
    </row>
    <row r="124" spans="1:35" hidden="1" x14ac:dyDescent="0.25">
      <c r="A124" s="449"/>
      <c r="B124" s="449"/>
      <c r="C124" s="449"/>
      <c r="D124" s="449"/>
      <c r="E124" s="450"/>
      <c r="F124" s="450"/>
      <c r="G124" s="450"/>
      <c r="H124" s="450"/>
      <c r="I124" s="450"/>
      <c r="J124" s="450"/>
      <c r="K124" s="450"/>
      <c r="L124" s="450"/>
      <c r="M124" s="450"/>
      <c r="N124" s="450"/>
      <c r="O124" s="450"/>
      <c r="P124" s="450"/>
      <c r="Q124" s="450"/>
      <c r="R124" s="450"/>
      <c r="S124" s="450"/>
      <c r="T124" s="450"/>
      <c r="U124" s="450"/>
      <c r="V124" s="450"/>
      <c r="W124" s="450"/>
      <c r="X124" s="450"/>
      <c r="Y124" s="450"/>
      <c r="Z124" s="450"/>
      <c r="AA124" s="450"/>
      <c r="AB124" s="450"/>
      <c r="AC124" s="450"/>
      <c r="AD124" s="450"/>
      <c r="AE124" s="450"/>
      <c r="AF124" s="450"/>
      <c r="AG124" s="450"/>
      <c r="AH124" s="423"/>
      <c r="AI124" s="423"/>
    </row>
    <row r="125" spans="1:35" hidden="1" x14ac:dyDescent="0.25">
      <c r="A125" s="449"/>
      <c r="B125" s="539" t="s">
        <v>49</v>
      </c>
      <c r="C125" s="449"/>
      <c r="D125" s="449"/>
      <c r="E125" s="450"/>
      <c r="F125" s="450"/>
      <c r="G125" s="450"/>
      <c r="H125" s="450"/>
      <c r="I125" s="450"/>
      <c r="J125" s="450"/>
      <c r="K125" s="450"/>
      <c r="L125" s="450"/>
      <c r="M125" s="450"/>
      <c r="N125" s="450"/>
      <c r="O125" s="450"/>
      <c r="P125" s="450"/>
      <c r="Q125" s="450"/>
      <c r="R125" s="450"/>
      <c r="S125" s="450"/>
      <c r="T125" s="450"/>
      <c r="U125" s="450"/>
      <c r="V125" s="450"/>
      <c r="W125" s="450"/>
      <c r="X125" s="450"/>
      <c r="Y125" s="450"/>
      <c r="Z125" s="450"/>
      <c r="AA125" s="450"/>
      <c r="AB125" s="450"/>
      <c r="AC125" s="450"/>
      <c r="AD125" s="450"/>
      <c r="AE125" s="450"/>
      <c r="AF125" s="450"/>
      <c r="AG125" s="450"/>
      <c r="AH125" s="423"/>
      <c r="AI125" s="423"/>
    </row>
    <row r="126" spans="1:35" hidden="1" x14ac:dyDescent="0.25">
      <c r="A126" s="449"/>
      <c r="B126" s="449" t="s">
        <v>80</v>
      </c>
      <c r="C126" s="450" t="s">
        <v>81</v>
      </c>
      <c r="D126" s="449"/>
      <c r="E126" s="450">
        <v>2017</v>
      </c>
      <c r="F126" s="450">
        <v>2018</v>
      </c>
      <c r="G126" s="450">
        <v>2019</v>
      </c>
      <c r="H126" s="450">
        <v>2020</v>
      </c>
      <c r="I126" s="450">
        <v>2021</v>
      </c>
      <c r="J126" s="450">
        <v>2022</v>
      </c>
      <c r="K126" s="450">
        <v>2023</v>
      </c>
      <c r="L126" s="450">
        <v>2024</v>
      </c>
      <c r="M126" s="450">
        <v>2025</v>
      </c>
      <c r="N126" s="450">
        <v>2026</v>
      </c>
      <c r="O126" s="450">
        <v>2027</v>
      </c>
      <c r="P126" s="450">
        <v>2028</v>
      </c>
      <c r="Q126" s="450">
        <v>2029</v>
      </c>
      <c r="R126" s="450">
        <v>2030</v>
      </c>
      <c r="S126" s="450">
        <v>2031</v>
      </c>
      <c r="T126" s="450">
        <v>2032</v>
      </c>
      <c r="U126" s="450">
        <v>2033</v>
      </c>
      <c r="V126" s="450">
        <v>2034</v>
      </c>
      <c r="W126" s="450">
        <v>2035</v>
      </c>
      <c r="X126" s="450">
        <v>2036</v>
      </c>
      <c r="Y126" s="450">
        <v>2037</v>
      </c>
      <c r="Z126" s="450">
        <v>2038</v>
      </c>
      <c r="AA126" s="450">
        <v>2039</v>
      </c>
      <c r="AB126" s="450">
        <v>2040</v>
      </c>
      <c r="AC126" s="450">
        <v>2041</v>
      </c>
      <c r="AD126" s="450">
        <v>2042</v>
      </c>
      <c r="AE126" s="450">
        <v>2043</v>
      </c>
      <c r="AF126" s="450">
        <v>2044</v>
      </c>
      <c r="AG126" s="450">
        <v>2045</v>
      </c>
      <c r="AH126" s="423"/>
      <c r="AI126" s="423"/>
    </row>
    <row r="127" spans="1:35" hidden="1" x14ac:dyDescent="0.25">
      <c r="A127" s="451">
        <v>1</v>
      </c>
      <c r="B127" s="449" t="s">
        <v>82</v>
      </c>
      <c r="C127" s="540">
        <v>0</v>
      </c>
      <c r="D127" s="449"/>
      <c r="E127" s="541">
        <f t="shared" ref="E127:E137" si="44">$C127*E$8</f>
        <v>0</v>
      </c>
      <c r="F127" s="541">
        <f t="shared" ref="F127:AG136" si="45">$C127*F$8</f>
        <v>0</v>
      </c>
      <c r="G127" s="541">
        <f t="shared" si="45"/>
        <v>0</v>
      </c>
      <c r="H127" s="541">
        <f t="shared" si="45"/>
        <v>0</v>
      </c>
      <c r="I127" s="541">
        <f t="shared" si="45"/>
        <v>0</v>
      </c>
      <c r="J127" s="541">
        <f t="shared" si="45"/>
        <v>0</v>
      </c>
      <c r="K127" s="541">
        <f t="shared" si="45"/>
        <v>0</v>
      </c>
      <c r="L127" s="541">
        <f t="shared" si="45"/>
        <v>0</v>
      </c>
      <c r="M127" s="541">
        <f t="shared" si="45"/>
        <v>0</v>
      </c>
      <c r="N127" s="541">
        <f t="shared" si="45"/>
        <v>0</v>
      </c>
      <c r="O127" s="541">
        <f t="shared" si="45"/>
        <v>0</v>
      </c>
      <c r="P127" s="541">
        <f t="shared" si="45"/>
        <v>0</v>
      </c>
      <c r="Q127" s="541">
        <f t="shared" si="45"/>
        <v>0</v>
      </c>
      <c r="R127" s="541">
        <f t="shared" si="45"/>
        <v>0</v>
      </c>
      <c r="S127" s="541">
        <f t="shared" si="45"/>
        <v>0</v>
      </c>
      <c r="T127" s="541">
        <f t="shared" si="45"/>
        <v>0</v>
      </c>
      <c r="U127" s="541">
        <f t="shared" si="45"/>
        <v>0</v>
      </c>
      <c r="V127" s="541">
        <f t="shared" si="45"/>
        <v>0</v>
      </c>
      <c r="W127" s="541">
        <f t="shared" si="45"/>
        <v>0</v>
      </c>
      <c r="X127" s="541">
        <f t="shared" si="45"/>
        <v>0</v>
      </c>
      <c r="Y127" s="541">
        <f t="shared" si="45"/>
        <v>0</v>
      </c>
      <c r="Z127" s="541">
        <f t="shared" si="45"/>
        <v>0</v>
      </c>
      <c r="AA127" s="541">
        <f t="shared" si="45"/>
        <v>0</v>
      </c>
      <c r="AB127" s="541">
        <f t="shared" si="45"/>
        <v>0</v>
      </c>
      <c r="AC127" s="541">
        <f t="shared" si="45"/>
        <v>0</v>
      </c>
      <c r="AD127" s="541">
        <f t="shared" si="45"/>
        <v>0</v>
      </c>
      <c r="AE127" s="541">
        <f t="shared" si="45"/>
        <v>0</v>
      </c>
      <c r="AF127" s="541">
        <f t="shared" si="45"/>
        <v>0</v>
      </c>
      <c r="AG127" s="541">
        <f t="shared" si="45"/>
        <v>0</v>
      </c>
      <c r="AH127" s="423"/>
      <c r="AI127" s="423"/>
    </row>
    <row r="128" spans="1:35" hidden="1" x14ac:dyDescent="0.25">
      <c r="A128" s="451">
        <v>2</v>
      </c>
      <c r="B128" s="449" t="s">
        <v>83</v>
      </c>
      <c r="C128" s="540">
        <v>0</v>
      </c>
      <c r="D128" s="449"/>
      <c r="E128" s="541">
        <f t="shared" si="44"/>
        <v>0</v>
      </c>
      <c r="F128" s="541">
        <f t="shared" ref="F128:T128" si="46">$C128*F$8</f>
        <v>0</v>
      </c>
      <c r="G128" s="541">
        <f t="shared" si="46"/>
        <v>0</v>
      </c>
      <c r="H128" s="541">
        <f t="shared" si="46"/>
        <v>0</v>
      </c>
      <c r="I128" s="541">
        <f t="shared" si="46"/>
        <v>0</v>
      </c>
      <c r="J128" s="541">
        <f t="shared" si="46"/>
        <v>0</v>
      </c>
      <c r="K128" s="541">
        <f t="shared" si="46"/>
        <v>0</v>
      </c>
      <c r="L128" s="541">
        <f t="shared" si="46"/>
        <v>0</v>
      </c>
      <c r="M128" s="541">
        <f t="shared" si="46"/>
        <v>0</v>
      </c>
      <c r="N128" s="541">
        <f t="shared" si="46"/>
        <v>0</v>
      </c>
      <c r="O128" s="541">
        <f t="shared" si="46"/>
        <v>0</v>
      </c>
      <c r="P128" s="541">
        <f t="shared" si="46"/>
        <v>0</v>
      </c>
      <c r="Q128" s="541">
        <f t="shared" si="46"/>
        <v>0</v>
      </c>
      <c r="R128" s="541">
        <f t="shared" si="46"/>
        <v>0</v>
      </c>
      <c r="S128" s="541">
        <f t="shared" si="46"/>
        <v>0</v>
      </c>
      <c r="T128" s="541">
        <f t="shared" si="46"/>
        <v>0</v>
      </c>
      <c r="U128" s="541">
        <f t="shared" si="45"/>
        <v>0</v>
      </c>
      <c r="V128" s="541">
        <f t="shared" si="45"/>
        <v>0</v>
      </c>
      <c r="W128" s="541">
        <f t="shared" si="45"/>
        <v>0</v>
      </c>
      <c r="X128" s="541">
        <f t="shared" si="45"/>
        <v>0</v>
      </c>
      <c r="Y128" s="541">
        <f t="shared" si="45"/>
        <v>0</v>
      </c>
      <c r="Z128" s="541">
        <f t="shared" si="45"/>
        <v>0</v>
      </c>
      <c r="AA128" s="541">
        <f t="shared" si="45"/>
        <v>0</v>
      </c>
      <c r="AB128" s="541">
        <f t="shared" si="45"/>
        <v>0</v>
      </c>
      <c r="AC128" s="541">
        <f t="shared" si="45"/>
        <v>0</v>
      </c>
      <c r="AD128" s="541">
        <f t="shared" si="45"/>
        <v>0</v>
      </c>
      <c r="AE128" s="541">
        <f t="shared" si="45"/>
        <v>0</v>
      </c>
      <c r="AF128" s="541">
        <f t="shared" si="45"/>
        <v>0</v>
      </c>
      <c r="AG128" s="541">
        <f t="shared" si="45"/>
        <v>0</v>
      </c>
      <c r="AH128" s="423"/>
      <c r="AI128" s="423"/>
    </row>
    <row r="129" spans="1:35" hidden="1" x14ac:dyDescent="0.25">
      <c r="A129" s="451">
        <v>3</v>
      </c>
      <c r="B129" s="449" t="s">
        <v>84</v>
      </c>
      <c r="C129" s="540">
        <v>0</v>
      </c>
      <c r="D129" s="449"/>
      <c r="E129" s="541">
        <f t="shared" si="44"/>
        <v>0</v>
      </c>
      <c r="F129" s="541">
        <f t="shared" si="45"/>
        <v>0</v>
      </c>
      <c r="G129" s="541">
        <f t="shared" si="45"/>
        <v>0</v>
      </c>
      <c r="H129" s="541">
        <f t="shared" si="45"/>
        <v>0</v>
      </c>
      <c r="I129" s="541">
        <f t="shared" si="45"/>
        <v>0</v>
      </c>
      <c r="J129" s="541">
        <f t="shared" si="45"/>
        <v>0</v>
      </c>
      <c r="K129" s="541">
        <f t="shared" si="45"/>
        <v>0</v>
      </c>
      <c r="L129" s="541">
        <f t="shared" si="45"/>
        <v>0</v>
      </c>
      <c r="M129" s="541">
        <f t="shared" si="45"/>
        <v>0</v>
      </c>
      <c r="N129" s="541">
        <f t="shared" si="45"/>
        <v>0</v>
      </c>
      <c r="O129" s="541">
        <f t="shared" si="45"/>
        <v>0</v>
      </c>
      <c r="P129" s="541">
        <f t="shared" si="45"/>
        <v>0</v>
      </c>
      <c r="Q129" s="541">
        <f t="shared" si="45"/>
        <v>0</v>
      </c>
      <c r="R129" s="541">
        <f t="shared" si="45"/>
        <v>0</v>
      </c>
      <c r="S129" s="541">
        <f t="shared" si="45"/>
        <v>0</v>
      </c>
      <c r="T129" s="541">
        <f t="shared" si="45"/>
        <v>0</v>
      </c>
      <c r="U129" s="541">
        <f t="shared" si="45"/>
        <v>0</v>
      </c>
      <c r="V129" s="541">
        <f t="shared" si="45"/>
        <v>0</v>
      </c>
      <c r="W129" s="541">
        <f t="shared" si="45"/>
        <v>0</v>
      </c>
      <c r="X129" s="541">
        <f t="shared" si="45"/>
        <v>0</v>
      </c>
      <c r="Y129" s="541">
        <f t="shared" si="45"/>
        <v>0</v>
      </c>
      <c r="Z129" s="541">
        <f t="shared" si="45"/>
        <v>0</v>
      </c>
      <c r="AA129" s="541">
        <f t="shared" si="45"/>
        <v>0</v>
      </c>
      <c r="AB129" s="541">
        <f t="shared" si="45"/>
        <v>0</v>
      </c>
      <c r="AC129" s="541">
        <f t="shared" si="45"/>
        <v>0</v>
      </c>
      <c r="AD129" s="541">
        <f t="shared" si="45"/>
        <v>0</v>
      </c>
      <c r="AE129" s="541">
        <f t="shared" si="45"/>
        <v>0</v>
      </c>
      <c r="AF129" s="541">
        <f t="shared" si="45"/>
        <v>0</v>
      </c>
      <c r="AG129" s="541">
        <f t="shared" si="45"/>
        <v>0</v>
      </c>
      <c r="AH129" s="423"/>
      <c r="AI129" s="423"/>
    </row>
    <row r="130" spans="1:35" hidden="1" x14ac:dyDescent="0.25">
      <c r="A130" s="451">
        <v>4</v>
      </c>
      <c r="B130" s="449" t="s">
        <v>85</v>
      </c>
      <c r="C130" s="540">
        <v>0</v>
      </c>
      <c r="D130" s="449"/>
      <c r="E130" s="541">
        <f t="shared" si="44"/>
        <v>0</v>
      </c>
      <c r="F130" s="541">
        <f t="shared" si="45"/>
        <v>0</v>
      </c>
      <c r="G130" s="541">
        <f t="shared" si="45"/>
        <v>0</v>
      </c>
      <c r="H130" s="541">
        <f t="shared" si="45"/>
        <v>0</v>
      </c>
      <c r="I130" s="541">
        <f t="shared" si="45"/>
        <v>0</v>
      </c>
      <c r="J130" s="541">
        <f t="shared" si="45"/>
        <v>0</v>
      </c>
      <c r="K130" s="541">
        <f t="shared" si="45"/>
        <v>0</v>
      </c>
      <c r="L130" s="541">
        <f t="shared" si="45"/>
        <v>0</v>
      </c>
      <c r="M130" s="541">
        <f t="shared" si="45"/>
        <v>0</v>
      </c>
      <c r="N130" s="541">
        <f t="shared" si="45"/>
        <v>0</v>
      </c>
      <c r="O130" s="541">
        <f t="shared" si="45"/>
        <v>0</v>
      </c>
      <c r="P130" s="541">
        <f t="shared" si="45"/>
        <v>0</v>
      </c>
      <c r="Q130" s="541">
        <f t="shared" si="45"/>
        <v>0</v>
      </c>
      <c r="R130" s="541">
        <f t="shared" si="45"/>
        <v>0</v>
      </c>
      <c r="S130" s="541">
        <f t="shared" si="45"/>
        <v>0</v>
      </c>
      <c r="T130" s="541">
        <f t="shared" si="45"/>
        <v>0</v>
      </c>
      <c r="U130" s="541">
        <f t="shared" si="45"/>
        <v>0</v>
      </c>
      <c r="V130" s="541">
        <f t="shared" si="45"/>
        <v>0</v>
      </c>
      <c r="W130" s="541">
        <f t="shared" si="45"/>
        <v>0</v>
      </c>
      <c r="X130" s="541">
        <f t="shared" si="45"/>
        <v>0</v>
      </c>
      <c r="Y130" s="541">
        <f t="shared" si="45"/>
        <v>0</v>
      </c>
      <c r="Z130" s="541">
        <f t="shared" si="45"/>
        <v>0</v>
      </c>
      <c r="AA130" s="541">
        <f t="shared" si="45"/>
        <v>0</v>
      </c>
      <c r="AB130" s="541">
        <f t="shared" si="45"/>
        <v>0</v>
      </c>
      <c r="AC130" s="541">
        <f t="shared" si="45"/>
        <v>0</v>
      </c>
      <c r="AD130" s="541">
        <f t="shared" si="45"/>
        <v>0</v>
      </c>
      <c r="AE130" s="541">
        <f t="shared" si="45"/>
        <v>0</v>
      </c>
      <c r="AF130" s="541">
        <f t="shared" si="45"/>
        <v>0</v>
      </c>
      <c r="AG130" s="541">
        <f t="shared" si="45"/>
        <v>0</v>
      </c>
      <c r="AH130" s="423"/>
      <c r="AI130" s="423"/>
    </row>
    <row r="131" spans="1:35" hidden="1" x14ac:dyDescent="0.25">
      <c r="A131" s="451">
        <v>5</v>
      </c>
      <c r="B131" s="449" t="s">
        <v>86</v>
      </c>
      <c r="C131" s="540">
        <v>0</v>
      </c>
      <c r="D131" s="449"/>
      <c r="E131" s="541">
        <f t="shared" si="44"/>
        <v>0</v>
      </c>
      <c r="F131" s="541">
        <f t="shared" si="45"/>
        <v>0</v>
      </c>
      <c r="G131" s="541">
        <f t="shared" si="45"/>
        <v>0</v>
      </c>
      <c r="H131" s="541">
        <f t="shared" si="45"/>
        <v>0</v>
      </c>
      <c r="I131" s="541">
        <f t="shared" si="45"/>
        <v>0</v>
      </c>
      <c r="J131" s="541">
        <f t="shared" si="45"/>
        <v>0</v>
      </c>
      <c r="K131" s="541">
        <f t="shared" si="45"/>
        <v>0</v>
      </c>
      <c r="L131" s="541">
        <f t="shared" si="45"/>
        <v>0</v>
      </c>
      <c r="M131" s="541">
        <f t="shared" si="45"/>
        <v>0</v>
      </c>
      <c r="N131" s="541">
        <f t="shared" si="45"/>
        <v>0</v>
      </c>
      <c r="O131" s="541">
        <f t="shared" si="45"/>
        <v>0</v>
      </c>
      <c r="P131" s="541">
        <f t="shared" si="45"/>
        <v>0</v>
      </c>
      <c r="Q131" s="541">
        <f t="shared" si="45"/>
        <v>0</v>
      </c>
      <c r="R131" s="541">
        <f t="shared" si="45"/>
        <v>0</v>
      </c>
      <c r="S131" s="541">
        <f t="shared" si="45"/>
        <v>0</v>
      </c>
      <c r="T131" s="541">
        <f t="shared" si="45"/>
        <v>0</v>
      </c>
      <c r="U131" s="541">
        <f t="shared" si="45"/>
        <v>0</v>
      </c>
      <c r="V131" s="541">
        <f t="shared" si="45"/>
        <v>0</v>
      </c>
      <c r="W131" s="541">
        <f t="shared" si="45"/>
        <v>0</v>
      </c>
      <c r="X131" s="541">
        <f t="shared" si="45"/>
        <v>0</v>
      </c>
      <c r="Y131" s="541">
        <f t="shared" si="45"/>
        <v>0</v>
      </c>
      <c r="Z131" s="541">
        <f t="shared" si="45"/>
        <v>0</v>
      </c>
      <c r="AA131" s="541">
        <f t="shared" si="45"/>
        <v>0</v>
      </c>
      <c r="AB131" s="541">
        <f t="shared" si="45"/>
        <v>0</v>
      </c>
      <c r="AC131" s="541">
        <f t="shared" si="45"/>
        <v>0</v>
      </c>
      <c r="AD131" s="541">
        <f t="shared" si="45"/>
        <v>0</v>
      </c>
      <c r="AE131" s="541">
        <f t="shared" si="45"/>
        <v>0</v>
      </c>
      <c r="AF131" s="541">
        <f t="shared" si="45"/>
        <v>0</v>
      </c>
      <c r="AG131" s="541">
        <f t="shared" si="45"/>
        <v>0</v>
      </c>
      <c r="AH131" s="423"/>
      <c r="AI131" s="423"/>
    </row>
    <row r="132" spans="1:35" hidden="1" x14ac:dyDescent="0.25">
      <c r="A132" s="451">
        <v>6</v>
      </c>
      <c r="B132" s="449" t="s">
        <v>87</v>
      </c>
      <c r="C132" s="540">
        <v>0</v>
      </c>
      <c r="D132" s="449"/>
      <c r="E132" s="541">
        <f t="shared" si="44"/>
        <v>0</v>
      </c>
      <c r="F132" s="541">
        <f t="shared" si="45"/>
        <v>0</v>
      </c>
      <c r="G132" s="541">
        <f t="shared" si="45"/>
        <v>0</v>
      </c>
      <c r="H132" s="541">
        <f t="shared" si="45"/>
        <v>0</v>
      </c>
      <c r="I132" s="541">
        <f t="shared" si="45"/>
        <v>0</v>
      </c>
      <c r="J132" s="541">
        <f t="shared" si="45"/>
        <v>0</v>
      </c>
      <c r="K132" s="541">
        <f t="shared" si="45"/>
        <v>0</v>
      </c>
      <c r="L132" s="541">
        <f t="shared" si="45"/>
        <v>0</v>
      </c>
      <c r="M132" s="541">
        <f t="shared" si="45"/>
        <v>0</v>
      </c>
      <c r="N132" s="541">
        <f t="shared" si="45"/>
        <v>0</v>
      </c>
      <c r="O132" s="541">
        <f t="shared" si="45"/>
        <v>0</v>
      </c>
      <c r="P132" s="541">
        <f t="shared" si="45"/>
        <v>0</v>
      </c>
      <c r="Q132" s="541">
        <f t="shared" si="45"/>
        <v>0</v>
      </c>
      <c r="R132" s="541">
        <f t="shared" si="45"/>
        <v>0</v>
      </c>
      <c r="S132" s="541">
        <f t="shared" si="45"/>
        <v>0</v>
      </c>
      <c r="T132" s="541">
        <f t="shared" si="45"/>
        <v>0</v>
      </c>
      <c r="U132" s="541">
        <f t="shared" si="45"/>
        <v>0</v>
      </c>
      <c r="V132" s="541">
        <f t="shared" si="45"/>
        <v>0</v>
      </c>
      <c r="W132" s="541">
        <f t="shared" si="45"/>
        <v>0</v>
      </c>
      <c r="X132" s="541">
        <f t="shared" si="45"/>
        <v>0</v>
      </c>
      <c r="Y132" s="541">
        <f t="shared" si="45"/>
        <v>0</v>
      </c>
      <c r="Z132" s="541">
        <f t="shared" si="45"/>
        <v>0</v>
      </c>
      <c r="AA132" s="541">
        <f t="shared" si="45"/>
        <v>0</v>
      </c>
      <c r="AB132" s="541">
        <f t="shared" si="45"/>
        <v>0</v>
      </c>
      <c r="AC132" s="541">
        <f t="shared" si="45"/>
        <v>0</v>
      </c>
      <c r="AD132" s="541">
        <f t="shared" si="45"/>
        <v>0</v>
      </c>
      <c r="AE132" s="541">
        <f t="shared" si="45"/>
        <v>0</v>
      </c>
      <c r="AF132" s="541">
        <f t="shared" si="45"/>
        <v>0</v>
      </c>
      <c r="AG132" s="541">
        <f t="shared" si="45"/>
        <v>0</v>
      </c>
      <c r="AH132" s="423"/>
      <c r="AI132" s="423"/>
    </row>
    <row r="133" spans="1:35" hidden="1" x14ac:dyDescent="0.25">
      <c r="A133" s="451">
        <v>7</v>
      </c>
      <c r="B133" s="449" t="s">
        <v>88</v>
      </c>
      <c r="C133" s="540">
        <v>0</v>
      </c>
      <c r="D133" s="449"/>
      <c r="E133" s="541">
        <f t="shared" si="44"/>
        <v>0</v>
      </c>
      <c r="F133" s="541">
        <f t="shared" si="45"/>
        <v>0</v>
      </c>
      <c r="G133" s="541">
        <f t="shared" si="45"/>
        <v>0</v>
      </c>
      <c r="H133" s="541">
        <f t="shared" si="45"/>
        <v>0</v>
      </c>
      <c r="I133" s="541">
        <f t="shared" si="45"/>
        <v>0</v>
      </c>
      <c r="J133" s="541">
        <f t="shared" si="45"/>
        <v>0</v>
      </c>
      <c r="K133" s="541">
        <f t="shared" si="45"/>
        <v>0</v>
      </c>
      <c r="L133" s="541">
        <f t="shared" si="45"/>
        <v>0</v>
      </c>
      <c r="M133" s="541">
        <f t="shared" si="45"/>
        <v>0</v>
      </c>
      <c r="N133" s="541">
        <f t="shared" si="45"/>
        <v>0</v>
      </c>
      <c r="O133" s="541">
        <f t="shared" si="45"/>
        <v>0</v>
      </c>
      <c r="P133" s="541">
        <f t="shared" si="45"/>
        <v>0</v>
      </c>
      <c r="Q133" s="541">
        <f t="shared" si="45"/>
        <v>0</v>
      </c>
      <c r="R133" s="541">
        <f t="shared" si="45"/>
        <v>0</v>
      </c>
      <c r="S133" s="541">
        <f t="shared" si="45"/>
        <v>0</v>
      </c>
      <c r="T133" s="541">
        <f t="shared" si="45"/>
        <v>0</v>
      </c>
      <c r="U133" s="541">
        <f t="shared" si="45"/>
        <v>0</v>
      </c>
      <c r="V133" s="541">
        <f t="shared" si="45"/>
        <v>0</v>
      </c>
      <c r="W133" s="541">
        <f t="shared" si="45"/>
        <v>0</v>
      </c>
      <c r="X133" s="541">
        <f t="shared" si="45"/>
        <v>0</v>
      </c>
      <c r="Y133" s="541">
        <f t="shared" si="45"/>
        <v>0</v>
      </c>
      <c r="Z133" s="541">
        <f t="shared" si="45"/>
        <v>0</v>
      </c>
      <c r="AA133" s="541">
        <f t="shared" si="45"/>
        <v>0</v>
      </c>
      <c r="AB133" s="541">
        <f t="shared" si="45"/>
        <v>0</v>
      </c>
      <c r="AC133" s="541">
        <f t="shared" si="45"/>
        <v>0</v>
      </c>
      <c r="AD133" s="541">
        <f t="shared" si="45"/>
        <v>0</v>
      </c>
      <c r="AE133" s="541">
        <f t="shared" si="45"/>
        <v>0</v>
      </c>
      <c r="AF133" s="541">
        <f t="shared" si="45"/>
        <v>0</v>
      </c>
      <c r="AG133" s="541">
        <f t="shared" si="45"/>
        <v>0</v>
      </c>
      <c r="AH133" s="423"/>
      <c r="AI133" s="423"/>
    </row>
    <row r="134" spans="1:35" hidden="1" x14ac:dyDescent="0.25">
      <c r="A134" s="451">
        <v>8</v>
      </c>
      <c r="B134" s="449" t="s">
        <v>89</v>
      </c>
      <c r="C134" s="540">
        <v>0</v>
      </c>
      <c r="D134" s="449"/>
      <c r="E134" s="541">
        <f t="shared" si="44"/>
        <v>0</v>
      </c>
      <c r="F134" s="541">
        <f t="shared" si="45"/>
        <v>0</v>
      </c>
      <c r="G134" s="541">
        <f t="shared" si="45"/>
        <v>0</v>
      </c>
      <c r="H134" s="541">
        <f t="shared" si="45"/>
        <v>0</v>
      </c>
      <c r="I134" s="541">
        <f t="shared" si="45"/>
        <v>0</v>
      </c>
      <c r="J134" s="541">
        <f t="shared" si="45"/>
        <v>0</v>
      </c>
      <c r="K134" s="541">
        <f t="shared" si="45"/>
        <v>0</v>
      </c>
      <c r="L134" s="541">
        <f t="shared" si="45"/>
        <v>0</v>
      </c>
      <c r="M134" s="541">
        <f t="shared" si="45"/>
        <v>0</v>
      </c>
      <c r="N134" s="541">
        <f t="shared" si="45"/>
        <v>0</v>
      </c>
      <c r="O134" s="541">
        <f t="shared" si="45"/>
        <v>0</v>
      </c>
      <c r="P134" s="541">
        <f t="shared" si="45"/>
        <v>0</v>
      </c>
      <c r="Q134" s="541">
        <f t="shared" si="45"/>
        <v>0</v>
      </c>
      <c r="R134" s="541">
        <f t="shared" si="45"/>
        <v>0</v>
      </c>
      <c r="S134" s="541">
        <f t="shared" si="45"/>
        <v>0</v>
      </c>
      <c r="T134" s="541">
        <f t="shared" si="45"/>
        <v>0</v>
      </c>
      <c r="U134" s="541">
        <f t="shared" si="45"/>
        <v>0</v>
      </c>
      <c r="V134" s="541">
        <f t="shared" si="45"/>
        <v>0</v>
      </c>
      <c r="W134" s="541">
        <f t="shared" si="45"/>
        <v>0</v>
      </c>
      <c r="X134" s="541">
        <f t="shared" si="45"/>
        <v>0</v>
      </c>
      <c r="Y134" s="541">
        <f t="shared" si="45"/>
        <v>0</v>
      </c>
      <c r="Z134" s="541">
        <f t="shared" si="45"/>
        <v>0</v>
      </c>
      <c r="AA134" s="541">
        <f t="shared" si="45"/>
        <v>0</v>
      </c>
      <c r="AB134" s="541">
        <f t="shared" si="45"/>
        <v>0</v>
      </c>
      <c r="AC134" s="541">
        <f t="shared" si="45"/>
        <v>0</v>
      </c>
      <c r="AD134" s="541">
        <f t="shared" si="45"/>
        <v>0</v>
      </c>
      <c r="AE134" s="541">
        <f t="shared" si="45"/>
        <v>0</v>
      </c>
      <c r="AF134" s="541">
        <f t="shared" si="45"/>
        <v>0</v>
      </c>
      <c r="AG134" s="541">
        <f t="shared" si="45"/>
        <v>0</v>
      </c>
      <c r="AH134" s="423"/>
      <c r="AI134" s="423"/>
    </row>
    <row r="135" spans="1:35" hidden="1" x14ac:dyDescent="0.25">
      <c r="A135" s="451">
        <v>9</v>
      </c>
      <c r="B135" s="449" t="s">
        <v>90</v>
      </c>
      <c r="C135" s="540">
        <v>0</v>
      </c>
      <c r="D135" s="449"/>
      <c r="E135" s="541">
        <f t="shared" si="44"/>
        <v>0</v>
      </c>
      <c r="F135" s="541">
        <f t="shared" si="45"/>
        <v>0</v>
      </c>
      <c r="G135" s="541">
        <f t="shared" si="45"/>
        <v>0</v>
      </c>
      <c r="H135" s="541">
        <f t="shared" si="45"/>
        <v>0</v>
      </c>
      <c r="I135" s="541">
        <f t="shared" si="45"/>
        <v>0</v>
      </c>
      <c r="J135" s="541">
        <f t="shared" si="45"/>
        <v>0</v>
      </c>
      <c r="K135" s="541">
        <f t="shared" si="45"/>
        <v>0</v>
      </c>
      <c r="L135" s="541">
        <f t="shared" si="45"/>
        <v>0</v>
      </c>
      <c r="M135" s="541">
        <f t="shared" si="45"/>
        <v>0</v>
      </c>
      <c r="N135" s="541">
        <f t="shared" si="45"/>
        <v>0</v>
      </c>
      <c r="O135" s="541">
        <f t="shared" si="45"/>
        <v>0</v>
      </c>
      <c r="P135" s="541">
        <f t="shared" si="45"/>
        <v>0</v>
      </c>
      <c r="Q135" s="541">
        <f t="shared" si="45"/>
        <v>0</v>
      </c>
      <c r="R135" s="541">
        <f t="shared" si="45"/>
        <v>0</v>
      </c>
      <c r="S135" s="541">
        <f t="shared" si="45"/>
        <v>0</v>
      </c>
      <c r="T135" s="541">
        <f t="shared" si="45"/>
        <v>0</v>
      </c>
      <c r="U135" s="541">
        <f t="shared" si="45"/>
        <v>0</v>
      </c>
      <c r="V135" s="541">
        <f t="shared" si="45"/>
        <v>0</v>
      </c>
      <c r="W135" s="541">
        <f t="shared" si="45"/>
        <v>0</v>
      </c>
      <c r="X135" s="541">
        <f t="shared" si="45"/>
        <v>0</v>
      </c>
      <c r="Y135" s="541">
        <f t="shared" si="45"/>
        <v>0</v>
      </c>
      <c r="Z135" s="541">
        <f t="shared" si="45"/>
        <v>0</v>
      </c>
      <c r="AA135" s="541">
        <f t="shared" si="45"/>
        <v>0</v>
      </c>
      <c r="AB135" s="541">
        <f t="shared" si="45"/>
        <v>0</v>
      </c>
      <c r="AC135" s="541">
        <f t="shared" si="45"/>
        <v>0</v>
      </c>
      <c r="AD135" s="541">
        <f t="shared" si="45"/>
        <v>0</v>
      </c>
      <c r="AE135" s="541">
        <f t="shared" si="45"/>
        <v>0</v>
      </c>
      <c r="AF135" s="541">
        <f t="shared" si="45"/>
        <v>0</v>
      </c>
      <c r="AG135" s="541">
        <f t="shared" si="45"/>
        <v>0</v>
      </c>
      <c r="AH135" s="423"/>
      <c r="AI135" s="423"/>
    </row>
    <row r="136" spans="1:35" hidden="1" x14ac:dyDescent="0.25">
      <c r="A136" s="451">
        <v>10</v>
      </c>
      <c r="B136" s="449" t="s">
        <v>91</v>
      </c>
      <c r="C136" s="540">
        <v>1</v>
      </c>
      <c r="D136" s="449"/>
      <c r="E136" s="541">
        <f t="shared" si="44"/>
        <v>35556.403567914422</v>
      </c>
      <c r="F136" s="541">
        <f t="shared" si="45"/>
        <v>37012.492476950014</v>
      </c>
      <c r="G136" s="541">
        <f t="shared" si="45"/>
        <v>35588.332696104735</v>
      </c>
      <c r="H136" s="541">
        <f t="shared" si="45"/>
        <v>36607.417349905729</v>
      </c>
      <c r="I136" s="541">
        <f t="shared" si="45"/>
        <v>36664.527298696012</v>
      </c>
      <c r="J136" s="541">
        <f t="shared" si="45"/>
        <v>38492.781477213197</v>
      </c>
      <c r="K136" s="541">
        <f t="shared" si="45"/>
        <v>38917.126852101763</v>
      </c>
      <c r="L136" s="541">
        <f t="shared" si="45"/>
        <v>38977.66056585779</v>
      </c>
      <c r="M136" s="541">
        <f t="shared" si="45"/>
        <v>39164.684990071131</v>
      </c>
      <c r="N136" s="541">
        <f t="shared" si="45"/>
        <v>39340.988462350942</v>
      </c>
      <c r="O136" s="541">
        <f t="shared" si="45"/>
        <v>39501.577772804383</v>
      </c>
      <c r="P136" s="541">
        <f t="shared" si="45"/>
        <v>39682.332305323784</v>
      </c>
      <c r="Q136" s="541">
        <f t="shared" si="45"/>
        <v>39881.001539325473</v>
      </c>
      <c r="R136" s="541">
        <f t="shared" si="45"/>
        <v>40085.626790054252</v>
      </c>
      <c r="S136" s="541">
        <f t="shared" si="45"/>
        <v>40282.768472147261</v>
      </c>
      <c r="T136" s="541">
        <f t="shared" si="45"/>
        <v>40498.479941064848</v>
      </c>
      <c r="U136" s="541">
        <f t="shared" si="45"/>
        <v>40733.902843550561</v>
      </c>
      <c r="V136" s="541">
        <f t="shared" si="45"/>
        <v>40989.689557695601</v>
      </c>
      <c r="W136" s="541">
        <f t="shared" si="45"/>
        <v>41242.277854614098</v>
      </c>
      <c r="X136" s="541">
        <f t="shared" ref="F136:AG137" si="47">$C136*X$8</f>
        <v>41483.707219672608</v>
      </c>
      <c r="Y136" s="541">
        <f t="shared" si="47"/>
        <v>41744.282493225597</v>
      </c>
      <c r="Z136" s="541">
        <f t="shared" si="47"/>
        <v>42006.40031099489</v>
      </c>
      <c r="AA136" s="541">
        <f t="shared" si="47"/>
        <v>42307.420093115616</v>
      </c>
      <c r="AB136" s="541">
        <f t="shared" si="47"/>
        <v>42564.437441581627</v>
      </c>
      <c r="AC136" s="541">
        <f t="shared" si="47"/>
        <v>42852.871204406692</v>
      </c>
      <c r="AD136" s="541">
        <f t="shared" si="47"/>
        <v>43171.887275841858</v>
      </c>
      <c r="AE136" s="541">
        <f t="shared" si="47"/>
        <v>43454.446776254059</v>
      </c>
      <c r="AF136" s="541">
        <f t="shared" si="47"/>
        <v>43731.803282050059</v>
      </c>
      <c r="AG136" s="541">
        <f t="shared" si="47"/>
        <v>44073.871736589696</v>
      </c>
      <c r="AH136" s="423"/>
      <c r="AI136" s="423"/>
    </row>
    <row r="137" spans="1:35" ht="15.75" hidden="1" customHeight="1" x14ac:dyDescent="0.25">
      <c r="A137" s="451">
        <v>11</v>
      </c>
      <c r="B137" s="449" t="s">
        <v>92</v>
      </c>
      <c r="C137" s="540">
        <v>0</v>
      </c>
      <c r="D137" s="449"/>
      <c r="E137" s="541">
        <f t="shared" si="44"/>
        <v>0</v>
      </c>
      <c r="F137" s="541">
        <f t="shared" si="47"/>
        <v>0</v>
      </c>
      <c r="G137" s="541">
        <f t="shared" si="47"/>
        <v>0</v>
      </c>
      <c r="H137" s="541">
        <f t="shared" si="47"/>
        <v>0</v>
      </c>
      <c r="I137" s="541">
        <f t="shared" si="47"/>
        <v>0</v>
      </c>
      <c r="J137" s="541">
        <f t="shared" si="47"/>
        <v>0</v>
      </c>
      <c r="K137" s="541">
        <f t="shared" si="47"/>
        <v>0</v>
      </c>
      <c r="L137" s="541">
        <f t="shared" si="47"/>
        <v>0</v>
      </c>
      <c r="M137" s="541">
        <f t="shared" si="47"/>
        <v>0</v>
      </c>
      <c r="N137" s="541">
        <f t="shared" si="47"/>
        <v>0</v>
      </c>
      <c r="O137" s="541">
        <f t="shared" si="47"/>
        <v>0</v>
      </c>
      <c r="P137" s="541">
        <f t="shared" si="47"/>
        <v>0</v>
      </c>
      <c r="Q137" s="541">
        <f t="shared" si="47"/>
        <v>0</v>
      </c>
      <c r="R137" s="541">
        <f t="shared" si="47"/>
        <v>0</v>
      </c>
      <c r="S137" s="541">
        <f t="shared" si="47"/>
        <v>0</v>
      </c>
      <c r="T137" s="541">
        <f t="shared" si="47"/>
        <v>0</v>
      </c>
      <c r="U137" s="541">
        <f t="shared" si="47"/>
        <v>0</v>
      </c>
      <c r="V137" s="541">
        <f t="shared" si="47"/>
        <v>0</v>
      </c>
      <c r="W137" s="541">
        <f t="shared" si="47"/>
        <v>0</v>
      </c>
      <c r="X137" s="541">
        <f t="shared" si="47"/>
        <v>0</v>
      </c>
      <c r="Y137" s="541">
        <f t="shared" si="47"/>
        <v>0</v>
      </c>
      <c r="Z137" s="541">
        <f t="shared" si="47"/>
        <v>0</v>
      </c>
      <c r="AA137" s="541">
        <f t="shared" si="47"/>
        <v>0</v>
      </c>
      <c r="AB137" s="541">
        <f t="shared" si="47"/>
        <v>0</v>
      </c>
      <c r="AC137" s="541">
        <f t="shared" si="47"/>
        <v>0</v>
      </c>
      <c r="AD137" s="541">
        <f t="shared" si="47"/>
        <v>0</v>
      </c>
      <c r="AE137" s="541">
        <f t="shared" si="47"/>
        <v>0</v>
      </c>
      <c r="AF137" s="541">
        <f t="shared" si="47"/>
        <v>0</v>
      </c>
      <c r="AG137" s="541">
        <f t="shared" si="47"/>
        <v>0</v>
      </c>
      <c r="AH137" s="423"/>
      <c r="AI137" s="423"/>
    </row>
    <row r="138" spans="1:35" hidden="1" x14ac:dyDescent="0.25">
      <c r="A138" s="449"/>
      <c r="B138" s="449" t="s">
        <v>67</v>
      </c>
      <c r="C138" s="451" t="s">
        <v>0</v>
      </c>
      <c r="D138" s="449"/>
      <c r="E138" s="541">
        <f t="shared" ref="E138:AG138" si="48">SUM(E127:E137)</f>
        <v>35556.403567914422</v>
      </c>
      <c r="F138" s="541">
        <f t="shared" si="48"/>
        <v>37012.492476950014</v>
      </c>
      <c r="G138" s="541">
        <f t="shared" si="48"/>
        <v>35588.332696104735</v>
      </c>
      <c r="H138" s="541">
        <f t="shared" si="48"/>
        <v>36607.417349905729</v>
      </c>
      <c r="I138" s="541">
        <f t="shared" si="48"/>
        <v>36664.527298696012</v>
      </c>
      <c r="J138" s="541">
        <f t="shared" si="48"/>
        <v>38492.781477213197</v>
      </c>
      <c r="K138" s="541">
        <f t="shared" si="48"/>
        <v>38917.126852101763</v>
      </c>
      <c r="L138" s="541">
        <f t="shared" si="48"/>
        <v>38977.66056585779</v>
      </c>
      <c r="M138" s="541">
        <f t="shared" si="48"/>
        <v>39164.684990071131</v>
      </c>
      <c r="N138" s="541">
        <f t="shared" si="48"/>
        <v>39340.988462350942</v>
      </c>
      <c r="O138" s="541">
        <f t="shared" si="48"/>
        <v>39501.577772804383</v>
      </c>
      <c r="P138" s="541">
        <f t="shared" si="48"/>
        <v>39682.332305323784</v>
      </c>
      <c r="Q138" s="541">
        <f t="shared" si="48"/>
        <v>39881.001539325473</v>
      </c>
      <c r="R138" s="541">
        <f t="shared" si="48"/>
        <v>40085.626790054252</v>
      </c>
      <c r="S138" s="541">
        <f t="shared" si="48"/>
        <v>40282.768472147261</v>
      </c>
      <c r="T138" s="541">
        <f t="shared" si="48"/>
        <v>40498.479941064848</v>
      </c>
      <c r="U138" s="541">
        <f t="shared" si="48"/>
        <v>40733.902843550561</v>
      </c>
      <c r="V138" s="541">
        <f t="shared" si="48"/>
        <v>40989.689557695601</v>
      </c>
      <c r="W138" s="541">
        <f t="shared" si="48"/>
        <v>41242.277854614098</v>
      </c>
      <c r="X138" s="541">
        <f t="shared" si="48"/>
        <v>41483.707219672608</v>
      </c>
      <c r="Y138" s="541">
        <f t="shared" si="48"/>
        <v>41744.282493225597</v>
      </c>
      <c r="Z138" s="541">
        <f t="shared" si="48"/>
        <v>42006.40031099489</v>
      </c>
      <c r="AA138" s="541">
        <f t="shared" si="48"/>
        <v>42307.420093115616</v>
      </c>
      <c r="AB138" s="541">
        <f t="shared" si="48"/>
        <v>42564.437441581627</v>
      </c>
      <c r="AC138" s="541">
        <f t="shared" si="48"/>
        <v>42852.871204406692</v>
      </c>
      <c r="AD138" s="541">
        <f t="shared" si="48"/>
        <v>43171.887275841858</v>
      </c>
      <c r="AE138" s="541">
        <f t="shared" si="48"/>
        <v>43454.446776254059</v>
      </c>
      <c r="AF138" s="541">
        <f t="shared" si="48"/>
        <v>43731.803282050059</v>
      </c>
      <c r="AG138" s="541">
        <f t="shared" si="48"/>
        <v>44073.871736589696</v>
      </c>
      <c r="AH138" s="423"/>
      <c r="AI138" s="423"/>
    </row>
    <row r="139" spans="1:35" hidden="1" x14ac:dyDescent="0.25">
      <c r="A139" s="449"/>
      <c r="B139" s="449"/>
      <c r="C139" s="449"/>
      <c r="D139" s="449"/>
      <c r="E139" s="450"/>
      <c r="F139" s="450"/>
      <c r="G139" s="450"/>
      <c r="H139" s="450"/>
      <c r="I139" s="450"/>
      <c r="J139" s="450"/>
      <c r="K139" s="450"/>
      <c r="L139" s="450"/>
      <c r="M139" s="450"/>
      <c r="N139" s="450"/>
      <c r="O139" s="450"/>
      <c r="P139" s="450"/>
      <c r="Q139" s="450"/>
      <c r="R139" s="450"/>
      <c r="S139" s="450"/>
      <c r="T139" s="450"/>
      <c r="U139" s="450"/>
      <c r="V139" s="450"/>
      <c r="W139" s="450"/>
      <c r="X139" s="450"/>
      <c r="Y139" s="450"/>
      <c r="Z139" s="450"/>
      <c r="AA139" s="450"/>
      <c r="AB139" s="450"/>
      <c r="AC139" s="450"/>
      <c r="AD139" s="450"/>
      <c r="AE139" s="450"/>
      <c r="AF139" s="450"/>
      <c r="AG139" s="450"/>
      <c r="AH139" s="423"/>
      <c r="AI139" s="423"/>
    </row>
    <row r="140" spans="1:35" hidden="1" x14ac:dyDescent="0.25">
      <c r="A140" s="449"/>
      <c r="B140" s="539" t="s">
        <v>50</v>
      </c>
      <c r="C140" s="449"/>
      <c r="D140" s="449"/>
      <c r="E140" s="450"/>
      <c r="F140" s="450"/>
      <c r="G140" s="450"/>
      <c r="H140" s="450"/>
      <c r="I140" s="450"/>
      <c r="J140" s="450"/>
      <c r="K140" s="450"/>
      <c r="L140" s="450"/>
      <c r="M140" s="450"/>
      <c r="N140" s="450"/>
      <c r="O140" s="450"/>
      <c r="P140" s="450"/>
      <c r="Q140" s="450"/>
      <c r="R140" s="450"/>
      <c r="S140" s="450"/>
      <c r="T140" s="450"/>
      <c r="U140" s="450"/>
      <c r="V140" s="450"/>
      <c r="W140" s="450"/>
      <c r="X140" s="450"/>
      <c r="Y140" s="450"/>
      <c r="Z140" s="450"/>
      <c r="AA140" s="450"/>
      <c r="AB140" s="450"/>
      <c r="AC140" s="450"/>
      <c r="AD140" s="450"/>
      <c r="AE140" s="450"/>
      <c r="AF140" s="450"/>
      <c r="AG140" s="450"/>
      <c r="AH140" s="423"/>
      <c r="AI140" s="423"/>
    </row>
    <row r="141" spans="1:35" hidden="1" x14ac:dyDescent="0.25">
      <c r="A141" s="449"/>
      <c r="B141" s="449" t="s">
        <v>80</v>
      </c>
      <c r="C141" s="450" t="s">
        <v>81</v>
      </c>
      <c r="D141" s="449"/>
      <c r="E141" s="450">
        <v>2017</v>
      </c>
      <c r="F141" s="450">
        <v>2018</v>
      </c>
      <c r="G141" s="450">
        <v>2019</v>
      </c>
      <c r="H141" s="450">
        <v>2020</v>
      </c>
      <c r="I141" s="450">
        <v>2021</v>
      </c>
      <c r="J141" s="450">
        <v>2022</v>
      </c>
      <c r="K141" s="450">
        <v>2023</v>
      </c>
      <c r="L141" s="450">
        <v>2024</v>
      </c>
      <c r="M141" s="450">
        <v>2025</v>
      </c>
      <c r="N141" s="450">
        <v>2026</v>
      </c>
      <c r="O141" s="450">
        <v>2027</v>
      </c>
      <c r="P141" s="450">
        <v>2028</v>
      </c>
      <c r="Q141" s="450">
        <v>2029</v>
      </c>
      <c r="R141" s="450">
        <v>2030</v>
      </c>
      <c r="S141" s="450">
        <v>2031</v>
      </c>
      <c r="T141" s="450">
        <v>2032</v>
      </c>
      <c r="U141" s="450">
        <v>2033</v>
      </c>
      <c r="V141" s="450">
        <v>2034</v>
      </c>
      <c r="W141" s="450">
        <v>2035</v>
      </c>
      <c r="X141" s="450">
        <v>2036</v>
      </c>
      <c r="Y141" s="450">
        <v>2037</v>
      </c>
      <c r="Z141" s="450">
        <v>2038</v>
      </c>
      <c r="AA141" s="450">
        <v>2039</v>
      </c>
      <c r="AB141" s="450">
        <v>2040</v>
      </c>
      <c r="AC141" s="450">
        <v>2041</v>
      </c>
      <c r="AD141" s="450">
        <v>2042</v>
      </c>
      <c r="AE141" s="450">
        <v>2043</v>
      </c>
      <c r="AF141" s="450">
        <v>2044</v>
      </c>
      <c r="AG141" s="450">
        <v>2045</v>
      </c>
      <c r="AH141" s="423"/>
      <c r="AI141" s="423"/>
    </row>
    <row r="142" spans="1:35" hidden="1" x14ac:dyDescent="0.25">
      <c r="A142" s="451">
        <v>1</v>
      </c>
      <c r="B142" s="449" t="s">
        <v>82</v>
      </c>
      <c r="C142" s="540">
        <v>0</v>
      </c>
      <c r="D142" s="449"/>
      <c r="E142" s="541">
        <f t="shared" ref="E142:E152" si="49">$C142*E$9</f>
        <v>0</v>
      </c>
      <c r="F142" s="541">
        <f t="shared" ref="F142:AG151" si="50">$C142*F$9</f>
        <v>0</v>
      </c>
      <c r="G142" s="541">
        <f t="shared" si="50"/>
        <v>0</v>
      </c>
      <c r="H142" s="541">
        <f t="shared" si="50"/>
        <v>0</v>
      </c>
      <c r="I142" s="541">
        <f t="shared" si="50"/>
        <v>0</v>
      </c>
      <c r="J142" s="541">
        <f t="shared" si="50"/>
        <v>0</v>
      </c>
      <c r="K142" s="541">
        <f t="shared" si="50"/>
        <v>0</v>
      </c>
      <c r="L142" s="541">
        <f t="shared" si="50"/>
        <v>0</v>
      </c>
      <c r="M142" s="541">
        <f t="shared" si="50"/>
        <v>0</v>
      </c>
      <c r="N142" s="541">
        <f t="shared" si="50"/>
        <v>0</v>
      </c>
      <c r="O142" s="541">
        <f t="shared" si="50"/>
        <v>0</v>
      </c>
      <c r="P142" s="541">
        <f t="shared" si="50"/>
        <v>0</v>
      </c>
      <c r="Q142" s="541">
        <f t="shared" si="50"/>
        <v>0</v>
      </c>
      <c r="R142" s="541">
        <f t="shared" si="50"/>
        <v>0</v>
      </c>
      <c r="S142" s="541">
        <f t="shared" si="50"/>
        <v>0</v>
      </c>
      <c r="T142" s="541">
        <f t="shared" si="50"/>
        <v>0</v>
      </c>
      <c r="U142" s="541">
        <f t="shared" si="50"/>
        <v>0</v>
      </c>
      <c r="V142" s="541">
        <f t="shared" si="50"/>
        <v>0</v>
      </c>
      <c r="W142" s="541">
        <f t="shared" si="50"/>
        <v>0</v>
      </c>
      <c r="X142" s="541">
        <f t="shared" si="50"/>
        <v>0</v>
      </c>
      <c r="Y142" s="541">
        <f t="shared" si="50"/>
        <v>0</v>
      </c>
      <c r="Z142" s="541">
        <f t="shared" si="50"/>
        <v>0</v>
      </c>
      <c r="AA142" s="541">
        <f t="shared" si="50"/>
        <v>0</v>
      </c>
      <c r="AB142" s="541">
        <f t="shared" si="50"/>
        <v>0</v>
      </c>
      <c r="AC142" s="541">
        <f t="shared" si="50"/>
        <v>0</v>
      </c>
      <c r="AD142" s="541">
        <f t="shared" si="50"/>
        <v>0</v>
      </c>
      <c r="AE142" s="541">
        <f t="shared" si="50"/>
        <v>0</v>
      </c>
      <c r="AF142" s="541">
        <f t="shared" si="50"/>
        <v>0</v>
      </c>
      <c r="AG142" s="541">
        <f t="shared" si="50"/>
        <v>0</v>
      </c>
      <c r="AH142" s="423"/>
      <c r="AI142" s="423"/>
    </row>
    <row r="143" spans="1:35" hidden="1" x14ac:dyDescent="0.25">
      <c r="A143" s="451">
        <v>2</v>
      </c>
      <c r="B143" s="449" t="s">
        <v>83</v>
      </c>
      <c r="C143" s="540">
        <v>0</v>
      </c>
      <c r="D143" s="449"/>
      <c r="E143" s="541">
        <f t="shared" si="49"/>
        <v>0</v>
      </c>
      <c r="F143" s="541">
        <f t="shared" ref="F143:T143" si="51">$C143*F$9</f>
        <v>0</v>
      </c>
      <c r="G143" s="541">
        <f t="shared" si="51"/>
        <v>0</v>
      </c>
      <c r="H143" s="541">
        <f t="shared" si="51"/>
        <v>0</v>
      </c>
      <c r="I143" s="541">
        <f t="shared" si="51"/>
        <v>0</v>
      </c>
      <c r="J143" s="541">
        <f t="shared" si="51"/>
        <v>0</v>
      </c>
      <c r="K143" s="541">
        <f t="shared" si="51"/>
        <v>0</v>
      </c>
      <c r="L143" s="541">
        <f t="shared" si="51"/>
        <v>0</v>
      </c>
      <c r="M143" s="541">
        <f t="shared" si="51"/>
        <v>0</v>
      </c>
      <c r="N143" s="541">
        <f t="shared" si="51"/>
        <v>0</v>
      </c>
      <c r="O143" s="541">
        <f t="shared" si="51"/>
        <v>0</v>
      </c>
      <c r="P143" s="541">
        <f t="shared" si="51"/>
        <v>0</v>
      </c>
      <c r="Q143" s="541">
        <f t="shared" si="51"/>
        <v>0</v>
      </c>
      <c r="R143" s="541">
        <f t="shared" si="51"/>
        <v>0</v>
      </c>
      <c r="S143" s="541">
        <f t="shared" si="51"/>
        <v>0</v>
      </c>
      <c r="T143" s="541">
        <f t="shared" si="51"/>
        <v>0</v>
      </c>
      <c r="U143" s="541">
        <f t="shared" si="50"/>
        <v>0</v>
      </c>
      <c r="V143" s="541">
        <f t="shared" si="50"/>
        <v>0</v>
      </c>
      <c r="W143" s="541">
        <f t="shared" si="50"/>
        <v>0</v>
      </c>
      <c r="X143" s="541">
        <f t="shared" si="50"/>
        <v>0</v>
      </c>
      <c r="Y143" s="541">
        <f t="shared" si="50"/>
        <v>0</v>
      </c>
      <c r="Z143" s="541">
        <f t="shared" si="50"/>
        <v>0</v>
      </c>
      <c r="AA143" s="541">
        <f t="shared" si="50"/>
        <v>0</v>
      </c>
      <c r="AB143" s="541">
        <f t="shared" si="50"/>
        <v>0</v>
      </c>
      <c r="AC143" s="541">
        <f t="shared" si="50"/>
        <v>0</v>
      </c>
      <c r="AD143" s="541">
        <f t="shared" si="50"/>
        <v>0</v>
      </c>
      <c r="AE143" s="541">
        <f t="shared" si="50"/>
        <v>0</v>
      </c>
      <c r="AF143" s="541">
        <f t="shared" si="50"/>
        <v>0</v>
      </c>
      <c r="AG143" s="541">
        <f t="shared" si="50"/>
        <v>0</v>
      </c>
      <c r="AH143" s="423"/>
      <c r="AI143" s="423"/>
    </row>
    <row r="144" spans="1:35" hidden="1" x14ac:dyDescent="0.25">
      <c r="A144" s="451">
        <v>3</v>
      </c>
      <c r="B144" s="449" t="s">
        <v>84</v>
      </c>
      <c r="C144" s="540">
        <v>0</v>
      </c>
      <c r="D144" s="449"/>
      <c r="E144" s="541">
        <f t="shared" si="49"/>
        <v>0</v>
      </c>
      <c r="F144" s="541">
        <f t="shared" si="50"/>
        <v>0</v>
      </c>
      <c r="G144" s="541">
        <f t="shared" si="50"/>
        <v>0</v>
      </c>
      <c r="H144" s="541">
        <f t="shared" si="50"/>
        <v>0</v>
      </c>
      <c r="I144" s="541">
        <f t="shared" si="50"/>
        <v>0</v>
      </c>
      <c r="J144" s="541">
        <f t="shared" si="50"/>
        <v>0</v>
      </c>
      <c r="K144" s="541">
        <f t="shared" si="50"/>
        <v>0</v>
      </c>
      <c r="L144" s="541">
        <f t="shared" si="50"/>
        <v>0</v>
      </c>
      <c r="M144" s="541">
        <f t="shared" si="50"/>
        <v>0</v>
      </c>
      <c r="N144" s="541">
        <f t="shared" si="50"/>
        <v>0</v>
      </c>
      <c r="O144" s="541">
        <f t="shared" si="50"/>
        <v>0</v>
      </c>
      <c r="P144" s="541">
        <f t="shared" si="50"/>
        <v>0</v>
      </c>
      <c r="Q144" s="541">
        <f t="shared" si="50"/>
        <v>0</v>
      </c>
      <c r="R144" s="541">
        <f t="shared" si="50"/>
        <v>0</v>
      </c>
      <c r="S144" s="541">
        <f t="shared" si="50"/>
        <v>0</v>
      </c>
      <c r="T144" s="541">
        <f t="shared" si="50"/>
        <v>0</v>
      </c>
      <c r="U144" s="541">
        <f t="shared" si="50"/>
        <v>0</v>
      </c>
      <c r="V144" s="541">
        <f t="shared" si="50"/>
        <v>0</v>
      </c>
      <c r="W144" s="541">
        <f t="shared" si="50"/>
        <v>0</v>
      </c>
      <c r="X144" s="541">
        <f t="shared" si="50"/>
        <v>0</v>
      </c>
      <c r="Y144" s="541">
        <f t="shared" si="50"/>
        <v>0</v>
      </c>
      <c r="Z144" s="541">
        <f t="shared" si="50"/>
        <v>0</v>
      </c>
      <c r="AA144" s="541">
        <f t="shared" si="50"/>
        <v>0</v>
      </c>
      <c r="AB144" s="541">
        <f t="shared" si="50"/>
        <v>0</v>
      </c>
      <c r="AC144" s="541">
        <f t="shared" si="50"/>
        <v>0</v>
      </c>
      <c r="AD144" s="541">
        <f t="shared" si="50"/>
        <v>0</v>
      </c>
      <c r="AE144" s="541">
        <f t="shared" si="50"/>
        <v>0</v>
      </c>
      <c r="AF144" s="541">
        <f t="shared" si="50"/>
        <v>0</v>
      </c>
      <c r="AG144" s="541">
        <f t="shared" si="50"/>
        <v>0</v>
      </c>
      <c r="AH144" s="423"/>
      <c r="AI144" s="423"/>
    </row>
    <row r="145" spans="1:35" hidden="1" x14ac:dyDescent="0.25">
      <c r="A145" s="451">
        <v>4</v>
      </c>
      <c r="B145" s="449" t="s">
        <v>85</v>
      </c>
      <c r="C145" s="540">
        <v>0</v>
      </c>
      <c r="D145" s="449"/>
      <c r="E145" s="541">
        <f t="shared" si="49"/>
        <v>0</v>
      </c>
      <c r="F145" s="541">
        <f t="shared" si="50"/>
        <v>0</v>
      </c>
      <c r="G145" s="541">
        <f t="shared" si="50"/>
        <v>0</v>
      </c>
      <c r="H145" s="541">
        <f t="shared" si="50"/>
        <v>0</v>
      </c>
      <c r="I145" s="541">
        <f t="shared" si="50"/>
        <v>0</v>
      </c>
      <c r="J145" s="541">
        <f t="shared" si="50"/>
        <v>0</v>
      </c>
      <c r="K145" s="541">
        <f t="shared" si="50"/>
        <v>0</v>
      </c>
      <c r="L145" s="541">
        <f t="shared" si="50"/>
        <v>0</v>
      </c>
      <c r="M145" s="541">
        <f t="shared" si="50"/>
        <v>0</v>
      </c>
      <c r="N145" s="541">
        <f t="shared" si="50"/>
        <v>0</v>
      </c>
      <c r="O145" s="541">
        <f t="shared" si="50"/>
        <v>0</v>
      </c>
      <c r="P145" s="541">
        <f t="shared" si="50"/>
        <v>0</v>
      </c>
      <c r="Q145" s="541">
        <f t="shared" si="50"/>
        <v>0</v>
      </c>
      <c r="R145" s="541">
        <f t="shared" si="50"/>
        <v>0</v>
      </c>
      <c r="S145" s="541">
        <f t="shared" si="50"/>
        <v>0</v>
      </c>
      <c r="T145" s="541">
        <f t="shared" si="50"/>
        <v>0</v>
      </c>
      <c r="U145" s="541">
        <f t="shared" si="50"/>
        <v>0</v>
      </c>
      <c r="V145" s="541">
        <f t="shared" si="50"/>
        <v>0</v>
      </c>
      <c r="W145" s="541">
        <f t="shared" si="50"/>
        <v>0</v>
      </c>
      <c r="X145" s="541">
        <f t="shared" si="50"/>
        <v>0</v>
      </c>
      <c r="Y145" s="541">
        <f t="shared" si="50"/>
        <v>0</v>
      </c>
      <c r="Z145" s="541">
        <f t="shared" si="50"/>
        <v>0</v>
      </c>
      <c r="AA145" s="541">
        <f t="shared" si="50"/>
        <v>0</v>
      </c>
      <c r="AB145" s="541">
        <f t="shared" si="50"/>
        <v>0</v>
      </c>
      <c r="AC145" s="541">
        <f t="shared" si="50"/>
        <v>0</v>
      </c>
      <c r="AD145" s="541">
        <f t="shared" si="50"/>
        <v>0</v>
      </c>
      <c r="AE145" s="541">
        <f t="shared" si="50"/>
        <v>0</v>
      </c>
      <c r="AF145" s="541">
        <f t="shared" si="50"/>
        <v>0</v>
      </c>
      <c r="AG145" s="541">
        <f t="shared" si="50"/>
        <v>0</v>
      </c>
      <c r="AH145" s="423"/>
      <c r="AI145" s="423"/>
    </row>
    <row r="146" spans="1:35" hidden="1" x14ac:dyDescent="0.25">
      <c r="A146" s="451">
        <v>5</v>
      </c>
      <c r="B146" s="449" t="s">
        <v>86</v>
      </c>
      <c r="C146" s="540">
        <v>0</v>
      </c>
      <c r="D146" s="449"/>
      <c r="E146" s="541">
        <f t="shared" si="49"/>
        <v>0</v>
      </c>
      <c r="F146" s="541">
        <f t="shared" si="50"/>
        <v>0</v>
      </c>
      <c r="G146" s="541">
        <f t="shared" si="50"/>
        <v>0</v>
      </c>
      <c r="H146" s="541">
        <f t="shared" si="50"/>
        <v>0</v>
      </c>
      <c r="I146" s="541">
        <f t="shared" si="50"/>
        <v>0</v>
      </c>
      <c r="J146" s="541">
        <f t="shared" si="50"/>
        <v>0</v>
      </c>
      <c r="K146" s="541">
        <f t="shared" si="50"/>
        <v>0</v>
      </c>
      <c r="L146" s="541">
        <f t="shared" si="50"/>
        <v>0</v>
      </c>
      <c r="M146" s="541">
        <f t="shared" si="50"/>
        <v>0</v>
      </c>
      <c r="N146" s="541">
        <f t="shared" si="50"/>
        <v>0</v>
      </c>
      <c r="O146" s="541">
        <f t="shared" si="50"/>
        <v>0</v>
      </c>
      <c r="P146" s="541">
        <f t="shared" si="50"/>
        <v>0</v>
      </c>
      <c r="Q146" s="541">
        <f t="shared" si="50"/>
        <v>0</v>
      </c>
      <c r="R146" s="541">
        <f t="shared" si="50"/>
        <v>0</v>
      </c>
      <c r="S146" s="541">
        <f t="shared" si="50"/>
        <v>0</v>
      </c>
      <c r="T146" s="541">
        <f t="shared" si="50"/>
        <v>0</v>
      </c>
      <c r="U146" s="541">
        <f t="shared" si="50"/>
        <v>0</v>
      </c>
      <c r="V146" s="541">
        <f t="shared" si="50"/>
        <v>0</v>
      </c>
      <c r="W146" s="541">
        <f t="shared" si="50"/>
        <v>0</v>
      </c>
      <c r="X146" s="541">
        <f t="shared" si="50"/>
        <v>0</v>
      </c>
      <c r="Y146" s="541">
        <f t="shared" si="50"/>
        <v>0</v>
      </c>
      <c r="Z146" s="541">
        <f t="shared" si="50"/>
        <v>0</v>
      </c>
      <c r="AA146" s="541">
        <f t="shared" si="50"/>
        <v>0</v>
      </c>
      <c r="AB146" s="541">
        <f t="shared" si="50"/>
        <v>0</v>
      </c>
      <c r="AC146" s="541">
        <f t="shared" si="50"/>
        <v>0</v>
      </c>
      <c r="AD146" s="541">
        <f t="shared" si="50"/>
        <v>0</v>
      </c>
      <c r="AE146" s="541">
        <f t="shared" si="50"/>
        <v>0</v>
      </c>
      <c r="AF146" s="541">
        <f t="shared" si="50"/>
        <v>0</v>
      </c>
      <c r="AG146" s="541">
        <f t="shared" si="50"/>
        <v>0</v>
      </c>
      <c r="AH146" s="423"/>
      <c r="AI146" s="423"/>
    </row>
    <row r="147" spans="1:35" hidden="1" x14ac:dyDescent="0.25">
      <c r="A147" s="451">
        <v>6</v>
      </c>
      <c r="B147" s="449" t="s">
        <v>87</v>
      </c>
      <c r="C147" s="540">
        <v>0</v>
      </c>
      <c r="D147" s="449"/>
      <c r="E147" s="541">
        <f t="shared" si="49"/>
        <v>0</v>
      </c>
      <c r="F147" s="541">
        <f t="shared" si="50"/>
        <v>0</v>
      </c>
      <c r="G147" s="541">
        <f t="shared" si="50"/>
        <v>0</v>
      </c>
      <c r="H147" s="541">
        <f t="shared" si="50"/>
        <v>0</v>
      </c>
      <c r="I147" s="541">
        <f t="shared" si="50"/>
        <v>0</v>
      </c>
      <c r="J147" s="541">
        <f t="shared" si="50"/>
        <v>0</v>
      </c>
      <c r="K147" s="541">
        <f t="shared" si="50"/>
        <v>0</v>
      </c>
      <c r="L147" s="541">
        <f t="shared" si="50"/>
        <v>0</v>
      </c>
      <c r="M147" s="541">
        <f t="shared" si="50"/>
        <v>0</v>
      </c>
      <c r="N147" s="541">
        <f t="shared" si="50"/>
        <v>0</v>
      </c>
      <c r="O147" s="541">
        <f t="shared" si="50"/>
        <v>0</v>
      </c>
      <c r="P147" s="541">
        <f t="shared" si="50"/>
        <v>0</v>
      </c>
      <c r="Q147" s="541">
        <f t="shared" si="50"/>
        <v>0</v>
      </c>
      <c r="R147" s="541">
        <f t="shared" si="50"/>
        <v>0</v>
      </c>
      <c r="S147" s="541">
        <f t="shared" si="50"/>
        <v>0</v>
      </c>
      <c r="T147" s="541">
        <f t="shared" si="50"/>
        <v>0</v>
      </c>
      <c r="U147" s="541">
        <f t="shared" si="50"/>
        <v>0</v>
      </c>
      <c r="V147" s="541">
        <f t="shared" si="50"/>
        <v>0</v>
      </c>
      <c r="W147" s="541">
        <f t="shared" si="50"/>
        <v>0</v>
      </c>
      <c r="X147" s="541">
        <f t="shared" si="50"/>
        <v>0</v>
      </c>
      <c r="Y147" s="541">
        <f t="shared" si="50"/>
        <v>0</v>
      </c>
      <c r="Z147" s="541">
        <f t="shared" si="50"/>
        <v>0</v>
      </c>
      <c r="AA147" s="541">
        <f t="shared" si="50"/>
        <v>0</v>
      </c>
      <c r="AB147" s="541">
        <f t="shared" si="50"/>
        <v>0</v>
      </c>
      <c r="AC147" s="541">
        <f t="shared" si="50"/>
        <v>0</v>
      </c>
      <c r="AD147" s="541">
        <f t="shared" si="50"/>
        <v>0</v>
      </c>
      <c r="AE147" s="541">
        <f t="shared" si="50"/>
        <v>0</v>
      </c>
      <c r="AF147" s="541">
        <f t="shared" si="50"/>
        <v>0</v>
      </c>
      <c r="AG147" s="541">
        <f t="shared" si="50"/>
        <v>0</v>
      </c>
      <c r="AH147" s="423"/>
      <c r="AI147" s="423"/>
    </row>
    <row r="148" spans="1:35" hidden="1" x14ac:dyDescent="0.25">
      <c r="A148" s="451">
        <v>7</v>
      </c>
      <c r="B148" s="449" t="s">
        <v>88</v>
      </c>
      <c r="C148" s="540">
        <v>0</v>
      </c>
      <c r="D148" s="449"/>
      <c r="E148" s="541">
        <f t="shared" si="49"/>
        <v>0</v>
      </c>
      <c r="F148" s="541">
        <f t="shared" si="50"/>
        <v>0</v>
      </c>
      <c r="G148" s="541">
        <f t="shared" si="50"/>
        <v>0</v>
      </c>
      <c r="H148" s="541">
        <f t="shared" si="50"/>
        <v>0</v>
      </c>
      <c r="I148" s="541">
        <f t="shared" si="50"/>
        <v>0</v>
      </c>
      <c r="J148" s="541">
        <f t="shared" si="50"/>
        <v>0</v>
      </c>
      <c r="K148" s="541">
        <f t="shared" si="50"/>
        <v>0</v>
      </c>
      <c r="L148" s="541">
        <f t="shared" si="50"/>
        <v>0</v>
      </c>
      <c r="M148" s="541">
        <f t="shared" si="50"/>
        <v>0</v>
      </c>
      <c r="N148" s="541">
        <f t="shared" si="50"/>
        <v>0</v>
      </c>
      <c r="O148" s="541">
        <f t="shared" si="50"/>
        <v>0</v>
      </c>
      <c r="P148" s="541">
        <f t="shared" si="50"/>
        <v>0</v>
      </c>
      <c r="Q148" s="541">
        <f t="shared" si="50"/>
        <v>0</v>
      </c>
      <c r="R148" s="541">
        <f t="shared" si="50"/>
        <v>0</v>
      </c>
      <c r="S148" s="541">
        <f t="shared" si="50"/>
        <v>0</v>
      </c>
      <c r="T148" s="541">
        <f t="shared" si="50"/>
        <v>0</v>
      </c>
      <c r="U148" s="541">
        <f t="shared" si="50"/>
        <v>0</v>
      </c>
      <c r="V148" s="541">
        <f t="shared" si="50"/>
        <v>0</v>
      </c>
      <c r="W148" s="541">
        <f t="shared" si="50"/>
        <v>0</v>
      </c>
      <c r="X148" s="541">
        <f t="shared" si="50"/>
        <v>0</v>
      </c>
      <c r="Y148" s="541">
        <f t="shared" si="50"/>
        <v>0</v>
      </c>
      <c r="Z148" s="541">
        <f t="shared" si="50"/>
        <v>0</v>
      </c>
      <c r="AA148" s="541">
        <f t="shared" si="50"/>
        <v>0</v>
      </c>
      <c r="AB148" s="541">
        <f t="shared" si="50"/>
        <v>0</v>
      </c>
      <c r="AC148" s="541">
        <f t="shared" si="50"/>
        <v>0</v>
      </c>
      <c r="AD148" s="541">
        <f t="shared" si="50"/>
        <v>0</v>
      </c>
      <c r="AE148" s="541">
        <f t="shared" si="50"/>
        <v>0</v>
      </c>
      <c r="AF148" s="541">
        <f t="shared" si="50"/>
        <v>0</v>
      </c>
      <c r="AG148" s="541">
        <f t="shared" si="50"/>
        <v>0</v>
      </c>
      <c r="AH148" s="423"/>
      <c r="AI148" s="423"/>
    </row>
    <row r="149" spans="1:35" hidden="1" x14ac:dyDescent="0.25">
      <c r="A149" s="451">
        <v>8</v>
      </c>
      <c r="B149" s="449" t="s">
        <v>89</v>
      </c>
      <c r="C149" s="540">
        <v>0</v>
      </c>
      <c r="D149" s="449"/>
      <c r="E149" s="541">
        <f t="shared" si="49"/>
        <v>0</v>
      </c>
      <c r="F149" s="541">
        <f t="shared" si="50"/>
        <v>0</v>
      </c>
      <c r="G149" s="541">
        <f t="shared" si="50"/>
        <v>0</v>
      </c>
      <c r="H149" s="541">
        <f t="shared" si="50"/>
        <v>0</v>
      </c>
      <c r="I149" s="541">
        <f t="shared" si="50"/>
        <v>0</v>
      </c>
      <c r="J149" s="541">
        <f t="shared" si="50"/>
        <v>0</v>
      </c>
      <c r="K149" s="541">
        <f t="shared" si="50"/>
        <v>0</v>
      </c>
      <c r="L149" s="541">
        <f t="shared" si="50"/>
        <v>0</v>
      </c>
      <c r="M149" s="541">
        <f t="shared" si="50"/>
        <v>0</v>
      </c>
      <c r="N149" s="541">
        <f t="shared" si="50"/>
        <v>0</v>
      </c>
      <c r="O149" s="541">
        <f t="shared" si="50"/>
        <v>0</v>
      </c>
      <c r="P149" s="541">
        <f t="shared" si="50"/>
        <v>0</v>
      </c>
      <c r="Q149" s="541">
        <f t="shared" si="50"/>
        <v>0</v>
      </c>
      <c r="R149" s="541">
        <f t="shared" si="50"/>
        <v>0</v>
      </c>
      <c r="S149" s="541">
        <f t="shared" si="50"/>
        <v>0</v>
      </c>
      <c r="T149" s="541">
        <f t="shared" si="50"/>
        <v>0</v>
      </c>
      <c r="U149" s="541">
        <f t="shared" si="50"/>
        <v>0</v>
      </c>
      <c r="V149" s="541">
        <f t="shared" si="50"/>
        <v>0</v>
      </c>
      <c r="W149" s="541">
        <f t="shared" si="50"/>
        <v>0</v>
      </c>
      <c r="X149" s="541">
        <f t="shared" si="50"/>
        <v>0</v>
      </c>
      <c r="Y149" s="541">
        <f t="shared" si="50"/>
        <v>0</v>
      </c>
      <c r="Z149" s="541">
        <f t="shared" si="50"/>
        <v>0</v>
      </c>
      <c r="AA149" s="541">
        <f t="shared" si="50"/>
        <v>0</v>
      </c>
      <c r="AB149" s="541">
        <f t="shared" si="50"/>
        <v>0</v>
      </c>
      <c r="AC149" s="541">
        <f t="shared" si="50"/>
        <v>0</v>
      </c>
      <c r="AD149" s="541">
        <f t="shared" si="50"/>
        <v>0</v>
      </c>
      <c r="AE149" s="541">
        <f t="shared" si="50"/>
        <v>0</v>
      </c>
      <c r="AF149" s="541">
        <f t="shared" si="50"/>
        <v>0</v>
      </c>
      <c r="AG149" s="541">
        <f t="shared" si="50"/>
        <v>0</v>
      </c>
      <c r="AH149" s="423"/>
      <c r="AI149" s="423"/>
    </row>
    <row r="150" spans="1:35" hidden="1" x14ac:dyDescent="0.25">
      <c r="A150" s="451">
        <v>9</v>
      </c>
      <c r="B150" s="449" t="s">
        <v>90</v>
      </c>
      <c r="C150" s="540">
        <v>0</v>
      </c>
      <c r="D150" s="449"/>
      <c r="E150" s="541">
        <f t="shared" si="49"/>
        <v>0</v>
      </c>
      <c r="F150" s="541">
        <f t="shared" si="50"/>
        <v>0</v>
      </c>
      <c r="G150" s="541">
        <f t="shared" si="50"/>
        <v>0</v>
      </c>
      <c r="H150" s="541">
        <f t="shared" si="50"/>
        <v>0</v>
      </c>
      <c r="I150" s="541">
        <f t="shared" si="50"/>
        <v>0</v>
      </c>
      <c r="J150" s="541">
        <f t="shared" si="50"/>
        <v>0</v>
      </c>
      <c r="K150" s="541">
        <f t="shared" si="50"/>
        <v>0</v>
      </c>
      <c r="L150" s="541">
        <f t="shared" si="50"/>
        <v>0</v>
      </c>
      <c r="M150" s="541">
        <f t="shared" si="50"/>
        <v>0</v>
      </c>
      <c r="N150" s="541">
        <f t="shared" si="50"/>
        <v>0</v>
      </c>
      <c r="O150" s="541">
        <f t="shared" si="50"/>
        <v>0</v>
      </c>
      <c r="P150" s="541">
        <f t="shared" si="50"/>
        <v>0</v>
      </c>
      <c r="Q150" s="541">
        <f t="shared" si="50"/>
        <v>0</v>
      </c>
      <c r="R150" s="541">
        <f t="shared" si="50"/>
        <v>0</v>
      </c>
      <c r="S150" s="541">
        <f t="shared" si="50"/>
        <v>0</v>
      </c>
      <c r="T150" s="541">
        <f t="shared" si="50"/>
        <v>0</v>
      </c>
      <c r="U150" s="541">
        <f t="shared" si="50"/>
        <v>0</v>
      </c>
      <c r="V150" s="541">
        <f t="shared" si="50"/>
        <v>0</v>
      </c>
      <c r="W150" s="541">
        <f t="shared" si="50"/>
        <v>0</v>
      </c>
      <c r="X150" s="541">
        <f t="shared" si="50"/>
        <v>0</v>
      </c>
      <c r="Y150" s="541">
        <f t="shared" si="50"/>
        <v>0</v>
      </c>
      <c r="Z150" s="541">
        <f t="shared" si="50"/>
        <v>0</v>
      </c>
      <c r="AA150" s="541">
        <f t="shared" si="50"/>
        <v>0</v>
      </c>
      <c r="AB150" s="541">
        <f t="shared" si="50"/>
        <v>0</v>
      </c>
      <c r="AC150" s="541">
        <f t="shared" si="50"/>
        <v>0</v>
      </c>
      <c r="AD150" s="541">
        <f t="shared" si="50"/>
        <v>0</v>
      </c>
      <c r="AE150" s="541">
        <f t="shared" si="50"/>
        <v>0</v>
      </c>
      <c r="AF150" s="541">
        <f t="shared" si="50"/>
        <v>0</v>
      </c>
      <c r="AG150" s="541">
        <f t="shared" si="50"/>
        <v>0</v>
      </c>
      <c r="AH150" s="423"/>
      <c r="AI150" s="423"/>
    </row>
    <row r="151" spans="1:35" hidden="1" x14ac:dyDescent="0.25">
      <c r="A151" s="451">
        <v>10</v>
      </c>
      <c r="B151" s="449" t="s">
        <v>91</v>
      </c>
      <c r="C151" s="540">
        <v>0</v>
      </c>
      <c r="D151" s="449"/>
      <c r="E151" s="541">
        <f t="shared" si="49"/>
        <v>0</v>
      </c>
      <c r="F151" s="541">
        <f t="shared" si="50"/>
        <v>0</v>
      </c>
      <c r="G151" s="541">
        <f t="shared" si="50"/>
        <v>0</v>
      </c>
      <c r="H151" s="541">
        <f t="shared" si="50"/>
        <v>0</v>
      </c>
      <c r="I151" s="541">
        <f t="shared" si="50"/>
        <v>0</v>
      </c>
      <c r="J151" s="541">
        <f t="shared" si="50"/>
        <v>0</v>
      </c>
      <c r="K151" s="541">
        <f t="shared" si="50"/>
        <v>0</v>
      </c>
      <c r="L151" s="541">
        <f t="shared" si="50"/>
        <v>0</v>
      </c>
      <c r="M151" s="541">
        <f t="shared" si="50"/>
        <v>0</v>
      </c>
      <c r="N151" s="541">
        <f t="shared" si="50"/>
        <v>0</v>
      </c>
      <c r="O151" s="541">
        <f t="shared" si="50"/>
        <v>0</v>
      </c>
      <c r="P151" s="541">
        <f t="shared" si="50"/>
        <v>0</v>
      </c>
      <c r="Q151" s="541">
        <f t="shared" si="50"/>
        <v>0</v>
      </c>
      <c r="R151" s="541">
        <f t="shared" si="50"/>
        <v>0</v>
      </c>
      <c r="S151" s="541">
        <f t="shared" si="50"/>
        <v>0</v>
      </c>
      <c r="T151" s="541">
        <f t="shared" si="50"/>
        <v>0</v>
      </c>
      <c r="U151" s="541">
        <f t="shared" si="50"/>
        <v>0</v>
      </c>
      <c r="V151" s="541">
        <f t="shared" si="50"/>
        <v>0</v>
      </c>
      <c r="W151" s="541">
        <f t="shared" si="50"/>
        <v>0</v>
      </c>
      <c r="X151" s="541">
        <f t="shared" ref="F151:AG152" si="52">$C151*X$9</f>
        <v>0</v>
      </c>
      <c r="Y151" s="541">
        <f t="shared" si="52"/>
        <v>0</v>
      </c>
      <c r="Z151" s="541">
        <f t="shared" si="52"/>
        <v>0</v>
      </c>
      <c r="AA151" s="541">
        <f t="shared" si="52"/>
        <v>0</v>
      </c>
      <c r="AB151" s="541">
        <f t="shared" si="52"/>
        <v>0</v>
      </c>
      <c r="AC151" s="541">
        <f t="shared" si="52"/>
        <v>0</v>
      </c>
      <c r="AD151" s="541">
        <f t="shared" si="52"/>
        <v>0</v>
      </c>
      <c r="AE151" s="541">
        <f t="shared" si="52"/>
        <v>0</v>
      </c>
      <c r="AF151" s="541">
        <f t="shared" si="52"/>
        <v>0</v>
      </c>
      <c r="AG151" s="541">
        <f t="shared" si="52"/>
        <v>0</v>
      </c>
      <c r="AH151" s="423"/>
      <c r="AI151" s="423"/>
    </row>
    <row r="152" spans="1:35" ht="15.75" hidden="1" customHeight="1" x14ac:dyDescent="0.25">
      <c r="A152" s="451">
        <v>11</v>
      </c>
      <c r="B152" s="449" t="s">
        <v>92</v>
      </c>
      <c r="C152" s="540">
        <v>1</v>
      </c>
      <c r="D152" s="449"/>
      <c r="E152" s="541">
        <f t="shared" si="49"/>
        <v>961531.93370165245</v>
      </c>
      <c r="F152" s="541">
        <f t="shared" si="52"/>
        <v>994032.52082317148</v>
      </c>
      <c r="G152" s="541">
        <f t="shared" si="52"/>
        <v>982649.15235447627</v>
      </c>
      <c r="H152" s="541">
        <f t="shared" si="52"/>
        <v>718231.32379124663</v>
      </c>
      <c r="I152" s="541">
        <f t="shared" si="52"/>
        <v>821375.20121235319</v>
      </c>
      <c r="J152" s="541">
        <f t="shared" si="52"/>
        <v>862330.78483056906</v>
      </c>
      <c r="K152" s="541">
        <f t="shared" si="52"/>
        <v>871835.13171510294</v>
      </c>
      <c r="L152" s="541">
        <f t="shared" si="52"/>
        <v>873189.14386907651</v>
      </c>
      <c r="M152" s="541">
        <f t="shared" si="52"/>
        <v>877376.87945930299</v>
      </c>
      <c r="N152" s="541">
        <f t="shared" si="52"/>
        <v>881324.43762746349</v>
      </c>
      <c r="O152" s="541">
        <f t="shared" si="52"/>
        <v>884919.95738515514</v>
      </c>
      <c r="P152" s="541">
        <f t="shared" si="52"/>
        <v>888967.23096855439</v>
      </c>
      <c r="Q152" s="541">
        <f t="shared" si="52"/>
        <v>893415.84081815288</v>
      </c>
      <c r="R152" s="541">
        <f t="shared" si="52"/>
        <v>897997.88105267996</v>
      </c>
      <c r="S152" s="541">
        <f t="shared" si="52"/>
        <v>902412.26973593293</v>
      </c>
      <c r="T152" s="541">
        <f t="shared" si="52"/>
        <v>907242.67031397903</v>
      </c>
      <c r="U152" s="541">
        <f t="shared" si="52"/>
        <v>912514.65866603749</v>
      </c>
      <c r="V152" s="541">
        <f t="shared" si="52"/>
        <v>918242.84977118263</v>
      </c>
      <c r="W152" s="541">
        <f t="shared" si="52"/>
        <v>923899.38794765796</v>
      </c>
      <c r="X152" s="541">
        <f t="shared" si="52"/>
        <v>929305.93680380378</v>
      </c>
      <c r="Y152" s="541">
        <f t="shared" si="52"/>
        <v>935141.40419011703</v>
      </c>
      <c r="Z152" s="541">
        <f t="shared" si="52"/>
        <v>941011.42860976025</v>
      </c>
      <c r="AA152" s="541">
        <f t="shared" si="52"/>
        <v>947752.95898980484</v>
      </c>
      <c r="AB152" s="541">
        <f t="shared" si="52"/>
        <v>953508.71952913341</v>
      </c>
      <c r="AC152" s="541">
        <f t="shared" si="52"/>
        <v>959968.29009000747</v>
      </c>
      <c r="AD152" s="541">
        <f t="shared" si="52"/>
        <v>967112.98451752658</v>
      </c>
      <c r="AE152" s="541">
        <f t="shared" si="52"/>
        <v>973440.95620438247</v>
      </c>
      <c r="AF152" s="541">
        <f t="shared" si="52"/>
        <v>979652.36717520317</v>
      </c>
      <c r="AG152" s="541">
        <f t="shared" si="52"/>
        <v>987313.49540270958</v>
      </c>
      <c r="AH152" s="423"/>
      <c r="AI152" s="423"/>
    </row>
    <row r="153" spans="1:35" hidden="1" x14ac:dyDescent="0.25">
      <c r="A153" s="449"/>
      <c r="B153" s="449" t="s">
        <v>67</v>
      </c>
      <c r="C153" s="451" t="s">
        <v>0</v>
      </c>
      <c r="D153" s="449"/>
      <c r="E153" s="541">
        <f t="shared" ref="E153:AG153" si="53">SUM(E142:E152)</f>
        <v>961531.93370165245</v>
      </c>
      <c r="F153" s="541">
        <f t="shared" si="53"/>
        <v>994032.52082317148</v>
      </c>
      <c r="G153" s="541">
        <f t="shared" si="53"/>
        <v>982649.15235447627</v>
      </c>
      <c r="H153" s="541">
        <f t="shared" si="53"/>
        <v>718231.32379124663</v>
      </c>
      <c r="I153" s="541">
        <f t="shared" si="53"/>
        <v>821375.20121235319</v>
      </c>
      <c r="J153" s="541">
        <f t="shared" si="53"/>
        <v>862330.78483056906</v>
      </c>
      <c r="K153" s="541">
        <f t="shared" si="53"/>
        <v>871835.13171510294</v>
      </c>
      <c r="L153" s="541">
        <f t="shared" si="53"/>
        <v>873189.14386907651</v>
      </c>
      <c r="M153" s="541">
        <f t="shared" si="53"/>
        <v>877376.87945930299</v>
      </c>
      <c r="N153" s="541">
        <f t="shared" si="53"/>
        <v>881324.43762746349</v>
      </c>
      <c r="O153" s="541">
        <f t="shared" si="53"/>
        <v>884919.95738515514</v>
      </c>
      <c r="P153" s="541">
        <f t="shared" si="53"/>
        <v>888967.23096855439</v>
      </c>
      <c r="Q153" s="541">
        <f t="shared" si="53"/>
        <v>893415.84081815288</v>
      </c>
      <c r="R153" s="541">
        <f t="shared" si="53"/>
        <v>897997.88105267996</v>
      </c>
      <c r="S153" s="541">
        <f t="shared" si="53"/>
        <v>902412.26973593293</v>
      </c>
      <c r="T153" s="541">
        <f t="shared" si="53"/>
        <v>907242.67031397903</v>
      </c>
      <c r="U153" s="541">
        <f t="shared" si="53"/>
        <v>912514.65866603749</v>
      </c>
      <c r="V153" s="541">
        <f t="shared" si="53"/>
        <v>918242.84977118263</v>
      </c>
      <c r="W153" s="541">
        <f t="shared" si="53"/>
        <v>923899.38794765796</v>
      </c>
      <c r="X153" s="541">
        <f t="shared" si="53"/>
        <v>929305.93680380378</v>
      </c>
      <c r="Y153" s="541">
        <f t="shared" si="53"/>
        <v>935141.40419011703</v>
      </c>
      <c r="Z153" s="541">
        <f t="shared" si="53"/>
        <v>941011.42860976025</v>
      </c>
      <c r="AA153" s="541">
        <f t="shared" si="53"/>
        <v>947752.95898980484</v>
      </c>
      <c r="AB153" s="541">
        <f t="shared" si="53"/>
        <v>953508.71952913341</v>
      </c>
      <c r="AC153" s="541">
        <f t="shared" si="53"/>
        <v>959968.29009000747</v>
      </c>
      <c r="AD153" s="541">
        <f t="shared" si="53"/>
        <v>967112.98451752658</v>
      </c>
      <c r="AE153" s="541">
        <f t="shared" si="53"/>
        <v>973440.95620438247</v>
      </c>
      <c r="AF153" s="541">
        <f t="shared" si="53"/>
        <v>979652.36717520317</v>
      </c>
      <c r="AG153" s="541">
        <f t="shared" si="53"/>
        <v>987313.49540270958</v>
      </c>
      <c r="AH153" s="423"/>
      <c r="AI153" s="423"/>
    </row>
    <row r="154" spans="1:35" hidden="1" x14ac:dyDescent="0.25">
      <c r="A154" s="449"/>
      <c r="B154" s="449"/>
      <c r="C154" s="449"/>
      <c r="D154" s="449"/>
      <c r="E154" s="450"/>
      <c r="F154" s="450"/>
      <c r="G154" s="450"/>
      <c r="H154" s="450"/>
      <c r="I154" s="450"/>
      <c r="J154" s="450"/>
      <c r="K154" s="450"/>
      <c r="L154" s="450"/>
      <c r="M154" s="450"/>
      <c r="N154" s="450"/>
      <c r="O154" s="450"/>
      <c r="P154" s="450"/>
      <c r="Q154" s="450"/>
      <c r="R154" s="450"/>
      <c r="S154" s="450"/>
      <c r="T154" s="450"/>
      <c r="U154" s="450"/>
      <c r="V154" s="450"/>
      <c r="W154" s="450"/>
      <c r="X154" s="450"/>
      <c r="Y154" s="450"/>
      <c r="Z154" s="450"/>
      <c r="AA154" s="450"/>
      <c r="AB154" s="450"/>
      <c r="AC154" s="450"/>
      <c r="AD154" s="450"/>
      <c r="AE154" s="450"/>
      <c r="AF154" s="450"/>
      <c r="AG154" s="450"/>
      <c r="AH154" s="423"/>
      <c r="AI154" s="423"/>
    </row>
    <row r="155" spans="1:35" hidden="1" x14ac:dyDescent="0.25">
      <c r="A155" s="449"/>
      <c r="B155" s="449"/>
      <c r="C155" s="449"/>
      <c r="D155" s="449"/>
      <c r="E155" s="450"/>
      <c r="F155" s="450"/>
      <c r="G155" s="450"/>
      <c r="H155" s="450"/>
      <c r="I155" s="450"/>
      <c r="J155" s="450"/>
      <c r="K155" s="450"/>
      <c r="L155" s="450"/>
      <c r="M155" s="450"/>
      <c r="N155" s="450"/>
      <c r="O155" s="450"/>
      <c r="P155" s="450"/>
      <c r="Q155" s="450"/>
      <c r="R155" s="450"/>
      <c r="S155" s="450"/>
      <c r="T155" s="450"/>
      <c r="U155" s="450"/>
      <c r="V155" s="450"/>
      <c r="W155" s="450"/>
      <c r="X155" s="450"/>
      <c r="Y155" s="450"/>
      <c r="Z155" s="450"/>
      <c r="AA155" s="450"/>
      <c r="AB155" s="450"/>
      <c r="AC155" s="450"/>
      <c r="AD155" s="450"/>
      <c r="AE155" s="450"/>
      <c r="AF155" s="450"/>
      <c r="AG155" s="450"/>
      <c r="AH155" s="423"/>
      <c r="AI155" s="423"/>
    </row>
    <row r="156" spans="1:35" hidden="1" x14ac:dyDescent="0.25">
      <c r="A156" s="449"/>
      <c r="B156" s="539" t="s">
        <v>93</v>
      </c>
      <c r="C156" s="449"/>
      <c r="D156" s="449"/>
      <c r="E156" s="450"/>
      <c r="F156" s="450"/>
      <c r="G156" s="450"/>
      <c r="H156" s="450"/>
      <c r="I156" s="450"/>
      <c r="J156" s="450"/>
      <c r="K156" s="450"/>
      <c r="L156" s="450"/>
      <c r="M156" s="450"/>
      <c r="N156" s="450"/>
      <c r="O156" s="450"/>
      <c r="P156" s="450"/>
      <c r="Q156" s="450"/>
      <c r="R156" s="450"/>
      <c r="S156" s="450"/>
      <c r="T156" s="450"/>
      <c r="U156" s="450"/>
      <c r="V156" s="450"/>
      <c r="W156" s="450"/>
      <c r="X156" s="450"/>
      <c r="Y156" s="450"/>
      <c r="Z156" s="450"/>
      <c r="AA156" s="450"/>
      <c r="AB156" s="450"/>
      <c r="AC156" s="450"/>
      <c r="AD156" s="450"/>
      <c r="AE156" s="450"/>
      <c r="AF156" s="450"/>
      <c r="AG156" s="450"/>
      <c r="AH156" s="423"/>
      <c r="AI156" s="423"/>
    </row>
    <row r="157" spans="1:35" hidden="1" x14ac:dyDescent="0.25">
      <c r="A157" s="449"/>
      <c r="B157" s="449" t="s">
        <v>80</v>
      </c>
      <c r="C157" s="450" t="s">
        <v>81</v>
      </c>
      <c r="D157" s="449"/>
      <c r="E157" s="450">
        <v>2017</v>
      </c>
      <c r="F157" s="450">
        <v>2018</v>
      </c>
      <c r="G157" s="450">
        <v>2019</v>
      </c>
      <c r="H157" s="450">
        <v>2020</v>
      </c>
      <c r="I157" s="450">
        <v>2021</v>
      </c>
      <c r="J157" s="450">
        <v>2022</v>
      </c>
      <c r="K157" s="450">
        <v>2023</v>
      </c>
      <c r="L157" s="450">
        <v>2024</v>
      </c>
      <c r="M157" s="450">
        <v>2025</v>
      </c>
      <c r="N157" s="450">
        <v>2026</v>
      </c>
      <c r="O157" s="450">
        <v>2027</v>
      </c>
      <c r="P157" s="450">
        <v>2028</v>
      </c>
      <c r="Q157" s="450">
        <v>2029</v>
      </c>
      <c r="R157" s="450">
        <v>2030</v>
      </c>
      <c r="S157" s="450">
        <v>2031</v>
      </c>
      <c r="T157" s="450">
        <v>2032</v>
      </c>
      <c r="U157" s="450">
        <v>2033</v>
      </c>
      <c r="V157" s="450">
        <v>2034</v>
      </c>
      <c r="W157" s="450">
        <v>2035</v>
      </c>
      <c r="X157" s="450">
        <v>2036</v>
      </c>
      <c r="Y157" s="450">
        <v>2037</v>
      </c>
      <c r="Z157" s="450">
        <v>2038</v>
      </c>
      <c r="AA157" s="450">
        <v>2039</v>
      </c>
      <c r="AB157" s="450">
        <v>2040</v>
      </c>
      <c r="AC157" s="450">
        <v>2041</v>
      </c>
      <c r="AD157" s="450">
        <v>2042</v>
      </c>
      <c r="AE157" s="450">
        <v>2043</v>
      </c>
      <c r="AF157" s="450">
        <v>2044</v>
      </c>
      <c r="AG157" s="450">
        <v>2045</v>
      </c>
      <c r="AH157" s="423"/>
      <c r="AI157" s="423"/>
    </row>
    <row r="158" spans="1:35" hidden="1" x14ac:dyDescent="0.25">
      <c r="A158" s="451">
        <v>1</v>
      </c>
      <c r="B158" s="449" t="s">
        <v>82</v>
      </c>
      <c r="C158" s="540">
        <v>4.6367224158670582E-2</v>
      </c>
      <c r="D158" s="449"/>
      <c r="E158" s="541">
        <f t="shared" ref="E158:E168" si="54">$C158*E$10</f>
        <v>286211.49275661015</v>
      </c>
      <c r="F158" s="541">
        <f t="shared" ref="F158:AG167" si="55">$C158*F$10</f>
        <v>295885.68165193446</v>
      </c>
      <c r="G158" s="541">
        <f t="shared" si="55"/>
        <v>292497.28573097824</v>
      </c>
      <c r="H158" s="541">
        <f t="shared" si="55"/>
        <v>213790.153110643</v>
      </c>
      <c r="I158" s="541">
        <f t="shared" si="55"/>
        <v>244492.16319547873</v>
      </c>
      <c r="J158" s="541">
        <f t="shared" si="55"/>
        <v>256683.08303207863</v>
      </c>
      <c r="K158" s="541">
        <f t="shared" si="55"/>
        <v>259512.16568045909</v>
      </c>
      <c r="L158" s="541">
        <f t="shared" si="55"/>
        <v>259915.20361005492</v>
      </c>
      <c r="M158" s="541">
        <f t="shared" si="55"/>
        <v>261161.73324941329</v>
      </c>
      <c r="N158" s="541">
        <f t="shared" si="55"/>
        <v>262336.77120338246</v>
      </c>
      <c r="O158" s="541">
        <f t="shared" si="55"/>
        <v>263407.02070942137</v>
      </c>
      <c r="P158" s="541">
        <f t="shared" si="55"/>
        <v>264611.74015065673</v>
      </c>
      <c r="Q158" s="541">
        <f t="shared" si="55"/>
        <v>265935.92213683762</v>
      </c>
      <c r="R158" s="541">
        <f t="shared" si="55"/>
        <v>267299.82127469167</v>
      </c>
      <c r="S158" s="541">
        <f t="shared" si="55"/>
        <v>268613.81692097016</v>
      </c>
      <c r="T158" s="541">
        <f t="shared" si="55"/>
        <v>270051.64348876046</v>
      </c>
      <c r="U158" s="541">
        <f t="shared" si="55"/>
        <v>271620.91394473921</v>
      </c>
      <c r="V158" s="541">
        <f t="shared" si="55"/>
        <v>273325.97861241706</v>
      </c>
      <c r="W158" s="541">
        <f t="shared" si="55"/>
        <v>275009.71492795594</v>
      </c>
      <c r="X158" s="541">
        <f t="shared" si="55"/>
        <v>276619.03892910678</v>
      </c>
      <c r="Y158" s="541">
        <f t="shared" si="55"/>
        <v>278356.03566632327</v>
      </c>
      <c r="Z158" s="541">
        <f t="shared" si="55"/>
        <v>280103.31871827139</v>
      </c>
      <c r="AA158" s="541">
        <f t="shared" si="55"/>
        <v>282110.01595411723</v>
      </c>
      <c r="AB158" s="541">
        <f t="shared" si="55"/>
        <v>283823.28699397645</v>
      </c>
      <c r="AC158" s="541">
        <f t="shared" si="55"/>
        <v>285746.05551366246</v>
      </c>
      <c r="AD158" s="541">
        <f t="shared" si="55"/>
        <v>287872.7593554348</v>
      </c>
      <c r="AE158" s="541">
        <f t="shared" si="55"/>
        <v>289756.35589459928</v>
      </c>
      <c r="AF158" s="541">
        <f t="shared" si="55"/>
        <v>291605.25674102193</v>
      </c>
      <c r="AG158" s="541">
        <f t="shared" si="55"/>
        <v>293885.68328676658</v>
      </c>
      <c r="AH158" s="423"/>
      <c r="AI158" s="423"/>
    </row>
    <row r="159" spans="1:35" hidden="1" x14ac:dyDescent="0.25">
      <c r="A159" s="451">
        <v>2</v>
      </c>
      <c r="B159" s="449" t="s">
        <v>83</v>
      </c>
      <c r="C159" s="540">
        <v>1.0601109734818632E-2</v>
      </c>
      <c r="D159" s="449"/>
      <c r="E159" s="541">
        <f t="shared" si="54"/>
        <v>65437.590822690872</v>
      </c>
      <c r="F159" s="541">
        <f t="shared" ref="F159:T159" si="56">$C159*F$10</f>
        <v>67649.436365217669</v>
      </c>
      <c r="G159" s="541">
        <f t="shared" si="56"/>
        <v>66874.734889447936</v>
      </c>
      <c r="H159" s="541">
        <f t="shared" si="56"/>
        <v>48879.632422977134</v>
      </c>
      <c r="I159" s="541">
        <f t="shared" si="56"/>
        <v>55899.146398518598</v>
      </c>
      <c r="J159" s="541">
        <f t="shared" si="56"/>
        <v>58686.401432676292</v>
      </c>
      <c r="K159" s="541">
        <f t="shared" si="56"/>
        <v>59333.225048895387</v>
      </c>
      <c r="L159" s="541">
        <f t="shared" si="56"/>
        <v>59425.373099516619</v>
      </c>
      <c r="M159" s="541">
        <f t="shared" si="56"/>
        <v>59710.371775506392</v>
      </c>
      <c r="N159" s="541">
        <f t="shared" si="56"/>
        <v>59979.025043383212</v>
      </c>
      <c r="O159" s="541">
        <f t="shared" si="56"/>
        <v>60223.720141332742</v>
      </c>
      <c r="P159" s="541">
        <f t="shared" si="56"/>
        <v>60499.159597283389</v>
      </c>
      <c r="Q159" s="541">
        <f t="shared" si="56"/>
        <v>60801.912216166405</v>
      </c>
      <c r="R159" s="541">
        <f t="shared" si="56"/>
        <v>61113.745514147253</v>
      </c>
      <c r="S159" s="541">
        <f t="shared" si="56"/>
        <v>61414.169192511174</v>
      </c>
      <c r="T159" s="541">
        <f t="shared" si="56"/>
        <v>61742.904791878122</v>
      </c>
      <c r="U159" s="541">
        <f t="shared" si="55"/>
        <v>62101.69289294086</v>
      </c>
      <c r="V159" s="541">
        <f t="shared" si="55"/>
        <v>62491.528126233243</v>
      </c>
      <c r="W159" s="541">
        <f t="shared" si="55"/>
        <v>62876.486979591486</v>
      </c>
      <c r="X159" s="541">
        <f t="shared" si="55"/>
        <v>63244.432670640308</v>
      </c>
      <c r="Y159" s="541">
        <f t="shared" si="55"/>
        <v>63641.568650944842</v>
      </c>
      <c r="Z159" s="541">
        <f t="shared" si="55"/>
        <v>64041.056429382988</v>
      </c>
      <c r="AA159" s="541">
        <f t="shared" si="55"/>
        <v>64499.855030933104</v>
      </c>
      <c r="AB159" s="541">
        <f t="shared" si="55"/>
        <v>64891.566517410734</v>
      </c>
      <c r="AC159" s="541">
        <f t="shared" si="55"/>
        <v>65331.176186561803</v>
      </c>
      <c r="AD159" s="541">
        <f t="shared" si="55"/>
        <v>65817.412341716088</v>
      </c>
      <c r="AE159" s="541">
        <f t="shared" si="55"/>
        <v>66248.065976263533</v>
      </c>
      <c r="AF159" s="541">
        <f t="shared" si="55"/>
        <v>66670.787006417333</v>
      </c>
      <c r="AG159" s="541">
        <f t="shared" si="55"/>
        <v>67192.169351215547</v>
      </c>
      <c r="AH159" s="423"/>
      <c r="AI159" s="423"/>
    </row>
    <row r="160" spans="1:35" hidden="1" x14ac:dyDescent="0.25">
      <c r="A160" s="451">
        <v>3</v>
      </c>
      <c r="B160" s="449" t="s">
        <v>84</v>
      </c>
      <c r="C160" s="540">
        <v>2.5711438772427278E-2</v>
      </c>
      <c r="D160" s="449"/>
      <c r="E160" s="541">
        <f t="shared" si="54"/>
        <v>158709.29100249996</v>
      </c>
      <c r="F160" s="541">
        <f t="shared" si="55"/>
        <v>164073.79836666386</v>
      </c>
      <c r="G160" s="541">
        <f t="shared" si="55"/>
        <v>162194.87341829349</v>
      </c>
      <c r="H160" s="541">
        <f t="shared" si="55"/>
        <v>118550.38837437608</v>
      </c>
      <c r="I160" s="541">
        <f t="shared" si="55"/>
        <v>135575.19127793924</v>
      </c>
      <c r="J160" s="541">
        <f t="shared" si="55"/>
        <v>142335.27007596436</v>
      </c>
      <c r="K160" s="541">
        <f t="shared" si="55"/>
        <v>143904.04600801179</v>
      </c>
      <c r="L160" s="541">
        <f t="shared" si="55"/>
        <v>144127.53760660969</v>
      </c>
      <c r="M160" s="541">
        <f t="shared" si="55"/>
        <v>144818.76014757316</v>
      </c>
      <c r="N160" s="541">
        <f t="shared" si="55"/>
        <v>145470.3392954939</v>
      </c>
      <c r="O160" s="541">
        <f t="shared" si="55"/>
        <v>146063.81141173647</v>
      </c>
      <c r="P160" s="541">
        <f t="shared" si="55"/>
        <v>146731.84946476459</v>
      </c>
      <c r="Q160" s="541">
        <f t="shared" si="55"/>
        <v>147466.13159355303</v>
      </c>
      <c r="R160" s="541">
        <f t="shared" si="55"/>
        <v>148222.43757932217</v>
      </c>
      <c r="S160" s="541">
        <f t="shared" si="55"/>
        <v>148951.0712040333</v>
      </c>
      <c r="T160" s="541">
        <f t="shared" si="55"/>
        <v>149748.3712459034</v>
      </c>
      <c r="U160" s="541">
        <f t="shared" si="55"/>
        <v>150618.55922843615</v>
      </c>
      <c r="V160" s="541">
        <f t="shared" si="55"/>
        <v>151564.04748229426</v>
      </c>
      <c r="W160" s="541">
        <f t="shared" si="55"/>
        <v>152497.70879093214</v>
      </c>
      <c r="X160" s="541">
        <f t="shared" si="55"/>
        <v>153390.1071665388</v>
      </c>
      <c r="Y160" s="541">
        <f t="shared" si="55"/>
        <v>154353.30231283474</v>
      </c>
      <c r="Z160" s="541">
        <f t="shared" si="55"/>
        <v>155322.20140100375</v>
      </c>
      <c r="AA160" s="541">
        <f t="shared" si="55"/>
        <v>156434.95020256427</v>
      </c>
      <c r="AB160" s="541">
        <f t="shared" si="55"/>
        <v>157384.98903368277</v>
      </c>
      <c r="AC160" s="541">
        <f t="shared" si="55"/>
        <v>158451.19789057449</v>
      </c>
      <c r="AD160" s="541">
        <f t="shared" si="55"/>
        <v>159630.49245924861</v>
      </c>
      <c r="AE160" s="541">
        <f t="shared" si="55"/>
        <v>160674.97976612198</v>
      </c>
      <c r="AF160" s="541">
        <f t="shared" si="55"/>
        <v>161700.22770303552</v>
      </c>
      <c r="AG160" s="541">
        <f t="shared" si="55"/>
        <v>162964.76420634842</v>
      </c>
      <c r="AH160" s="423"/>
      <c r="AI160" s="423"/>
    </row>
    <row r="161" spans="1:35" hidden="1" x14ac:dyDescent="0.25">
      <c r="A161" s="451">
        <v>4</v>
      </c>
      <c r="B161" s="449" t="s">
        <v>85</v>
      </c>
      <c r="C161" s="540">
        <v>0.3196900612520609</v>
      </c>
      <c r="D161" s="449"/>
      <c r="E161" s="541">
        <f t="shared" si="54"/>
        <v>1973354.482840965</v>
      </c>
      <c r="F161" s="541">
        <f t="shared" si="55"/>
        <v>2040055.5221338659</v>
      </c>
      <c r="G161" s="541">
        <f t="shared" si="55"/>
        <v>2016693.405484186</v>
      </c>
      <c r="H161" s="541">
        <f t="shared" si="55"/>
        <v>1474028.009723939</v>
      </c>
      <c r="I161" s="541">
        <f t="shared" si="55"/>
        <v>1685710.4570275503</v>
      </c>
      <c r="J161" s="541">
        <f t="shared" si="55"/>
        <v>1769763.7075724786</v>
      </c>
      <c r="K161" s="541">
        <f t="shared" si="55"/>
        <v>1789269.5033486695</v>
      </c>
      <c r="L161" s="541">
        <f t="shared" si="55"/>
        <v>1792048.3460061136</v>
      </c>
      <c r="M161" s="541">
        <f t="shared" si="55"/>
        <v>1800642.8466256741</v>
      </c>
      <c r="N161" s="541">
        <f t="shared" si="55"/>
        <v>1808744.4304986359</v>
      </c>
      <c r="O161" s="541">
        <f t="shared" si="55"/>
        <v>1816123.5250282055</v>
      </c>
      <c r="P161" s="541">
        <f t="shared" si="55"/>
        <v>1824429.7551066363</v>
      </c>
      <c r="Q161" s="541">
        <f t="shared" si="55"/>
        <v>1833559.64864571</v>
      </c>
      <c r="R161" s="541">
        <f t="shared" si="55"/>
        <v>1842963.3817100425</v>
      </c>
      <c r="S161" s="541">
        <f t="shared" si="55"/>
        <v>1852023.0430606166</v>
      </c>
      <c r="T161" s="541">
        <f t="shared" si="55"/>
        <v>1861936.4867024818</v>
      </c>
      <c r="U161" s="541">
        <f t="shared" si="55"/>
        <v>1872756.2020789322</v>
      </c>
      <c r="V161" s="541">
        <f t="shared" si="55"/>
        <v>1884512.18354945</v>
      </c>
      <c r="W161" s="541">
        <f t="shared" si="55"/>
        <v>1896121.11152851</v>
      </c>
      <c r="X161" s="541">
        <f t="shared" si="55"/>
        <v>1907216.9857767017</v>
      </c>
      <c r="Y161" s="541">
        <f t="shared" si="55"/>
        <v>1919193.1306374571</v>
      </c>
      <c r="Z161" s="541">
        <f t="shared" si="55"/>
        <v>1931240.1969873959</v>
      </c>
      <c r="AA161" s="541">
        <f t="shared" si="55"/>
        <v>1945075.8572815422</v>
      </c>
      <c r="AB161" s="541">
        <f t="shared" si="55"/>
        <v>1956888.4195733813</v>
      </c>
      <c r="AC161" s="541">
        <f t="shared" si="55"/>
        <v>1970145.4129989198</v>
      </c>
      <c r="AD161" s="541">
        <f t="shared" si="55"/>
        <v>1984808.4879139634</v>
      </c>
      <c r="AE161" s="541">
        <f t="shared" si="55"/>
        <v>1997795.4006288375</v>
      </c>
      <c r="AF161" s="541">
        <f t="shared" si="55"/>
        <v>2010543.0954837021</v>
      </c>
      <c r="AG161" s="541">
        <f t="shared" si="55"/>
        <v>2026266.0488266747</v>
      </c>
      <c r="AH161" s="423"/>
      <c r="AI161" s="423"/>
    </row>
    <row r="162" spans="1:35" hidden="1" x14ac:dyDescent="0.25">
      <c r="A162" s="451">
        <v>5</v>
      </c>
      <c r="B162" s="449" t="s">
        <v>86</v>
      </c>
      <c r="C162" s="540">
        <v>0.15554891567461715</v>
      </c>
      <c r="D162" s="449"/>
      <c r="E162" s="541">
        <f t="shared" si="54"/>
        <v>960158.56372068636</v>
      </c>
      <c r="F162" s="541">
        <f t="shared" si="55"/>
        <v>992612.72978310985</v>
      </c>
      <c r="G162" s="541">
        <f t="shared" si="55"/>
        <v>981245.62034439505</v>
      </c>
      <c r="H162" s="541">
        <f t="shared" si="55"/>
        <v>717205.46359366889</v>
      </c>
      <c r="I162" s="541">
        <f t="shared" si="55"/>
        <v>820202.01912144502</v>
      </c>
      <c r="J162" s="541">
        <f t="shared" si="55"/>
        <v>861099.10528666666</v>
      </c>
      <c r="K162" s="541">
        <f t="shared" si="55"/>
        <v>870589.87697495113</v>
      </c>
      <c r="L162" s="541">
        <f t="shared" si="55"/>
        <v>871941.95517376321</v>
      </c>
      <c r="M162" s="541">
        <f t="shared" si="55"/>
        <v>876123.70936062047</v>
      </c>
      <c r="N162" s="541">
        <f t="shared" si="55"/>
        <v>880065.62917430082</v>
      </c>
      <c r="O162" s="541">
        <f t="shared" si="55"/>
        <v>883656.01339907048</v>
      </c>
      <c r="P162" s="541">
        <f t="shared" si="55"/>
        <v>887697.50620301813</v>
      </c>
      <c r="Q162" s="541">
        <f t="shared" si="55"/>
        <v>892139.76203876617</v>
      </c>
      <c r="R162" s="541">
        <f t="shared" si="55"/>
        <v>896715.25767889235</v>
      </c>
      <c r="S162" s="541">
        <f t="shared" si="55"/>
        <v>901123.34122688195</v>
      </c>
      <c r="T162" s="541">
        <f t="shared" si="55"/>
        <v>905946.84247385303</v>
      </c>
      <c r="U162" s="541">
        <f t="shared" si="55"/>
        <v>911211.30076862592</v>
      </c>
      <c r="V162" s="541">
        <f t="shared" si="55"/>
        <v>916931.31021548866</v>
      </c>
      <c r="W162" s="541">
        <f t="shared" si="55"/>
        <v>922579.76907659718</v>
      </c>
      <c r="X162" s="541">
        <f t="shared" si="55"/>
        <v>927978.59568074136</v>
      </c>
      <c r="Y162" s="541">
        <f t="shared" si="55"/>
        <v>933805.72818450688</v>
      </c>
      <c r="Z162" s="541">
        <f t="shared" si="55"/>
        <v>939667.36836329126</v>
      </c>
      <c r="AA162" s="541">
        <f t="shared" si="55"/>
        <v>946399.26971789717</v>
      </c>
      <c r="AB162" s="541">
        <f t="shared" si="55"/>
        <v>952146.80922112172</v>
      </c>
      <c r="AC162" s="541">
        <f t="shared" si="55"/>
        <v>958597.15348384855</v>
      </c>
      <c r="AD162" s="541">
        <f t="shared" si="55"/>
        <v>965731.64304088347</v>
      </c>
      <c r="AE162" s="541">
        <f t="shared" si="55"/>
        <v>972050.57639416913</v>
      </c>
      <c r="AF162" s="541">
        <f t="shared" si="55"/>
        <v>978253.11551677785</v>
      </c>
      <c r="AG162" s="541">
        <f t="shared" si="55"/>
        <v>985903.3012439271</v>
      </c>
      <c r="AH162" s="423"/>
      <c r="AI162" s="423"/>
    </row>
    <row r="163" spans="1:35" hidden="1" x14ac:dyDescent="0.25">
      <c r="A163" s="451">
        <v>6</v>
      </c>
      <c r="B163" s="449" t="s">
        <v>87</v>
      </c>
      <c r="C163" s="540">
        <v>0.24557936059020258</v>
      </c>
      <c r="D163" s="449"/>
      <c r="E163" s="541">
        <f t="shared" si="54"/>
        <v>1515890.5166332256</v>
      </c>
      <c r="F163" s="541">
        <f t="shared" si="55"/>
        <v>1567128.8895626152</v>
      </c>
      <c r="G163" s="541">
        <f t="shared" si="55"/>
        <v>1549182.5898046801</v>
      </c>
      <c r="H163" s="541">
        <f t="shared" si="55"/>
        <v>1132318.141835009</v>
      </c>
      <c r="I163" s="541">
        <f t="shared" si="55"/>
        <v>1294928.2644437396</v>
      </c>
      <c r="J163" s="541">
        <f t="shared" si="55"/>
        <v>1359496.2508350227</v>
      </c>
      <c r="K163" s="541">
        <f t="shared" si="55"/>
        <v>1374480.2038417542</v>
      </c>
      <c r="L163" s="541">
        <f t="shared" si="55"/>
        <v>1376614.8538847466</v>
      </c>
      <c r="M163" s="541">
        <f t="shared" si="55"/>
        <v>1383216.9733202946</v>
      </c>
      <c r="N163" s="541">
        <f t="shared" si="55"/>
        <v>1389440.4442017404</v>
      </c>
      <c r="O163" s="541">
        <f t="shared" si="55"/>
        <v>1395108.9135598715</v>
      </c>
      <c r="P163" s="541">
        <f t="shared" si="55"/>
        <v>1401489.5894669897</v>
      </c>
      <c r="Q163" s="541">
        <f t="shared" si="55"/>
        <v>1408502.9867831313</v>
      </c>
      <c r="R163" s="541">
        <f t="shared" si="55"/>
        <v>1415726.742016732</v>
      </c>
      <c r="S163" s="541">
        <f t="shared" si="55"/>
        <v>1422686.1884034106</v>
      </c>
      <c r="T163" s="541">
        <f t="shared" si="55"/>
        <v>1430301.4928682458</v>
      </c>
      <c r="U163" s="541">
        <f t="shared" si="55"/>
        <v>1438612.9767270505</v>
      </c>
      <c r="V163" s="541">
        <f t="shared" si="55"/>
        <v>1447643.6810327552</v>
      </c>
      <c r="W163" s="541">
        <f t="shared" si="55"/>
        <v>1456561.4218566949</v>
      </c>
      <c r="X163" s="541">
        <f t="shared" si="55"/>
        <v>1465085.045307446</v>
      </c>
      <c r="Y163" s="541">
        <f t="shared" si="55"/>
        <v>1474284.8746225061</v>
      </c>
      <c r="Z163" s="541">
        <f t="shared" si="55"/>
        <v>1483539.1843737031</v>
      </c>
      <c r="AA163" s="541">
        <f t="shared" si="55"/>
        <v>1494167.455378039</v>
      </c>
      <c r="AB163" s="541">
        <f t="shared" si="55"/>
        <v>1503241.6239124013</v>
      </c>
      <c r="AC163" s="541">
        <f t="shared" si="55"/>
        <v>1513425.3748743222</v>
      </c>
      <c r="AD163" s="541">
        <f t="shared" si="55"/>
        <v>1524689.248852198</v>
      </c>
      <c r="AE163" s="541">
        <f t="shared" si="55"/>
        <v>1534665.5293410837</v>
      </c>
      <c r="AF163" s="541">
        <f t="shared" si="55"/>
        <v>1544458.047567005</v>
      </c>
      <c r="AG163" s="541">
        <f t="shared" si="55"/>
        <v>1556536.0984561516</v>
      </c>
      <c r="AH163" s="423"/>
      <c r="AI163" s="423"/>
    </row>
    <row r="164" spans="1:35" hidden="1" x14ac:dyDescent="0.25">
      <c r="A164" s="451">
        <v>7</v>
      </c>
      <c r="B164" s="449" t="s">
        <v>88</v>
      </c>
      <c r="C164" s="540">
        <v>5.8207133746097393E-2</v>
      </c>
      <c r="D164" s="449"/>
      <c r="E164" s="541">
        <f t="shared" si="54"/>
        <v>359295.83754128811</v>
      </c>
      <c r="F164" s="541">
        <f t="shared" si="55"/>
        <v>371440.33868692868</v>
      </c>
      <c r="G164" s="541">
        <f t="shared" si="55"/>
        <v>367186.7130249546</v>
      </c>
      <c r="H164" s="541">
        <f t="shared" si="55"/>
        <v>268381.64806082769</v>
      </c>
      <c r="I164" s="541">
        <f t="shared" si="55"/>
        <v>306923.44217743509</v>
      </c>
      <c r="J164" s="541">
        <f t="shared" si="55"/>
        <v>322227.32362154842</v>
      </c>
      <c r="K164" s="541">
        <f t="shared" si="55"/>
        <v>325778.81489757408</v>
      </c>
      <c r="L164" s="541">
        <f t="shared" si="55"/>
        <v>326284.76890060981</v>
      </c>
      <c r="M164" s="541">
        <f t="shared" si="55"/>
        <v>327849.60092912015</v>
      </c>
      <c r="N164" s="541">
        <f t="shared" si="55"/>
        <v>329324.68581040116</v>
      </c>
      <c r="O164" s="541">
        <f t="shared" si="55"/>
        <v>330668.22442566359</v>
      </c>
      <c r="P164" s="541">
        <f t="shared" si="55"/>
        <v>332180.56998688477</v>
      </c>
      <c r="Q164" s="541">
        <f t="shared" si="55"/>
        <v>333842.88295412302</v>
      </c>
      <c r="R164" s="541">
        <f t="shared" si="55"/>
        <v>335555.0548810339</v>
      </c>
      <c r="S164" s="541">
        <f t="shared" si="55"/>
        <v>337204.58041793021</v>
      </c>
      <c r="T164" s="541">
        <f t="shared" si="55"/>
        <v>339009.55720603082</v>
      </c>
      <c r="U164" s="541">
        <f t="shared" si="55"/>
        <v>340979.54218944017</v>
      </c>
      <c r="V164" s="541">
        <f t="shared" si="55"/>
        <v>343119.99655042682</v>
      </c>
      <c r="W164" s="541">
        <f t="shared" si="55"/>
        <v>345233.67634666292</v>
      </c>
      <c r="X164" s="541">
        <f t="shared" si="55"/>
        <v>347253.94258160581</v>
      </c>
      <c r="Y164" s="541">
        <f t="shared" si="55"/>
        <v>349434.48289287626</v>
      </c>
      <c r="Z164" s="541">
        <f t="shared" si="55"/>
        <v>351627.9361379745</v>
      </c>
      <c r="AA164" s="541">
        <f t="shared" si="55"/>
        <v>354147.04519645718</v>
      </c>
      <c r="AB164" s="541">
        <f t="shared" si="55"/>
        <v>356297.80143364612</v>
      </c>
      <c r="AC164" s="541">
        <f t="shared" si="55"/>
        <v>358711.55050788791</v>
      </c>
      <c r="AD164" s="541">
        <f t="shared" si="55"/>
        <v>361381.30995979666</v>
      </c>
      <c r="AE164" s="541">
        <f t="shared" si="55"/>
        <v>363745.8844554284</v>
      </c>
      <c r="AF164" s="541">
        <f t="shared" si="55"/>
        <v>366066.90368406969</v>
      </c>
      <c r="AG164" s="541">
        <f t="shared" si="55"/>
        <v>368929.63906137145</v>
      </c>
      <c r="AH164" s="423"/>
      <c r="AI164" s="423"/>
    </row>
    <row r="165" spans="1:35" hidden="1" x14ac:dyDescent="0.25">
      <c r="A165" s="451">
        <v>8</v>
      </c>
      <c r="B165" s="449" t="s">
        <v>89</v>
      </c>
      <c r="C165" s="540">
        <v>2.2974214130219391E-2</v>
      </c>
      <c r="D165" s="449"/>
      <c r="E165" s="541">
        <f t="shared" si="54"/>
        <v>141813.19327243997</v>
      </c>
      <c r="F165" s="541">
        <f t="shared" si="55"/>
        <v>146606.59833927764</v>
      </c>
      <c r="G165" s="541">
        <f t="shared" si="55"/>
        <v>144927.702635286</v>
      </c>
      <c r="H165" s="541">
        <f t="shared" si="55"/>
        <v>105929.58378721126</v>
      </c>
      <c r="I165" s="541">
        <f t="shared" si="55"/>
        <v>121141.93619164717</v>
      </c>
      <c r="J165" s="541">
        <f t="shared" si="55"/>
        <v>127182.3409787</v>
      </c>
      <c r="K165" s="541">
        <f t="shared" si="55"/>
        <v>128584.10594814397</v>
      </c>
      <c r="L165" s="541">
        <f t="shared" si="55"/>
        <v>128783.80476266537</v>
      </c>
      <c r="M165" s="541">
        <f t="shared" si="55"/>
        <v>129401.44015865725</v>
      </c>
      <c r="N165" s="541">
        <f t="shared" si="55"/>
        <v>129983.65257390216</v>
      </c>
      <c r="O165" s="541">
        <f t="shared" si="55"/>
        <v>130513.9439978692</v>
      </c>
      <c r="P165" s="541">
        <f t="shared" si="55"/>
        <v>131110.86311286877</v>
      </c>
      <c r="Q165" s="541">
        <f t="shared" si="55"/>
        <v>131766.97399830353</v>
      </c>
      <c r="R165" s="541">
        <f t="shared" si="55"/>
        <v>132442.76409386442</v>
      </c>
      <c r="S165" s="541">
        <f t="shared" si="55"/>
        <v>133093.82781164217</v>
      </c>
      <c r="T165" s="541">
        <f t="shared" si="55"/>
        <v>133806.24776021385</v>
      </c>
      <c r="U165" s="541">
        <f t="shared" si="55"/>
        <v>134583.79604217503</v>
      </c>
      <c r="V165" s="541">
        <f t="shared" si="55"/>
        <v>135428.62817288557</v>
      </c>
      <c r="W165" s="541">
        <f t="shared" si="55"/>
        <v>136262.89244800466</v>
      </c>
      <c r="X165" s="541">
        <f t="shared" si="55"/>
        <v>137060.28661766247</v>
      </c>
      <c r="Y165" s="541">
        <f t="shared" si="55"/>
        <v>137920.94057546125</v>
      </c>
      <c r="Z165" s="541">
        <f t="shared" si="55"/>
        <v>138786.69123683771</v>
      </c>
      <c r="AA165" s="541">
        <f t="shared" si="55"/>
        <v>139780.97745576419</v>
      </c>
      <c r="AB165" s="541">
        <f t="shared" si="55"/>
        <v>140629.87571195769</v>
      </c>
      <c r="AC165" s="541">
        <f t="shared" si="55"/>
        <v>141582.5766013391</v>
      </c>
      <c r="AD165" s="541">
        <f t="shared" si="55"/>
        <v>142636.3241641701</v>
      </c>
      <c r="AE165" s="541">
        <f t="shared" si="55"/>
        <v>143569.6159669664</v>
      </c>
      <c r="AF165" s="541">
        <f t="shared" si="55"/>
        <v>144485.71661180767</v>
      </c>
      <c r="AG165" s="541">
        <f t="shared" si="55"/>
        <v>145615.63130307512</v>
      </c>
      <c r="AH165" s="423"/>
      <c r="AI165" s="423"/>
    </row>
    <row r="166" spans="1:35" hidden="1" x14ac:dyDescent="0.25">
      <c r="A166" s="451">
        <v>9</v>
      </c>
      <c r="B166" s="449" t="s">
        <v>90</v>
      </c>
      <c r="C166" s="540">
        <v>2.5050677827977218E-5</v>
      </c>
      <c r="D166" s="449"/>
      <c r="E166" s="541">
        <f t="shared" si="54"/>
        <v>154.63060439363264</v>
      </c>
      <c r="F166" s="541">
        <f t="shared" si="55"/>
        <v>159.85724872399945</v>
      </c>
      <c r="G166" s="541">
        <f t="shared" si="55"/>
        <v>158.02661046368357</v>
      </c>
      <c r="H166" s="541">
        <f t="shared" si="55"/>
        <v>115.50374958918377</v>
      </c>
      <c r="I166" s="541">
        <f t="shared" si="55"/>
        <v>132.09103030874149</v>
      </c>
      <c r="J166" s="541">
        <f t="shared" si="55"/>
        <v>138.67738113725562</v>
      </c>
      <c r="K166" s="541">
        <f t="shared" si="55"/>
        <v>140.20584093314028</v>
      </c>
      <c r="L166" s="541">
        <f t="shared" si="55"/>
        <v>140.42358899785535</v>
      </c>
      <c r="M166" s="541">
        <f t="shared" si="55"/>
        <v>141.09704773870499</v>
      </c>
      <c r="N166" s="541">
        <f t="shared" si="55"/>
        <v>141.73188188620099</v>
      </c>
      <c r="O166" s="541">
        <f t="shared" si="55"/>
        <v>142.31010230068142</v>
      </c>
      <c r="P166" s="541">
        <f t="shared" si="55"/>
        <v>142.96097237416726</v>
      </c>
      <c r="Q166" s="541">
        <f t="shared" si="55"/>
        <v>143.67638411000706</v>
      </c>
      <c r="R166" s="541">
        <f t="shared" si="55"/>
        <v>144.41325370943184</v>
      </c>
      <c r="S166" s="541">
        <f t="shared" si="55"/>
        <v>145.12316210268924</v>
      </c>
      <c r="T166" s="541">
        <f t="shared" si="55"/>
        <v>145.89997224769516</v>
      </c>
      <c r="U166" s="541">
        <f t="shared" si="55"/>
        <v>146.74779717858087</v>
      </c>
      <c r="V166" s="541">
        <f t="shared" si="55"/>
        <v>147.66898723127198</v>
      </c>
      <c r="W166" s="541">
        <f t="shared" si="55"/>
        <v>148.57865428064056</v>
      </c>
      <c r="X166" s="541">
        <f t="shared" si="55"/>
        <v>149.448118817394</v>
      </c>
      <c r="Y166" s="541">
        <f t="shared" si="55"/>
        <v>150.3865607112489</v>
      </c>
      <c r="Z166" s="541">
        <f t="shared" si="55"/>
        <v>151.33055996078025</v>
      </c>
      <c r="AA166" s="541">
        <f t="shared" si="55"/>
        <v>152.41471211492782</v>
      </c>
      <c r="AB166" s="541">
        <f t="shared" si="55"/>
        <v>153.34033579912008</v>
      </c>
      <c r="AC166" s="541">
        <f t="shared" si="55"/>
        <v>154.37914404348689</v>
      </c>
      <c r="AD166" s="541">
        <f t="shared" si="55"/>
        <v>155.52813179814416</v>
      </c>
      <c r="AE166" s="541">
        <f t="shared" si="55"/>
        <v>156.54577671687019</v>
      </c>
      <c r="AF166" s="541">
        <f t="shared" si="55"/>
        <v>157.54467670020998</v>
      </c>
      <c r="AG166" s="541">
        <f t="shared" si="55"/>
        <v>158.77671574814451</v>
      </c>
      <c r="AH166" s="423"/>
      <c r="AI166" s="423"/>
    </row>
    <row r="167" spans="1:35" hidden="1" x14ac:dyDescent="0.25">
      <c r="A167" s="451">
        <v>10</v>
      </c>
      <c r="B167" s="449" t="s">
        <v>91</v>
      </c>
      <c r="C167" s="540">
        <v>5.5849238137733237E-2</v>
      </c>
      <c r="D167" s="449"/>
      <c r="E167" s="541">
        <f t="shared" si="54"/>
        <v>344741.22845956322</v>
      </c>
      <c r="F167" s="541">
        <f t="shared" si="55"/>
        <v>356393.77159122587</v>
      </c>
      <c r="G167" s="541">
        <f t="shared" si="55"/>
        <v>352312.45479626697</v>
      </c>
      <c r="H167" s="541">
        <f t="shared" si="55"/>
        <v>257509.85505881291</v>
      </c>
      <c r="I167" s="541">
        <f t="shared" si="55"/>
        <v>294490.37100834138</v>
      </c>
      <c r="J167" s="541">
        <f t="shared" si="55"/>
        <v>309174.31203406194</v>
      </c>
      <c r="K167" s="541">
        <f t="shared" si="55"/>
        <v>312581.93699776556</v>
      </c>
      <c r="L167" s="541">
        <f t="shared" si="55"/>
        <v>313067.39545936137</v>
      </c>
      <c r="M167" s="541">
        <f t="shared" si="55"/>
        <v>314568.8381688933</v>
      </c>
      <c r="N167" s="541">
        <f t="shared" si="55"/>
        <v>315984.16927190538</v>
      </c>
      <c r="O167" s="541">
        <f t="shared" si="55"/>
        <v>317273.28287777951</v>
      </c>
      <c r="P167" s="541">
        <f t="shared" si="55"/>
        <v>318724.36527884082</v>
      </c>
      <c r="Q167" s="541">
        <f t="shared" si="55"/>
        <v>320319.34010051301</v>
      </c>
      <c r="R167" s="541">
        <f t="shared" si="55"/>
        <v>321962.15415997012</v>
      </c>
      <c r="S167" s="541">
        <f t="shared" si="55"/>
        <v>323544.85955354344</v>
      </c>
      <c r="T167" s="541">
        <f t="shared" si="55"/>
        <v>325276.71906944813</v>
      </c>
      <c r="U167" s="541">
        <f t="shared" si="55"/>
        <v>327166.9025123592</v>
      </c>
      <c r="V167" s="541">
        <f t="shared" si="55"/>
        <v>329220.64983912412</v>
      </c>
      <c r="W167" s="541">
        <f t="shared" si="55"/>
        <v>331248.70720408275</v>
      </c>
      <c r="X167" s="541">
        <f t="shared" ref="F167:AG168" si="57">$C167*X$10</f>
        <v>333187.13507014327</v>
      </c>
      <c r="Y167" s="541">
        <f t="shared" si="57"/>
        <v>335279.34451725829</v>
      </c>
      <c r="Z167" s="541">
        <f t="shared" si="57"/>
        <v>337383.94381197426</v>
      </c>
      <c r="AA167" s="541">
        <f t="shared" si="57"/>
        <v>339801.00702480687</v>
      </c>
      <c r="AB167" s="541">
        <f t="shared" si="57"/>
        <v>341864.63891211024</v>
      </c>
      <c r="AC167" s="541">
        <f t="shared" si="57"/>
        <v>344180.61013721977</v>
      </c>
      <c r="AD167" s="541">
        <f t="shared" si="57"/>
        <v>346742.22109113674</v>
      </c>
      <c r="AE167" s="541">
        <f t="shared" si="57"/>
        <v>349011.00973613345</v>
      </c>
      <c r="AF167" s="541">
        <f t="shared" si="57"/>
        <v>351238.00748160027</v>
      </c>
      <c r="AG167" s="541">
        <f t="shared" si="57"/>
        <v>353984.77715608128</v>
      </c>
      <c r="AH167" s="423"/>
      <c r="AI167" s="423"/>
    </row>
    <row r="168" spans="1:35" ht="15.75" hidden="1" customHeight="1" x14ac:dyDescent="0.25">
      <c r="A168" s="451">
        <v>11</v>
      </c>
      <c r="B168" s="449" t="s">
        <v>92</v>
      </c>
      <c r="C168" s="540">
        <v>5.9446253125324866E-2</v>
      </c>
      <c r="D168" s="449"/>
      <c r="E168" s="541">
        <f t="shared" si="54"/>
        <v>366944.56384887797</v>
      </c>
      <c r="F168" s="541">
        <f t="shared" si="57"/>
        <v>379347.59836924641</v>
      </c>
      <c r="G168" s="541">
        <f t="shared" si="57"/>
        <v>375003.42109185131</v>
      </c>
      <c r="H168" s="541">
        <f t="shared" si="57"/>
        <v>274094.98386244627</v>
      </c>
      <c r="I168" s="541">
        <f t="shared" si="57"/>
        <v>313457.25960950815</v>
      </c>
      <c r="J168" s="541">
        <f t="shared" si="57"/>
        <v>329086.93163725547</v>
      </c>
      <c r="K168" s="541">
        <f t="shared" si="57"/>
        <v>332714.02742053068</v>
      </c>
      <c r="L168" s="541">
        <f t="shared" si="57"/>
        <v>333230.75222380704</v>
      </c>
      <c r="M168" s="541">
        <f t="shared" si="57"/>
        <v>334828.89655558631</v>
      </c>
      <c r="N168" s="541">
        <f t="shared" si="57"/>
        <v>336335.38319374429</v>
      </c>
      <c r="O168" s="541">
        <f t="shared" si="57"/>
        <v>337707.52319560258</v>
      </c>
      <c r="P168" s="541">
        <f t="shared" si="57"/>
        <v>339252.06372284243</v>
      </c>
      <c r="Q168" s="541">
        <f t="shared" si="57"/>
        <v>340949.76417748095</v>
      </c>
      <c r="R168" s="541">
        <f t="shared" si="57"/>
        <v>342698.38499439316</v>
      </c>
      <c r="S168" s="541">
        <f t="shared" si="57"/>
        <v>344383.02579857293</v>
      </c>
      <c r="T168" s="541">
        <f t="shared" si="57"/>
        <v>346226.42711599235</v>
      </c>
      <c r="U168" s="541">
        <f t="shared" si="57"/>
        <v>348238.34933995333</v>
      </c>
      <c r="V168" s="541">
        <f t="shared" si="57"/>
        <v>350424.36991092755</v>
      </c>
      <c r="W168" s="541">
        <f t="shared" si="57"/>
        <v>352583.04593749554</v>
      </c>
      <c r="X168" s="541">
        <f t="shared" si="57"/>
        <v>354646.31980538316</v>
      </c>
      <c r="Y168" s="541">
        <f t="shared" si="57"/>
        <v>356873.27968042507</v>
      </c>
      <c r="Z168" s="541">
        <f t="shared" si="57"/>
        <v>359113.42738114257</v>
      </c>
      <c r="AA168" s="541">
        <f t="shared" si="57"/>
        <v>361686.16348929872</v>
      </c>
      <c r="AB168" s="541">
        <f t="shared" si="57"/>
        <v>363882.70524386293</v>
      </c>
      <c r="AC168" s="541">
        <f t="shared" si="57"/>
        <v>366347.8384537251</v>
      </c>
      <c r="AD168" s="541">
        <f t="shared" si="57"/>
        <v>369074.43201619439</v>
      </c>
      <c r="AE168" s="541">
        <f t="shared" si="57"/>
        <v>371489.34381401911</v>
      </c>
      <c r="AF168" s="541">
        <f t="shared" si="57"/>
        <v>373859.77313590283</v>
      </c>
      <c r="AG168" s="541">
        <f t="shared" si="57"/>
        <v>376783.45071487851</v>
      </c>
      <c r="AH168" s="423"/>
      <c r="AI168" s="423"/>
    </row>
    <row r="169" spans="1:35" hidden="1" x14ac:dyDescent="0.25">
      <c r="A169" s="449"/>
      <c r="B169" s="449" t="s">
        <v>67</v>
      </c>
      <c r="C169" s="451" t="s">
        <v>0</v>
      </c>
      <c r="D169" s="449"/>
      <c r="E169" s="541">
        <f t="shared" ref="E169:AG169" si="58">SUM(E158:E168)</f>
        <v>6172711.3915032409</v>
      </c>
      <c r="F169" s="541">
        <f t="shared" si="58"/>
        <v>6381354.2220988097</v>
      </c>
      <c r="G169" s="541">
        <f t="shared" si="58"/>
        <v>6308276.8278308026</v>
      </c>
      <c r="H169" s="541">
        <f t="shared" si="58"/>
        <v>4610803.3635795005</v>
      </c>
      <c r="I169" s="541">
        <f t="shared" si="58"/>
        <v>5272952.3414819119</v>
      </c>
      <c r="J169" s="541">
        <f t="shared" si="58"/>
        <v>5535873.4038875904</v>
      </c>
      <c r="K169" s="541">
        <f t="shared" si="58"/>
        <v>5596888.1120076897</v>
      </c>
      <c r="L169" s="541">
        <f t="shared" si="58"/>
        <v>5605580.4143162454</v>
      </c>
      <c r="M169" s="541">
        <f t="shared" si="58"/>
        <v>5632464.2673390778</v>
      </c>
      <c r="N169" s="541">
        <f t="shared" si="58"/>
        <v>5657806.2621487752</v>
      </c>
      <c r="O169" s="541">
        <f t="shared" si="58"/>
        <v>5680888.2888488537</v>
      </c>
      <c r="P169" s="541">
        <f t="shared" si="58"/>
        <v>5706870.4230631599</v>
      </c>
      <c r="Q169" s="541">
        <f t="shared" si="58"/>
        <v>5735429.0010286951</v>
      </c>
      <c r="R169" s="541">
        <f t="shared" si="58"/>
        <v>5764844.157156799</v>
      </c>
      <c r="S169" s="541">
        <f t="shared" si="58"/>
        <v>5793183.0467522163</v>
      </c>
      <c r="T169" s="541">
        <f t="shared" si="58"/>
        <v>5824192.5926950565</v>
      </c>
      <c r="U169" s="541">
        <f t="shared" si="58"/>
        <v>5858036.9835218322</v>
      </c>
      <c r="V169" s="541">
        <f t="shared" si="58"/>
        <v>5894810.0424792329</v>
      </c>
      <c r="W169" s="541">
        <f t="shared" si="58"/>
        <v>5931123.1137508089</v>
      </c>
      <c r="X169" s="541">
        <f t="shared" si="58"/>
        <v>5965831.3377247872</v>
      </c>
      <c r="Y169" s="541">
        <f t="shared" si="58"/>
        <v>6003293.0743013052</v>
      </c>
      <c r="Z169" s="541">
        <f t="shared" si="58"/>
        <v>6040976.6554009384</v>
      </c>
      <c r="AA169" s="541">
        <f t="shared" si="58"/>
        <v>6084255.0114435349</v>
      </c>
      <c r="AB169" s="541">
        <f t="shared" si="58"/>
        <v>6121205.0568893515</v>
      </c>
      <c r="AC169" s="541">
        <f t="shared" si="58"/>
        <v>6162673.3257921059</v>
      </c>
      <c r="AD169" s="541">
        <f t="shared" si="58"/>
        <v>6208539.8593265396</v>
      </c>
      <c r="AE169" s="541">
        <f t="shared" si="58"/>
        <v>6249163.3077503396</v>
      </c>
      <c r="AF169" s="541">
        <f t="shared" si="58"/>
        <v>6289038.4756080396</v>
      </c>
      <c r="AG169" s="541">
        <f t="shared" si="58"/>
        <v>6338220.3403222384</v>
      </c>
      <c r="AH169" s="423"/>
      <c r="AI169" s="423"/>
    </row>
    <row r="170" spans="1:35" hidden="1" x14ac:dyDescent="0.25">
      <c r="A170" s="449"/>
      <c r="B170" s="449"/>
      <c r="C170" s="449"/>
      <c r="D170" s="449"/>
      <c r="E170" s="450"/>
      <c r="F170" s="450"/>
      <c r="G170" s="450"/>
      <c r="H170" s="450"/>
      <c r="I170" s="450"/>
      <c r="J170" s="450"/>
      <c r="K170" s="450"/>
      <c r="L170" s="450"/>
      <c r="M170" s="450"/>
      <c r="N170" s="450"/>
      <c r="O170" s="450"/>
      <c r="P170" s="450"/>
      <c r="Q170" s="450"/>
      <c r="R170" s="450"/>
      <c r="S170" s="450"/>
      <c r="T170" s="450"/>
      <c r="U170" s="450"/>
      <c r="V170" s="450"/>
      <c r="W170" s="450"/>
      <c r="X170" s="450"/>
      <c r="Y170" s="450"/>
      <c r="Z170" s="450"/>
      <c r="AA170" s="450"/>
      <c r="AB170" s="450"/>
      <c r="AC170" s="450"/>
      <c r="AD170" s="450"/>
      <c r="AE170" s="450"/>
      <c r="AF170" s="450"/>
      <c r="AG170" s="450"/>
      <c r="AH170" s="423"/>
      <c r="AI170" s="423"/>
    </row>
    <row r="171" spans="1:35" hidden="1" x14ac:dyDescent="0.25">
      <c r="A171" s="449"/>
      <c r="B171" s="449"/>
      <c r="C171" s="449"/>
      <c r="D171" s="449"/>
      <c r="E171" s="450"/>
      <c r="F171" s="450"/>
      <c r="G171" s="450"/>
      <c r="H171" s="450"/>
      <c r="I171" s="450"/>
      <c r="J171" s="450"/>
      <c r="K171" s="450"/>
      <c r="L171" s="450"/>
      <c r="M171" s="450"/>
      <c r="N171" s="450"/>
      <c r="O171" s="450"/>
      <c r="P171" s="450"/>
      <c r="Q171" s="450"/>
      <c r="R171" s="450"/>
      <c r="S171" s="450"/>
      <c r="T171" s="450"/>
      <c r="U171" s="450"/>
      <c r="V171" s="450"/>
      <c r="W171" s="450"/>
      <c r="X171" s="450"/>
      <c r="Y171" s="450"/>
      <c r="Z171" s="450"/>
      <c r="AA171" s="450"/>
      <c r="AB171" s="450"/>
      <c r="AC171" s="450"/>
      <c r="AD171" s="450"/>
      <c r="AE171" s="450"/>
      <c r="AF171" s="450"/>
      <c r="AG171" s="450"/>
      <c r="AH171" s="423"/>
      <c r="AI171" s="423"/>
    </row>
    <row r="172" spans="1:35" hidden="1" x14ac:dyDescent="0.25">
      <c r="A172" s="449"/>
      <c r="B172" s="539" t="s">
        <v>52</v>
      </c>
      <c r="C172" s="449"/>
      <c r="D172" s="449"/>
      <c r="E172" s="450"/>
      <c r="F172" s="450"/>
      <c r="G172" s="450"/>
      <c r="H172" s="450"/>
      <c r="I172" s="450"/>
      <c r="J172" s="450"/>
      <c r="K172" s="450"/>
      <c r="L172" s="450"/>
      <c r="M172" s="450"/>
      <c r="N172" s="450"/>
      <c r="O172" s="450"/>
      <c r="P172" s="450"/>
      <c r="Q172" s="450"/>
      <c r="R172" s="450"/>
      <c r="S172" s="450"/>
      <c r="T172" s="450"/>
      <c r="U172" s="450"/>
      <c r="V172" s="450"/>
      <c r="W172" s="450"/>
      <c r="X172" s="450"/>
      <c r="Y172" s="450"/>
      <c r="Z172" s="450"/>
      <c r="AA172" s="450"/>
      <c r="AB172" s="450"/>
      <c r="AC172" s="450"/>
      <c r="AD172" s="450"/>
      <c r="AE172" s="450"/>
      <c r="AF172" s="450"/>
      <c r="AG172" s="450"/>
      <c r="AH172" s="423"/>
      <c r="AI172" s="423"/>
    </row>
    <row r="173" spans="1:35" hidden="1" x14ac:dyDescent="0.25">
      <c r="A173" s="449"/>
      <c r="B173" s="449" t="s">
        <v>80</v>
      </c>
      <c r="C173" s="450" t="s">
        <v>81</v>
      </c>
      <c r="D173" s="449"/>
      <c r="E173" s="450">
        <v>2017</v>
      </c>
      <c r="F173" s="450">
        <v>2018</v>
      </c>
      <c r="G173" s="450">
        <v>2019</v>
      </c>
      <c r="H173" s="450">
        <v>2020</v>
      </c>
      <c r="I173" s="450">
        <v>2021</v>
      </c>
      <c r="J173" s="450">
        <v>2022</v>
      </c>
      <c r="K173" s="450">
        <v>2023</v>
      </c>
      <c r="L173" s="450">
        <v>2024</v>
      </c>
      <c r="M173" s="450">
        <v>2025</v>
      </c>
      <c r="N173" s="450">
        <v>2026</v>
      </c>
      <c r="O173" s="450">
        <v>2027</v>
      </c>
      <c r="P173" s="450">
        <v>2028</v>
      </c>
      <c r="Q173" s="450">
        <v>2029</v>
      </c>
      <c r="R173" s="450">
        <v>2030</v>
      </c>
      <c r="S173" s="450">
        <v>2031</v>
      </c>
      <c r="T173" s="450">
        <v>2032</v>
      </c>
      <c r="U173" s="450">
        <v>2033</v>
      </c>
      <c r="V173" s="450">
        <v>2034</v>
      </c>
      <c r="W173" s="450">
        <v>2035</v>
      </c>
      <c r="X173" s="450">
        <v>2036</v>
      </c>
      <c r="Y173" s="450">
        <v>2037</v>
      </c>
      <c r="Z173" s="450">
        <v>2038</v>
      </c>
      <c r="AA173" s="450">
        <v>2039</v>
      </c>
      <c r="AB173" s="450">
        <v>2040</v>
      </c>
      <c r="AC173" s="450">
        <v>2041</v>
      </c>
      <c r="AD173" s="450">
        <v>2042</v>
      </c>
      <c r="AE173" s="450">
        <v>2043</v>
      </c>
      <c r="AF173" s="450">
        <v>2044</v>
      </c>
      <c r="AG173" s="450">
        <v>2045</v>
      </c>
      <c r="AH173" s="423"/>
      <c r="AI173" s="423"/>
    </row>
    <row r="174" spans="1:35" hidden="1" x14ac:dyDescent="0.25">
      <c r="A174" s="451">
        <v>1</v>
      </c>
      <c r="B174" s="449" t="s">
        <v>82</v>
      </c>
      <c r="C174" s="540">
        <v>7.7225963564417729E-2</v>
      </c>
      <c r="D174" s="449"/>
      <c r="E174" s="541">
        <f t="shared" ref="E174:E184" si="59">$C174*E$12</f>
        <v>338210.97217261308</v>
      </c>
      <c r="F174" s="541">
        <f t="shared" ref="F174:AG183" si="60">$C174*F$12</f>
        <v>376351.25223388674</v>
      </c>
      <c r="G174" s="541">
        <f t="shared" si="60"/>
        <v>391687.65078306786</v>
      </c>
      <c r="H174" s="541">
        <f t="shared" si="60"/>
        <v>407364.09883653675</v>
      </c>
      <c r="I174" s="541">
        <f t="shared" si="60"/>
        <v>419114.93258770707</v>
      </c>
      <c r="J174" s="541">
        <f t="shared" si="60"/>
        <v>432835.63171005249</v>
      </c>
      <c r="K174" s="541">
        <f t="shared" si="60"/>
        <v>443240.05164340744</v>
      </c>
      <c r="L174" s="541">
        <f t="shared" si="60"/>
        <v>459443.3828174884</v>
      </c>
      <c r="M174" s="541">
        <f t="shared" si="60"/>
        <v>472050.49462120683</v>
      </c>
      <c r="N174" s="541">
        <f t="shared" si="60"/>
        <v>490574.23603977659</v>
      </c>
      <c r="O174" s="541">
        <f t="shared" si="60"/>
        <v>500966.88587405864</v>
      </c>
      <c r="P174" s="541">
        <f t="shared" si="60"/>
        <v>514648.72742011008</v>
      </c>
      <c r="Q174" s="541">
        <f t="shared" si="60"/>
        <v>528337.29933017492</v>
      </c>
      <c r="R174" s="541">
        <f t="shared" si="60"/>
        <v>542031.73926101741</v>
      </c>
      <c r="S174" s="541">
        <f t="shared" si="60"/>
        <v>562447.75204860314</v>
      </c>
      <c r="T174" s="541">
        <f t="shared" si="60"/>
        <v>576140.98696760414</v>
      </c>
      <c r="U174" s="541">
        <f t="shared" si="60"/>
        <v>589840.17591539631</v>
      </c>
      <c r="V174" s="541">
        <f t="shared" si="60"/>
        <v>603545.60890973313</v>
      </c>
      <c r="W174" s="541">
        <f t="shared" si="60"/>
        <v>617257.39674522867</v>
      </c>
      <c r="X174" s="541">
        <f t="shared" si="60"/>
        <v>637687.46502184891</v>
      </c>
      <c r="Y174" s="541">
        <f t="shared" si="60"/>
        <v>651393.45504683349</v>
      </c>
      <c r="Z174" s="541">
        <f t="shared" si="60"/>
        <v>665105.27031991584</v>
      </c>
      <c r="AA174" s="541">
        <f t="shared" si="60"/>
        <v>678817.0551957807</v>
      </c>
      <c r="AB174" s="541">
        <f t="shared" si="60"/>
        <v>692540.9262924412</v>
      </c>
      <c r="AC174" s="541">
        <f t="shared" si="60"/>
        <v>712969.80749486643</v>
      </c>
      <c r="AD174" s="541">
        <f t="shared" si="60"/>
        <v>726688.36973178165</v>
      </c>
      <c r="AE174" s="541">
        <f t="shared" si="60"/>
        <v>740416.03578777122</v>
      </c>
      <c r="AF174" s="541">
        <f t="shared" si="60"/>
        <v>754131.44531335006</v>
      </c>
      <c r="AG174" s="541">
        <f t="shared" si="60"/>
        <v>767844.64363215386</v>
      </c>
      <c r="AH174" s="423"/>
      <c r="AI174" s="423"/>
    </row>
    <row r="175" spans="1:35" hidden="1" x14ac:dyDescent="0.25">
      <c r="A175" s="451">
        <v>2</v>
      </c>
      <c r="B175" s="449" t="s">
        <v>83</v>
      </c>
      <c r="C175" s="540">
        <v>7.5315324736975487E-3</v>
      </c>
      <c r="D175" s="449"/>
      <c r="E175" s="541">
        <f t="shared" si="59"/>
        <v>32984.333277422658</v>
      </c>
      <c r="F175" s="541">
        <f t="shared" ref="F175:T175" si="61">$C175*F$12</f>
        <v>36703.99884815768</v>
      </c>
      <c r="G175" s="541">
        <f t="shared" si="61"/>
        <v>38199.695092936498</v>
      </c>
      <c r="H175" s="541">
        <f t="shared" si="61"/>
        <v>39728.55497551275</v>
      </c>
      <c r="I175" s="541">
        <f t="shared" si="61"/>
        <v>40874.565745791282</v>
      </c>
      <c r="J175" s="541">
        <f t="shared" si="61"/>
        <v>42212.689431558952</v>
      </c>
      <c r="K175" s="541">
        <f t="shared" si="61"/>
        <v>43227.389967249692</v>
      </c>
      <c r="L175" s="541">
        <f t="shared" si="61"/>
        <v>44807.634606319443</v>
      </c>
      <c r="M175" s="541">
        <f t="shared" si="61"/>
        <v>46037.154674010642</v>
      </c>
      <c r="N175" s="541">
        <f t="shared" si="61"/>
        <v>47843.699436795774</v>
      </c>
      <c r="O175" s="541">
        <f t="shared" si="61"/>
        <v>48857.252082848187</v>
      </c>
      <c r="P175" s="541">
        <f t="shared" si="61"/>
        <v>50191.586148076341</v>
      </c>
      <c r="Q175" s="541">
        <f t="shared" si="61"/>
        <v>51526.576598188374</v>
      </c>
      <c r="R175" s="541">
        <f t="shared" si="61"/>
        <v>52862.139332374347</v>
      </c>
      <c r="S175" s="541">
        <f t="shared" si="61"/>
        <v>54853.229584875575</v>
      </c>
      <c r="T175" s="541">
        <f t="shared" si="61"/>
        <v>56188.674799183558</v>
      </c>
      <c r="U175" s="541">
        <f t="shared" si="60"/>
        <v>57524.700685575408</v>
      </c>
      <c r="V175" s="541">
        <f t="shared" si="60"/>
        <v>58861.335528296804</v>
      </c>
      <c r="W175" s="541">
        <f t="shared" si="60"/>
        <v>60198.590132693447</v>
      </c>
      <c r="X175" s="541">
        <f t="shared" si="60"/>
        <v>62191.051159571725</v>
      </c>
      <c r="Y175" s="541">
        <f t="shared" si="60"/>
        <v>63527.740327214669</v>
      </c>
      <c r="Z175" s="541">
        <f t="shared" si="60"/>
        <v>64864.997607486977</v>
      </c>
      <c r="AA175" s="541">
        <f t="shared" si="60"/>
        <v>66202.251923242948</v>
      </c>
      <c r="AB175" s="541">
        <f t="shared" si="60"/>
        <v>67540.684958696365</v>
      </c>
      <c r="AC175" s="541">
        <f t="shared" si="60"/>
        <v>69533.030215081963</v>
      </c>
      <c r="AD175" s="541">
        <f t="shared" si="60"/>
        <v>70870.945499150665</v>
      </c>
      <c r="AE175" s="541">
        <f t="shared" si="60"/>
        <v>72209.748641471044</v>
      </c>
      <c r="AF175" s="541">
        <f t="shared" si="60"/>
        <v>73547.356454493565</v>
      </c>
      <c r="AG175" s="541">
        <f t="shared" si="60"/>
        <v>74884.748617560253</v>
      </c>
      <c r="AH175" s="423"/>
      <c r="AI175" s="423"/>
    </row>
    <row r="176" spans="1:35" hidden="1" x14ac:dyDescent="0.25">
      <c r="A176" s="451">
        <v>3</v>
      </c>
      <c r="B176" s="449" t="s">
        <v>84</v>
      </c>
      <c r="C176" s="540">
        <v>8.150786497214435E-2</v>
      </c>
      <c r="D176" s="449"/>
      <c r="E176" s="541">
        <f t="shared" si="59"/>
        <v>356963.55188819667</v>
      </c>
      <c r="F176" s="541">
        <f t="shared" si="60"/>
        <v>397218.57304621604</v>
      </c>
      <c r="G176" s="541">
        <f t="shared" si="60"/>
        <v>413405.31963258825</v>
      </c>
      <c r="H176" s="541">
        <f t="shared" si="60"/>
        <v>429950.97024294472</v>
      </c>
      <c r="I176" s="541">
        <f t="shared" si="60"/>
        <v>442353.3453832895</v>
      </c>
      <c r="J176" s="541">
        <f t="shared" si="60"/>
        <v>456834.80783153325</v>
      </c>
      <c r="K176" s="541">
        <f t="shared" si="60"/>
        <v>467816.11535946053</v>
      </c>
      <c r="L176" s="541">
        <f t="shared" si="60"/>
        <v>484917.86286092456</v>
      </c>
      <c r="M176" s="541">
        <f t="shared" si="60"/>
        <v>498223.99358636449</v>
      </c>
      <c r="N176" s="541">
        <f t="shared" si="60"/>
        <v>517774.80971913162</v>
      </c>
      <c r="O176" s="541">
        <f t="shared" si="60"/>
        <v>528743.69453840423</v>
      </c>
      <c r="P176" s="541">
        <f t="shared" si="60"/>
        <v>543184.14489776571</v>
      </c>
      <c r="Q176" s="541">
        <f t="shared" si="60"/>
        <v>557631.69879557332</v>
      </c>
      <c r="R176" s="541">
        <f t="shared" si="60"/>
        <v>572085.44607476622</v>
      </c>
      <c r="S176" s="541">
        <f t="shared" si="60"/>
        <v>593633.45320545149</v>
      </c>
      <c r="T176" s="541">
        <f t="shared" si="60"/>
        <v>608085.92865923827</v>
      </c>
      <c r="U176" s="541">
        <f t="shared" si="60"/>
        <v>622544.68827125838</v>
      </c>
      <c r="V176" s="541">
        <f t="shared" si="60"/>
        <v>637010.0381397045</v>
      </c>
      <c r="W176" s="541">
        <f t="shared" si="60"/>
        <v>651482.09520235297</v>
      </c>
      <c r="X176" s="541">
        <f t="shared" si="60"/>
        <v>673044.9371482929</v>
      </c>
      <c r="Y176" s="541">
        <f t="shared" si="60"/>
        <v>687510.87493272906</v>
      </c>
      <c r="Z176" s="541">
        <f t="shared" si="60"/>
        <v>701982.96095427952</v>
      </c>
      <c r="AA176" s="541">
        <f t="shared" si="60"/>
        <v>716455.01489319652</v>
      </c>
      <c r="AB176" s="541">
        <f t="shared" si="60"/>
        <v>730939.82519030129</v>
      </c>
      <c r="AC176" s="541">
        <f t="shared" si="60"/>
        <v>752501.41424305947</v>
      </c>
      <c r="AD176" s="541">
        <f t="shared" si="60"/>
        <v>766980.62132327573</v>
      </c>
      <c r="AE176" s="541">
        <f t="shared" si="60"/>
        <v>781469.43699652993</v>
      </c>
      <c r="AF176" s="541">
        <f t="shared" si="60"/>
        <v>795945.3165589266</v>
      </c>
      <c r="AG176" s="541">
        <f t="shared" si="60"/>
        <v>810418.86231110024</v>
      </c>
      <c r="AH176" s="423"/>
      <c r="AI176" s="423"/>
    </row>
    <row r="177" spans="1:35" hidden="1" x14ac:dyDescent="0.25">
      <c r="A177" s="451">
        <v>4</v>
      </c>
      <c r="B177" s="449" t="s">
        <v>85</v>
      </c>
      <c r="C177" s="540">
        <v>0.39650671084253258</v>
      </c>
      <c r="D177" s="449"/>
      <c r="E177" s="541">
        <f t="shared" si="59"/>
        <v>1736500.4456714445</v>
      </c>
      <c r="F177" s="541">
        <f t="shared" si="60"/>
        <v>1932326.7753111385</v>
      </c>
      <c r="G177" s="541">
        <f t="shared" si="60"/>
        <v>2011069.5279325873</v>
      </c>
      <c r="H177" s="541">
        <f t="shared" si="60"/>
        <v>2091558.2207048035</v>
      </c>
      <c r="I177" s="541">
        <f t="shared" si="60"/>
        <v>2151891.3551233523</v>
      </c>
      <c r="J177" s="541">
        <f t="shared" si="60"/>
        <v>2222338.5082355719</v>
      </c>
      <c r="K177" s="541">
        <f t="shared" si="60"/>
        <v>2275758.6552377888</v>
      </c>
      <c r="L177" s="541">
        <f t="shared" si="60"/>
        <v>2358952.5611729082</v>
      </c>
      <c r="M177" s="541">
        <f t="shared" si="60"/>
        <v>2423682.1443829215</v>
      </c>
      <c r="N177" s="541">
        <f t="shared" si="60"/>
        <v>2518789.8962758207</v>
      </c>
      <c r="O177" s="541">
        <f t="shared" si="60"/>
        <v>2572149.6112283189</v>
      </c>
      <c r="P177" s="541">
        <f t="shared" si="60"/>
        <v>2642397.255146266</v>
      </c>
      <c r="Q177" s="541">
        <f t="shared" si="60"/>
        <v>2712679.4552468043</v>
      </c>
      <c r="R177" s="541">
        <f t="shared" si="60"/>
        <v>2782991.7839402445</v>
      </c>
      <c r="S177" s="541">
        <f t="shared" si="60"/>
        <v>2887815.1581694605</v>
      </c>
      <c r="T177" s="541">
        <f t="shared" si="60"/>
        <v>2958121.2998856227</v>
      </c>
      <c r="U177" s="541">
        <f t="shared" si="60"/>
        <v>3028458.0117916977</v>
      </c>
      <c r="V177" s="541">
        <f t="shared" si="60"/>
        <v>3098826.7829462877</v>
      </c>
      <c r="W177" s="541">
        <f t="shared" si="60"/>
        <v>3169228.1822099932</v>
      </c>
      <c r="X177" s="541">
        <f t="shared" si="60"/>
        <v>3274123.7225277773</v>
      </c>
      <c r="Y177" s="541">
        <f t="shared" si="60"/>
        <v>3344495.3536841045</v>
      </c>
      <c r="Z177" s="541">
        <f t="shared" si="60"/>
        <v>3414896.8938225475</v>
      </c>
      <c r="AA177" s="541">
        <f t="shared" si="60"/>
        <v>3485298.2778904131</v>
      </c>
      <c r="AB177" s="541">
        <f t="shared" si="60"/>
        <v>3555761.7170940521</v>
      </c>
      <c r="AC177" s="541">
        <f t="shared" si="60"/>
        <v>3660651.1625330811</v>
      </c>
      <c r="AD177" s="541">
        <f t="shared" si="60"/>
        <v>3731087.344083739</v>
      </c>
      <c r="AE177" s="541">
        <f t="shared" si="60"/>
        <v>3801570.268014688</v>
      </c>
      <c r="AF177" s="541">
        <f t="shared" si="60"/>
        <v>3871990.2623771969</v>
      </c>
      <c r="AG177" s="541">
        <f t="shared" si="60"/>
        <v>3942398.9035848225</v>
      </c>
      <c r="AH177" s="423"/>
      <c r="AI177" s="423"/>
    </row>
    <row r="178" spans="1:35" hidden="1" x14ac:dyDescent="0.25">
      <c r="A178" s="451">
        <v>5</v>
      </c>
      <c r="B178" s="449" t="s">
        <v>86</v>
      </c>
      <c r="C178" s="540">
        <v>0.20538201068373008</v>
      </c>
      <c r="D178" s="449"/>
      <c r="E178" s="541">
        <f t="shared" si="59"/>
        <v>899470.15607216768</v>
      </c>
      <c r="F178" s="541">
        <f t="shared" si="60"/>
        <v>1000904.0138768791</v>
      </c>
      <c r="G178" s="541">
        <f t="shared" si="60"/>
        <v>1041691.0785542973</v>
      </c>
      <c r="H178" s="541">
        <f t="shared" si="60"/>
        <v>1083382.502953487</v>
      </c>
      <c r="I178" s="541">
        <f t="shared" si="60"/>
        <v>1114633.7784524641</v>
      </c>
      <c r="J178" s="541">
        <f t="shared" si="60"/>
        <v>1151123.899697545</v>
      </c>
      <c r="K178" s="541">
        <f t="shared" si="60"/>
        <v>1178794.3953091386</v>
      </c>
      <c r="L178" s="541">
        <f t="shared" si="60"/>
        <v>1221887.0623696304</v>
      </c>
      <c r="M178" s="541">
        <f t="shared" si="60"/>
        <v>1255415.6044771359</v>
      </c>
      <c r="N178" s="541">
        <f t="shared" si="60"/>
        <v>1304679.3893797081</v>
      </c>
      <c r="O178" s="541">
        <f t="shared" si="60"/>
        <v>1332318.5824797894</v>
      </c>
      <c r="P178" s="541">
        <f t="shared" si="60"/>
        <v>1368705.3622218161</v>
      </c>
      <c r="Q178" s="541">
        <f t="shared" si="60"/>
        <v>1405110.0413286407</v>
      </c>
      <c r="R178" s="541">
        <f t="shared" si="60"/>
        <v>1441530.326403334</v>
      </c>
      <c r="S178" s="541">
        <f t="shared" si="60"/>
        <v>1495826.5962447776</v>
      </c>
      <c r="T178" s="541">
        <f t="shared" si="60"/>
        <v>1532243.6765973349</v>
      </c>
      <c r="U178" s="541">
        <f t="shared" si="60"/>
        <v>1568676.5916555845</v>
      </c>
      <c r="V178" s="541">
        <f t="shared" si="60"/>
        <v>1605126.1127200907</v>
      </c>
      <c r="W178" s="541">
        <f t="shared" si="60"/>
        <v>1641592.5344484993</v>
      </c>
      <c r="X178" s="541">
        <f t="shared" si="60"/>
        <v>1695926.1847830543</v>
      </c>
      <c r="Y178" s="541">
        <f t="shared" si="60"/>
        <v>1732377.1872673987</v>
      </c>
      <c r="Z178" s="541">
        <f t="shared" si="60"/>
        <v>1768843.6819659134</v>
      </c>
      <c r="AA178" s="541">
        <f t="shared" si="60"/>
        <v>1805310.0958232014</v>
      </c>
      <c r="AB178" s="541">
        <f t="shared" si="60"/>
        <v>1841808.6529159246</v>
      </c>
      <c r="AC178" s="541">
        <f t="shared" si="60"/>
        <v>1896139.1462334122</v>
      </c>
      <c r="AD178" s="541">
        <f t="shared" si="60"/>
        <v>1932623.5844438502</v>
      </c>
      <c r="AE178" s="541">
        <f t="shared" si="60"/>
        <v>1969132.2342093156</v>
      </c>
      <c r="AF178" s="541">
        <f t="shared" si="60"/>
        <v>2005608.2878018937</v>
      </c>
      <c r="AG178" s="541">
        <f t="shared" si="60"/>
        <v>2042078.4607026351</v>
      </c>
      <c r="AH178" s="423"/>
      <c r="AI178" s="423"/>
    </row>
    <row r="179" spans="1:35" hidden="1" x14ac:dyDescent="0.25">
      <c r="A179" s="451">
        <v>6</v>
      </c>
      <c r="B179" s="449" t="s">
        <v>87</v>
      </c>
      <c r="C179" s="540">
        <v>0.14957402267583572</v>
      </c>
      <c r="D179" s="449"/>
      <c r="E179" s="541">
        <f t="shared" si="59"/>
        <v>655059.17033674102</v>
      </c>
      <c r="F179" s="541">
        <f t="shared" si="60"/>
        <v>728930.63598687889</v>
      </c>
      <c r="G179" s="541">
        <f t="shared" si="60"/>
        <v>758634.72407439607</v>
      </c>
      <c r="H179" s="541">
        <f t="shared" si="60"/>
        <v>788997.43226735014</v>
      </c>
      <c r="I179" s="541">
        <f t="shared" si="60"/>
        <v>811756.86954509176</v>
      </c>
      <c r="J179" s="541">
        <f t="shared" si="60"/>
        <v>838331.61289474426</v>
      </c>
      <c r="K179" s="541">
        <f t="shared" si="60"/>
        <v>858483.26748358505</v>
      </c>
      <c r="L179" s="541">
        <f t="shared" si="60"/>
        <v>889866.46184715466</v>
      </c>
      <c r="M179" s="541">
        <f t="shared" si="60"/>
        <v>914284.36924216209</v>
      </c>
      <c r="N179" s="541">
        <f t="shared" si="60"/>
        <v>950161.8175911404</v>
      </c>
      <c r="O179" s="541">
        <f t="shared" si="60"/>
        <v>970290.67542893568</v>
      </c>
      <c r="P179" s="541">
        <f t="shared" si="60"/>
        <v>996790.15802780609</v>
      </c>
      <c r="Q179" s="541">
        <f t="shared" si="60"/>
        <v>1023302.6762376692</v>
      </c>
      <c r="R179" s="541">
        <f t="shared" si="60"/>
        <v>1049826.5598411425</v>
      </c>
      <c r="S179" s="541">
        <f t="shared" si="60"/>
        <v>1089369.027408974</v>
      </c>
      <c r="T179" s="541">
        <f t="shared" si="60"/>
        <v>1115890.5771021899</v>
      </c>
      <c r="U179" s="541">
        <f t="shared" si="60"/>
        <v>1142423.6587724292</v>
      </c>
      <c r="V179" s="541">
        <f t="shared" si="60"/>
        <v>1168968.8341365035</v>
      </c>
      <c r="W179" s="541">
        <f t="shared" si="60"/>
        <v>1195526.3177854046</v>
      </c>
      <c r="X179" s="541">
        <f t="shared" si="60"/>
        <v>1235096.0085297239</v>
      </c>
      <c r="Y179" s="541">
        <f t="shared" si="60"/>
        <v>1261642.2627707834</v>
      </c>
      <c r="Z179" s="541">
        <f t="shared" si="60"/>
        <v>1288199.799561789</v>
      </c>
      <c r="AA179" s="541">
        <f t="shared" si="60"/>
        <v>1314757.277478371</v>
      </c>
      <c r="AB179" s="541">
        <f t="shared" si="60"/>
        <v>1341338.1644219165</v>
      </c>
      <c r="AC179" s="541">
        <f t="shared" si="60"/>
        <v>1380905.5559982569</v>
      </c>
      <c r="AD179" s="541">
        <f t="shared" si="60"/>
        <v>1407476.1605513822</v>
      </c>
      <c r="AE179" s="541">
        <f t="shared" si="60"/>
        <v>1434064.3977085932</v>
      </c>
      <c r="AF179" s="541">
        <f t="shared" si="60"/>
        <v>1460628.8959770557</v>
      </c>
      <c r="AG179" s="541">
        <f t="shared" si="60"/>
        <v>1487189.1115007382</v>
      </c>
      <c r="AH179" s="423"/>
      <c r="AI179" s="423"/>
    </row>
    <row r="180" spans="1:35" hidden="1" x14ac:dyDescent="0.25">
      <c r="A180" s="451">
        <v>7</v>
      </c>
      <c r="B180" s="449" t="s">
        <v>88</v>
      </c>
      <c r="C180" s="540">
        <v>3.8427827426417781E-2</v>
      </c>
      <c r="D180" s="449"/>
      <c r="E180" s="541">
        <f t="shared" si="59"/>
        <v>168294.60290940889</v>
      </c>
      <c r="F180" s="541">
        <f t="shared" si="60"/>
        <v>187273.29909579322</v>
      </c>
      <c r="G180" s="541">
        <f t="shared" si="60"/>
        <v>194904.72834042922</v>
      </c>
      <c r="H180" s="541">
        <f t="shared" si="60"/>
        <v>202705.36704602992</v>
      </c>
      <c r="I180" s="541">
        <f t="shared" si="60"/>
        <v>208552.61052043259</v>
      </c>
      <c r="J180" s="541">
        <f t="shared" si="60"/>
        <v>215380.0637978978</v>
      </c>
      <c r="K180" s="541">
        <f t="shared" si="60"/>
        <v>220557.32847958009</v>
      </c>
      <c r="L180" s="541">
        <f t="shared" si="60"/>
        <v>228620.14550835424</v>
      </c>
      <c r="M180" s="541">
        <f t="shared" si="60"/>
        <v>234893.47502576106</v>
      </c>
      <c r="N180" s="541">
        <f t="shared" si="60"/>
        <v>244110.93383973389</v>
      </c>
      <c r="O180" s="541">
        <f t="shared" si="60"/>
        <v>249282.34169147082</v>
      </c>
      <c r="P180" s="541">
        <f t="shared" si="60"/>
        <v>256090.45934439846</v>
      </c>
      <c r="Q180" s="541">
        <f t="shared" si="60"/>
        <v>262901.92604283988</v>
      </c>
      <c r="R180" s="541">
        <f t="shared" si="60"/>
        <v>269716.31268270215</v>
      </c>
      <c r="S180" s="541">
        <f t="shared" si="60"/>
        <v>279875.37033541064</v>
      </c>
      <c r="T180" s="541">
        <f t="shared" si="60"/>
        <v>286689.15735844773</v>
      </c>
      <c r="U180" s="541">
        <f t="shared" si="60"/>
        <v>293505.90712070261</v>
      </c>
      <c r="V180" s="541">
        <f t="shared" si="60"/>
        <v>300325.76393571519</v>
      </c>
      <c r="W180" s="541">
        <f t="shared" si="60"/>
        <v>307148.78293515509</v>
      </c>
      <c r="X180" s="541">
        <f t="shared" si="60"/>
        <v>317314.83463341621</v>
      </c>
      <c r="Y180" s="541">
        <f t="shared" si="60"/>
        <v>324134.96862823481</v>
      </c>
      <c r="Z180" s="541">
        <f t="shared" si="60"/>
        <v>330958.00128068466</v>
      </c>
      <c r="AA180" s="541">
        <f t="shared" si="60"/>
        <v>337781.0188074052</v>
      </c>
      <c r="AB180" s="541">
        <f t="shared" si="60"/>
        <v>344610.05046700971</v>
      </c>
      <c r="AC180" s="541">
        <f t="shared" si="60"/>
        <v>354775.51147426217</v>
      </c>
      <c r="AD180" s="541">
        <f t="shared" si="60"/>
        <v>361601.90143233642</v>
      </c>
      <c r="AE180" s="541">
        <f t="shared" si="60"/>
        <v>368432.82147293945</v>
      </c>
      <c r="AF180" s="541">
        <f t="shared" si="60"/>
        <v>375257.6426341795</v>
      </c>
      <c r="AG180" s="541">
        <f t="shared" si="60"/>
        <v>382081.36349354655</v>
      </c>
      <c r="AH180" s="423"/>
      <c r="AI180" s="423"/>
    </row>
    <row r="181" spans="1:35" hidden="1" x14ac:dyDescent="0.25">
      <c r="A181" s="451">
        <v>8</v>
      </c>
      <c r="B181" s="449" t="s">
        <v>89</v>
      </c>
      <c r="C181" s="540">
        <v>3.7258166361989063E-3</v>
      </c>
      <c r="D181" s="449"/>
      <c r="E181" s="541">
        <f t="shared" si="59"/>
        <v>16317.207432635136</v>
      </c>
      <c r="F181" s="541">
        <f t="shared" si="60"/>
        <v>18157.309950009927</v>
      </c>
      <c r="G181" s="541">
        <f t="shared" si="60"/>
        <v>18897.224432349172</v>
      </c>
      <c r="H181" s="541">
        <f t="shared" si="60"/>
        <v>19653.544823293883</v>
      </c>
      <c r="I181" s="541">
        <f t="shared" si="60"/>
        <v>20220.471409360987</v>
      </c>
      <c r="J181" s="541">
        <f t="shared" si="60"/>
        <v>20882.435426264088</v>
      </c>
      <c r="K181" s="541">
        <f t="shared" si="60"/>
        <v>21384.403405535173</v>
      </c>
      <c r="L181" s="541">
        <f t="shared" si="60"/>
        <v>22166.143613928605</v>
      </c>
      <c r="M181" s="541">
        <f t="shared" si="60"/>
        <v>22774.38188930515</v>
      </c>
      <c r="N181" s="541">
        <f t="shared" si="60"/>
        <v>23668.071793017192</v>
      </c>
      <c r="O181" s="541">
        <f t="shared" si="60"/>
        <v>24169.471916234284</v>
      </c>
      <c r="P181" s="541">
        <f t="shared" si="60"/>
        <v>24829.561224198627</v>
      </c>
      <c r="Q181" s="541">
        <f t="shared" si="60"/>
        <v>25489.975242934466</v>
      </c>
      <c r="R181" s="541">
        <f t="shared" si="60"/>
        <v>26150.672368133801</v>
      </c>
      <c r="S181" s="541">
        <f t="shared" si="60"/>
        <v>27135.656129785235</v>
      </c>
      <c r="T181" s="541">
        <f t="shared" si="60"/>
        <v>27796.295118407714</v>
      </c>
      <c r="U181" s="541">
        <f t="shared" si="60"/>
        <v>28457.221363006025</v>
      </c>
      <c r="V181" s="541">
        <f t="shared" si="60"/>
        <v>29118.448855674531</v>
      </c>
      <c r="W181" s="541">
        <f t="shared" si="60"/>
        <v>29779.982941771166</v>
      </c>
      <c r="X181" s="541">
        <f t="shared" si="60"/>
        <v>30765.64481959568</v>
      </c>
      <c r="Y181" s="541">
        <f t="shared" si="60"/>
        <v>31426.899186568611</v>
      </c>
      <c r="Z181" s="541">
        <f t="shared" si="60"/>
        <v>32088.434596409392</v>
      </c>
      <c r="AA181" s="541">
        <f t="shared" si="60"/>
        <v>32749.96853971673</v>
      </c>
      <c r="AB181" s="541">
        <f t="shared" si="60"/>
        <v>33412.085590575341</v>
      </c>
      <c r="AC181" s="541">
        <f t="shared" si="60"/>
        <v>34397.690197236378</v>
      </c>
      <c r="AD181" s="541">
        <f t="shared" si="60"/>
        <v>35059.551118717696</v>
      </c>
      <c r="AE181" s="541">
        <f t="shared" si="60"/>
        <v>35721.851259847368</v>
      </c>
      <c r="AF181" s="541">
        <f t="shared" si="60"/>
        <v>36383.56007672807</v>
      </c>
      <c r="AG181" s="541">
        <f t="shared" si="60"/>
        <v>37045.162212505573</v>
      </c>
      <c r="AH181" s="423"/>
      <c r="AI181" s="423"/>
    </row>
    <row r="182" spans="1:35" hidden="1" x14ac:dyDescent="0.25">
      <c r="A182" s="451">
        <v>9</v>
      </c>
      <c r="B182" s="449" t="s">
        <v>90</v>
      </c>
      <c r="C182" s="540">
        <v>4.0625647376015503E-6</v>
      </c>
      <c r="D182" s="449"/>
      <c r="E182" s="541">
        <f t="shared" si="59"/>
        <v>17.791995152929069</v>
      </c>
      <c r="F182" s="541">
        <f t="shared" si="60"/>
        <v>19.798410478908515</v>
      </c>
      <c r="G182" s="541">
        <f t="shared" si="60"/>
        <v>20.605200178537643</v>
      </c>
      <c r="H182" s="541">
        <f t="shared" si="60"/>
        <v>21.429878591513884</v>
      </c>
      <c r="I182" s="541">
        <f t="shared" si="60"/>
        <v>22.048045340512775</v>
      </c>
      <c r="J182" s="541">
        <f t="shared" si="60"/>
        <v>22.769839227657798</v>
      </c>
      <c r="K182" s="541">
        <f t="shared" si="60"/>
        <v>23.317176257660513</v>
      </c>
      <c r="L182" s="541">
        <f t="shared" si="60"/>
        <v>24.169571991183371</v>
      </c>
      <c r="M182" s="541">
        <f t="shared" si="60"/>
        <v>24.83278427747701</v>
      </c>
      <c r="N182" s="541">
        <f t="shared" si="60"/>
        <v>25.807247984009571</v>
      </c>
      <c r="O182" s="541">
        <f t="shared" si="60"/>
        <v>26.353965833787857</v>
      </c>
      <c r="P182" s="541">
        <f t="shared" si="60"/>
        <v>27.073715571375473</v>
      </c>
      <c r="Q182" s="541">
        <f t="shared" si="60"/>
        <v>27.793819367860515</v>
      </c>
      <c r="R182" s="541">
        <f t="shared" si="60"/>
        <v>28.51423185863942</v>
      </c>
      <c r="S182" s="541">
        <f t="shared" si="60"/>
        <v>29.588240777467387</v>
      </c>
      <c r="T182" s="541">
        <f t="shared" si="60"/>
        <v>30.308589877148403</v>
      </c>
      <c r="U182" s="541">
        <f t="shared" si="60"/>
        <v>31.029252195678339</v>
      </c>
      <c r="V182" s="541">
        <f t="shared" si="60"/>
        <v>31.750242989790074</v>
      </c>
      <c r="W182" s="541">
        <f t="shared" si="60"/>
        <v>32.471568087967604</v>
      </c>
      <c r="X182" s="541">
        <f t="shared" si="60"/>
        <v>33.54631641270889</v>
      </c>
      <c r="Y182" s="541">
        <f t="shared" si="60"/>
        <v>34.267336510088114</v>
      </c>
      <c r="Z182" s="541">
        <f t="shared" si="60"/>
        <v>34.988663051652914</v>
      </c>
      <c r="AA182" s="541">
        <f t="shared" si="60"/>
        <v>35.709987994135517</v>
      </c>
      <c r="AB182" s="541">
        <f t="shared" si="60"/>
        <v>36.431948746806157</v>
      </c>
      <c r="AC182" s="541">
        <f t="shared" si="60"/>
        <v>37.50663462408103</v>
      </c>
      <c r="AD182" s="541">
        <f t="shared" si="60"/>
        <v>38.228316097796728</v>
      </c>
      <c r="AE182" s="541">
        <f t="shared" si="60"/>
        <v>38.950476488869256</v>
      </c>
      <c r="AF182" s="541">
        <f t="shared" si="60"/>
        <v>39.671992110411523</v>
      </c>
      <c r="AG182" s="541">
        <f t="shared" si="60"/>
        <v>40.393391408760692</v>
      </c>
      <c r="AH182" s="423"/>
      <c r="AI182" s="423"/>
    </row>
    <row r="183" spans="1:35" hidden="1" x14ac:dyDescent="0.25">
      <c r="A183" s="451">
        <v>10</v>
      </c>
      <c r="B183" s="449" t="s">
        <v>91</v>
      </c>
      <c r="C183" s="540">
        <v>2.3551362053310917E-2</v>
      </c>
      <c r="D183" s="449"/>
      <c r="E183" s="541">
        <f t="shared" si="59"/>
        <v>103143.14886333825</v>
      </c>
      <c r="F183" s="541">
        <f t="shared" si="60"/>
        <v>114774.67151554131</v>
      </c>
      <c r="G183" s="541">
        <f t="shared" si="60"/>
        <v>119451.76530828302</v>
      </c>
      <c r="H183" s="541">
        <f t="shared" si="60"/>
        <v>124232.56294131221</v>
      </c>
      <c r="I183" s="541">
        <f t="shared" si="60"/>
        <v>127816.17818324092</v>
      </c>
      <c r="J183" s="541">
        <f t="shared" si="60"/>
        <v>132000.53714414084</v>
      </c>
      <c r="K183" s="541">
        <f t="shared" si="60"/>
        <v>135173.54074934326</v>
      </c>
      <c r="L183" s="541">
        <f t="shared" si="60"/>
        <v>140115.02028986282</v>
      </c>
      <c r="M183" s="541">
        <f t="shared" si="60"/>
        <v>143959.77198775872</v>
      </c>
      <c r="N183" s="541">
        <f t="shared" si="60"/>
        <v>149608.89982760424</v>
      </c>
      <c r="O183" s="541">
        <f t="shared" si="60"/>
        <v>152778.31394227943</v>
      </c>
      <c r="P183" s="541">
        <f t="shared" si="60"/>
        <v>156950.82262892477</v>
      </c>
      <c r="Q183" s="541">
        <f t="shared" si="60"/>
        <v>161125.38385376212</v>
      </c>
      <c r="R183" s="541">
        <f t="shared" si="60"/>
        <v>165301.73463065538</v>
      </c>
      <c r="S183" s="541">
        <f t="shared" si="60"/>
        <v>171527.94258783266</v>
      </c>
      <c r="T183" s="541">
        <f t="shared" si="60"/>
        <v>175703.92587601038</v>
      </c>
      <c r="U183" s="541">
        <f t="shared" si="60"/>
        <v>179881.72494584063</v>
      </c>
      <c r="V183" s="541">
        <f t="shared" si="60"/>
        <v>184061.42824313615</v>
      </c>
      <c r="W183" s="541">
        <f t="shared" si="60"/>
        <v>188243.06955658595</v>
      </c>
      <c r="X183" s="541">
        <f t="shared" ref="F183:AG184" si="62">$C183*X$12</f>
        <v>194473.56397256293</v>
      </c>
      <c r="Y183" s="541">
        <f t="shared" si="62"/>
        <v>198653.43714576357</v>
      </c>
      <c r="Z183" s="541">
        <f t="shared" si="62"/>
        <v>202835.08682676894</v>
      </c>
      <c r="AA183" s="541">
        <f t="shared" si="62"/>
        <v>207016.72723762941</v>
      </c>
      <c r="AB183" s="541">
        <f t="shared" si="62"/>
        <v>211202.05354567623</v>
      </c>
      <c r="AC183" s="541">
        <f t="shared" si="62"/>
        <v>217432.18594332592</v>
      </c>
      <c r="AD183" s="541">
        <f t="shared" si="62"/>
        <v>221615.89322491863</v>
      </c>
      <c r="AE183" s="541">
        <f t="shared" si="62"/>
        <v>225802.37686991546</v>
      </c>
      <c r="AF183" s="541">
        <f t="shared" si="62"/>
        <v>229985.12267893206</v>
      </c>
      <c r="AG183" s="541">
        <f t="shared" si="62"/>
        <v>234167.19414309197</v>
      </c>
      <c r="AH183" s="423"/>
      <c r="AI183" s="423"/>
    </row>
    <row r="184" spans="1:35" ht="15.75" hidden="1" customHeight="1" x14ac:dyDescent="0.25">
      <c r="A184" s="451">
        <v>11</v>
      </c>
      <c r="B184" s="449" t="s">
        <v>92</v>
      </c>
      <c r="C184" s="540">
        <v>1.6562826106976635E-2</v>
      </c>
      <c r="D184" s="449"/>
      <c r="E184" s="541">
        <f t="shared" si="59"/>
        <v>72536.867926469364</v>
      </c>
      <c r="F184" s="541">
        <f t="shared" si="62"/>
        <v>80716.899578639364</v>
      </c>
      <c r="G184" s="541">
        <f t="shared" si="62"/>
        <v>84006.131471039</v>
      </c>
      <c r="H184" s="541">
        <f t="shared" si="62"/>
        <v>87368.294545483193</v>
      </c>
      <c r="I184" s="541">
        <f t="shared" si="62"/>
        <v>89888.522290783876</v>
      </c>
      <c r="J184" s="541">
        <f t="shared" si="62"/>
        <v>92831.231492981038</v>
      </c>
      <c r="K184" s="541">
        <f t="shared" si="62"/>
        <v>95062.690838339331</v>
      </c>
      <c r="L184" s="541">
        <f t="shared" si="62"/>
        <v>98537.855720758642</v>
      </c>
      <c r="M184" s="541">
        <f t="shared" si="62"/>
        <v>101241.73134598178</v>
      </c>
      <c r="N184" s="541">
        <f t="shared" si="62"/>
        <v>105214.55983274391</v>
      </c>
      <c r="O184" s="541">
        <f t="shared" si="62"/>
        <v>107443.49481848002</v>
      </c>
      <c r="P184" s="541">
        <f t="shared" si="62"/>
        <v>110377.87014888859</v>
      </c>
      <c r="Q184" s="541">
        <f t="shared" si="62"/>
        <v>113313.68895560545</v>
      </c>
      <c r="R184" s="541">
        <f t="shared" si="62"/>
        <v>116250.76628993719</v>
      </c>
      <c r="S184" s="541">
        <f t="shared" si="62"/>
        <v>120629.43447342359</v>
      </c>
      <c r="T184" s="541">
        <f t="shared" si="62"/>
        <v>123566.25336615529</v>
      </c>
      <c r="U184" s="541">
        <f t="shared" si="62"/>
        <v>126504.34923283404</v>
      </c>
      <c r="V184" s="541">
        <f t="shared" si="62"/>
        <v>129443.78427421968</v>
      </c>
      <c r="W184" s="541">
        <f t="shared" si="62"/>
        <v>132384.58225268233</v>
      </c>
      <c r="X184" s="541">
        <f t="shared" si="62"/>
        <v>136766.26494851641</v>
      </c>
      <c r="Y184" s="541">
        <f t="shared" si="62"/>
        <v>139705.81945751797</v>
      </c>
      <c r="Z184" s="541">
        <f t="shared" si="62"/>
        <v>142646.62332058157</v>
      </c>
      <c r="AA184" s="541">
        <f t="shared" si="62"/>
        <v>145587.4206642856</v>
      </c>
      <c r="AB184" s="541">
        <f t="shared" si="62"/>
        <v>148530.81016694871</v>
      </c>
      <c r="AC184" s="541">
        <f t="shared" si="62"/>
        <v>152912.23826831012</v>
      </c>
      <c r="AD184" s="541">
        <f t="shared" si="62"/>
        <v>155854.48916788265</v>
      </c>
      <c r="AE184" s="541">
        <f t="shared" si="62"/>
        <v>158798.69258400891</v>
      </c>
      <c r="AF184" s="541">
        <f t="shared" si="62"/>
        <v>161740.26731448984</v>
      </c>
      <c r="AG184" s="541">
        <f t="shared" si="62"/>
        <v>164681.36780248018</v>
      </c>
      <c r="AH184" s="423"/>
      <c r="AI184" s="423"/>
    </row>
    <row r="185" spans="1:35" hidden="1" x14ac:dyDescent="0.25">
      <c r="A185" s="449"/>
      <c r="B185" s="449" t="s">
        <v>67</v>
      </c>
      <c r="C185" s="451" t="s">
        <v>0</v>
      </c>
      <c r="D185" s="449"/>
      <c r="E185" s="541">
        <f t="shared" ref="E185:AG185" si="63">SUM(E174:E184)</f>
        <v>4379498.2485455899</v>
      </c>
      <c r="F185" s="541">
        <f t="shared" si="63"/>
        <v>4873377.2278536195</v>
      </c>
      <c r="G185" s="541">
        <f t="shared" si="63"/>
        <v>5071968.4508221531</v>
      </c>
      <c r="H185" s="541">
        <f t="shared" si="63"/>
        <v>5274962.9792153453</v>
      </c>
      <c r="I185" s="541">
        <f t="shared" si="63"/>
        <v>5427124.6772868559</v>
      </c>
      <c r="J185" s="541">
        <f t="shared" si="63"/>
        <v>5604794.1875015171</v>
      </c>
      <c r="K185" s="541">
        <f t="shared" si="63"/>
        <v>5739521.1556496844</v>
      </c>
      <c r="L185" s="541">
        <f t="shared" si="63"/>
        <v>5949338.300379321</v>
      </c>
      <c r="M185" s="541">
        <f t="shared" si="63"/>
        <v>6112587.9540168848</v>
      </c>
      <c r="N185" s="541">
        <f t="shared" si="63"/>
        <v>6352452.1209834563</v>
      </c>
      <c r="O185" s="541">
        <f t="shared" si="63"/>
        <v>6487026.6779666534</v>
      </c>
      <c r="P185" s="541">
        <f t="shared" si="63"/>
        <v>6664193.0209238222</v>
      </c>
      <c r="Q185" s="541">
        <f t="shared" si="63"/>
        <v>6841446.5154515598</v>
      </c>
      <c r="R185" s="541">
        <f t="shared" si="63"/>
        <v>7018775.9950561654</v>
      </c>
      <c r="S185" s="541">
        <f t="shared" si="63"/>
        <v>7283143.208429371</v>
      </c>
      <c r="T185" s="541">
        <f t="shared" si="63"/>
        <v>7460457.0843200721</v>
      </c>
      <c r="U185" s="541">
        <f t="shared" si="63"/>
        <v>7637848.0590065205</v>
      </c>
      <c r="V185" s="541">
        <f t="shared" si="63"/>
        <v>7815319.8879323518</v>
      </c>
      <c r="W185" s="541">
        <f t="shared" si="63"/>
        <v>7992874.0057784552</v>
      </c>
      <c r="X185" s="541">
        <f t="shared" si="63"/>
        <v>8257423.2238607723</v>
      </c>
      <c r="Y185" s="541">
        <f t="shared" si="63"/>
        <v>8434902.2657836601</v>
      </c>
      <c r="Z185" s="541">
        <f t="shared" si="63"/>
        <v>8612456.7389194295</v>
      </c>
      <c r="AA185" s="541">
        <f t="shared" si="63"/>
        <v>8790010.8184412364</v>
      </c>
      <c r="AB185" s="541">
        <f t="shared" si="63"/>
        <v>8967721.4025922902</v>
      </c>
      <c r="AC185" s="541">
        <f t="shared" si="63"/>
        <v>9232255.2492355183</v>
      </c>
      <c r="AD185" s="541">
        <f t="shared" si="63"/>
        <v>9409897.0888931341</v>
      </c>
      <c r="AE185" s="541">
        <f t="shared" si="63"/>
        <v>9587656.8140215687</v>
      </c>
      <c r="AF185" s="541">
        <f t="shared" si="63"/>
        <v>9765257.8291793559</v>
      </c>
      <c r="AG185" s="541">
        <f t="shared" si="63"/>
        <v>9942830.2113920432</v>
      </c>
      <c r="AH185" s="423"/>
      <c r="AI185" s="423"/>
    </row>
    <row r="186" spans="1:35" hidden="1" x14ac:dyDescent="0.25">
      <c r="A186" s="449"/>
      <c r="B186" s="449"/>
      <c r="C186" s="449"/>
      <c r="D186" s="449"/>
      <c r="E186" s="450"/>
      <c r="F186" s="450"/>
      <c r="G186" s="450"/>
      <c r="H186" s="450"/>
      <c r="I186" s="450"/>
      <c r="J186" s="450"/>
      <c r="K186" s="450"/>
      <c r="L186" s="450"/>
      <c r="M186" s="450"/>
      <c r="N186" s="450"/>
      <c r="O186" s="450"/>
      <c r="P186" s="450"/>
      <c r="Q186" s="450"/>
      <c r="R186" s="450"/>
      <c r="S186" s="450"/>
      <c r="T186" s="450"/>
      <c r="U186" s="450"/>
      <c r="V186" s="450"/>
      <c r="W186" s="450"/>
      <c r="X186" s="450"/>
      <c r="Y186" s="450"/>
      <c r="Z186" s="450"/>
      <c r="AA186" s="450"/>
      <c r="AB186" s="450"/>
      <c r="AC186" s="450"/>
      <c r="AD186" s="450"/>
      <c r="AE186" s="450"/>
      <c r="AF186" s="450"/>
      <c r="AG186" s="450"/>
      <c r="AH186" s="423"/>
      <c r="AI186" s="423"/>
    </row>
    <row r="187" spans="1:35" hidden="1" x14ac:dyDescent="0.25">
      <c r="A187" s="449"/>
      <c r="B187" s="449"/>
      <c r="C187" s="449"/>
      <c r="D187" s="449"/>
      <c r="E187" s="450"/>
      <c r="F187" s="450"/>
      <c r="G187" s="450"/>
      <c r="H187" s="450"/>
      <c r="I187" s="450"/>
      <c r="J187" s="450"/>
      <c r="K187" s="450"/>
      <c r="L187" s="450"/>
      <c r="M187" s="450"/>
      <c r="N187" s="450"/>
      <c r="O187" s="450"/>
      <c r="P187" s="450"/>
      <c r="Q187" s="450"/>
      <c r="R187" s="450"/>
      <c r="S187" s="450"/>
      <c r="T187" s="450"/>
      <c r="U187" s="450"/>
      <c r="V187" s="450"/>
      <c r="W187" s="450"/>
      <c r="X187" s="450"/>
      <c r="Y187" s="450"/>
      <c r="Z187" s="450"/>
      <c r="AA187" s="450"/>
      <c r="AB187" s="450"/>
      <c r="AC187" s="450"/>
      <c r="AD187" s="450"/>
      <c r="AE187" s="450"/>
      <c r="AF187" s="450"/>
      <c r="AG187" s="450"/>
      <c r="AH187" s="423"/>
      <c r="AI187" s="423"/>
    </row>
    <row r="188" spans="1:35" hidden="1" x14ac:dyDescent="0.25">
      <c r="A188" s="449"/>
      <c r="B188" s="539" t="s">
        <v>53</v>
      </c>
      <c r="C188" s="449"/>
      <c r="D188" s="449"/>
      <c r="E188" s="450"/>
      <c r="F188" s="450"/>
      <c r="G188" s="450"/>
      <c r="H188" s="450"/>
      <c r="I188" s="450"/>
      <c r="J188" s="450"/>
      <c r="K188" s="450"/>
      <c r="L188" s="450"/>
      <c r="M188" s="450"/>
      <c r="N188" s="450"/>
      <c r="O188" s="450"/>
      <c r="P188" s="450"/>
      <c r="Q188" s="450"/>
      <c r="R188" s="450"/>
      <c r="S188" s="450"/>
      <c r="T188" s="450"/>
      <c r="U188" s="450"/>
      <c r="V188" s="450"/>
      <c r="W188" s="450"/>
      <c r="X188" s="450"/>
      <c r="Y188" s="450"/>
      <c r="Z188" s="450"/>
      <c r="AA188" s="450"/>
      <c r="AB188" s="450"/>
      <c r="AC188" s="450"/>
      <c r="AD188" s="450"/>
      <c r="AE188" s="450"/>
      <c r="AF188" s="450"/>
      <c r="AG188" s="450"/>
      <c r="AH188" s="423"/>
      <c r="AI188" s="423"/>
    </row>
    <row r="189" spans="1:35" hidden="1" x14ac:dyDescent="0.25">
      <c r="A189" s="449"/>
      <c r="B189" s="449" t="s">
        <v>80</v>
      </c>
      <c r="C189" s="450" t="s">
        <v>81</v>
      </c>
      <c r="D189" s="449"/>
      <c r="E189" s="450">
        <v>2017</v>
      </c>
      <c r="F189" s="450">
        <v>2018</v>
      </c>
      <c r="G189" s="450">
        <v>2019</v>
      </c>
      <c r="H189" s="450">
        <v>2020</v>
      </c>
      <c r="I189" s="450">
        <v>2021</v>
      </c>
      <c r="J189" s="450">
        <v>2022</v>
      </c>
      <c r="K189" s="450">
        <v>2023</v>
      </c>
      <c r="L189" s="450">
        <v>2024</v>
      </c>
      <c r="M189" s="450">
        <v>2025</v>
      </c>
      <c r="N189" s="450">
        <v>2026</v>
      </c>
      <c r="O189" s="450">
        <v>2027</v>
      </c>
      <c r="P189" s="450">
        <v>2028</v>
      </c>
      <c r="Q189" s="450">
        <v>2029</v>
      </c>
      <c r="R189" s="450">
        <v>2030</v>
      </c>
      <c r="S189" s="450">
        <v>2031</v>
      </c>
      <c r="T189" s="450">
        <v>2032</v>
      </c>
      <c r="U189" s="450">
        <v>2033</v>
      </c>
      <c r="V189" s="450">
        <v>2034</v>
      </c>
      <c r="W189" s="450">
        <v>2035</v>
      </c>
      <c r="X189" s="450">
        <v>2036</v>
      </c>
      <c r="Y189" s="450">
        <v>2037</v>
      </c>
      <c r="Z189" s="450">
        <v>2038</v>
      </c>
      <c r="AA189" s="450">
        <v>2039</v>
      </c>
      <c r="AB189" s="450">
        <v>2040</v>
      </c>
      <c r="AC189" s="450">
        <v>2041</v>
      </c>
      <c r="AD189" s="450">
        <v>2042</v>
      </c>
      <c r="AE189" s="450">
        <v>2043</v>
      </c>
      <c r="AF189" s="450">
        <v>2044</v>
      </c>
      <c r="AG189" s="450">
        <v>2045</v>
      </c>
      <c r="AH189" s="423"/>
      <c r="AI189" s="423"/>
    </row>
    <row r="190" spans="1:35" hidden="1" x14ac:dyDescent="0.25">
      <c r="A190" s="451">
        <v>1</v>
      </c>
      <c r="B190" s="449" t="s">
        <v>82</v>
      </c>
      <c r="C190" s="540">
        <v>0</v>
      </c>
      <c r="D190" s="449"/>
      <c r="E190" s="541">
        <f t="shared" ref="E190:E200" si="64">$C190*E$14</f>
        <v>0</v>
      </c>
      <c r="F190" s="541">
        <f t="shared" ref="F190:AG199" si="65">$C190*F$14</f>
        <v>0</v>
      </c>
      <c r="G190" s="541">
        <f t="shared" si="65"/>
        <v>0</v>
      </c>
      <c r="H190" s="541">
        <f t="shared" si="65"/>
        <v>0</v>
      </c>
      <c r="I190" s="541">
        <f t="shared" si="65"/>
        <v>0</v>
      </c>
      <c r="J190" s="541">
        <f t="shared" si="65"/>
        <v>0</v>
      </c>
      <c r="K190" s="541">
        <f t="shared" si="65"/>
        <v>0</v>
      </c>
      <c r="L190" s="541">
        <f t="shared" si="65"/>
        <v>0</v>
      </c>
      <c r="M190" s="541">
        <f t="shared" si="65"/>
        <v>0</v>
      </c>
      <c r="N190" s="541">
        <f t="shared" si="65"/>
        <v>0</v>
      </c>
      <c r="O190" s="541">
        <f t="shared" si="65"/>
        <v>0</v>
      </c>
      <c r="P190" s="541">
        <f t="shared" si="65"/>
        <v>0</v>
      </c>
      <c r="Q190" s="541">
        <f t="shared" si="65"/>
        <v>0</v>
      </c>
      <c r="R190" s="541">
        <f t="shared" si="65"/>
        <v>0</v>
      </c>
      <c r="S190" s="541">
        <f t="shared" si="65"/>
        <v>0</v>
      </c>
      <c r="T190" s="541">
        <f t="shared" si="65"/>
        <v>0</v>
      </c>
      <c r="U190" s="541">
        <f t="shared" si="65"/>
        <v>0</v>
      </c>
      <c r="V190" s="541">
        <f t="shared" si="65"/>
        <v>0</v>
      </c>
      <c r="W190" s="541">
        <f t="shared" si="65"/>
        <v>0</v>
      </c>
      <c r="X190" s="541">
        <f t="shared" si="65"/>
        <v>0</v>
      </c>
      <c r="Y190" s="541">
        <f t="shared" si="65"/>
        <v>0</v>
      </c>
      <c r="Z190" s="541">
        <f t="shared" si="65"/>
        <v>0</v>
      </c>
      <c r="AA190" s="541">
        <f t="shared" si="65"/>
        <v>0</v>
      </c>
      <c r="AB190" s="541">
        <f t="shared" si="65"/>
        <v>0</v>
      </c>
      <c r="AC190" s="541">
        <f t="shared" si="65"/>
        <v>0</v>
      </c>
      <c r="AD190" s="541">
        <f t="shared" si="65"/>
        <v>0</v>
      </c>
      <c r="AE190" s="541">
        <f t="shared" si="65"/>
        <v>0</v>
      </c>
      <c r="AF190" s="541">
        <f t="shared" si="65"/>
        <v>0</v>
      </c>
      <c r="AG190" s="541">
        <f t="shared" si="65"/>
        <v>0</v>
      </c>
      <c r="AH190" s="423"/>
      <c r="AI190" s="423"/>
    </row>
    <row r="191" spans="1:35" hidden="1" x14ac:dyDescent="0.25">
      <c r="A191" s="451">
        <v>2</v>
      </c>
      <c r="B191" s="449" t="s">
        <v>83</v>
      </c>
      <c r="C191" s="540">
        <v>0</v>
      </c>
      <c r="D191" s="449"/>
      <c r="E191" s="541">
        <f t="shared" si="64"/>
        <v>0</v>
      </c>
      <c r="F191" s="541">
        <f t="shared" ref="F191:T191" si="66">$C191*F$14</f>
        <v>0</v>
      </c>
      <c r="G191" s="541">
        <f t="shared" si="66"/>
        <v>0</v>
      </c>
      <c r="H191" s="541">
        <f t="shared" si="66"/>
        <v>0</v>
      </c>
      <c r="I191" s="541">
        <f t="shared" si="66"/>
        <v>0</v>
      </c>
      <c r="J191" s="541">
        <f t="shared" si="66"/>
        <v>0</v>
      </c>
      <c r="K191" s="541">
        <f t="shared" si="66"/>
        <v>0</v>
      </c>
      <c r="L191" s="541">
        <f t="shared" si="66"/>
        <v>0</v>
      </c>
      <c r="M191" s="541">
        <f t="shared" si="66"/>
        <v>0</v>
      </c>
      <c r="N191" s="541">
        <f t="shared" si="66"/>
        <v>0</v>
      </c>
      <c r="O191" s="541">
        <f t="shared" si="66"/>
        <v>0</v>
      </c>
      <c r="P191" s="541">
        <f t="shared" si="66"/>
        <v>0</v>
      </c>
      <c r="Q191" s="541">
        <f t="shared" si="66"/>
        <v>0</v>
      </c>
      <c r="R191" s="541">
        <f t="shared" si="66"/>
        <v>0</v>
      </c>
      <c r="S191" s="541">
        <f t="shared" si="66"/>
        <v>0</v>
      </c>
      <c r="T191" s="541">
        <f t="shared" si="66"/>
        <v>0</v>
      </c>
      <c r="U191" s="541">
        <f t="shared" si="65"/>
        <v>0</v>
      </c>
      <c r="V191" s="541">
        <f t="shared" si="65"/>
        <v>0</v>
      </c>
      <c r="W191" s="541">
        <f t="shared" si="65"/>
        <v>0</v>
      </c>
      <c r="X191" s="541">
        <f t="shared" si="65"/>
        <v>0</v>
      </c>
      <c r="Y191" s="541">
        <f t="shared" si="65"/>
        <v>0</v>
      </c>
      <c r="Z191" s="541">
        <f t="shared" si="65"/>
        <v>0</v>
      </c>
      <c r="AA191" s="541">
        <f t="shared" si="65"/>
        <v>0</v>
      </c>
      <c r="AB191" s="541">
        <f t="shared" si="65"/>
        <v>0</v>
      </c>
      <c r="AC191" s="541">
        <f t="shared" si="65"/>
        <v>0</v>
      </c>
      <c r="AD191" s="541">
        <f t="shared" si="65"/>
        <v>0</v>
      </c>
      <c r="AE191" s="541">
        <f t="shared" si="65"/>
        <v>0</v>
      </c>
      <c r="AF191" s="541">
        <f t="shared" si="65"/>
        <v>0</v>
      </c>
      <c r="AG191" s="541">
        <f t="shared" si="65"/>
        <v>0</v>
      </c>
      <c r="AH191" s="423"/>
      <c r="AI191" s="423"/>
    </row>
    <row r="192" spans="1:35" hidden="1" x14ac:dyDescent="0.25">
      <c r="A192" s="451">
        <v>3</v>
      </c>
      <c r="B192" s="449" t="s">
        <v>84</v>
      </c>
      <c r="C192" s="540">
        <v>0</v>
      </c>
      <c r="D192" s="449"/>
      <c r="E192" s="541">
        <f t="shared" si="64"/>
        <v>0</v>
      </c>
      <c r="F192" s="541">
        <f t="shared" si="65"/>
        <v>0</v>
      </c>
      <c r="G192" s="541">
        <f t="shared" si="65"/>
        <v>0</v>
      </c>
      <c r="H192" s="541">
        <f t="shared" si="65"/>
        <v>0</v>
      </c>
      <c r="I192" s="541">
        <f t="shared" si="65"/>
        <v>0</v>
      </c>
      <c r="J192" s="541">
        <f t="shared" si="65"/>
        <v>0</v>
      </c>
      <c r="K192" s="541">
        <f t="shared" si="65"/>
        <v>0</v>
      </c>
      <c r="L192" s="541">
        <f t="shared" si="65"/>
        <v>0</v>
      </c>
      <c r="M192" s="541">
        <f t="shared" si="65"/>
        <v>0</v>
      </c>
      <c r="N192" s="541">
        <f t="shared" si="65"/>
        <v>0</v>
      </c>
      <c r="O192" s="541">
        <f t="shared" si="65"/>
        <v>0</v>
      </c>
      <c r="P192" s="541">
        <f t="shared" si="65"/>
        <v>0</v>
      </c>
      <c r="Q192" s="541">
        <f t="shared" si="65"/>
        <v>0</v>
      </c>
      <c r="R192" s="541">
        <f t="shared" si="65"/>
        <v>0</v>
      </c>
      <c r="S192" s="541">
        <f t="shared" si="65"/>
        <v>0</v>
      </c>
      <c r="T192" s="541">
        <f t="shared" si="65"/>
        <v>0</v>
      </c>
      <c r="U192" s="541">
        <f t="shared" si="65"/>
        <v>0</v>
      </c>
      <c r="V192" s="541">
        <f t="shared" si="65"/>
        <v>0</v>
      </c>
      <c r="W192" s="541">
        <f t="shared" si="65"/>
        <v>0</v>
      </c>
      <c r="X192" s="541">
        <f t="shared" si="65"/>
        <v>0</v>
      </c>
      <c r="Y192" s="541">
        <f t="shared" si="65"/>
        <v>0</v>
      </c>
      <c r="Z192" s="541">
        <f t="shared" si="65"/>
        <v>0</v>
      </c>
      <c r="AA192" s="541">
        <f t="shared" si="65"/>
        <v>0</v>
      </c>
      <c r="AB192" s="541">
        <f t="shared" si="65"/>
        <v>0</v>
      </c>
      <c r="AC192" s="541">
        <f t="shared" si="65"/>
        <v>0</v>
      </c>
      <c r="AD192" s="541">
        <f t="shared" si="65"/>
        <v>0</v>
      </c>
      <c r="AE192" s="541">
        <f t="shared" si="65"/>
        <v>0</v>
      </c>
      <c r="AF192" s="541">
        <f t="shared" si="65"/>
        <v>0</v>
      </c>
      <c r="AG192" s="541">
        <f t="shared" si="65"/>
        <v>0</v>
      </c>
      <c r="AH192" s="423"/>
      <c r="AI192" s="423"/>
    </row>
    <row r="193" spans="1:35" hidden="1" x14ac:dyDescent="0.25">
      <c r="A193" s="451">
        <v>4</v>
      </c>
      <c r="B193" s="449" t="s">
        <v>85</v>
      </c>
      <c r="C193" s="540">
        <v>0</v>
      </c>
      <c r="D193" s="449"/>
      <c r="E193" s="541">
        <f t="shared" si="64"/>
        <v>0</v>
      </c>
      <c r="F193" s="541">
        <f t="shared" si="65"/>
        <v>0</v>
      </c>
      <c r="G193" s="541">
        <f t="shared" si="65"/>
        <v>0</v>
      </c>
      <c r="H193" s="541">
        <f t="shared" si="65"/>
        <v>0</v>
      </c>
      <c r="I193" s="541">
        <f t="shared" si="65"/>
        <v>0</v>
      </c>
      <c r="J193" s="541">
        <f t="shared" si="65"/>
        <v>0</v>
      </c>
      <c r="K193" s="541">
        <f t="shared" si="65"/>
        <v>0</v>
      </c>
      <c r="L193" s="541">
        <f t="shared" si="65"/>
        <v>0</v>
      </c>
      <c r="M193" s="541">
        <f t="shared" si="65"/>
        <v>0</v>
      </c>
      <c r="N193" s="541">
        <f t="shared" si="65"/>
        <v>0</v>
      </c>
      <c r="O193" s="541">
        <f t="shared" si="65"/>
        <v>0</v>
      </c>
      <c r="P193" s="541">
        <f t="shared" si="65"/>
        <v>0</v>
      </c>
      <c r="Q193" s="541">
        <f t="shared" si="65"/>
        <v>0</v>
      </c>
      <c r="R193" s="541">
        <f t="shared" si="65"/>
        <v>0</v>
      </c>
      <c r="S193" s="541">
        <f t="shared" si="65"/>
        <v>0</v>
      </c>
      <c r="T193" s="541">
        <f t="shared" si="65"/>
        <v>0</v>
      </c>
      <c r="U193" s="541">
        <f t="shared" si="65"/>
        <v>0</v>
      </c>
      <c r="V193" s="541">
        <f t="shared" si="65"/>
        <v>0</v>
      </c>
      <c r="W193" s="541">
        <f t="shared" si="65"/>
        <v>0</v>
      </c>
      <c r="X193" s="541">
        <f t="shared" si="65"/>
        <v>0</v>
      </c>
      <c r="Y193" s="541">
        <f t="shared" si="65"/>
        <v>0</v>
      </c>
      <c r="Z193" s="541">
        <f t="shared" si="65"/>
        <v>0</v>
      </c>
      <c r="AA193" s="541">
        <f t="shared" si="65"/>
        <v>0</v>
      </c>
      <c r="AB193" s="541">
        <f t="shared" si="65"/>
        <v>0</v>
      </c>
      <c r="AC193" s="541">
        <f t="shared" si="65"/>
        <v>0</v>
      </c>
      <c r="AD193" s="541">
        <f t="shared" si="65"/>
        <v>0</v>
      </c>
      <c r="AE193" s="541">
        <f t="shared" si="65"/>
        <v>0</v>
      </c>
      <c r="AF193" s="541">
        <f t="shared" si="65"/>
        <v>0</v>
      </c>
      <c r="AG193" s="541">
        <f t="shared" si="65"/>
        <v>0</v>
      </c>
      <c r="AH193" s="423"/>
      <c r="AI193" s="423"/>
    </row>
    <row r="194" spans="1:35" hidden="1" x14ac:dyDescent="0.25">
      <c r="A194" s="451">
        <v>5</v>
      </c>
      <c r="B194" s="449" t="s">
        <v>86</v>
      </c>
      <c r="C194" s="540">
        <v>0.89299181783060766</v>
      </c>
      <c r="D194" s="449"/>
      <c r="E194" s="541">
        <f t="shared" si="64"/>
        <v>408449.9300673175</v>
      </c>
      <c r="F194" s="541">
        <f t="shared" si="65"/>
        <v>416618.9286686639</v>
      </c>
      <c r="G194" s="541">
        <f t="shared" si="65"/>
        <v>424951.3072420372</v>
      </c>
      <c r="H194" s="541">
        <f t="shared" si="65"/>
        <v>433450.33338687796</v>
      </c>
      <c r="I194" s="541">
        <f t="shared" si="65"/>
        <v>442119.34005461546</v>
      </c>
      <c r="J194" s="541">
        <f t="shared" si="65"/>
        <v>450961.72685570776</v>
      </c>
      <c r="K194" s="541">
        <f t="shared" si="65"/>
        <v>459980.96139282198</v>
      </c>
      <c r="L194" s="541">
        <f t="shared" si="65"/>
        <v>469180.58062067837</v>
      </c>
      <c r="M194" s="541">
        <f t="shared" si="65"/>
        <v>478564.19223309198</v>
      </c>
      <c r="N194" s="541">
        <f t="shared" si="65"/>
        <v>488135.47607775382</v>
      </c>
      <c r="O194" s="541">
        <f t="shared" si="65"/>
        <v>497898.18559930887</v>
      </c>
      <c r="P194" s="541">
        <f t="shared" si="65"/>
        <v>507856.14931129501</v>
      </c>
      <c r="Q194" s="541">
        <f t="shared" si="65"/>
        <v>518013.27229752089</v>
      </c>
      <c r="R194" s="541">
        <f t="shared" si="65"/>
        <v>528373.53774347133</v>
      </c>
      <c r="S194" s="541">
        <f t="shared" si="65"/>
        <v>538941.00849834085</v>
      </c>
      <c r="T194" s="541">
        <f t="shared" si="65"/>
        <v>549719.82866830763</v>
      </c>
      <c r="U194" s="541">
        <f t="shared" si="65"/>
        <v>560714.22524167376</v>
      </c>
      <c r="V194" s="541">
        <f t="shared" si="65"/>
        <v>571928.50974650716</v>
      </c>
      <c r="W194" s="541">
        <f t="shared" si="65"/>
        <v>583367.07994143735</v>
      </c>
      <c r="X194" s="541">
        <f t="shared" si="65"/>
        <v>595034.42154026614</v>
      </c>
      <c r="Y194" s="541">
        <f t="shared" si="65"/>
        <v>606935.10997107148</v>
      </c>
      <c r="Z194" s="541">
        <f t="shared" si="65"/>
        <v>619073.81217049295</v>
      </c>
      <c r="AA194" s="541">
        <f t="shared" si="65"/>
        <v>631455.28841390274</v>
      </c>
      <c r="AB194" s="541">
        <f t="shared" si="65"/>
        <v>644084.39418218087</v>
      </c>
      <c r="AC194" s="541">
        <f t="shared" si="65"/>
        <v>656966.08206582454</v>
      </c>
      <c r="AD194" s="541">
        <f t="shared" si="65"/>
        <v>670105.40370714106</v>
      </c>
      <c r="AE194" s="541">
        <f t="shared" si="65"/>
        <v>683507.51178128389</v>
      </c>
      <c r="AF194" s="541">
        <f t="shared" si="65"/>
        <v>697177.66201690957</v>
      </c>
      <c r="AG194" s="541">
        <f t="shared" si="65"/>
        <v>711121.21525724791</v>
      </c>
      <c r="AH194" s="423"/>
      <c r="AI194" s="423"/>
    </row>
    <row r="195" spans="1:35" hidden="1" x14ac:dyDescent="0.25">
      <c r="A195" s="451">
        <v>6</v>
      </c>
      <c r="B195" s="449" t="s">
        <v>87</v>
      </c>
      <c r="C195" s="540">
        <v>0</v>
      </c>
      <c r="D195" s="449"/>
      <c r="E195" s="541">
        <f t="shared" si="64"/>
        <v>0</v>
      </c>
      <c r="F195" s="541">
        <f t="shared" si="65"/>
        <v>0</v>
      </c>
      <c r="G195" s="541">
        <f t="shared" si="65"/>
        <v>0</v>
      </c>
      <c r="H195" s="541">
        <f t="shared" si="65"/>
        <v>0</v>
      </c>
      <c r="I195" s="541">
        <f t="shared" si="65"/>
        <v>0</v>
      </c>
      <c r="J195" s="541">
        <f t="shared" si="65"/>
        <v>0</v>
      </c>
      <c r="K195" s="541">
        <f t="shared" si="65"/>
        <v>0</v>
      </c>
      <c r="L195" s="541">
        <f t="shared" si="65"/>
        <v>0</v>
      </c>
      <c r="M195" s="541">
        <f t="shared" si="65"/>
        <v>0</v>
      </c>
      <c r="N195" s="541">
        <f t="shared" si="65"/>
        <v>0</v>
      </c>
      <c r="O195" s="541">
        <f t="shared" si="65"/>
        <v>0</v>
      </c>
      <c r="P195" s="541">
        <f t="shared" si="65"/>
        <v>0</v>
      </c>
      <c r="Q195" s="541">
        <f t="shared" si="65"/>
        <v>0</v>
      </c>
      <c r="R195" s="541">
        <f t="shared" si="65"/>
        <v>0</v>
      </c>
      <c r="S195" s="541">
        <f t="shared" si="65"/>
        <v>0</v>
      </c>
      <c r="T195" s="541">
        <f t="shared" si="65"/>
        <v>0</v>
      </c>
      <c r="U195" s="541">
        <f t="shared" si="65"/>
        <v>0</v>
      </c>
      <c r="V195" s="541">
        <f t="shared" si="65"/>
        <v>0</v>
      </c>
      <c r="W195" s="541">
        <f t="shared" si="65"/>
        <v>0</v>
      </c>
      <c r="X195" s="541">
        <f t="shared" si="65"/>
        <v>0</v>
      </c>
      <c r="Y195" s="541">
        <f t="shared" si="65"/>
        <v>0</v>
      </c>
      <c r="Z195" s="541">
        <f t="shared" si="65"/>
        <v>0</v>
      </c>
      <c r="AA195" s="541">
        <f t="shared" si="65"/>
        <v>0</v>
      </c>
      <c r="AB195" s="541">
        <f t="shared" si="65"/>
        <v>0</v>
      </c>
      <c r="AC195" s="541">
        <f t="shared" si="65"/>
        <v>0</v>
      </c>
      <c r="AD195" s="541">
        <f t="shared" si="65"/>
        <v>0</v>
      </c>
      <c r="AE195" s="541">
        <f t="shared" si="65"/>
        <v>0</v>
      </c>
      <c r="AF195" s="541">
        <f t="shared" si="65"/>
        <v>0</v>
      </c>
      <c r="AG195" s="541">
        <f t="shared" si="65"/>
        <v>0</v>
      </c>
      <c r="AH195" s="423"/>
      <c r="AI195" s="423"/>
    </row>
    <row r="196" spans="1:35" hidden="1" x14ac:dyDescent="0.25">
      <c r="A196" s="451">
        <v>7</v>
      </c>
      <c r="B196" s="449" t="s">
        <v>88</v>
      </c>
      <c r="C196" s="540">
        <v>0</v>
      </c>
      <c r="D196" s="449"/>
      <c r="E196" s="541">
        <f t="shared" si="64"/>
        <v>0</v>
      </c>
      <c r="F196" s="541">
        <f t="shared" si="65"/>
        <v>0</v>
      </c>
      <c r="G196" s="541">
        <f t="shared" si="65"/>
        <v>0</v>
      </c>
      <c r="H196" s="541">
        <f t="shared" si="65"/>
        <v>0</v>
      </c>
      <c r="I196" s="541">
        <f t="shared" si="65"/>
        <v>0</v>
      </c>
      <c r="J196" s="541">
        <f t="shared" si="65"/>
        <v>0</v>
      </c>
      <c r="K196" s="541">
        <f t="shared" si="65"/>
        <v>0</v>
      </c>
      <c r="L196" s="541">
        <f t="shared" si="65"/>
        <v>0</v>
      </c>
      <c r="M196" s="541">
        <f t="shared" si="65"/>
        <v>0</v>
      </c>
      <c r="N196" s="541">
        <f t="shared" si="65"/>
        <v>0</v>
      </c>
      <c r="O196" s="541">
        <f t="shared" si="65"/>
        <v>0</v>
      </c>
      <c r="P196" s="541">
        <f t="shared" si="65"/>
        <v>0</v>
      </c>
      <c r="Q196" s="541">
        <f t="shared" si="65"/>
        <v>0</v>
      </c>
      <c r="R196" s="541">
        <f t="shared" si="65"/>
        <v>0</v>
      </c>
      <c r="S196" s="541">
        <f t="shared" si="65"/>
        <v>0</v>
      </c>
      <c r="T196" s="541">
        <f t="shared" si="65"/>
        <v>0</v>
      </c>
      <c r="U196" s="541">
        <f t="shared" si="65"/>
        <v>0</v>
      </c>
      <c r="V196" s="541">
        <f t="shared" si="65"/>
        <v>0</v>
      </c>
      <c r="W196" s="541">
        <f t="shared" si="65"/>
        <v>0</v>
      </c>
      <c r="X196" s="541">
        <f t="shared" si="65"/>
        <v>0</v>
      </c>
      <c r="Y196" s="541">
        <f t="shared" si="65"/>
        <v>0</v>
      </c>
      <c r="Z196" s="541">
        <f t="shared" si="65"/>
        <v>0</v>
      </c>
      <c r="AA196" s="541">
        <f t="shared" si="65"/>
        <v>0</v>
      </c>
      <c r="AB196" s="541">
        <f t="shared" si="65"/>
        <v>0</v>
      </c>
      <c r="AC196" s="541">
        <f t="shared" si="65"/>
        <v>0</v>
      </c>
      <c r="AD196" s="541">
        <f t="shared" si="65"/>
        <v>0</v>
      </c>
      <c r="AE196" s="541">
        <f t="shared" si="65"/>
        <v>0</v>
      </c>
      <c r="AF196" s="541">
        <f t="shared" si="65"/>
        <v>0</v>
      </c>
      <c r="AG196" s="541">
        <f t="shared" si="65"/>
        <v>0</v>
      </c>
      <c r="AH196" s="423"/>
      <c r="AI196" s="423"/>
    </row>
    <row r="197" spans="1:35" hidden="1" x14ac:dyDescent="0.25">
      <c r="A197" s="451">
        <v>8</v>
      </c>
      <c r="B197" s="449" t="s">
        <v>89</v>
      </c>
      <c r="C197" s="540">
        <v>0</v>
      </c>
      <c r="D197" s="449"/>
      <c r="E197" s="541">
        <f t="shared" si="64"/>
        <v>0</v>
      </c>
      <c r="F197" s="541">
        <f t="shared" si="65"/>
        <v>0</v>
      </c>
      <c r="G197" s="541">
        <f t="shared" si="65"/>
        <v>0</v>
      </c>
      <c r="H197" s="541">
        <f t="shared" si="65"/>
        <v>0</v>
      </c>
      <c r="I197" s="541">
        <f t="shared" si="65"/>
        <v>0</v>
      </c>
      <c r="J197" s="541">
        <f t="shared" si="65"/>
        <v>0</v>
      </c>
      <c r="K197" s="541">
        <f t="shared" si="65"/>
        <v>0</v>
      </c>
      <c r="L197" s="541">
        <f t="shared" si="65"/>
        <v>0</v>
      </c>
      <c r="M197" s="541">
        <f t="shared" si="65"/>
        <v>0</v>
      </c>
      <c r="N197" s="541">
        <f t="shared" si="65"/>
        <v>0</v>
      </c>
      <c r="O197" s="541">
        <f t="shared" si="65"/>
        <v>0</v>
      </c>
      <c r="P197" s="541">
        <f t="shared" si="65"/>
        <v>0</v>
      </c>
      <c r="Q197" s="541">
        <f t="shared" si="65"/>
        <v>0</v>
      </c>
      <c r="R197" s="541">
        <f t="shared" si="65"/>
        <v>0</v>
      </c>
      <c r="S197" s="541">
        <f t="shared" si="65"/>
        <v>0</v>
      </c>
      <c r="T197" s="541">
        <f t="shared" si="65"/>
        <v>0</v>
      </c>
      <c r="U197" s="541">
        <f t="shared" si="65"/>
        <v>0</v>
      </c>
      <c r="V197" s="541">
        <f t="shared" si="65"/>
        <v>0</v>
      </c>
      <c r="W197" s="541">
        <f t="shared" si="65"/>
        <v>0</v>
      </c>
      <c r="X197" s="541">
        <f t="shared" si="65"/>
        <v>0</v>
      </c>
      <c r="Y197" s="541">
        <f t="shared" si="65"/>
        <v>0</v>
      </c>
      <c r="Z197" s="541">
        <f t="shared" si="65"/>
        <v>0</v>
      </c>
      <c r="AA197" s="541">
        <f t="shared" si="65"/>
        <v>0</v>
      </c>
      <c r="AB197" s="541">
        <f t="shared" si="65"/>
        <v>0</v>
      </c>
      <c r="AC197" s="541">
        <f t="shared" si="65"/>
        <v>0</v>
      </c>
      <c r="AD197" s="541">
        <f t="shared" si="65"/>
        <v>0</v>
      </c>
      <c r="AE197" s="541">
        <f t="shared" si="65"/>
        <v>0</v>
      </c>
      <c r="AF197" s="541">
        <f t="shared" si="65"/>
        <v>0</v>
      </c>
      <c r="AG197" s="541">
        <f t="shared" si="65"/>
        <v>0</v>
      </c>
      <c r="AH197" s="423"/>
      <c r="AI197" s="423"/>
    </row>
    <row r="198" spans="1:35" hidden="1" x14ac:dyDescent="0.25">
      <c r="A198" s="451">
        <v>9</v>
      </c>
      <c r="B198" s="449" t="s">
        <v>90</v>
      </c>
      <c r="C198" s="540">
        <f>1-C194</f>
        <v>0.10700818216939234</v>
      </c>
      <c r="D198" s="449"/>
      <c r="E198" s="541">
        <f t="shared" si="64"/>
        <v>48944.999999999978</v>
      </c>
      <c r="F198" s="541">
        <f t="shared" si="65"/>
        <v>49923.89999999998</v>
      </c>
      <c r="G198" s="541">
        <f t="shared" si="65"/>
        <v>50922.377999999982</v>
      </c>
      <c r="H198" s="541">
        <f t="shared" si="65"/>
        <v>51940.825559999983</v>
      </c>
      <c r="I198" s="541">
        <f t="shared" si="65"/>
        <v>52979.642071199982</v>
      </c>
      <c r="J198" s="541">
        <f t="shared" si="65"/>
        <v>54039.234912623979</v>
      </c>
      <c r="K198" s="541">
        <f t="shared" si="65"/>
        <v>55120.019610876465</v>
      </c>
      <c r="L198" s="541">
        <f t="shared" si="65"/>
        <v>56222.42000309399</v>
      </c>
      <c r="M198" s="541">
        <f t="shared" si="65"/>
        <v>57346.868403155873</v>
      </c>
      <c r="N198" s="541">
        <f t="shared" si="65"/>
        <v>58493.805771218991</v>
      </c>
      <c r="O198" s="541">
        <f t="shared" si="65"/>
        <v>59663.681886643368</v>
      </c>
      <c r="P198" s="541">
        <f t="shared" si="65"/>
        <v>60856.955524376237</v>
      </c>
      <c r="Q198" s="541">
        <f t="shared" si="65"/>
        <v>62074.094634863759</v>
      </c>
      <c r="R198" s="541">
        <f t="shared" si="65"/>
        <v>63315.576527561032</v>
      </c>
      <c r="S198" s="541">
        <f t="shared" si="65"/>
        <v>64581.888058112258</v>
      </c>
      <c r="T198" s="541">
        <f t="shared" si="65"/>
        <v>65873.52581927451</v>
      </c>
      <c r="U198" s="541">
        <f t="shared" si="65"/>
        <v>67190.996335659991</v>
      </c>
      <c r="V198" s="541">
        <f t="shared" si="65"/>
        <v>68534.816262373191</v>
      </c>
      <c r="W198" s="541">
        <f t="shared" si="65"/>
        <v>69905.512587620658</v>
      </c>
      <c r="X198" s="541">
        <f t="shared" si="65"/>
        <v>71303.622839373071</v>
      </c>
      <c r="Y198" s="541">
        <f t="shared" si="65"/>
        <v>72729.695296160528</v>
      </c>
      <c r="Z198" s="541">
        <f t="shared" si="65"/>
        <v>74184.289202083746</v>
      </c>
      <c r="AA198" s="541">
        <f t="shared" si="65"/>
        <v>75667.974986125424</v>
      </c>
      <c r="AB198" s="541">
        <f t="shared" si="65"/>
        <v>77181.33448584794</v>
      </c>
      <c r="AC198" s="541">
        <f t="shared" si="65"/>
        <v>78724.961175564895</v>
      </c>
      <c r="AD198" s="541">
        <f t="shared" si="65"/>
        <v>80299.460399076197</v>
      </c>
      <c r="AE198" s="541">
        <f t="shared" si="65"/>
        <v>81905.44960705773</v>
      </c>
      <c r="AF198" s="541">
        <f t="shared" si="65"/>
        <v>83543.558599198892</v>
      </c>
      <c r="AG198" s="541">
        <f t="shared" si="65"/>
        <v>85214.429771182869</v>
      </c>
      <c r="AH198" s="423"/>
      <c r="AI198" s="423"/>
    </row>
    <row r="199" spans="1:35" hidden="1" x14ac:dyDescent="0.25">
      <c r="A199" s="451">
        <v>10</v>
      </c>
      <c r="B199" s="449" t="s">
        <v>91</v>
      </c>
      <c r="C199" s="540">
        <v>0</v>
      </c>
      <c r="D199" s="449"/>
      <c r="E199" s="541">
        <f t="shared" si="64"/>
        <v>0</v>
      </c>
      <c r="F199" s="541">
        <f t="shared" si="65"/>
        <v>0</v>
      </c>
      <c r="G199" s="541">
        <f t="shared" si="65"/>
        <v>0</v>
      </c>
      <c r="H199" s="541">
        <f t="shared" si="65"/>
        <v>0</v>
      </c>
      <c r="I199" s="541">
        <f t="shared" si="65"/>
        <v>0</v>
      </c>
      <c r="J199" s="541">
        <f t="shared" si="65"/>
        <v>0</v>
      </c>
      <c r="K199" s="541">
        <f t="shared" si="65"/>
        <v>0</v>
      </c>
      <c r="L199" s="541">
        <f t="shared" si="65"/>
        <v>0</v>
      </c>
      <c r="M199" s="541">
        <f t="shared" si="65"/>
        <v>0</v>
      </c>
      <c r="N199" s="541">
        <f t="shared" si="65"/>
        <v>0</v>
      </c>
      <c r="O199" s="541">
        <f t="shared" si="65"/>
        <v>0</v>
      </c>
      <c r="P199" s="541">
        <f t="shared" si="65"/>
        <v>0</v>
      </c>
      <c r="Q199" s="541">
        <f t="shared" si="65"/>
        <v>0</v>
      </c>
      <c r="R199" s="541">
        <f t="shared" si="65"/>
        <v>0</v>
      </c>
      <c r="S199" s="541">
        <f t="shared" si="65"/>
        <v>0</v>
      </c>
      <c r="T199" s="541">
        <f t="shared" si="65"/>
        <v>0</v>
      </c>
      <c r="U199" s="541">
        <f t="shared" si="65"/>
        <v>0</v>
      </c>
      <c r="V199" s="541">
        <f t="shared" si="65"/>
        <v>0</v>
      </c>
      <c r="W199" s="541">
        <f t="shared" si="65"/>
        <v>0</v>
      </c>
      <c r="X199" s="541">
        <f t="shared" ref="F199:AG200" si="67">$C199*X$14</f>
        <v>0</v>
      </c>
      <c r="Y199" s="541">
        <f t="shared" si="67"/>
        <v>0</v>
      </c>
      <c r="Z199" s="541">
        <f t="shared" si="67"/>
        <v>0</v>
      </c>
      <c r="AA199" s="541">
        <f t="shared" si="67"/>
        <v>0</v>
      </c>
      <c r="AB199" s="541">
        <f t="shared" si="67"/>
        <v>0</v>
      </c>
      <c r="AC199" s="541">
        <f t="shared" si="67"/>
        <v>0</v>
      </c>
      <c r="AD199" s="541">
        <f t="shared" si="67"/>
        <v>0</v>
      </c>
      <c r="AE199" s="541">
        <f t="shared" si="67"/>
        <v>0</v>
      </c>
      <c r="AF199" s="541">
        <f t="shared" si="67"/>
        <v>0</v>
      </c>
      <c r="AG199" s="541">
        <f t="shared" si="67"/>
        <v>0</v>
      </c>
      <c r="AH199" s="423"/>
      <c r="AI199" s="423"/>
    </row>
    <row r="200" spans="1:35" ht="15.75" hidden="1" customHeight="1" x14ac:dyDescent="0.25">
      <c r="A200" s="451">
        <v>11</v>
      </c>
      <c r="B200" s="449" t="s">
        <v>92</v>
      </c>
      <c r="C200" s="540">
        <v>0</v>
      </c>
      <c r="D200" s="449"/>
      <c r="E200" s="541">
        <f t="shared" si="64"/>
        <v>0</v>
      </c>
      <c r="F200" s="541">
        <f t="shared" si="67"/>
        <v>0</v>
      </c>
      <c r="G200" s="541">
        <f t="shared" si="67"/>
        <v>0</v>
      </c>
      <c r="H200" s="541">
        <f t="shared" si="67"/>
        <v>0</v>
      </c>
      <c r="I200" s="541">
        <f t="shared" si="67"/>
        <v>0</v>
      </c>
      <c r="J200" s="541">
        <f t="shared" si="67"/>
        <v>0</v>
      </c>
      <c r="K200" s="541">
        <f t="shared" si="67"/>
        <v>0</v>
      </c>
      <c r="L200" s="541">
        <f t="shared" si="67"/>
        <v>0</v>
      </c>
      <c r="M200" s="541">
        <f t="shared" si="67"/>
        <v>0</v>
      </c>
      <c r="N200" s="541">
        <f t="shared" si="67"/>
        <v>0</v>
      </c>
      <c r="O200" s="541">
        <f t="shared" si="67"/>
        <v>0</v>
      </c>
      <c r="P200" s="541">
        <f t="shared" si="67"/>
        <v>0</v>
      </c>
      <c r="Q200" s="541">
        <f t="shared" si="67"/>
        <v>0</v>
      </c>
      <c r="R200" s="541">
        <f t="shared" si="67"/>
        <v>0</v>
      </c>
      <c r="S200" s="541">
        <f t="shared" si="67"/>
        <v>0</v>
      </c>
      <c r="T200" s="541">
        <f t="shared" si="67"/>
        <v>0</v>
      </c>
      <c r="U200" s="541">
        <f t="shared" si="67"/>
        <v>0</v>
      </c>
      <c r="V200" s="541">
        <f t="shared" si="67"/>
        <v>0</v>
      </c>
      <c r="W200" s="541">
        <f t="shared" si="67"/>
        <v>0</v>
      </c>
      <c r="X200" s="541">
        <f t="shared" si="67"/>
        <v>0</v>
      </c>
      <c r="Y200" s="541">
        <f t="shared" si="67"/>
        <v>0</v>
      </c>
      <c r="Z200" s="541">
        <f t="shared" si="67"/>
        <v>0</v>
      </c>
      <c r="AA200" s="541">
        <f t="shared" si="67"/>
        <v>0</v>
      </c>
      <c r="AB200" s="541">
        <f t="shared" si="67"/>
        <v>0</v>
      </c>
      <c r="AC200" s="541">
        <f t="shared" si="67"/>
        <v>0</v>
      </c>
      <c r="AD200" s="541">
        <f t="shared" si="67"/>
        <v>0</v>
      </c>
      <c r="AE200" s="541">
        <f t="shared" si="67"/>
        <v>0</v>
      </c>
      <c r="AF200" s="541">
        <f t="shared" si="67"/>
        <v>0</v>
      </c>
      <c r="AG200" s="541">
        <f t="shared" si="67"/>
        <v>0</v>
      </c>
      <c r="AH200" s="423"/>
      <c r="AI200" s="423"/>
    </row>
    <row r="201" spans="1:35" hidden="1" x14ac:dyDescent="0.25">
      <c r="A201" s="449"/>
      <c r="B201" s="449" t="s">
        <v>67</v>
      </c>
      <c r="C201" s="451" t="s">
        <v>0</v>
      </c>
      <c r="D201" s="449"/>
      <c r="E201" s="541">
        <f t="shared" ref="E201:AG201" si="68">SUM(E190:E200)</f>
        <v>457394.9300673175</v>
      </c>
      <c r="F201" s="541">
        <f t="shared" si="68"/>
        <v>466542.82866866386</v>
      </c>
      <c r="G201" s="541">
        <f t="shared" si="68"/>
        <v>475873.68524203717</v>
      </c>
      <c r="H201" s="541">
        <f t="shared" si="68"/>
        <v>485391.15894687793</v>
      </c>
      <c r="I201" s="541">
        <f t="shared" si="68"/>
        <v>495098.98212581547</v>
      </c>
      <c r="J201" s="541">
        <f t="shared" si="68"/>
        <v>505000.96176833176</v>
      </c>
      <c r="K201" s="541">
        <f t="shared" si="68"/>
        <v>515100.98100369843</v>
      </c>
      <c r="L201" s="541">
        <f t="shared" si="68"/>
        <v>525403.00062377239</v>
      </c>
      <c r="M201" s="541">
        <f t="shared" si="68"/>
        <v>535911.06063624786</v>
      </c>
      <c r="N201" s="541">
        <f t="shared" si="68"/>
        <v>546629.28184897278</v>
      </c>
      <c r="O201" s="541">
        <f t="shared" si="68"/>
        <v>557561.86748595221</v>
      </c>
      <c r="P201" s="541">
        <f t="shared" si="68"/>
        <v>568713.10483567126</v>
      </c>
      <c r="Q201" s="541">
        <f t="shared" si="68"/>
        <v>580087.36693238467</v>
      </c>
      <c r="R201" s="541">
        <f t="shared" si="68"/>
        <v>591689.11427103239</v>
      </c>
      <c r="S201" s="541">
        <f t="shared" si="68"/>
        <v>603522.89655645308</v>
      </c>
      <c r="T201" s="541">
        <f t="shared" si="68"/>
        <v>615593.35448758211</v>
      </c>
      <c r="U201" s="541">
        <f t="shared" si="68"/>
        <v>627905.22157733375</v>
      </c>
      <c r="V201" s="541">
        <f t="shared" si="68"/>
        <v>640463.32600888039</v>
      </c>
      <c r="W201" s="541">
        <f t="shared" si="68"/>
        <v>653272.59252905799</v>
      </c>
      <c r="X201" s="541">
        <f t="shared" si="68"/>
        <v>666338.04437963921</v>
      </c>
      <c r="Y201" s="541">
        <f t="shared" si="68"/>
        <v>679664.805267232</v>
      </c>
      <c r="Z201" s="541">
        <f t="shared" si="68"/>
        <v>693258.10137257667</v>
      </c>
      <c r="AA201" s="541">
        <f t="shared" si="68"/>
        <v>707123.26340002823</v>
      </c>
      <c r="AB201" s="541">
        <f t="shared" si="68"/>
        <v>721265.72866802884</v>
      </c>
      <c r="AC201" s="541">
        <f t="shared" si="68"/>
        <v>735691.04324138945</v>
      </c>
      <c r="AD201" s="541">
        <f t="shared" si="68"/>
        <v>750404.86410621728</v>
      </c>
      <c r="AE201" s="541">
        <f t="shared" si="68"/>
        <v>765412.96138834162</v>
      </c>
      <c r="AF201" s="541">
        <f t="shared" si="68"/>
        <v>780721.22061610851</v>
      </c>
      <c r="AG201" s="541">
        <f t="shared" si="68"/>
        <v>796335.64502843074</v>
      </c>
      <c r="AH201" s="423"/>
      <c r="AI201" s="423"/>
    </row>
    <row r="202" spans="1:35" hidden="1" x14ac:dyDescent="0.25">
      <c r="A202" s="449"/>
      <c r="B202" s="449"/>
      <c r="C202" s="449"/>
      <c r="D202" s="449"/>
      <c r="E202" s="450"/>
      <c r="F202" s="450"/>
      <c r="G202" s="450"/>
      <c r="H202" s="450"/>
      <c r="I202" s="450"/>
      <c r="J202" s="450"/>
      <c r="K202" s="450"/>
      <c r="L202" s="450"/>
      <c r="M202" s="450"/>
      <c r="N202" s="450"/>
      <c r="O202" s="450"/>
      <c r="P202" s="450"/>
      <c r="Q202" s="450"/>
      <c r="R202" s="450"/>
      <c r="S202" s="450"/>
      <c r="T202" s="450"/>
      <c r="U202" s="450"/>
      <c r="V202" s="450"/>
      <c r="W202" s="450"/>
      <c r="X202" s="450"/>
      <c r="Y202" s="450"/>
      <c r="Z202" s="450"/>
      <c r="AA202" s="450"/>
      <c r="AB202" s="450"/>
      <c r="AC202" s="450"/>
      <c r="AD202" s="450"/>
      <c r="AE202" s="450"/>
      <c r="AF202" s="450"/>
      <c r="AG202" s="450"/>
      <c r="AH202" s="423"/>
      <c r="AI202" s="423"/>
    </row>
    <row r="203" spans="1:35" hidden="1" x14ac:dyDescent="0.25">
      <c r="A203" s="449"/>
      <c r="B203" s="449"/>
      <c r="C203" s="449"/>
      <c r="D203" s="449"/>
      <c r="E203" s="450"/>
      <c r="F203" s="450"/>
      <c r="G203" s="450"/>
      <c r="H203" s="450"/>
      <c r="I203" s="450"/>
      <c r="J203" s="450"/>
      <c r="K203" s="450"/>
      <c r="L203" s="450"/>
      <c r="M203" s="450"/>
      <c r="N203" s="450"/>
      <c r="O203" s="450"/>
      <c r="P203" s="450"/>
      <c r="Q203" s="450"/>
      <c r="R203" s="450"/>
      <c r="S203" s="450"/>
      <c r="T203" s="450"/>
      <c r="U203" s="450"/>
      <c r="V203" s="450"/>
      <c r="W203" s="450"/>
      <c r="X203" s="450"/>
      <c r="Y203" s="450"/>
      <c r="Z203" s="450"/>
      <c r="AA203" s="450"/>
      <c r="AB203" s="450"/>
      <c r="AC203" s="450"/>
      <c r="AD203" s="450"/>
      <c r="AE203" s="450"/>
      <c r="AF203" s="450"/>
      <c r="AG203" s="450"/>
      <c r="AH203" s="423"/>
      <c r="AI203" s="423"/>
    </row>
    <row r="204" spans="1:35" hidden="1" x14ac:dyDescent="0.25">
      <c r="A204" s="449"/>
      <c r="B204" s="539" t="s">
        <v>94</v>
      </c>
      <c r="C204" s="449"/>
      <c r="D204" s="449"/>
      <c r="E204" s="450"/>
      <c r="F204" s="450"/>
      <c r="G204" s="450"/>
      <c r="H204" s="450"/>
      <c r="I204" s="450"/>
      <c r="J204" s="450"/>
      <c r="K204" s="450"/>
      <c r="L204" s="450"/>
      <c r="M204" s="450"/>
      <c r="N204" s="450"/>
      <c r="O204" s="450"/>
      <c r="P204" s="450"/>
      <c r="Q204" s="450"/>
      <c r="R204" s="450"/>
      <c r="S204" s="450"/>
      <c r="T204" s="450"/>
      <c r="U204" s="450"/>
      <c r="V204" s="450"/>
      <c r="W204" s="450"/>
      <c r="X204" s="450"/>
      <c r="Y204" s="450"/>
      <c r="Z204" s="450"/>
      <c r="AA204" s="450"/>
      <c r="AB204" s="450"/>
      <c r="AC204" s="450"/>
      <c r="AD204" s="450"/>
      <c r="AE204" s="450"/>
      <c r="AF204" s="450"/>
      <c r="AG204" s="450"/>
      <c r="AH204" s="423"/>
      <c r="AI204" s="423"/>
    </row>
    <row r="205" spans="1:35" hidden="1" x14ac:dyDescent="0.25">
      <c r="A205" s="449"/>
      <c r="B205" s="449" t="s">
        <v>80</v>
      </c>
      <c r="C205" s="450" t="s">
        <v>81</v>
      </c>
      <c r="D205" s="449"/>
      <c r="E205" s="450">
        <v>2017</v>
      </c>
      <c r="F205" s="450">
        <v>2018</v>
      </c>
      <c r="G205" s="450">
        <v>2019</v>
      </c>
      <c r="H205" s="450">
        <v>2020</v>
      </c>
      <c r="I205" s="450">
        <v>2021</v>
      </c>
      <c r="J205" s="450">
        <v>2022</v>
      </c>
      <c r="K205" s="450">
        <v>2023</v>
      </c>
      <c r="L205" s="450">
        <v>2024</v>
      </c>
      <c r="M205" s="450">
        <v>2025</v>
      </c>
      <c r="N205" s="450">
        <v>2026</v>
      </c>
      <c r="O205" s="450">
        <v>2027</v>
      </c>
      <c r="P205" s="450">
        <v>2028</v>
      </c>
      <c r="Q205" s="450">
        <v>2029</v>
      </c>
      <c r="R205" s="450">
        <v>2030</v>
      </c>
      <c r="S205" s="450">
        <v>2031</v>
      </c>
      <c r="T205" s="450">
        <v>2032</v>
      </c>
      <c r="U205" s="450">
        <v>2033</v>
      </c>
      <c r="V205" s="450">
        <v>2034</v>
      </c>
      <c r="W205" s="450">
        <v>2035</v>
      </c>
      <c r="X205" s="450">
        <v>2036</v>
      </c>
      <c r="Y205" s="450">
        <v>2037</v>
      </c>
      <c r="Z205" s="450">
        <v>2038</v>
      </c>
      <c r="AA205" s="450">
        <v>2039</v>
      </c>
      <c r="AB205" s="450">
        <v>2040</v>
      </c>
      <c r="AC205" s="450">
        <v>2041</v>
      </c>
      <c r="AD205" s="450">
        <v>2042</v>
      </c>
      <c r="AE205" s="450">
        <v>2043</v>
      </c>
      <c r="AF205" s="450">
        <v>2044</v>
      </c>
      <c r="AG205" s="450">
        <v>2045</v>
      </c>
      <c r="AH205" s="423"/>
      <c r="AI205" s="423"/>
    </row>
    <row r="206" spans="1:35" hidden="1" x14ac:dyDescent="0.25">
      <c r="A206" s="451">
        <v>1</v>
      </c>
      <c r="B206" s="449" t="s">
        <v>82</v>
      </c>
      <c r="C206" s="540">
        <v>6.3553349521453459E-2</v>
      </c>
      <c r="D206" s="449"/>
      <c r="E206" s="541">
        <f t="shared" ref="E206:E216" si="69">$C206*E$16</f>
        <v>474523.29580920632</v>
      </c>
      <c r="F206" s="541">
        <f t="shared" ref="F206:AG215" si="70">$C206*F$16</f>
        <v>484013.7617253905</v>
      </c>
      <c r="G206" s="541">
        <f t="shared" si="70"/>
        <v>493694.03695989831</v>
      </c>
      <c r="H206" s="541">
        <f t="shared" si="70"/>
        <v>503567.91769909626</v>
      </c>
      <c r="I206" s="541">
        <f t="shared" si="70"/>
        <v>513639.27605307824</v>
      </c>
      <c r="J206" s="541">
        <f t="shared" si="70"/>
        <v>523912.06157413981</v>
      </c>
      <c r="K206" s="541">
        <f t="shared" si="70"/>
        <v>534390.30280562257</v>
      </c>
      <c r="L206" s="541">
        <f t="shared" si="70"/>
        <v>545078.10886173497</v>
      </c>
      <c r="M206" s="541">
        <f t="shared" si="70"/>
        <v>555979.67103896977</v>
      </c>
      <c r="N206" s="541">
        <f t="shared" si="70"/>
        <v>567099.2644597491</v>
      </c>
      <c r="O206" s="541">
        <f t="shared" si="70"/>
        <v>578441.24974894407</v>
      </c>
      <c r="P206" s="541">
        <f t="shared" si="70"/>
        <v>590010.07474392303</v>
      </c>
      <c r="Q206" s="541">
        <f t="shared" si="70"/>
        <v>601810.27623880154</v>
      </c>
      <c r="R206" s="541">
        <f t="shared" si="70"/>
        <v>613846.48176357755</v>
      </c>
      <c r="S206" s="541">
        <f t="shared" si="70"/>
        <v>626123.4113988491</v>
      </c>
      <c r="T206" s="541">
        <f t="shared" si="70"/>
        <v>638645.87962682603</v>
      </c>
      <c r="U206" s="541">
        <f t="shared" si="70"/>
        <v>651418.79721936258</v>
      </c>
      <c r="V206" s="541">
        <f t="shared" si="70"/>
        <v>664447.17316374986</v>
      </c>
      <c r="W206" s="541">
        <f t="shared" si="70"/>
        <v>677736.11662702484</v>
      </c>
      <c r="X206" s="541">
        <f t="shared" si="70"/>
        <v>691290.83895956539</v>
      </c>
      <c r="Y206" s="541">
        <f t="shared" si="70"/>
        <v>705116.65573875676</v>
      </c>
      <c r="Z206" s="541">
        <f t="shared" si="70"/>
        <v>719218.98885353189</v>
      </c>
      <c r="AA206" s="541">
        <f t="shared" si="70"/>
        <v>733603.36863060249</v>
      </c>
      <c r="AB206" s="541">
        <f t="shared" si="70"/>
        <v>748275.43600321456</v>
      </c>
      <c r="AC206" s="541">
        <f t="shared" si="70"/>
        <v>763240.94472327887</v>
      </c>
      <c r="AD206" s="541">
        <f t="shared" si="70"/>
        <v>778505.76361774444</v>
      </c>
      <c r="AE206" s="541">
        <f t="shared" si="70"/>
        <v>794075.87889009935</v>
      </c>
      <c r="AF206" s="541">
        <f t="shared" si="70"/>
        <v>809957.39646790142</v>
      </c>
      <c r="AG206" s="541">
        <f t="shared" si="70"/>
        <v>826156.54439725948</v>
      </c>
      <c r="AH206" s="423"/>
      <c r="AI206" s="423"/>
    </row>
    <row r="207" spans="1:35" hidden="1" x14ac:dyDescent="0.25">
      <c r="A207" s="451">
        <v>2</v>
      </c>
      <c r="B207" s="449" t="s">
        <v>83</v>
      </c>
      <c r="C207" s="540">
        <v>1.8532678381520517E-2</v>
      </c>
      <c r="D207" s="449"/>
      <c r="E207" s="541">
        <f t="shared" si="69"/>
        <v>138374.88805845747</v>
      </c>
      <c r="F207" s="541">
        <f t="shared" ref="F207:T207" si="71">$C207*F$16</f>
        <v>141142.38581962662</v>
      </c>
      <c r="G207" s="541">
        <f t="shared" si="71"/>
        <v>143965.23353601916</v>
      </c>
      <c r="H207" s="541">
        <f t="shared" si="71"/>
        <v>146844.53820673955</v>
      </c>
      <c r="I207" s="541">
        <f t="shared" si="71"/>
        <v>149781.42897087435</v>
      </c>
      <c r="J207" s="541">
        <f t="shared" si="71"/>
        <v>152777.05755029182</v>
      </c>
      <c r="K207" s="541">
        <f t="shared" si="71"/>
        <v>155832.59870129765</v>
      </c>
      <c r="L207" s="541">
        <f t="shared" si="71"/>
        <v>158949.25067532359</v>
      </c>
      <c r="M207" s="541">
        <f t="shared" si="71"/>
        <v>162128.23568883009</v>
      </c>
      <c r="N207" s="541">
        <f t="shared" si="71"/>
        <v>165370.80040260669</v>
      </c>
      <c r="O207" s="541">
        <f t="shared" si="71"/>
        <v>168678.21641065882</v>
      </c>
      <c r="P207" s="541">
        <f t="shared" si="71"/>
        <v>172051.78073887201</v>
      </c>
      <c r="Q207" s="541">
        <f t="shared" si="71"/>
        <v>175492.81635364945</v>
      </c>
      <c r="R207" s="541">
        <f t="shared" si="71"/>
        <v>179002.67268072243</v>
      </c>
      <c r="S207" s="541">
        <f t="shared" si="71"/>
        <v>182582.72613433687</v>
      </c>
      <c r="T207" s="541">
        <f t="shared" si="71"/>
        <v>186234.38065702363</v>
      </c>
      <c r="U207" s="541">
        <f t="shared" si="70"/>
        <v>189959.06827016411</v>
      </c>
      <c r="V207" s="541">
        <f t="shared" si="70"/>
        <v>193758.24963556739</v>
      </c>
      <c r="W207" s="541">
        <f t="shared" si="70"/>
        <v>197633.41462827873</v>
      </c>
      <c r="X207" s="541">
        <f t="shared" si="70"/>
        <v>201586.08292084432</v>
      </c>
      <c r="Y207" s="541">
        <f t="shared" si="70"/>
        <v>205617.80457926122</v>
      </c>
      <c r="Z207" s="541">
        <f t="shared" si="70"/>
        <v>209730.16067084644</v>
      </c>
      <c r="AA207" s="541">
        <f t="shared" si="70"/>
        <v>213924.76388426338</v>
      </c>
      <c r="AB207" s="541">
        <f t="shared" si="70"/>
        <v>218203.25916194863</v>
      </c>
      <c r="AC207" s="541">
        <f t="shared" si="70"/>
        <v>222567.3243451876</v>
      </c>
      <c r="AD207" s="541">
        <f t="shared" si="70"/>
        <v>227018.67083209136</v>
      </c>
      <c r="AE207" s="541">
        <f t="shared" si="70"/>
        <v>231559.0442487332</v>
      </c>
      <c r="AF207" s="541">
        <f t="shared" si="70"/>
        <v>236190.22513370786</v>
      </c>
      <c r="AG207" s="541">
        <f t="shared" si="70"/>
        <v>240914.02963638204</v>
      </c>
      <c r="AH207" s="423"/>
      <c r="AI207" s="423"/>
    </row>
    <row r="208" spans="1:35" hidden="1" x14ac:dyDescent="0.25">
      <c r="A208" s="451">
        <v>3</v>
      </c>
      <c r="B208" s="449" t="s">
        <v>84</v>
      </c>
      <c r="C208" s="540">
        <v>4.614962724608291E-2</v>
      </c>
      <c r="D208" s="449"/>
      <c r="E208" s="541">
        <f t="shared" si="69"/>
        <v>344577.79780411453</v>
      </c>
      <c r="F208" s="541">
        <f t="shared" si="70"/>
        <v>351469.35376019683</v>
      </c>
      <c r="G208" s="541">
        <f t="shared" si="70"/>
        <v>358498.74083540076</v>
      </c>
      <c r="H208" s="541">
        <f t="shared" si="70"/>
        <v>365668.71565210883</v>
      </c>
      <c r="I208" s="541">
        <f t="shared" si="70"/>
        <v>372982.08996515098</v>
      </c>
      <c r="J208" s="541">
        <f t="shared" si="70"/>
        <v>380441.73176445405</v>
      </c>
      <c r="K208" s="541">
        <f t="shared" si="70"/>
        <v>388050.56639974308</v>
      </c>
      <c r="L208" s="541">
        <f t="shared" si="70"/>
        <v>395811.57772773795</v>
      </c>
      <c r="M208" s="541">
        <f t="shared" si="70"/>
        <v>403727.80928229273</v>
      </c>
      <c r="N208" s="541">
        <f t="shared" si="70"/>
        <v>411802.36546793859</v>
      </c>
      <c r="O208" s="541">
        <f t="shared" si="70"/>
        <v>420038.41277729732</v>
      </c>
      <c r="P208" s="541">
        <f t="shared" si="70"/>
        <v>428439.18103284331</v>
      </c>
      <c r="Q208" s="541">
        <f t="shared" si="70"/>
        <v>437007.96465350018</v>
      </c>
      <c r="R208" s="541">
        <f t="shared" si="70"/>
        <v>445748.12394657021</v>
      </c>
      <c r="S208" s="541">
        <f t="shared" si="70"/>
        <v>454663.08642550156</v>
      </c>
      <c r="T208" s="541">
        <f t="shared" si="70"/>
        <v>463756.34815401165</v>
      </c>
      <c r="U208" s="541">
        <f t="shared" si="70"/>
        <v>473031.4751170919</v>
      </c>
      <c r="V208" s="541">
        <f t="shared" si="70"/>
        <v>482492.1046194337</v>
      </c>
      <c r="W208" s="541">
        <f t="shared" si="70"/>
        <v>492141.94671182235</v>
      </c>
      <c r="X208" s="541">
        <f t="shared" si="70"/>
        <v>501984.78564605885</v>
      </c>
      <c r="Y208" s="541">
        <f t="shared" si="70"/>
        <v>512024.48135898006</v>
      </c>
      <c r="Z208" s="541">
        <f t="shared" si="70"/>
        <v>522264.97098615963</v>
      </c>
      <c r="AA208" s="541">
        <f t="shared" si="70"/>
        <v>532710.27040588285</v>
      </c>
      <c r="AB208" s="541">
        <f t="shared" si="70"/>
        <v>543364.47581400047</v>
      </c>
      <c r="AC208" s="541">
        <f t="shared" si="70"/>
        <v>554231.76533028053</v>
      </c>
      <c r="AD208" s="541">
        <f t="shared" si="70"/>
        <v>565316.40063688613</v>
      </c>
      <c r="AE208" s="541">
        <f t="shared" si="70"/>
        <v>576622.72864962392</v>
      </c>
      <c r="AF208" s="541">
        <f t="shared" si="70"/>
        <v>588155.18322261644</v>
      </c>
      <c r="AG208" s="541">
        <f t="shared" si="70"/>
        <v>599918.28688706877</v>
      </c>
      <c r="AH208" s="423"/>
      <c r="AI208" s="423"/>
    </row>
    <row r="209" spans="1:35" hidden="1" x14ac:dyDescent="0.25">
      <c r="A209" s="451">
        <v>4</v>
      </c>
      <c r="B209" s="449" t="s">
        <v>85</v>
      </c>
      <c r="C209" s="540">
        <v>0.41492507980880095</v>
      </c>
      <c r="D209" s="449"/>
      <c r="E209" s="541">
        <f t="shared" si="69"/>
        <v>3098052.5474633914</v>
      </c>
      <c r="F209" s="541">
        <f t="shared" si="70"/>
        <v>3160013.5984126595</v>
      </c>
      <c r="G209" s="541">
        <f t="shared" si="70"/>
        <v>3223213.8703809124</v>
      </c>
      <c r="H209" s="541">
        <f t="shared" si="70"/>
        <v>3287678.1477885311</v>
      </c>
      <c r="I209" s="541">
        <f t="shared" si="70"/>
        <v>3353431.7107443018</v>
      </c>
      <c r="J209" s="541">
        <f t="shared" si="70"/>
        <v>3420500.3449591878</v>
      </c>
      <c r="K209" s="541">
        <f t="shared" si="70"/>
        <v>3488910.3518583714</v>
      </c>
      <c r="L209" s="541">
        <f t="shared" si="70"/>
        <v>3558688.558895539</v>
      </c>
      <c r="M209" s="541">
        <f t="shared" si="70"/>
        <v>3629862.3300734498</v>
      </c>
      <c r="N209" s="541">
        <f t="shared" si="70"/>
        <v>3702459.5766749186</v>
      </c>
      <c r="O209" s="541">
        <f t="shared" si="70"/>
        <v>3776508.7682084171</v>
      </c>
      <c r="P209" s="541">
        <f t="shared" si="70"/>
        <v>3852038.9435725855</v>
      </c>
      <c r="Q209" s="541">
        <f t="shared" si="70"/>
        <v>3929079.7224440374</v>
      </c>
      <c r="R209" s="541">
        <f t="shared" si="70"/>
        <v>4007661.3168929182</v>
      </c>
      <c r="S209" s="541">
        <f t="shared" si="70"/>
        <v>4087814.5432307767</v>
      </c>
      <c r="T209" s="541">
        <f t="shared" si="70"/>
        <v>4169570.8340953924</v>
      </c>
      <c r="U209" s="541">
        <f t="shared" si="70"/>
        <v>4252962.2507773004</v>
      </c>
      <c r="V209" s="541">
        <f t="shared" si="70"/>
        <v>4338021.4957928462</v>
      </c>
      <c r="W209" s="541">
        <f t="shared" si="70"/>
        <v>4424781.9257087028</v>
      </c>
      <c r="X209" s="541">
        <f t="shared" si="70"/>
        <v>4513277.5642228778</v>
      </c>
      <c r="Y209" s="541">
        <f t="shared" si="70"/>
        <v>4603543.1155073354</v>
      </c>
      <c r="Z209" s="541">
        <f t="shared" si="70"/>
        <v>4695613.9778174814</v>
      </c>
      <c r="AA209" s="541">
        <f t="shared" si="70"/>
        <v>4789526.2573738312</v>
      </c>
      <c r="AB209" s="541">
        <f t="shared" si="70"/>
        <v>4885316.7825213084</v>
      </c>
      <c r="AC209" s="541">
        <f t="shared" si="70"/>
        <v>4983023.1181717338</v>
      </c>
      <c r="AD209" s="541">
        <f t="shared" si="70"/>
        <v>5082683.5805351688</v>
      </c>
      <c r="AE209" s="541">
        <f t="shared" si="70"/>
        <v>5184337.2521458725</v>
      </c>
      <c r="AF209" s="541">
        <f t="shared" si="70"/>
        <v>5288023.9971887898</v>
      </c>
      <c r="AG209" s="541">
        <f t="shared" si="70"/>
        <v>5393784.4771325663</v>
      </c>
      <c r="AH209" s="423"/>
      <c r="AI209" s="423"/>
    </row>
    <row r="210" spans="1:35" hidden="1" x14ac:dyDescent="0.25">
      <c r="A210" s="451">
        <v>5</v>
      </c>
      <c r="B210" s="449" t="s">
        <v>86</v>
      </c>
      <c r="C210" s="540">
        <v>0.18190823115774576</v>
      </c>
      <c r="D210" s="449"/>
      <c r="E210" s="541">
        <f t="shared" si="69"/>
        <v>1358224.1382046728</v>
      </c>
      <c r="F210" s="541">
        <f t="shared" si="70"/>
        <v>1385388.6209687663</v>
      </c>
      <c r="G210" s="541">
        <f t="shared" si="70"/>
        <v>1413096.3933881416</v>
      </c>
      <c r="H210" s="541">
        <f t="shared" si="70"/>
        <v>1441358.3212559046</v>
      </c>
      <c r="I210" s="541">
        <f t="shared" si="70"/>
        <v>1470185.4876810226</v>
      </c>
      <c r="J210" s="541">
        <f t="shared" si="70"/>
        <v>1499589.1974346433</v>
      </c>
      <c r="K210" s="541">
        <f t="shared" si="70"/>
        <v>1529580.981383336</v>
      </c>
      <c r="L210" s="541">
        <f t="shared" si="70"/>
        <v>1560172.6010110027</v>
      </c>
      <c r="M210" s="541">
        <f t="shared" si="70"/>
        <v>1591376.0530312227</v>
      </c>
      <c r="N210" s="541">
        <f t="shared" si="70"/>
        <v>1623203.5740918473</v>
      </c>
      <c r="O210" s="541">
        <f t="shared" si="70"/>
        <v>1655667.645573684</v>
      </c>
      <c r="P210" s="541">
        <f t="shared" si="70"/>
        <v>1688780.998485158</v>
      </c>
      <c r="Q210" s="541">
        <f t="shared" si="70"/>
        <v>1722556.6184548612</v>
      </c>
      <c r="R210" s="541">
        <f t="shared" si="70"/>
        <v>1757007.7508239583</v>
      </c>
      <c r="S210" s="541">
        <f t="shared" si="70"/>
        <v>1792147.9058404374</v>
      </c>
      <c r="T210" s="541">
        <f t="shared" si="70"/>
        <v>1827990.8639572463</v>
      </c>
      <c r="U210" s="541">
        <f t="shared" si="70"/>
        <v>1864550.6812363912</v>
      </c>
      <c r="V210" s="541">
        <f t="shared" si="70"/>
        <v>1901841.6948611191</v>
      </c>
      <c r="W210" s="541">
        <f t="shared" si="70"/>
        <v>1939878.5287583414</v>
      </c>
      <c r="X210" s="541">
        <f t="shared" si="70"/>
        <v>1978676.0993335084</v>
      </c>
      <c r="Y210" s="541">
        <f t="shared" si="70"/>
        <v>2018249.6213201787</v>
      </c>
      <c r="Z210" s="541">
        <f t="shared" si="70"/>
        <v>2058614.6137465821</v>
      </c>
      <c r="AA210" s="541">
        <f t="shared" si="70"/>
        <v>2099786.906021514</v>
      </c>
      <c r="AB210" s="541">
        <f t="shared" si="70"/>
        <v>2141782.6441419441</v>
      </c>
      <c r="AC210" s="541">
        <f t="shared" si="70"/>
        <v>2184618.2970247832</v>
      </c>
      <c r="AD210" s="541">
        <f t="shared" si="70"/>
        <v>2228310.6629652786</v>
      </c>
      <c r="AE210" s="541">
        <f t="shared" si="70"/>
        <v>2272876.8762245844</v>
      </c>
      <c r="AF210" s="541">
        <f t="shared" si="70"/>
        <v>2318334.413749076</v>
      </c>
      <c r="AG210" s="541">
        <f t="shared" si="70"/>
        <v>2364701.1020240579</v>
      </c>
      <c r="AH210" s="423"/>
      <c r="AI210" s="423"/>
    </row>
    <row r="211" spans="1:35" hidden="1" x14ac:dyDescent="0.25">
      <c r="A211" s="451">
        <v>6</v>
      </c>
      <c r="B211" s="449" t="s">
        <v>87</v>
      </c>
      <c r="C211" s="540">
        <v>0.16276310986842174</v>
      </c>
      <c r="D211" s="449"/>
      <c r="E211" s="541">
        <f t="shared" si="69"/>
        <v>1215276.4238625623</v>
      </c>
      <c r="F211" s="541">
        <f t="shared" si="70"/>
        <v>1239581.9523398136</v>
      </c>
      <c r="G211" s="541">
        <f t="shared" si="70"/>
        <v>1264373.5913866097</v>
      </c>
      <c r="H211" s="541">
        <f t="shared" si="70"/>
        <v>1289661.0632143421</v>
      </c>
      <c r="I211" s="541">
        <f t="shared" si="70"/>
        <v>1315454.284478629</v>
      </c>
      <c r="J211" s="541">
        <f t="shared" si="70"/>
        <v>1341763.3701682016</v>
      </c>
      <c r="K211" s="541">
        <f t="shared" si="70"/>
        <v>1368598.6375715656</v>
      </c>
      <c r="L211" s="541">
        <f t="shared" si="70"/>
        <v>1395970.6103229967</v>
      </c>
      <c r="M211" s="541">
        <f t="shared" si="70"/>
        <v>1423890.0225294568</v>
      </c>
      <c r="N211" s="541">
        <f t="shared" si="70"/>
        <v>1452367.822980046</v>
      </c>
      <c r="O211" s="541">
        <f t="shared" si="70"/>
        <v>1481415.1794396469</v>
      </c>
      <c r="P211" s="541">
        <f t="shared" si="70"/>
        <v>1511043.4830284398</v>
      </c>
      <c r="Q211" s="541">
        <f t="shared" si="70"/>
        <v>1541264.3526890087</v>
      </c>
      <c r="R211" s="541">
        <f t="shared" si="70"/>
        <v>1572089.6397427889</v>
      </c>
      <c r="S211" s="541">
        <f t="shared" si="70"/>
        <v>1603531.4325376446</v>
      </c>
      <c r="T211" s="541">
        <f t="shared" si="70"/>
        <v>1635602.0611883977</v>
      </c>
      <c r="U211" s="541">
        <f t="shared" si="70"/>
        <v>1668314.1024121656</v>
      </c>
      <c r="V211" s="541">
        <f t="shared" si="70"/>
        <v>1701680.3844604089</v>
      </c>
      <c r="W211" s="541">
        <f t="shared" si="70"/>
        <v>1735713.9921496171</v>
      </c>
      <c r="X211" s="541">
        <f t="shared" si="70"/>
        <v>1770428.2719926096</v>
      </c>
      <c r="Y211" s="541">
        <f t="shared" si="70"/>
        <v>1805836.8374324618</v>
      </c>
      <c r="Z211" s="541">
        <f t="shared" si="70"/>
        <v>1841953.5741811108</v>
      </c>
      <c r="AA211" s="541">
        <f t="shared" si="70"/>
        <v>1878792.6456647334</v>
      </c>
      <c r="AB211" s="541">
        <f t="shared" si="70"/>
        <v>1916368.4985780278</v>
      </c>
      <c r="AC211" s="541">
        <f t="shared" si="70"/>
        <v>1954695.8685495884</v>
      </c>
      <c r="AD211" s="541">
        <f t="shared" si="70"/>
        <v>1993789.7859205802</v>
      </c>
      <c r="AE211" s="541">
        <f t="shared" si="70"/>
        <v>2033665.5816389921</v>
      </c>
      <c r="AF211" s="541">
        <f t="shared" si="70"/>
        <v>2074338.8932717717</v>
      </c>
      <c r="AG211" s="541">
        <f t="shared" si="70"/>
        <v>2115825.6711372072</v>
      </c>
      <c r="AH211" s="423"/>
      <c r="AI211" s="423"/>
    </row>
    <row r="212" spans="1:35" hidden="1" x14ac:dyDescent="0.25">
      <c r="A212" s="451">
        <v>7</v>
      </c>
      <c r="B212" s="449" t="s">
        <v>88</v>
      </c>
      <c r="C212" s="540">
        <v>3.5004861780714366E-2</v>
      </c>
      <c r="D212" s="449"/>
      <c r="E212" s="541">
        <f t="shared" si="69"/>
        <v>261365.01862774551</v>
      </c>
      <c r="F212" s="541">
        <f t="shared" si="70"/>
        <v>266592.31900030043</v>
      </c>
      <c r="G212" s="541">
        <f t="shared" si="70"/>
        <v>271924.16538030643</v>
      </c>
      <c r="H212" s="541">
        <f t="shared" si="70"/>
        <v>277362.64868791256</v>
      </c>
      <c r="I212" s="541">
        <f t="shared" si="70"/>
        <v>282909.90166167082</v>
      </c>
      <c r="J212" s="541">
        <f t="shared" si="70"/>
        <v>288568.09969490429</v>
      </c>
      <c r="K212" s="541">
        <f t="shared" si="70"/>
        <v>294339.46168880234</v>
      </c>
      <c r="L212" s="541">
        <f t="shared" si="70"/>
        <v>300226.25092257839</v>
      </c>
      <c r="M212" s="541">
        <f t="shared" si="70"/>
        <v>306230.77594102995</v>
      </c>
      <c r="N212" s="541">
        <f t="shared" si="70"/>
        <v>312355.39145985059</v>
      </c>
      <c r="O212" s="541">
        <f t="shared" si="70"/>
        <v>318602.49928904756</v>
      </c>
      <c r="P212" s="541">
        <f t="shared" si="70"/>
        <v>324974.54927482852</v>
      </c>
      <c r="Q212" s="541">
        <f t="shared" si="70"/>
        <v>331474.04026032513</v>
      </c>
      <c r="R212" s="541">
        <f t="shared" si="70"/>
        <v>338103.52106553165</v>
      </c>
      <c r="S212" s="541">
        <f t="shared" si="70"/>
        <v>344865.59148684226</v>
      </c>
      <c r="T212" s="541">
        <f t="shared" si="70"/>
        <v>351762.90331657912</v>
      </c>
      <c r="U212" s="541">
        <f t="shared" si="70"/>
        <v>358798.16138291068</v>
      </c>
      <c r="V212" s="541">
        <f t="shared" si="70"/>
        <v>365974.12461056892</v>
      </c>
      <c r="W212" s="541">
        <f t="shared" si="70"/>
        <v>373293.60710278025</v>
      </c>
      <c r="X212" s="541">
        <f t="shared" si="70"/>
        <v>380759.47924483591</v>
      </c>
      <c r="Y212" s="541">
        <f t="shared" si="70"/>
        <v>388374.66882973263</v>
      </c>
      <c r="Z212" s="541">
        <f t="shared" si="70"/>
        <v>396142.16220632731</v>
      </c>
      <c r="AA212" s="541">
        <f t="shared" si="70"/>
        <v>404065.00545045384</v>
      </c>
      <c r="AB212" s="541">
        <f t="shared" si="70"/>
        <v>412146.30555946293</v>
      </c>
      <c r="AC212" s="541">
        <f t="shared" si="70"/>
        <v>420389.23167065217</v>
      </c>
      <c r="AD212" s="541">
        <f t="shared" si="70"/>
        <v>428797.01630406524</v>
      </c>
      <c r="AE212" s="541">
        <f t="shared" si="70"/>
        <v>437372.95663014654</v>
      </c>
      <c r="AF212" s="541">
        <f t="shared" si="70"/>
        <v>446120.4157627495</v>
      </c>
      <c r="AG212" s="541">
        <f t="shared" si="70"/>
        <v>455042.82407800452</v>
      </c>
      <c r="AH212" s="423"/>
      <c r="AI212" s="423"/>
    </row>
    <row r="213" spans="1:35" hidden="1" x14ac:dyDescent="0.25">
      <c r="A213" s="451">
        <v>8</v>
      </c>
      <c r="B213" s="449" t="s">
        <v>89</v>
      </c>
      <c r="C213" s="540">
        <v>1.2532799509211675E-2</v>
      </c>
      <c r="D213" s="449"/>
      <c r="E213" s="541">
        <f t="shared" si="69"/>
        <v>93576.583667231986</v>
      </c>
      <c r="F213" s="541">
        <f t="shared" si="70"/>
        <v>95448.115340576638</v>
      </c>
      <c r="G213" s="541">
        <f t="shared" si="70"/>
        <v>97357.077647388171</v>
      </c>
      <c r="H213" s="541">
        <f t="shared" si="70"/>
        <v>99304.219200335938</v>
      </c>
      <c r="I213" s="541">
        <f t="shared" si="70"/>
        <v>101290.30358434266</v>
      </c>
      <c r="J213" s="541">
        <f t="shared" si="70"/>
        <v>103316.10965602951</v>
      </c>
      <c r="K213" s="541">
        <f t="shared" si="70"/>
        <v>105382.4318491501</v>
      </c>
      <c r="L213" s="541">
        <f t="shared" si="70"/>
        <v>107490.0804861331</v>
      </c>
      <c r="M213" s="541">
        <f t="shared" si="70"/>
        <v>109639.88209585576</v>
      </c>
      <c r="N213" s="541">
        <f t="shared" si="70"/>
        <v>111832.67973777288</v>
      </c>
      <c r="O213" s="541">
        <f t="shared" si="70"/>
        <v>114069.33333252833</v>
      </c>
      <c r="P213" s="541">
        <f t="shared" si="70"/>
        <v>116350.71999917891</v>
      </c>
      <c r="Q213" s="541">
        <f t="shared" si="70"/>
        <v>118677.73439916249</v>
      </c>
      <c r="R213" s="541">
        <f t="shared" si="70"/>
        <v>121051.28908714573</v>
      </c>
      <c r="S213" s="541">
        <f t="shared" si="70"/>
        <v>123472.31486888866</v>
      </c>
      <c r="T213" s="541">
        <f t="shared" si="70"/>
        <v>125941.76116626643</v>
      </c>
      <c r="U213" s="541">
        <f t="shared" si="70"/>
        <v>128460.59638959177</v>
      </c>
      <c r="V213" s="541">
        <f t="shared" si="70"/>
        <v>131029.80831738359</v>
      </c>
      <c r="W213" s="541">
        <f t="shared" si="70"/>
        <v>133650.40448373125</v>
      </c>
      <c r="X213" s="541">
        <f t="shared" si="70"/>
        <v>136323.41257340589</v>
      </c>
      <c r="Y213" s="541">
        <f t="shared" si="70"/>
        <v>139049.88082487401</v>
      </c>
      <c r="Z213" s="541">
        <f t="shared" si="70"/>
        <v>141830.87844137149</v>
      </c>
      <c r="AA213" s="541">
        <f t="shared" si="70"/>
        <v>144667.49601019896</v>
      </c>
      <c r="AB213" s="541">
        <f t="shared" si="70"/>
        <v>147560.84593040292</v>
      </c>
      <c r="AC213" s="541">
        <f t="shared" si="70"/>
        <v>150512.06284901098</v>
      </c>
      <c r="AD213" s="541">
        <f t="shared" si="70"/>
        <v>153522.30410599121</v>
      </c>
      <c r="AE213" s="541">
        <f t="shared" si="70"/>
        <v>156592.75018811104</v>
      </c>
      <c r="AF213" s="541">
        <f t="shared" si="70"/>
        <v>159724.60519187324</v>
      </c>
      <c r="AG213" s="541">
        <f t="shared" si="70"/>
        <v>162919.09729571073</v>
      </c>
      <c r="AH213" s="423"/>
      <c r="AI213" s="423"/>
    </row>
    <row r="214" spans="1:35" hidden="1" x14ac:dyDescent="0.25">
      <c r="A214" s="451">
        <v>9</v>
      </c>
      <c r="B214" s="449" t="s">
        <v>90</v>
      </c>
      <c r="C214" s="540">
        <v>1.366554350927409E-5</v>
      </c>
      <c r="D214" s="449"/>
      <c r="E214" s="541">
        <f t="shared" si="69"/>
        <v>102.0342561623107</v>
      </c>
      <c r="F214" s="541">
        <f t="shared" si="70"/>
        <v>104.07494128555692</v>
      </c>
      <c r="G214" s="541">
        <f t="shared" si="70"/>
        <v>106.15644011126805</v>
      </c>
      <c r="H214" s="541">
        <f t="shared" si="70"/>
        <v>108.27956891349342</v>
      </c>
      <c r="I214" s="541">
        <f t="shared" si="70"/>
        <v>110.4451602917633</v>
      </c>
      <c r="J214" s="541">
        <f t="shared" si="70"/>
        <v>112.65406349759857</v>
      </c>
      <c r="K214" s="541">
        <f t="shared" si="70"/>
        <v>114.90714476755053</v>
      </c>
      <c r="L214" s="541">
        <f t="shared" si="70"/>
        <v>117.20528766290154</v>
      </c>
      <c r="M214" s="541">
        <f t="shared" si="70"/>
        <v>119.54939341615957</v>
      </c>
      <c r="N214" s="541">
        <f t="shared" si="70"/>
        <v>121.94038128448277</v>
      </c>
      <c r="O214" s="541">
        <f t="shared" si="70"/>
        <v>124.37918891017242</v>
      </c>
      <c r="P214" s="541">
        <f t="shared" si="70"/>
        <v>126.86677268837587</v>
      </c>
      <c r="Q214" s="541">
        <f t="shared" si="70"/>
        <v>129.4041081421434</v>
      </c>
      <c r="R214" s="541">
        <f t="shared" si="70"/>
        <v>131.99219030498628</v>
      </c>
      <c r="S214" s="541">
        <f t="shared" si="70"/>
        <v>134.632034111086</v>
      </c>
      <c r="T214" s="541">
        <f t="shared" si="70"/>
        <v>137.32467479330771</v>
      </c>
      <c r="U214" s="541">
        <f t="shared" si="70"/>
        <v>140.07116828917387</v>
      </c>
      <c r="V214" s="541">
        <f t="shared" si="70"/>
        <v>142.87259165495735</v>
      </c>
      <c r="W214" s="541">
        <f t="shared" si="70"/>
        <v>145.73004348805648</v>
      </c>
      <c r="X214" s="541">
        <f t="shared" si="70"/>
        <v>148.64464435781764</v>
      </c>
      <c r="Y214" s="541">
        <f t="shared" si="70"/>
        <v>151.61753724497399</v>
      </c>
      <c r="Z214" s="541">
        <f t="shared" si="70"/>
        <v>154.64988798987346</v>
      </c>
      <c r="AA214" s="541">
        <f t="shared" si="70"/>
        <v>157.74288574967096</v>
      </c>
      <c r="AB214" s="541">
        <f t="shared" si="70"/>
        <v>160.89774346466436</v>
      </c>
      <c r="AC214" s="541">
        <f t="shared" si="70"/>
        <v>164.11569833395765</v>
      </c>
      <c r="AD214" s="541">
        <f t="shared" si="70"/>
        <v>167.39801230063679</v>
      </c>
      <c r="AE214" s="541">
        <f t="shared" si="70"/>
        <v>170.74597254664954</v>
      </c>
      <c r="AF214" s="541">
        <f t="shared" si="70"/>
        <v>174.16089199758255</v>
      </c>
      <c r="AG214" s="541">
        <f t="shared" si="70"/>
        <v>177.64410983753419</v>
      </c>
      <c r="AH214" s="423"/>
      <c r="AI214" s="423"/>
    </row>
    <row r="215" spans="1:35" hidden="1" x14ac:dyDescent="0.25">
      <c r="A215" s="451">
        <v>10</v>
      </c>
      <c r="B215" s="449" t="s">
        <v>91</v>
      </c>
      <c r="C215" s="540">
        <v>3.2092620300086271E-2</v>
      </c>
      <c r="D215" s="449"/>
      <c r="E215" s="541">
        <f t="shared" si="69"/>
        <v>239620.66626889093</v>
      </c>
      <c r="F215" s="541">
        <f t="shared" si="70"/>
        <v>244413.07959426875</v>
      </c>
      <c r="G215" s="541">
        <f t="shared" si="70"/>
        <v>249301.34118615414</v>
      </c>
      <c r="H215" s="541">
        <f t="shared" si="70"/>
        <v>254287.36800987722</v>
      </c>
      <c r="I215" s="541">
        <f t="shared" si="70"/>
        <v>259373.11537007475</v>
      </c>
      <c r="J215" s="541">
        <f t="shared" si="70"/>
        <v>264560.57767747628</v>
      </c>
      <c r="K215" s="541">
        <f t="shared" si="70"/>
        <v>269851.78923102579</v>
      </c>
      <c r="L215" s="541">
        <f t="shared" si="70"/>
        <v>275248.82501564629</v>
      </c>
      <c r="M215" s="541">
        <f t="shared" si="70"/>
        <v>280753.8015159592</v>
      </c>
      <c r="N215" s="541">
        <f t="shared" si="70"/>
        <v>286368.87754627841</v>
      </c>
      <c r="O215" s="541">
        <f t="shared" si="70"/>
        <v>292096.25509720395</v>
      </c>
      <c r="P215" s="541">
        <f t="shared" si="70"/>
        <v>297938.18019914808</v>
      </c>
      <c r="Q215" s="541">
        <f t="shared" si="70"/>
        <v>303896.94380313106</v>
      </c>
      <c r="R215" s="541">
        <f t="shared" si="70"/>
        <v>309974.88267919369</v>
      </c>
      <c r="S215" s="541">
        <f t="shared" si="70"/>
        <v>316174.38033277757</v>
      </c>
      <c r="T215" s="541">
        <f t="shared" si="70"/>
        <v>322497.86793943308</v>
      </c>
      <c r="U215" s="541">
        <f t="shared" si="70"/>
        <v>328947.82529822178</v>
      </c>
      <c r="V215" s="541">
        <f t="shared" si="70"/>
        <v>335526.78180418618</v>
      </c>
      <c r="W215" s="541">
        <f t="shared" si="70"/>
        <v>342237.31744026992</v>
      </c>
      <c r="X215" s="541">
        <f t="shared" ref="X215:AG215" si="72">$C215*X$16</f>
        <v>349082.06378907536</v>
      </c>
      <c r="Y215" s="541">
        <f t="shared" si="72"/>
        <v>356063.70506485685</v>
      </c>
      <c r="Z215" s="541">
        <f t="shared" si="72"/>
        <v>363184.97916615399</v>
      </c>
      <c r="AA215" s="541">
        <f t="shared" si="72"/>
        <v>370448.67874947708</v>
      </c>
      <c r="AB215" s="541">
        <f t="shared" si="72"/>
        <v>377857.65232446662</v>
      </c>
      <c r="AC215" s="541">
        <f t="shared" si="72"/>
        <v>385414.80537095596</v>
      </c>
      <c r="AD215" s="541">
        <f t="shared" si="72"/>
        <v>393123.10147837509</v>
      </c>
      <c r="AE215" s="541">
        <f t="shared" si="72"/>
        <v>400985.5635079426</v>
      </c>
      <c r="AF215" s="541">
        <f t="shared" si="72"/>
        <v>409005.27477810148</v>
      </c>
      <c r="AG215" s="541">
        <f t="shared" si="72"/>
        <v>417185.3802736635</v>
      </c>
      <c r="AH215" s="423"/>
      <c r="AI215" s="423"/>
    </row>
    <row r="216" spans="1:35" ht="15.75" hidden="1" customHeight="1" x14ac:dyDescent="0.25">
      <c r="A216" s="451">
        <v>11</v>
      </c>
      <c r="B216" s="449" t="s">
        <v>92</v>
      </c>
      <c r="C216" s="540">
        <v>3.2523976882453128E-2</v>
      </c>
      <c r="D216" s="449"/>
      <c r="E216" s="541">
        <f t="shared" si="69"/>
        <v>242841.40520200759</v>
      </c>
      <c r="F216" s="541">
        <f t="shared" ref="F216:T216" si="73">$C216*F$16</f>
        <v>247698.23330604774</v>
      </c>
      <c r="G216" s="541">
        <f t="shared" si="73"/>
        <v>252652.19797216871</v>
      </c>
      <c r="H216" s="541">
        <f t="shared" si="73"/>
        <v>257705.24193161208</v>
      </c>
      <c r="I216" s="541">
        <f t="shared" si="73"/>
        <v>262859.3467702443</v>
      </c>
      <c r="J216" s="541">
        <f t="shared" si="73"/>
        <v>268116.53370564926</v>
      </c>
      <c r="K216" s="541">
        <f t="shared" si="73"/>
        <v>273478.86437976221</v>
      </c>
      <c r="L216" s="541">
        <f t="shared" si="73"/>
        <v>278948.44166735746</v>
      </c>
      <c r="M216" s="541">
        <f t="shared" si="73"/>
        <v>284527.4105007046</v>
      </c>
      <c r="N216" s="541">
        <f t="shared" si="73"/>
        <v>290217.95871071867</v>
      </c>
      <c r="O216" s="541">
        <f t="shared" si="73"/>
        <v>296022.31788493303</v>
      </c>
      <c r="P216" s="541">
        <f t="shared" si="73"/>
        <v>301942.76424263173</v>
      </c>
      <c r="Q216" s="541">
        <f t="shared" si="73"/>
        <v>307981.61952748441</v>
      </c>
      <c r="R216" s="541">
        <f t="shared" si="73"/>
        <v>314141.25191803405</v>
      </c>
      <c r="S216" s="541">
        <f t="shared" si="73"/>
        <v>320424.07695639477</v>
      </c>
      <c r="T216" s="541">
        <f t="shared" si="73"/>
        <v>326832.55849552265</v>
      </c>
      <c r="U216" s="541">
        <f t="shared" ref="U216:AG216" si="74">$C216*U$16</f>
        <v>333369.2096654331</v>
      </c>
      <c r="V216" s="541">
        <f t="shared" si="74"/>
        <v>340036.59385874175</v>
      </c>
      <c r="W216" s="541">
        <f t="shared" si="74"/>
        <v>346837.32573591662</v>
      </c>
      <c r="X216" s="541">
        <f t="shared" si="74"/>
        <v>353774.07225063496</v>
      </c>
      <c r="Y216" s="541">
        <f t="shared" si="74"/>
        <v>360849.55369564769</v>
      </c>
      <c r="Z216" s="541">
        <f t="shared" si="74"/>
        <v>368066.54476956063</v>
      </c>
      <c r="AA216" s="541">
        <f t="shared" si="74"/>
        <v>375427.87566495186</v>
      </c>
      <c r="AB216" s="541">
        <f t="shared" si="74"/>
        <v>382936.43317825085</v>
      </c>
      <c r="AC216" s="541">
        <f t="shared" si="74"/>
        <v>390595.16184181592</v>
      </c>
      <c r="AD216" s="541">
        <f t="shared" si="74"/>
        <v>398407.06507865223</v>
      </c>
      <c r="AE216" s="541">
        <f t="shared" si="74"/>
        <v>406375.20638022531</v>
      </c>
      <c r="AF216" s="541">
        <f t="shared" si="74"/>
        <v>414502.71050782979</v>
      </c>
      <c r="AG216" s="541">
        <f t="shared" si="74"/>
        <v>422792.7647179864</v>
      </c>
      <c r="AH216" s="423"/>
      <c r="AI216" s="423"/>
    </row>
    <row r="217" spans="1:35" hidden="1" x14ac:dyDescent="0.25">
      <c r="A217" s="449"/>
      <c r="B217" s="449" t="s">
        <v>67</v>
      </c>
      <c r="C217" s="451" t="s">
        <v>0</v>
      </c>
      <c r="D217" s="449"/>
      <c r="E217" s="541">
        <f t="shared" ref="E217:AG217" si="75">SUM(E206:E216)</f>
        <v>7466534.7992244428</v>
      </c>
      <c r="F217" s="541">
        <f t="shared" si="75"/>
        <v>7615865.4952089321</v>
      </c>
      <c r="G217" s="541">
        <f t="shared" si="75"/>
        <v>7768182.8051131107</v>
      </c>
      <c r="H217" s="541">
        <f t="shared" si="75"/>
        <v>7923546.4612153741</v>
      </c>
      <c r="I217" s="541">
        <f t="shared" si="75"/>
        <v>8082017.3904396826</v>
      </c>
      <c r="J217" s="541">
        <f t="shared" si="75"/>
        <v>8243657.7382484749</v>
      </c>
      <c r="K217" s="541">
        <f t="shared" si="75"/>
        <v>8408530.8930134438</v>
      </c>
      <c r="L217" s="541">
        <f t="shared" si="75"/>
        <v>8576701.5108737126</v>
      </c>
      <c r="M217" s="541">
        <f t="shared" si="75"/>
        <v>8748235.5410911888</v>
      </c>
      <c r="N217" s="541">
        <f t="shared" si="75"/>
        <v>8923200.2519130111</v>
      </c>
      <c r="O217" s="541">
        <f t="shared" si="75"/>
        <v>9101664.2569512725</v>
      </c>
      <c r="P217" s="541">
        <f t="shared" si="75"/>
        <v>9283697.5420902986</v>
      </c>
      <c r="Q217" s="541">
        <f t="shared" si="75"/>
        <v>9469371.4929321036</v>
      </c>
      <c r="R217" s="541">
        <f t="shared" si="75"/>
        <v>9658758.9227907471</v>
      </c>
      <c r="S217" s="541">
        <f t="shared" si="75"/>
        <v>9851934.10124656</v>
      </c>
      <c r="T217" s="541">
        <f t="shared" si="75"/>
        <v>10048972.783271493</v>
      </c>
      <c r="U217" s="541">
        <f t="shared" si="75"/>
        <v>10249952.23893692</v>
      </c>
      <c r="V217" s="541">
        <f t="shared" si="75"/>
        <v>10454951.28371566</v>
      </c>
      <c r="W217" s="541">
        <f t="shared" si="75"/>
        <v>10664050.309389973</v>
      </c>
      <c r="X217" s="541">
        <f t="shared" si="75"/>
        <v>10877331.315577773</v>
      </c>
      <c r="Y217" s="541">
        <f t="shared" si="75"/>
        <v>11094877.941889331</v>
      </c>
      <c r="Z217" s="541">
        <f t="shared" si="75"/>
        <v>11316775.500727117</v>
      </c>
      <c r="AA217" s="541">
        <f t="shared" si="75"/>
        <v>11543111.010741659</v>
      </c>
      <c r="AB217" s="541">
        <f t="shared" si="75"/>
        <v>11773973.230956495</v>
      </c>
      <c r="AC217" s="541">
        <f t="shared" si="75"/>
        <v>12009452.695575621</v>
      </c>
      <c r="AD217" s="541">
        <f t="shared" si="75"/>
        <v>12249641.749487134</v>
      </c>
      <c r="AE217" s="541">
        <f t="shared" si="75"/>
        <v>12494634.584476875</v>
      </c>
      <c r="AF217" s="541">
        <f t="shared" si="75"/>
        <v>12744527.276166415</v>
      </c>
      <c r="AG217" s="541">
        <f t="shared" si="75"/>
        <v>12999417.821689745</v>
      </c>
      <c r="AH217" s="423"/>
      <c r="AI217" s="423"/>
    </row>
    <row r="218" spans="1:35" hidden="1" x14ac:dyDescent="0.25">
      <c r="A218" s="449"/>
      <c r="B218" s="449"/>
      <c r="C218" s="449"/>
      <c r="D218" s="449"/>
      <c r="E218" s="450"/>
      <c r="F218" s="450"/>
      <c r="G218" s="450"/>
      <c r="H218" s="450"/>
      <c r="I218" s="450"/>
      <c r="J218" s="450"/>
      <c r="K218" s="450"/>
      <c r="L218" s="450"/>
      <c r="M218" s="450"/>
      <c r="N218" s="450"/>
      <c r="O218" s="450"/>
      <c r="P218" s="450"/>
      <c r="Q218" s="450"/>
      <c r="R218" s="450"/>
      <c r="S218" s="450"/>
      <c r="T218" s="450"/>
      <c r="U218" s="450"/>
      <c r="V218" s="450"/>
      <c r="W218" s="450"/>
      <c r="X218" s="450"/>
      <c r="Y218" s="450"/>
      <c r="Z218" s="450"/>
      <c r="AA218" s="450"/>
      <c r="AB218" s="450"/>
      <c r="AC218" s="450"/>
      <c r="AD218" s="450"/>
      <c r="AE218" s="450"/>
      <c r="AF218" s="450"/>
      <c r="AG218" s="450"/>
      <c r="AH218" s="423"/>
      <c r="AI218" s="423"/>
    </row>
    <row r="219" spans="1:35" hidden="1" x14ac:dyDescent="0.25">
      <c r="A219" s="449"/>
      <c r="B219" s="449"/>
      <c r="C219" s="449"/>
      <c r="D219" s="449"/>
      <c r="E219" s="450"/>
      <c r="F219" s="450"/>
      <c r="G219" s="450"/>
      <c r="H219" s="450"/>
      <c r="I219" s="450"/>
      <c r="J219" s="450"/>
      <c r="K219" s="450"/>
      <c r="L219" s="450"/>
      <c r="M219" s="450"/>
      <c r="N219" s="450"/>
      <c r="O219" s="450"/>
      <c r="P219" s="450"/>
      <c r="Q219" s="450"/>
      <c r="R219" s="450"/>
      <c r="S219" s="450"/>
      <c r="T219" s="450"/>
      <c r="U219" s="450"/>
      <c r="V219" s="450"/>
      <c r="W219" s="450"/>
      <c r="X219" s="450"/>
      <c r="Y219" s="450"/>
      <c r="Z219" s="450"/>
      <c r="AA219" s="450"/>
      <c r="AB219" s="450"/>
      <c r="AC219" s="450"/>
      <c r="AD219" s="450"/>
      <c r="AE219" s="450"/>
      <c r="AF219" s="450"/>
      <c r="AG219" s="450"/>
      <c r="AH219" s="423"/>
      <c r="AI219" s="423"/>
    </row>
    <row r="220" spans="1:35" hidden="1" x14ac:dyDescent="0.25">
      <c r="A220" s="449"/>
      <c r="B220" s="539" t="s">
        <v>56</v>
      </c>
      <c r="C220" s="450"/>
      <c r="D220" s="449"/>
      <c r="E220" s="450"/>
      <c r="F220" s="450"/>
      <c r="G220" s="450"/>
      <c r="H220" s="450"/>
      <c r="I220" s="450"/>
      <c r="J220" s="450"/>
      <c r="K220" s="450"/>
      <c r="L220" s="450"/>
      <c r="M220" s="450"/>
      <c r="N220" s="450"/>
      <c r="O220" s="450"/>
      <c r="P220" s="450"/>
      <c r="Q220" s="450"/>
      <c r="R220" s="450"/>
      <c r="S220" s="450"/>
      <c r="T220" s="450"/>
      <c r="U220" s="450"/>
      <c r="V220" s="450"/>
      <c r="W220" s="450"/>
      <c r="X220" s="450"/>
      <c r="Y220" s="450"/>
      <c r="Z220" s="450"/>
      <c r="AA220" s="450"/>
      <c r="AB220" s="450"/>
      <c r="AC220" s="450"/>
      <c r="AD220" s="450"/>
      <c r="AE220" s="450"/>
      <c r="AF220" s="450"/>
      <c r="AG220" s="450"/>
      <c r="AH220" s="423"/>
      <c r="AI220" s="423"/>
    </row>
    <row r="221" spans="1:35" hidden="1" x14ac:dyDescent="0.25">
      <c r="A221" s="449"/>
      <c r="B221" s="449" t="s">
        <v>80</v>
      </c>
      <c r="C221" s="450" t="s">
        <v>81</v>
      </c>
      <c r="D221" s="449"/>
      <c r="E221" s="450">
        <v>2017</v>
      </c>
      <c r="F221" s="450">
        <v>2018</v>
      </c>
      <c r="G221" s="450">
        <v>2019</v>
      </c>
      <c r="H221" s="450">
        <v>2020</v>
      </c>
      <c r="I221" s="450">
        <v>2021</v>
      </c>
      <c r="J221" s="450">
        <v>2022</v>
      </c>
      <c r="K221" s="450">
        <v>2023</v>
      </c>
      <c r="L221" s="450">
        <v>2024</v>
      </c>
      <c r="M221" s="450">
        <v>2025</v>
      </c>
      <c r="N221" s="450">
        <v>2026</v>
      </c>
      <c r="O221" s="450">
        <v>2027</v>
      </c>
      <c r="P221" s="450">
        <v>2028</v>
      </c>
      <c r="Q221" s="450">
        <v>2029</v>
      </c>
      <c r="R221" s="450">
        <v>2030</v>
      </c>
      <c r="S221" s="450">
        <v>2031</v>
      </c>
      <c r="T221" s="450">
        <v>2032</v>
      </c>
      <c r="U221" s="450">
        <v>2033</v>
      </c>
      <c r="V221" s="450">
        <v>2034</v>
      </c>
      <c r="W221" s="450">
        <v>2035</v>
      </c>
      <c r="X221" s="450">
        <v>2036</v>
      </c>
      <c r="Y221" s="450">
        <v>2037</v>
      </c>
      <c r="Z221" s="450">
        <v>2038</v>
      </c>
      <c r="AA221" s="450">
        <v>2039</v>
      </c>
      <c r="AB221" s="450">
        <v>2040</v>
      </c>
      <c r="AC221" s="450">
        <v>2041</v>
      </c>
      <c r="AD221" s="450">
        <v>2042</v>
      </c>
      <c r="AE221" s="450">
        <v>2043</v>
      </c>
      <c r="AF221" s="450">
        <v>2044</v>
      </c>
      <c r="AG221" s="450">
        <v>2045</v>
      </c>
      <c r="AH221" s="423"/>
      <c r="AI221" s="423"/>
    </row>
    <row r="222" spans="1:35" hidden="1" x14ac:dyDescent="0.25">
      <c r="A222" s="451">
        <v>1</v>
      </c>
      <c r="B222" s="449" t="s">
        <v>82</v>
      </c>
      <c r="C222" s="540">
        <v>0.1041785894647799</v>
      </c>
      <c r="D222" s="449"/>
      <c r="E222" s="541">
        <f t="shared" ref="E222:E232" si="76">$C222*E$19</f>
        <v>194803.76404614068</v>
      </c>
      <c r="F222" s="541">
        <f t="shared" ref="F222:AG231" si="77">$C222*F$19</f>
        <v>226804.40147247454</v>
      </c>
      <c r="G222" s="541">
        <f t="shared" si="77"/>
        <v>233334.31728153207</v>
      </c>
      <c r="H222" s="541">
        <f t="shared" si="77"/>
        <v>236425.21456870061</v>
      </c>
      <c r="I222" s="541">
        <f t="shared" si="77"/>
        <v>238011.60970587618</v>
      </c>
      <c r="J222" s="541">
        <f t="shared" si="77"/>
        <v>241953.35402975418</v>
      </c>
      <c r="K222" s="541">
        <f t="shared" si="77"/>
        <v>242935.11064902818</v>
      </c>
      <c r="L222" s="541">
        <f t="shared" si="77"/>
        <v>250157.24226412922</v>
      </c>
      <c r="M222" s="541">
        <f t="shared" si="77"/>
        <v>252950.61575057413</v>
      </c>
      <c r="N222" s="541">
        <f t="shared" si="77"/>
        <v>263890.60534494434</v>
      </c>
      <c r="O222" s="541">
        <f t="shared" si="77"/>
        <v>263435.15199394402</v>
      </c>
      <c r="P222" s="541">
        <f t="shared" si="77"/>
        <v>266775.75285199255</v>
      </c>
      <c r="Q222" s="541">
        <f t="shared" si="77"/>
        <v>269786.63591894676</v>
      </c>
      <c r="R222" s="541">
        <f t="shared" si="77"/>
        <v>272466.64590446913</v>
      </c>
      <c r="S222" s="541">
        <f t="shared" si="77"/>
        <v>284168.34244999307</v>
      </c>
      <c r="T222" s="541">
        <f t="shared" si="77"/>
        <v>286005.69459652761</v>
      </c>
      <c r="U222" s="541">
        <f t="shared" si="77"/>
        <v>287512.15732669173</v>
      </c>
      <c r="V222" s="541">
        <f t="shared" si="77"/>
        <v>288687.91650885186</v>
      </c>
      <c r="W222" s="541">
        <f t="shared" si="77"/>
        <v>289532.94525019376</v>
      </c>
      <c r="X222" s="541">
        <f t="shared" si="77"/>
        <v>299395.45556990959</v>
      </c>
      <c r="Y222" s="541">
        <f t="shared" si="77"/>
        <v>299391.78301063896</v>
      </c>
      <c r="Z222" s="541">
        <f t="shared" si="77"/>
        <v>299056.75871252455</v>
      </c>
      <c r="AA222" s="541">
        <f t="shared" si="77"/>
        <v>298383.5212916357</v>
      </c>
      <c r="AB222" s="541">
        <f t="shared" si="77"/>
        <v>297385.97192589147</v>
      </c>
      <c r="AC222" s="541">
        <f t="shared" si="77"/>
        <v>305390.38212974434</v>
      </c>
      <c r="AD222" s="541">
        <f t="shared" si="77"/>
        <v>303544.4236619143</v>
      </c>
      <c r="AE222" s="541">
        <f t="shared" si="77"/>
        <v>301370.56462599681</v>
      </c>
      <c r="AF222" s="541">
        <f t="shared" si="77"/>
        <v>298844.07546886569</v>
      </c>
      <c r="AG222" s="541">
        <f t="shared" si="77"/>
        <v>295976.78267427959</v>
      </c>
      <c r="AH222" s="423"/>
      <c r="AI222" s="423"/>
    </row>
    <row r="223" spans="1:35" hidden="1" x14ac:dyDescent="0.25">
      <c r="A223" s="451">
        <v>2</v>
      </c>
      <c r="B223" s="449" t="s">
        <v>83</v>
      </c>
      <c r="C223" s="540">
        <v>4.0274903998339412E-2</v>
      </c>
      <c r="D223" s="449"/>
      <c r="E223" s="541">
        <f t="shared" si="76"/>
        <v>75310.127885019116</v>
      </c>
      <c r="F223" s="541">
        <f t="shared" ref="F223:T223" si="78">$C223*F$19</f>
        <v>87681.408844500533</v>
      </c>
      <c r="G223" s="541">
        <f t="shared" si="78"/>
        <v>90205.840531262249</v>
      </c>
      <c r="H223" s="541">
        <f t="shared" si="78"/>
        <v>91400.765440007788</v>
      </c>
      <c r="I223" s="541">
        <f t="shared" si="78"/>
        <v>92014.057597075996</v>
      </c>
      <c r="J223" s="541">
        <f t="shared" si="78"/>
        <v>93537.915570636455</v>
      </c>
      <c r="K223" s="541">
        <f t="shared" si="78"/>
        <v>93917.457603160918</v>
      </c>
      <c r="L223" s="541">
        <f t="shared" si="78"/>
        <v>96709.49634121565</v>
      </c>
      <c r="M223" s="541">
        <f t="shared" si="78"/>
        <v>97789.400087043483</v>
      </c>
      <c r="N223" s="541">
        <f t="shared" si="78"/>
        <v>102018.74349550891</v>
      </c>
      <c r="O223" s="541">
        <f t="shared" si="78"/>
        <v>101842.66758507951</v>
      </c>
      <c r="P223" s="541">
        <f t="shared" si="78"/>
        <v>103134.12660315503</v>
      </c>
      <c r="Q223" s="541">
        <f t="shared" si="78"/>
        <v>104298.11842810482</v>
      </c>
      <c r="R223" s="541">
        <f t="shared" si="78"/>
        <v>105334.19643065828</v>
      </c>
      <c r="S223" s="541">
        <f t="shared" si="78"/>
        <v>109858.01180779011</v>
      </c>
      <c r="T223" s="541">
        <f t="shared" si="78"/>
        <v>110568.32264702296</v>
      </c>
      <c r="U223" s="541">
        <f t="shared" si="77"/>
        <v>111150.71334885663</v>
      </c>
      <c r="V223" s="541">
        <f t="shared" si="77"/>
        <v>111605.25576904055</v>
      </c>
      <c r="W223" s="541">
        <f t="shared" si="77"/>
        <v>111931.93951095172</v>
      </c>
      <c r="X223" s="541">
        <f t="shared" si="77"/>
        <v>115744.73500328723</v>
      </c>
      <c r="Y223" s="541">
        <f t="shared" si="77"/>
        <v>115743.31521086335</v>
      </c>
      <c r="Z223" s="541">
        <f t="shared" si="77"/>
        <v>115613.7965495627</v>
      </c>
      <c r="AA223" s="541">
        <f t="shared" si="77"/>
        <v>115353.52644383666</v>
      </c>
      <c r="AB223" s="541">
        <f t="shared" si="77"/>
        <v>114967.87901718824</v>
      </c>
      <c r="AC223" s="541">
        <f t="shared" si="77"/>
        <v>118062.34261263259</v>
      </c>
      <c r="AD223" s="541">
        <f t="shared" si="77"/>
        <v>117348.70461408867</v>
      </c>
      <c r="AE223" s="541">
        <f t="shared" si="77"/>
        <v>116508.30195143697</v>
      </c>
      <c r="AF223" s="541">
        <f t="shared" si="77"/>
        <v>115531.57430731098</v>
      </c>
      <c r="AG223" s="541">
        <f t="shared" si="77"/>
        <v>114423.09373917921</v>
      </c>
      <c r="AH223" s="423"/>
      <c r="AI223" s="423"/>
    </row>
    <row r="224" spans="1:35" hidden="1" x14ac:dyDescent="0.25">
      <c r="A224" s="451">
        <v>3</v>
      </c>
      <c r="B224" s="449" t="s">
        <v>84</v>
      </c>
      <c r="C224" s="540">
        <v>0.11593535085001035</v>
      </c>
      <c r="D224" s="449"/>
      <c r="E224" s="541">
        <f t="shared" si="76"/>
        <v>216787.75694335197</v>
      </c>
      <c r="F224" s="541">
        <f t="shared" si="77"/>
        <v>252399.73006092085</v>
      </c>
      <c r="G224" s="541">
        <f t="shared" si="77"/>
        <v>259666.55987915382</v>
      </c>
      <c r="H224" s="541">
        <f t="shared" si="77"/>
        <v>263106.27108344476</v>
      </c>
      <c r="I224" s="541">
        <f t="shared" si="77"/>
        <v>264871.6940725646</v>
      </c>
      <c r="J224" s="541">
        <f t="shared" si="77"/>
        <v>269258.27209687477</v>
      </c>
      <c r="K224" s="541">
        <f t="shared" si="77"/>
        <v>270350.82190667355</v>
      </c>
      <c r="L224" s="541">
        <f t="shared" si="77"/>
        <v>278387.98546382424</v>
      </c>
      <c r="M224" s="541">
        <f t="shared" si="77"/>
        <v>281496.59671369713</v>
      </c>
      <c r="N224" s="541">
        <f t="shared" si="77"/>
        <v>293671.18593049166</v>
      </c>
      <c r="O224" s="541">
        <f t="shared" si="77"/>
        <v>293164.33376139135</v>
      </c>
      <c r="P224" s="541">
        <f t="shared" si="77"/>
        <v>296881.92808204243</v>
      </c>
      <c r="Q224" s="541">
        <f t="shared" si="77"/>
        <v>300232.59530194849</v>
      </c>
      <c r="R224" s="541">
        <f t="shared" si="77"/>
        <v>303215.04975395574</v>
      </c>
      <c r="S224" s="541">
        <f t="shared" si="77"/>
        <v>316237.30606895714</v>
      </c>
      <c r="T224" s="541">
        <f t="shared" si="77"/>
        <v>318282.00706594577</v>
      </c>
      <c r="U224" s="541">
        <f t="shared" si="77"/>
        <v>319958.4771166665</v>
      </c>
      <c r="V224" s="541">
        <f t="shared" si="77"/>
        <v>321266.9230651015</v>
      </c>
      <c r="W224" s="541">
        <f t="shared" si="77"/>
        <v>322207.31498352863</v>
      </c>
      <c r="X224" s="541">
        <f t="shared" si="77"/>
        <v>333182.82924276765</v>
      </c>
      <c r="Y224" s="541">
        <f t="shared" si="77"/>
        <v>333178.74222786614</v>
      </c>
      <c r="Z224" s="541">
        <f t="shared" si="77"/>
        <v>332805.90977021126</v>
      </c>
      <c r="AA224" s="541">
        <f t="shared" si="77"/>
        <v>332056.69616502523</v>
      </c>
      <c r="AB224" s="541">
        <f t="shared" si="77"/>
        <v>330946.57136585173</v>
      </c>
      <c r="AC224" s="541">
        <f t="shared" si="77"/>
        <v>339854.29520909709</v>
      </c>
      <c r="AD224" s="541">
        <f t="shared" si="77"/>
        <v>337800.01665030769</v>
      </c>
      <c r="AE224" s="541">
        <f t="shared" si="77"/>
        <v>335380.8332910171</v>
      </c>
      <c r="AF224" s="541">
        <f t="shared" si="77"/>
        <v>332569.22479875805</v>
      </c>
      <c r="AG224" s="541">
        <f t="shared" si="77"/>
        <v>329378.35229954432</v>
      </c>
      <c r="AH224" s="423"/>
      <c r="AI224" s="423"/>
    </row>
    <row r="225" spans="1:35" hidden="1" x14ac:dyDescent="0.25">
      <c r="A225" s="451">
        <v>4</v>
      </c>
      <c r="B225" s="449" t="s">
        <v>85</v>
      </c>
      <c r="C225" s="540">
        <v>0.44811602338067519</v>
      </c>
      <c r="D225" s="449"/>
      <c r="E225" s="541">
        <f t="shared" si="76"/>
        <v>837933.09673727152</v>
      </c>
      <c r="F225" s="541">
        <f t="shared" si="77"/>
        <v>975581.32621328603</v>
      </c>
      <c r="G225" s="541">
        <f t="shared" si="77"/>
        <v>1003669.2463934179</v>
      </c>
      <c r="H225" s="541">
        <f t="shared" si="77"/>
        <v>1016964.4984036436</v>
      </c>
      <c r="I225" s="541">
        <f t="shared" si="77"/>
        <v>1023788.2525361747</v>
      </c>
      <c r="J225" s="541">
        <f t="shared" si="77"/>
        <v>1040743.3562736535</v>
      </c>
      <c r="K225" s="541">
        <f t="shared" si="77"/>
        <v>1044966.3052924194</v>
      </c>
      <c r="L225" s="541">
        <f t="shared" si="77"/>
        <v>1076031.7374154476</v>
      </c>
      <c r="M225" s="541">
        <f t="shared" si="77"/>
        <v>1088047.2141558568</v>
      </c>
      <c r="N225" s="541">
        <f t="shared" si="77"/>
        <v>1135104.7204826488</v>
      </c>
      <c r="O225" s="541">
        <f t="shared" si="77"/>
        <v>1133145.62365158</v>
      </c>
      <c r="P225" s="541">
        <f t="shared" si="77"/>
        <v>1147514.9559673807</v>
      </c>
      <c r="Q225" s="541">
        <f t="shared" si="77"/>
        <v>1160466.0330913789</v>
      </c>
      <c r="R225" s="541">
        <f t="shared" si="77"/>
        <v>1171993.8856328919</v>
      </c>
      <c r="S225" s="541">
        <f t="shared" si="77"/>
        <v>1222327.8146074277</v>
      </c>
      <c r="T225" s="541">
        <f t="shared" si="77"/>
        <v>1230231.0406127421</v>
      </c>
      <c r="U225" s="541">
        <f t="shared" si="77"/>
        <v>1236710.9717721147</v>
      </c>
      <c r="V225" s="541">
        <f t="shared" si="77"/>
        <v>1241768.4075837319</v>
      </c>
      <c r="W225" s="541">
        <f t="shared" si="77"/>
        <v>1245403.2323702637</v>
      </c>
      <c r="X225" s="541">
        <f t="shared" si="77"/>
        <v>1287826.0461914861</v>
      </c>
      <c r="Y225" s="541">
        <f t="shared" si="77"/>
        <v>1287810.2489661209</v>
      </c>
      <c r="Z225" s="541">
        <f t="shared" si="77"/>
        <v>1286369.1682509931</v>
      </c>
      <c r="AA225" s="541">
        <f t="shared" si="77"/>
        <v>1283473.2903418208</v>
      </c>
      <c r="AB225" s="541">
        <f t="shared" si="77"/>
        <v>1279182.410064023</v>
      </c>
      <c r="AC225" s="541">
        <f t="shared" si="77"/>
        <v>1313612.7521188161</v>
      </c>
      <c r="AD225" s="541">
        <f t="shared" si="77"/>
        <v>1305672.5066981434</v>
      </c>
      <c r="AE225" s="541">
        <f t="shared" si="77"/>
        <v>1296321.8227277598</v>
      </c>
      <c r="AF225" s="541">
        <f t="shared" si="77"/>
        <v>1285454.3279764438</v>
      </c>
      <c r="AG225" s="541">
        <f t="shared" si="77"/>
        <v>1273120.8931355702</v>
      </c>
      <c r="AH225" s="423"/>
      <c r="AI225" s="423"/>
    </row>
    <row r="226" spans="1:35" hidden="1" x14ac:dyDescent="0.25">
      <c r="A226" s="451">
        <v>5</v>
      </c>
      <c r="B226" s="449" t="s">
        <v>86</v>
      </c>
      <c r="C226" s="540">
        <v>0.19004067891249071</v>
      </c>
      <c r="D226" s="449"/>
      <c r="E226" s="541">
        <f t="shared" si="76"/>
        <v>355357.46609962452</v>
      </c>
      <c r="F226" s="541">
        <f t="shared" si="77"/>
        <v>413732.4440425628</v>
      </c>
      <c r="G226" s="541">
        <f t="shared" si="77"/>
        <v>425644.19711937167</v>
      </c>
      <c r="H226" s="541">
        <f t="shared" si="77"/>
        <v>431282.5554607549</v>
      </c>
      <c r="I226" s="541">
        <f t="shared" si="77"/>
        <v>434176.42847670935</v>
      </c>
      <c r="J226" s="541">
        <f t="shared" si="77"/>
        <v>441366.88643220393</v>
      </c>
      <c r="K226" s="541">
        <f t="shared" si="77"/>
        <v>443157.78891429922</v>
      </c>
      <c r="L226" s="541">
        <f t="shared" si="77"/>
        <v>456332.26941341534</v>
      </c>
      <c r="M226" s="541">
        <f t="shared" si="77"/>
        <v>461427.89027512423</v>
      </c>
      <c r="N226" s="541">
        <f t="shared" si="77"/>
        <v>481384.41935169208</v>
      </c>
      <c r="O226" s="541">
        <f t="shared" si="77"/>
        <v>480553.58967275562</v>
      </c>
      <c r="P226" s="541">
        <f t="shared" si="77"/>
        <v>486647.45270450483</v>
      </c>
      <c r="Q226" s="541">
        <f t="shared" si="77"/>
        <v>492139.85056772927</v>
      </c>
      <c r="R226" s="541">
        <f t="shared" si="77"/>
        <v>497028.67580290983</v>
      </c>
      <c r="S226" s="541">
        <f t="shared" si="77"/>
        <v>518374.69677866052</v>
      </c>
      <c r="T226" s="541">
        <f t="shared" si="77"/>
        <v>521726.36098454607</v>
      </c>
      <c r="U226" s="541">
        <f t="shared" si="77"/>
        <v>524474.42276449106</v>
      </c>
      <c r="V226" s="541">
        <f t="shared" si="77"/>
        <v>526619.22117617296</v>
      </c>
      <c r="W226" s="541">
        <f t="shared" si="77"/>
        <v>528160.70716221118</v>
      </c>
      <c r="X226" s="541">
        <f t="shared" si="77"/>
        <v>546151.71823818539</v>
      </c>
      <c r="Y226" s="541">
        <f t="shared" si="77"/>
        <v>546145.01882268442</v>
      </c>
      <c r="Z226" s="541">
        <f t="shared" si="77"/>
        <v>545533.87362103653</v>
      </c>
      <c r="AA226" s="541">
        <f t="shared" si="77"/>
        <v>544305.76622207556</v>
      </c>
      <c r="AB226" s="541">
        <f t="shared" si="77"/>
        <v>542486.05490050069</v>
      </c>
      <c r="AC226" s="541">
        <f t="shared" si="77"/>
        <v>557087.55370413477</v>
      </c>
      <c r="AD226" s="541">
        <f t="shared" si="77"/>
        <v>553720.19000423292</v>
      </c>
      <c r="AE226" s="541">
        <f t="shared" si="77"/>
        <v>549754.67608080362</v>
      </c>
      <c r="AF226" s="541">
        <f t="shared" si="77"/>
        <v>545145.90073499642</v>
      </c>
      <c r="AG226" s="541">
        <f t="shared" si="77"/>
        <v>539915.43762234075</v>
      </c>
      <c r="AH226" s="423"/>
      <c r="AI226" s="423"/>
    </row>
    <row r="227" spans="1:35" hidden="1" x14ac:dyDescent="0.25">
      <c r="A227" s="451">
        <v>6</v>
      </c>
      <c r="B227" s="449" t="s">
        <v>87</v>
      </c>
      <c r="C227" s="540">
        <v>9.4580161433521368E-2</v>
      </c>
      <c r="D227" s="449"/>
      <c r="E227" s="541">
        <f t="shared" si="76"/>
        <v>176855.64323723604</v>
      </c>
      <c r="F227" s="541">
        <f t="shared" si="77"/>
        <v>205907.92230251813</v>
      </c>
      <c r="G227" s="541">
        <f t="shared" si="77"/>
        <v>211836.20847476239</v>
      </c>
      <c r="H227" s="541">
        <f t="shared" si="77"/>
        <v>214642.32790771616</v>
      </c>
      <c r="I227" s="541">
        <f t="shared" si="77"/>
        <v>216082.56153865956</v>
      </c>
      <c r="J227" s="541">
        <f t="shared" si="77"/>
        <v>219661.13575815485</v>
      </c>
      <c r="K227" s="541">
        <f t="shared" si="77"/>
        <v>220552.43885619452</v>
      </c>
      <c r="L227" s="541">
        <f t="shared" si="77"/>
        <v>227109.16397178391</v>
      </c>
      <c r="M227" s="541">
        <f t="shared" si="77"/>
        <v>229645.17177002152</v>
      </c>
      <c r="N227" s="541">
        <f t="shared" si="77"/>
        <v>239577.21238635553</v>
      </c>
      <c r="O227" s="541">
        <f t="shared" si="77"/>
        <v>239163.72193995613</v>
      </c>
      <c r="P227" s="541">
        <f t="shared" si="77"/>
        <v>242196.53866422182</v>
      </c>
      <c r="Q227" s="541">
        <f t="shared" si="77"/>
        <v>244930.01593621209</v>
      </c>
      <c r="R227" s="541">
        <f t="shared" si="77"/>
        <v>247363.10490752949</v>
      </c>
      <c r="S227" s="541">
        <f t="shared" si="77"/>
        <v>257986.67308989479</v>
      </c>
      <c r="T227" s="541">
        <f t="shared" si="77"/>
        <v>259654.74196587253</v>
      </c>
      <c r="U227" s="541">
        <f t="shared" si="77"/>
        <v>261022.40771124791</v>
      </c>
      <c r="V227" s="541">
        <f t="shared" si="77"/>
        <v>262089.83906952379</v>
      </c>
      <c r="W227" s="541">
        <f t="shared" si="77"/>
        <v>262857.01162563812</v>
      </c>
      <c r="X227" s="541">
        <f t="shared" si="77"/>
        <v>271810.84583447856</v>
      </c>
      <c r="Y227" s="541">
        <f t="shared" si="77"/>
        <v>271807.51164411876</v>
      </c>
      <c r="Z227" s="541">
        <f t="shared" si="77"/>
        <v>271503.35459647008</v>
      </c>
      <c r="AA227" s="541">
        <f t="shared" si="77"/>
        <v>270892.14547684306</v>
      </c>
      <c r="AB227" s="541">
        <f t="shared" si="77"/>
        <v>269986.50468697713</v>
      </c>
      <c r="AC227" s="541">
        <f t="shared" si="77"/>
        <v>277253.43365145958</v>
      </c>
      <c r="AD227" s="541">
        <f t="shared" si="77"/>
        <v>275577.55139212101</v>
      </c>
      <c r="AE227" s="541">
        <f t="shared" si="77"/>
        <v>273603.97947482887</v>
      </c>
      <c r="AF227" s="541">
        <f t="shared" si="77"/>
        <v>271310.26678809407</v>
      </c>
      <c r="AG227" s="541">
        <f t="shared" si="77"/>
        <v>268707.15019012161</v>
      </c>
      <c r="AH227" s="423"/>
      <c r="AI227" s="423"/>
    </row>
    <row r="228" spans="1:35" hidden="1" x14ac:dyDescent="0.25">
      <c r="A228" s="451">
        <v>7</v>
      </c>
      <c r="B228" s="449" t="s">
        <v>88</v>
      </c>
      <c r="C228" s="540">
        <v>6.7348296822170505E-3</v>
      </c>
      <c r="D228" s="449"/>
      <c r="E228" s="541">
        <f t="shared" si="76"/>
        <v>12593.472219635862</v>
      </c>
      <c r="F228" s="541">
        <f t="shared" si="77"/>
        <v>14662.216324312001</v>
      </c>
      <c r="G228" s="541">
        <f t="shared" si="77"/>
        <v>15084.355566541681</v>
      </c>
      <c r="H228" s="541">
        <f t="shared" si="77"/>
        <v>15284.172696925696</v>
      </c>
      <c r="I228" s="541">
        <f t="shared" si="77"/>
        <v>15386.728328677525</v>
      </c>
      <c r="J228" s="541">
        <f t="shared" si="77"/>
        <v>15641.550138116008</v>
      </c>
      <c r="K228" s="541">
        <f t="shared" si="77"/>
        <v>15705.017724442227</v>
      </c>
      <c r="L228" s="541">
        <f t="shared" si="77"/>
        <v>16171.906618025341</v>
      </c>
      <c r="M228" s="541">
        <f t="shared" si="77"/>
        <v>16352.48973751927</v>
      </c>
      <c r="N228" s="541">
        <f t="shared" si="77"/>
        <v>17059.726867738038</v>
      </c>
      <c r="O228" s="541">
        <f t="shared" si="77"/>
        <v>17030.283190654856</v>
      </c>
      <c r="P228" s="541">
        <f t="shared" si="77"/>
        <v>17246.242899178567</v>
      </c>
      <c r="Q228" s="541">
        <f t="shared" si="77"/>
        <v>17440.887353026381</v>
      </c>
      <c r="R228" s="541">
        <f t="shared" si="77"/>
        <v>17614.14186618368</v>
      </c>
      <c r="S228" s="541">
        <f t="shared" si="77"/>
        <v>18370.621039418547</v>
      </c>
      <c r="T228" s="541">
        <f t="shared" si="77"/>
        <v>18489.400280304213</v>
      </c>
      <c r="U228" s="541">
        <f t="shared" si="77"/>
        <v>18586.788524495143</v>
      </c>
      <c r="V228" s="541">
        <f t="shared" si="77"/>
        <v>18662.797787817228</v>
      </c>
      <c r="W228" s="541">
        <f t="shared" si="77"/>
        <v>18717.426331731618</v>
      </c>
      <c r="X228" s="541">
        <f t="shared" si="77"/>
        <v>19355.007696421235</v>
      </c>
      <c r="Y228" s="541">
        <f t="shared" si="77"/>
        <v>19354.770276608655</v>
      </c>
      <c r="Z228" s="541">
        <f t="shared" si="77"/>
        <v>19333.111972356346</v>
      </c>
      <c r="AA228" s="541">
        <f t="shared" si="77"/>
        <v>19289.589216013839</v>
      </c>
      <c r="AB228" s="541">
        <f t="shared" si="77"/>
        <v>19225.100676550916</v>
      </c>
      <c r="AC228" s="541">
        <f t="shared" si="77"/>
        <v>19742.561507096856</v>
      </c>
      <c r="AD228" s="541">
        <f t="shared" si="77"/>
        <v>19623.22589365505</v>
      </c>
      <c r="AE228" s="541">
        <f t="shared" si="77"/>
        <v>19482.692503490438</v>
      </c>
      <c r="AF228" s="541">
        <f t="shared" si="77"/>
        <v>19319.362646034468</v>
      </c>
      <c r="AG228" s="541">
        <f t="shared" si="77"/>
        <v>19134.000867575051</v>
      </c>
      <c r="AH228" s="423"/>
      <c r="AI228" s="423"/>
    </row>
    <row r="229" spans="1:35" hidden="1" x14ac:dyDescent="0.25">
      <c r="A229" s="451">
        <v>8</v>
      </c>
      <c r="B229" s="449" t="s">
        <v>89</v>
      </c>
      <c r="C229" s="540">
        <v>6.0346686079176045E-4</v>
      </c>
      <c r="D229" s="449"/>
      <c r="E229" s="541">
        <f t="shared" si="76"/>
        <v>1128.4239550880704</v>
      </c>
      <c r="F229" s="541">
        <f t="shared" si="77"/>
        <v>1313.7914505611559</v>
      </c>
      <c r="G229" s="541">
        <f t="shared" si="77"/>
        <v>1351.6167639462892</v>
      </c>
      <c r="H229" s="541">
        <f t="shared" si="77"/>
        <v>1369.5211538262074</v>
      </c>
      <c r="I229" s="541">
        <f t="shared" si="77"/>
        <v>1378.710536196664</v>
      </c>
      <c r="J229" s="541">
        <f t="shared" si="77"/>
        <v>1401.5435586573738</v>
      </c>
      <c r="K229" s="541">
        <f t="shared" si="77"/>
        <v>1407.2305005533867</v>
      </c>
      <c r="L229" s="541">
        <f t="shared" si="77"/>
        <v>1449.0655562628269</v>
      </c>
      <c r="M229" s="541">
        <f t="shared" si="77"/>
        <v>1465.2465041672303</v>
      </c>
      <c r="N229" s="541">
        <f t="shared" si="77"/>
        <v>1528.6176940780044</v>
      </c>
      <c r="O229" s="541">
        <f t="shared" si="77"/>
        <v>1525.9794264130521</v>
      </c>
      <c r="P229" s="541">
        <f t="shared" si="77"/>
        <v>1545.3302539038234</v>
      </c>
      <c r="Q229" s="541">
        <f t="shared" si="77"/>
        <v>1562.7711519036966</v>
      </c>
      <c r="R229" s="541">
        <f t="shared" si="77"/>
        <v>1578.29542825609</v>
      </c>
      <c r="S229" s="541">
        <f t="shared" si="77"/>
        <v>1646.0788962080385</v>
      </c>
      <c r="T229" s="541">
        <f t="shared" si="77"/>
        <v>1656.7219768807045</v>
      </c>
      <c r="U229" s="541">
        <f t="shared" si="77"/>
        <v>1665.4483412838167</v>
      </c>
      <c r="V229" s="541">
        <f t="shared" si="77"/>
        <v>1672.2590660819785</v>
      </c>
      <c r="W229" s="541">
        <f t="shared" si="77"/>
        <v>1677.1539954953664</v>
      </c>
      <c r="X229" s="541">
        <f t="shared" si="77"/>
        <v>1734.2837586524818</v>
      </c>
      <c r="Y229" s="541">
        <f t="shared" si="77"/>
        <v>1734.2624849164338</v>
      </c>
      <c r="Z229" s="541">
        <f t="shared" si="77"/>
        <v>1732.32181685296</v>
      </c>
      <c r="AA229" s="541">
        <f t="shared" si="77"/>
        <v>1728.4220090801864</v>
      </c>
      <c r="AB229" s="541">
        <f t="shared" si="77"/>
        <v>1722.6435858233231</v>
      </c>
      <c r="AC229" s="541">
        <f t="shared" si="77"/>
        <v>1769.0100832296032</v>
      </c>
      <c r="AD229" s="541">
        <f t="shared" si="77"/>
        <v>1758.3171494179974</v>
      </c>
      <c r="AE229" s="541">
        <f t="shared" si="77"/>
        <v>1745.7248125957328</v>
      </c>
      <c r="AF229" s="541">
        <f t="shared" si="77"/>
        <v>1731.0898238872919</v>
      </c>
      <c r="AG229" s="541">
        <f t="shared" si="77"/>
        <v>1714.4806896053897</v>
      </c>
      <c r="AH229" s="423"/>
      <c r="AI229" s="423"/>
    </row>
    <row r="230" spans="1:35" hidden="1" x14ac:dyDescent="0.25">
      <c r="A230" s="451">
        <v>9</v>
      </c>
      <c r="B230" s="449" t="s">
        <v>90</v>
      </c>
      <c r="C230" s="540">
        <v>-7.3590122104963598E-3</v>
      </c>
      <c r="D230" s="449"/>
      <c r="E230" s="541">
        <f t="shared" si="76"/>
        <v>-13760.632445027026</v>
      </c>
      <c r="F230" s="541">
        <f t="shared" si="77"/>
        <v>-16021.107296663138</v>
      </c>
      <c r="G230" s="541">
        <f t="shared" si="77"/>
        <v>-16482.370310678252</v>
      </c>
      <c r="H230" s="541">
        <f t="shared" si="77"/>
        <v>-16700.706448597964</v>
      </c>
      <c r="I230" s="541">
        <f t="shared" si="77"/>
        <v>-16812.766913662083</v>
      </c>
      <c r="J230" s="541">
        <f t="shared" si="77"/>
        <v>-17091.205552149117</v>
      </c>
      <c r="K230" s="541">
        <f t="shared" si="77"/>
        <v>-17160.555300366002</v>
      </c>
      <c r="L230" s="541">
        <f t="shared" si="77"/>
        <v>-17670.715353543805</v>
      </c>
      <c r="M230" s="541">
        <f t="shared" si="77"/>
        <v>-17868.034876689915</v>
      </c>
      <c r="N230" s="541">
        <f t="shared" si="77"/>
        <v>-18640.818588019498</v>
      </c>
      <c r="O230" s="541">
        <f t="shared" si="77"/>
        <v>-18608.64607744374</v>
      </c>
      <c r="P230" s="541">
        <f t="shared" si="77"/>
        <v>-18844.620884081771</v>
      </c>
      <c r="Q230" s="541">
        <f t="shared" si="77"/>
        <v>-19057.304942945739</v>
      </c>
      <c r="R230" s="541">
        <f t="shared" si="77"/>
        <v>-19246.616646137682</v>
      </c>
      <c r="S230" s="541">
        <f t="shared" si="77"/>
        <v>-20073.206142160241</v>
      </c>
      <c r="T230" s="541">
        <f t="shared" si="77"/>
        <v>-20202.993816871469</v>
      </c>
      <c r="U230" s="541">
        <f t="shared" si="77"/>
        <v>-20309.407982036213</v>
      </c>
      <c r="V230" s="541">
        <f t="shared" si="77"/>
        <v>-20392.461767104451</v>
      </c>
      <c r="W230" s="541">
        <f t="shared" si="77"/>
        <v>-20452.153272409942</v>
      </c>
      <c r="X230" s="541">
        <f t="shared" si="77"/>
        <v>-21148.825537237175</v>
      </c>
      <c r="Y230" s="541">
        <f t="shared" si="77"/>
        <v>-21148.566113408775</v>
      </c>
      <c r="Z230" s="541">
        <f t="shared" si="77"/>
        <v>-21124.900522299286</v>
      </c>
      <c r="AA230" s="541">
        <f t="shared" si="77"/>
        <v>-21077.344086506313</v>
      </c>
      <c r="AB230" s="541">
        <f t="shared" si="77"/>
        <v>-21006.878763441382</v>
      </c>
      <c r="AC230" s="541">
        <f t="shared" si="77"/>
        <v>-21572.297749536301</v>
      </c>
      <c r="AD230" s="541">
        <f t="shared" si="77"/>
        <v>-21441.902137783251</v>
      </c>
      <c r="AE230" s="541">
        <f t="shared" si="77"/>
        <v>-21288.344144039987</v>
      </c>
      <c r="AF230" s="541">
        <f t="shared" si="77"/>
        <v>-21109.87691144897</v>
      </c>
      <c r="AG230" s="541">
        <f t="shared" si="77"/>
        <v>-20907.335844279303</v>
      </c>
      <c r="AH230" s="423"/>
      <c r="AI230" s="423"/>
    </row>
    <row r="231" spans="1:35" hidden="1" x14ac:dyDescent="0.25">
      <c r="A231" s="451">
        <v>10</v>
      </c>
      <c r="B231" s="449" t="s">
        <v>91</v>
      </c>
      <c r="C231" s="540">
        <v>4.0733571346658459E-3</v>
      </c>
      <c r="D231" s="449"/>
      <c r="E231" s="541">
        <f t="shared" si="76"/>
        <v>7616.7790926500584</v>
      </c>
      <c r="F231" s="541">
        <f t="shared" si="77"/>
        <v>8867.9961176077613</v>
      </c>
      <c r="G231" s="541">
        <f t="shared" si="77"/>
        <v>9123.3142140251093</v>
      </c>
      <c r="H231" s="541">
        <f t="shared" si="77"/>
        <v>9244.1675350567184</v>
      </c>
      <c r="I231" s="541">
        <f t="shared" si="77"/>
        <v>9306.1951933655109</v>
      </c>
      <c r="J231" s="541">
        <f t="shared" si="77"/>
        <v>9460.3164235260047</v>
      </c>
      <c r="K231" s="541">
        <f t="shared" si="77"/>
        <v>9498.702865022</v>
      </c>
      <c r="L231" s="541">
        <f t="shared" si="77"/>
        <v>9781.0864286026263</v>
      </c>
      <c r="M231" s="541">
        <f t="shared" si="77"/>
        <v>9890.3066424609024</v>
      </c>
      <c r="N231" s="541">
        <f t="shared" si="77"/>
        <v>10318.057535387548</v>
      </c>
      <c r="O231" s="541">
        <f t="shared" si="77"/>
        <v>10300.249421778639</v>
      </c>
      <c r="P231" s="541">
        <f t="shared" si="77"/>
        <v>10430.866090799707</v>
      </c>
      <c r="Q231" s="541">
        <f t="shared" si="77"/>
        <v>10548.590875570082</v>
      </c>
      <c r="R231" s="541">
        <f t="shared" si="77"/>
        <v>10653.378604522719</v>
      </c>
      <c r="S231" s="541">
        <f t="shared" si="77"/>
        <v>11110.912051234616</v>
      </c>
      <c r="T231" s="541">
        <f t="shared" si="77"/>
        <v>11182.752066668021</v>
      </c>
      <c r="U231" s="541">
        <f t="shared" si="77"/>
        <v>11241.654387591618</v>
      </c>
      <c r="V231" s="541">
        <f t="shared" si="77"/>
        <v>11287.626281412662</v>
      </c>
      <c r="W231" s="541">
        <f t="shared" si="77"/>
        <v>11320.66669662875</v>
      </c>
      <c r="X231" s="541">
        <f t="shared" ref="F231:AG232" si="79">$C231*X$19</f>
        <v>11706.288415860336</v>
      </c>
      <c r="Y231" s="541">
        <f t="shared" si="79"/>
        <v>11706.144819699315</v>
      </c>
      <c r="Z231" s="541">
        <f t="shared" si="79"/>
        <v>11693.045452333892</v>
      </c>
      <c r="AA231" s="541">
        <f t="shared" si="79"/>
        <v>11666.722035345907</v>
      </c>
      <c r="AB231" s="541">
        <f t="shared" si="79"/>
        <v>11627.718101360897</v>
      </c>
      <c r="AC231" s="541">
        <f t="shared" si="79"/>
        <v>11940.688564679362</v>
      </c>
      <c r="AD231" s="541">
        <f t="shared" si="79"/>
        <v>11868.51204420752</v>
      </c>
      <c r="AE231" s="541">
        <f t="shared" si="79"/>
        <v>11783.514692456027</v>
      </c>
      <c r="AF231" s="541">
        <f t="shared" si="79"/>
        <v>11684.729590001407</v>
      </c>
      <c r="AG231" s="541">
        <f t="shared" si="79"/>
        <v>11572.619149439608</v>
      </c>
      <c r="AH231" s="423"/>
      <c r="AI231" s="423"/>
    </row>
    <row r="232" spans="1:35" ht="15.75" hidden="1" customHeight="1" x14ac:dyDescent="0.25">
      <c r="A232" s="451">
        <v>11</v>
      </c>
      <c r="B232" s="449" t="s">
        <v>92</v>
      </c>
      <c r="C232" s="540">
        <v>2.8216504930048164E-3</v>
      </c>
      <c r="D232" s="449"/>
      <c r="E232" s="541">
        <f t="shared" si="76"/>
        <v>5276.2102048407505</v>
      </c>
      <c r="F232" s="541">
        <f t="shared" si="79"/>
        <v>6142.9392979718259</v>
      </c>
      <c r="G232" s="541">
        <f t="shared" si="79"/>
        <v>6319.8004002056614</v>
      </c>
      <c r="H232" s="541">
        <f t="shared" si="79"/>
        <v>6403.5165639488341</v>
      </c>
      <c r="I232" s="541">
        <f t="shared" si="79"/>
        <v>6446.4836711434009</v>
      </c>
      <c r="J232" s="541">
        <f t="shared" si="79"/>
        <v>6553.2448096067828</v>
      </c>
      <c r="K232" s="541">
        <f t="shared" si="79"/>
        <v>6579.8354369421795</v>
      </c>
      <c r="L232" s="541">
        <f t="shared" si="79"/>
        <v>6775.4450275211047</v>
      </c>
      <c r="M232" s="541">
        <f t="shared" si="79"/>
        <v>6851.102835096226</v>
      </c>
      <c r="N232" s="541">
        <f t="shared" si="79"/>
        <v>7147.4096596655709</v>
      </c>
      <c r="O232" s="541">
        <f t="shared" si="79"/>
        <v>7135.0738219565628</v>
      </c>
      <c r="P232" s="541">
        <f t="shared" si="79"/>
        <v>7225.5531431536674</v>
      </c>
      <c r="Q232" s="541">
        <f t="shared" si="79"/>
        <v>7307.1021421744617</v>
      </c>
      <c r="R232" s="541">
        <f t="shared" si="79"/>
        <v>7379.6895282751693</v>
      </c>
      <c r="S232" s="541">
        <f t="shared" si="79"/>
        <v>7696.6269911099198</v>
      </c>
      <c r="T232" s="541">
        <f t="shared" si="79"/>
        <v>7746.3912048195443</v>
      </c>
      <c r="U232" s="541">
        <f t="shared" si="79"/>
        <v>7787.1933631814409</v>
      </c>
      <c r="V232" s="541">
        <f t="shared" si="79"/>
        <v>7819.0385003928523</v>
      </c>
      <c r="W232" s="541">
        <f t="shared" si="79"/>
        <v>7841.9258880687694</v>
      </c>
      <c r="X232" s="541">
        <f t="shared" si="79"/>
        <v>8109.0494616251117</v>
      </c>
      <c r="Y232" s="541">
        <f t="shared" si="79"/>
        <v>8108.9499912950769</v>
      </c>
      <c r="Z232" s="541">
        <f t="shared" si="79"/>
        <v>8099.875943731181</v>
      </c>
      <c r="AA232" s="541">
        <f t="shared" si="79"/>
        <v>8081.6414801017554</v>
      </c>
      <c r="AB232" s="541">
        <f t="shared" si="79"/>
        <v>8054.6231102609881</v>
      </c>
      <c r="AC232" s="541">
        <f t="shared" si="79"/>
        <v>8271.4205166565698</v>
      </c>
      <c r="AD232" s="541">
        <f t="shared" si="79"/>
        <v>8221.4232029323339</v>
      </c>
      <c r="AE232" s="541">
        <f t="shared" si="79"/>
        <v>8162.5447860528911</v>
      </c>
      <c r="AF232" s="541">
        <f t="shared" si="79"/>
        <v>8094.1154723866648</v>
      </c>
      <c r="AG232" s="541">
        <f t="shared" si="79"/>
        <v>8016.4555792262936</v>
      </c>
      <c r="AH232" s="423"/>
      <c r="AI232" s="423"/>
    </row>
    <row r="233" spans="1:35" hidden="1" x14ac:dyDescent="0.25">
      <c r="A233" s="449"/>
      <c r="B233" s="449" t="s">
        <v>67</v>
      </c>
      <c r="C233" s="451" t="s">
        <v>0</v>
      </c>
      <c r="D233" s="449"/>
      <c r="E233" s="541">
        <f t="shared" ref="E233:AG233" si="80">SUM(E222:E232)</f>
        <v>1869902.1079758313</v>
      </c>
      <c r="F233" s="541">
        <f t="shared" si="80"/>
        <v>2177073.0688300524</v>
      </c>
      <c r="G233" s="541">
        <f t="shared" si="80"/>
        <v>2239753.086313541</v>
      </c>
      <c r="H233" s="541">
        <f t="shared" si="80"/>
        <v>2269422.3043654272</v>
      </c>
      <c r="I233" s="541">
        <f t="shared" si="80"/>
        <v>2284649.9547427814</v>
      </c>
      <c r="J233" s="541">
        <f t="shared" si="80"/>
        <v>2322486.3695390341</v>
      </c>
      <c r="K233" s="541">
        <f t="shared" si="80"/>
        <v>2331910.1544483691</v>
      </c>
      <c r="L233" s="541">
        <f t="shared" si="80"/>
        <v>2401234.6831466835</v>
      </c>
      <c r="M233" s="541">
        <f t="shared" si="80"/>
        <v>2428047.999594871</v>
      </c>
      <c r="N233" s="541">
        <f t="shared" si="80"/>
        <v>2533059.8801604914</v>
      </c>
      <c r="O233" s="541">
        <f t="shared" si="80"/>
        <v>2528688.0283880662</v>
      </c>
      <c r="P233" s="541">
        <f t="shared" si="80"/>
        <v>2560754.1263762512</v>
      </c>
      <c r="Q233" s="541">
        <f t="shared" si="80"/>
        <v>2589655.2958240486</v>
      </c>
      <c r="R233" s="541">
        <f t="shared" si="80"/>
        <v>2615380.4472135147</v>
      </c>
      <c r="S233" s="541">
        <f t="shared" si="80"/>
        <v>2727703.8776385342</v>
      </c>
      <c r="T233" s="541">
        <f t="shared" si="80"/>
        <v>2745340.4395844582</v>
      </c>
      <c r="U233" s="541">
        <f t="shared" si="80"/>
        <v>2759800.8266745843</v>
      </c>
      <c r="V233" s="541">
        <f t="shared" si="80"/>
        <v>2771086.8230410232</v>
      </c>
      <c r="W233" s="541">
        <f t="shared" si="80"/>
        <v>2779198.1705423016</v>
      </c>
      <c r="X233" s="541">
        <f t="shared" si="80"/>
        <v>2873867.4338754369</v>
      </c>
      <c r="Y233" s="541">
        <f t="shared" si="80"/>
        <v>2873832.1813414036</v>
      </c>
      <c r="Z233" s="541">
        <f t="shared" si="80"/>
        <v>2870616.3161637732</v>
      </c>
      <c r="AA233" s="541">
        <f t="shared" si="80"/>
        <v>2864153.9765952728</v>
      </c>
      <c r="AB233" s="541">
        <f t="shared" si="80"/>
        <v>2854578.5986709869</v>
      </c>
      <c r="AC233" s="541">
        <f t="shared" si="80"/>
        <v>2931412.142348011</v>
      </c>
      <c r="AD233" s="541">
        <f t="shared" si="80"/>
        <v>2913692.9691732372</v>
      </c>
      <c r="AE233" s="541">
        <f t="shared" si="80"/>
        <v>2892826.3108023987</v>
      </c>
      <c r="AF233" s="541">
        <f t="shared" si="80"/>
        <v>2868574.7906953297</v>
      </c>
      <c r="AG233" s="541">
        <f t="shared" si="80"/>
        <v>2841051.9301026026</v>
      </c>
      <c r="AH233" s="423"/>
      <c r="AI233" s="423"/>
    </row>
    <row r="234" spans="1:35" hidden="1" x14ac:dyDescent="0.25">
      <c r="A234" s="449"/>
      <c r="B234" s="449"/>
      <c r="C234" s="449"/>
      <c r="D234" s="449"/>
      <c r="E234" s="450"/>
      <c r="F234" s="450"/>
      <c r="G234" s="450"/>
      <c r="H234" s="450"/>
      <c r="I234" s="450"/>
      <c r="J234" s="450"/>
      <c r="K234" s="450"/>
      <c r="L234" s="450"/>
      <c r="M234" s="450"/>
      <c r="N234" s="450"/>
      <c r="O234" s="450"/>
      <c r="P234" s="450"/>
      <c r="Q234" s="450"/>
      <c r="R234" s="450"/>
      <c r="S234" s="450"/>
      <c r="T234" s="450"/>
      <c r="U234" s="450"/>
      <c r="V234" s="450"/>
      <c r="W234" s="450"/>
      <c r="X234" s="450"/>
      <c r="Y234" s="450"/>
      <c r="Z234" s="450"/>
      <c r="AA234" s="450"/>
      <c r="AB234" s="450"/>
      <c r="AC234" s="450"/>
      <c r="AD234" s="450"/>
      <c r="AE234" s="450"/>
      <c r="AF234" s="450"/>
      <c r="AG234" s="450"/>
      <c r="AH234" s="423"/>
      <c r="AI234" s="423"/>
    </row>
    <row r="235" spans="1:35" hidden="1" x14ac:dyDescent="0.25">
      <c r="A235" s="449"/>
      <c r="B235" s="539" t="s">
        <v>78</v>
      </c>
      <c r="C235" s="450"/>
      <c r="D235" s="449"/>
      <c r="E235" s="450"/>
      <c r="F235" s="450"/>
      <c r="G235" s="450"/>
      <c r="H235" s="450"/>
      <c r="I235" s="450"/>
      <c r="J235" s="450"/>
      <c r="K235" s="450"/>
      <c r="L235" s="450"/>
      <c r="M235" s="450"/>
      <c r="N235" s="450"/>
      <c r="O235" s="450"/>
      <c r="P235" s="450"/>
      <c r="Q235" s="450"/>
      <c r="R235" s="450"/>
      <c r="S235" s="450"/>
      <c r="T235" s="450"/>
      <c r="U235" s="450"/>
      <c r="V235" s="450"/>
      <c r="W235" s="450"/>
      <c r="X235" s="450"/>
      <c r="Y235" s="450"/>
      <c r="Z235" s="450"/>
      <c r="AA235" s="450"/>
      <c r="AB235" s="450"/>
      <c r="AC235" s="450"/>
      <c r="AD235" s="450"/>
      <c r="AE235" s="450"/>
      <c r="AF235" s="450"/>
      <c r="AG235" s="450"/>
      <c r="AH235" s="423"/>
      <c r="AI235" s="423"/>
    </row>
    <row r="236" spans="1:35" hidden="1" x14ac:dyDescent="0.25">
      <c r="A236" s="449"/>
      <c r="B236" s="449" t="s">
        <v>80</v>
      </c>
      <c r="C236" s="450" t="s">
        <v>81</v>
      </c>
      <c r="D236" s="449"/>
      <c r="E236" s="450">
        <v>2017</v>
      </c>
      <c r="F236" s="450">
        <v>2018</v>
      </c>
      <c r="G236" s="450">
        <v>2019</v>
      </c>
      <c r="H236" s="450">
        <v>2020</v>
      </c>
      <c r="I236" s="450">
        <v>2021</v>
      </c>
      <c r="J236" s="450">
        <v>2022</v>
      </c>
      <c r="K236" s="450">
        <v>2023</v>
      </c>
      <c r="L236" s="450">
        <v>2024</v>
      </c>
      <c r="M236" s="450">
        <v>2025</v>
      </c>
      <c r="N236" s="450">
        <v>2026</v>
      </c>
      <c r="O236" s="450">
        <v>2027</v>
      </c>
      <c r="P236" s="450">
        <v>2028</v>
      </c>
      <c r="Q236" s="450">
        <v>2029</v>
      </c>
      <c r="R236" s="450">
        <v>2030</v>
      </c>
      <c r="S236" s="450">
        <v>2031</v>
      </c>
      <c r="T236" s="450">
        <v>2032</v>
      </c>
      <c r="U236" s="450">
        <v>2033</v>
      </c>
      <c r="V236" s="450">
        <v>2034</v>
      </c>
      <c r="W236" s="450">
        <v>2035</v>
      </c>
      <c r="X236" s="450">
        <v>2036</v>
      </c>
      <c r="Y236" s="450">
        <v>2037</v>
      </c>
      <c r="Z236" s="450">
        <v>2038</v>
      </c>
      <c r="AA236" s="450">
        <v>2039</v>
      </c>
      <c r="AB236" s="450">
        <v>2040</v>
      </c>
      <c r="AC236" s="450">
        <v>2041</v>
      </c>
      <c r="AD236" s="450">
        <v>2042</v>
      </c>
      <c r="AE236" s="450">
        <v>2043</v>
      </c>
      <c r="AF236" s="450">
        <v>2044</v>
      </c>
      <c r="AG236" s="450">
        <v>2045</v>
      </c>
      <c r="AH236" s="423"/>
      <c r="AI236" s="423"/>
    </row>
    <row r="237" spans="1:35" hidden="1" x14ac:dyDescent="0.25">
      <c r="A237" s="451">
        <v>1</v>
      </c>
      <c r="B237" s="449" t="s">
        <v>82</v>
      </c>
      <c r="C237" s="540">
        <v>0.10417858946477988</v>
      </c>
      <c r="D237" s="449"/>
      <c r="E237" s="541">
        <f t="shared" ref="E237:E247" si="81">$C237*E$21</f>
        <v>756519.47202384716</v>
      </c>
      <c r="F237" s="541">
        <f t="shared" ref="F237:AG246" si="82">$C237*F$21</f>
        <v>880793.7921261146</v>
      </c>
      <c r="G237" s="541">
        <f t="shared" si="82"/>
        <v>906152.6884719691</v>
      </c>
      <c r="H237" s="541">
        <f t="shared" si="82"/>
        <v>918156.17308233236</v>
      </c>
      <c r="I237" s="541">
        <f t="shared" si="82"/>
        <v>924316.93089660653</v>
      </c>
      <c r="J237" s="541">
        <f t="shared" si="82"/>
        <v>939624.67584370542</v>
      </c>
      <c r="K237" s="541">
        <f t="shared" si="82"/>
        <v>943437.32290884713</v>
      </c>
      <c r="L237" s="541">
        <f t="shared" si="82"/>
        <v>971484.43597720074</v>
      </c>
      <c r="M237" s="541">
        <f t="shared" si="82"/>
        <v>982332.48835174402</v>
      </c>
      <c r="N237" s="541">
        <f t="shared" si="82"/>
        <v>1024817.8848347351</v>
      </c>
      <c r="O237" s="541">
        <f t="shared" si="82"/>
        <v>1023049.1339570638</v>
      </c>
      <c r="P237" s="541">
        <f t="shared" si="82"/>
        <v>1036022.3411727865</v>
      </c>
      <c r="Q237" s="541">
        <f t="shared" si="82"/>
        <v>1047715.0909473657</v>
      </c>
      <c r="R237" s="541">
        <f t="shared" si="82"/>
        <v>1058122.8967163849</v>
      </c>
      <c r="S237" s="541">
        <f t="shared" si="82"/>
        <v>1103566.3784465748</v>
      </c>
      <c r="T237" s="541">
        <f t="shared" si="82"/>
        <v>1110701.7265884567</v>
      </c>
      <c r="U237" s="541">
        <f t="shared" si="82"/>
        <v>1116552.0672881231</v>
      </c>
      <c r="V237" s="541">
        <f t="shared" si="82"/>
        <v>1121118.1223644731</v>
      </c>
      <c r="W237" s="541">
        <f t="shared" si="82"/>
        <v>1124399.7873793931</v>
      </c>
      <c r="X237" s="541">
        <f t="shared" si="82"/>
        <v>1162700.7983297457</v>
      </c>
      <c r="Y237" s="541">
        <f t="shared" si="82"/>
        <v>1162686.5359636461</v>
      </c>
      <c r="Z237" s="541">
        <f t="shared" si="82"/>
        <v>1161385.4707282505</v>
      </c>
      <c r="AA237" s="541">
        <f t="shared" si="82"/>
        <v>1158770.9564723715</v>
      </c>
      <c r="AB237" s="541">
        <f t="shared" si="82"/>
        <v>1154896.9783529763</v>
      </c>
      <c r="AC237" s="541">
        <f t="shared" si="82"/>
        <v>1185982.0665232788</v>
      </c>
      <c r="AD237" s="541">
        <f t="shared" si="82"/>
        <v>1178813.2957744242</v>
      </c>
      <c r="AE237" s="541">
        <f t="shared" si="82"/>
        <v>1170371.1247611525</v>
      </c>
      <c r="AF237" s="541">
        <f t="shared" si="82"/>
        <v>1160559.5163839441</v>
      </c>
      <c r="AG237" s="541">
        <f t="shared" si="82"/>
        <v>1149424.3987350662</v>
      </c>
      <c r="AH237" s="423"/>
      <c r="AI237" s="423"/>
    </row>
    <row r="238" spans="1:35" hidden="1" x14ac:dyDescent="0.25">
      <c r="A238" s="451">
        <v>2</v>
      </c>
      <c r="B238" s="449" t="s">
        <v>83</v>
      </c>
      <c r="C238" s="540">
        <v>4.0274903998339412E-2</v>
      </c>
      <c r="D238" s="449"/>
      <c r="E238" s="541">
        <f t="shared" si="81"/>
        <v>292466.51605832664</v>
      </c>
      <c r="F238" s="541">
        <f t="shared" ref="F238:T238" si="83">$C238*F$21</f>
        <v>340510.32560971077</v>
      </c>
      <c r="G238" s="541">
        <f t="shared" si="83"/>
        <v>350313.94381072716</v>
      </c>
      <c r="H238" s="541">
        <f t="shared" si="83"/>
        <v>354954.42889323412</v>
      </c>
      <c r="I238" s="541">
        <f t="shared" si="83"/>
        <v>357336.14600806218</v>
      </c>
      <c r="J238" s="541">
        <f t="shared" si="83"/>
        <v>363254.04105101532</v>
      </c>
      <c r="K238" s="541">
        <f t="shared" si="83"/>
        <v>364727.99069188704</v>
      </c>
      <c r="L238" s="541">
        <f t="shared" si="83"/>
        <v>375570.85957753652</v>
      </c>
      <c r="M238" s="541">
        <f t="shared" si="83"/>
        <v>379764.66053220769</v>
      </c>
      <c r="N238" s="541">
        <f t="shared" si="83"/>
        <v>396189.2951281899</v>
      </c>
      <c r="O238" s="541">
        <f t="shared" si="83"/>
        <v>395505.50518477475</v>
      </c>
      <c r="P238" s="541">
        <f t="shared" si="83"/>
        <v>400520.88001225254</v>
      </c>
      <c r="Q238" s="541">
        <f t="shared" si="83"/>
        <v>405041.2366139993</v>
      </c>
      <c r="R238" s="541">
        <f t="shared" si="83"/>
        <v>409064.84050741082</v>
      </c>
      <c r="S238" s="541">
        <f t="shared" si="83"/>
        <v>426633.05556423345</v>
      </c>
      <c r="T238" s="541">
        <f t="shared" si="83"/>
        <v>429391.54426028335</v>
      </c>
      <c r="U238" s="541">
        <f t="shared" si="82"/>
        <v>431653.25572371506</v>
      </c>
      <c r="V238" s="541">
        <f t="shared" si="82"/>
        <v>433418.46900598268</v>
      </c>
      <c r="W238" s="541">
        <f t="shared" si="82"/>
        <v>434687.14373185136</v>
      </c>
      <c r="X238" s="541">
        <f t="shared" si="82"/>
        <v>449494.11651762034</v>
      </c>
      <c r="Y238" s="541">
        <f t="shared" si="82"/>
        <v>449488.60276063433</v>
      </c>
      <c r="Z238" s="541">
        <f t="shared" si="82"/>
        <v>448985.61766820465</v>
      </c>
      <c r="AA238" s="541">
        <f t="shared" si="82"/>
        <v>447974.8599760647</v>
      </c>
      <c r="AB238" s="541">
        <f t="shared" si="82"/>
        <v>446477.20006675052</v>
      </c>
      <c r="AC238" s="541">
        <f t="shared" si="82"/>
        <v>458494.53441799065</v>
      </c>
      <c r="AD238" s="541">
        <f t="shared" si="82"/>
        <v>455723.12471490743</v>
      </c>
      <c r="AE238" s="541">
        <f t="shared" si="82"/>
        <v>452459.42505412409</v>
      </c>
      <c r="AF238" s="541">
        <f t="shared" si="82"/>
        <v>448666.30798955716</v>
      </c>
      <c r="AG238" s="541">
        <f t="shared" si="82"/>
        <v>444361.52908419113</v>
      </c>
      <c r="AH238" s="423"/>
      <c r="AI238" s="423"/>
    </row>
    <row r="239" spans="1:35" hidden="1" x14ac:dyDescent="0.25">
      <c r="A239" s="451">
        <v>3</v>
      </c>
      <c r="B239" s="449" t="s">
        <v>84</v>
      </c>
      <c r="C239" s="540">
        <v>0.11593535085001036</v>
      </c>
      <c r="D239" s="449"/>
      <c r="E239" s="541">
        <f t="shared" si="81"/>
        <v>841894.20172175521</v>
      </c>
      <c r="F239" s="541">
        <f t="shared" si="82"/>
        <v>980193.1264501781</v>
      </c>
      <c r="G239" s="541">
        <f t="shared" si="82"/>
        <v>1008413.824773413</v>
      </c>
      <c r="H239" s="541">
        <f t="shared" si="82"/>
        <v>1021771.9265376497</v>
      </c>
      <c r="I239" s="541">
        <f t="shared" si="82"/>
        <v>1028627.9381458822</v>
      </c>
      <c r="J239" s="541">
        <f t="shared" si="82"/>
        <v>1045663.1926092225</v>
      </c>
      <c r="K239" s="541">
        <f t="shared" si="82"/>
        <v>1049906.104491936</v>
      </c>
      <c r="L239" s="541">
        <f t="shared" si="82"/>
        <v>1081118.3901507738</v>
      </c>
      <c r="M239" s="541">
        <f t="shared" si="82"/>
        <v>1093190.6668493093</v>
      </c>
      <c r="N239" s="541">
        <f t="shared" si="82"/>
        <v>1140470.6249727833</v>
      </c>
      <c r="O239" s="541">
        <f t="shared" si="82"/>
        <v>1138502.2670345295</v>
      </c>
      <c r="P239" s="541">
        <f t="shared" si="82"/>
        <v>1152939.5265322037</v>
      </c>
      <c r="Q239" s="541">
        <f t="shared" si="82"/>
        <v>1165951.8264153339</v>
      </c>
      <c r="R239" s="541">
        <f t="shared" si="82"/>
        <v>1177534.17380177</v>
      </c>
      <c r="S239" s="541">
        <f t="shared" si="82"/>
        <v>1228106.0429862414</v>
      </c>
      <c r="T239" s="541">
        <f t="shared" si="82"/>
        <v>1236046.6293823137</v>
      </c>
      <c r="U239" s="541">
        <f t="shared" si="82"/>
        <v>1242557.1926860837</v>
      </c>
      <c r="V239" s="541">
        <f t="shared" si="82"/>
        <v>1247638.5361751516</v>
      </c>
      <c r="W239" s="541">
        <f t="shared" si="82"/>
        <v>1251290.5436253541</v>
      </c>
      <c r="X239" s="541">
        <f t="shared" si="82"/>
        <v>1293913.8999719133</v>
      </c>
      <c r="Y239" s="541">
        <f t="shared" si="82"/>
        <v>1293898.028069383</v>
      </c>
      <c r="Z239" s="541">
        <f t="shared" si="82"/>
        <v>1292450.1350299467</v>
      </c>
      <c r="AA239" s="541">
        <f t="shared" si="82"/>
        <v>1289540.5676311662</v>
      </c>
      <c r="AB239" s="541">
        <f t="shared" si="82"/>
        <v>1285229.4033625312</v>
      </c>
      <c r="AC239" s="541">
        <f t="shared" si="82"/>
        <v>1319822.5056663966</v>
      </c>
      <c r="AD239" s="541">
        <f t="shared" si="82"/>
        <v>1311844.7248555638</v>
      </c>
      <c r="AE239" s="541">
        <f t="shared" si="82"/>
        <v>1302449.8380233676</v>
      </c>
      <c r="AF239" s="541">
        <f t="shared" si="82"/>
        <v>1291530.9700922642</v>
      </c>
      <c r="AG239" s="541">
        <f t="shared" si="82"/>
        <v>1279139.2322312403</v>
      </c>
      <c r="AH239" s="423"/>
      <c r="AI239" s="423"/>
    </row>
    <row r="240" spans="1:35" hidden="1" x14ac:dyDescent="0.25">
      <c r="A240" s="451">
        <v>4</v>
      </c>
      <c r="B240" s="449" t="s">
        <v>85</v>
      </c>
      <c r="C240" s="540">
        <v>0.44811602338067524</v>
      </c>
      <c r="D240" s="449"/>
      <c r="E240" s="541">
        <f t="shared" si="81"/>
        <v>3254109.1135428022</v>
      </c>
      <c r="F240" s="541">
        <f t="shared" si="82"/>
        <v>3788665.3445176161</v>
      </c>
      <c r="G240" s="541">
        <f t="shared" si="82"/>
        <v>3897744.646188031</v>
      </c>
      <c r="H240" s="541">
        <f t="shared" si="82"/>
        <v>3949376.6928296839</v>
      </c>
      <c r="I240" s="541">
        <f t="shared" si="82"/>
        <v>3975876.708878349</v>
      </c>
      <c r="J240" s="541">
        <f t="shared" si="82"/>
        <v>4041721.7719365186</v>
      </c>
      <c r="K240" s="541">
        <f t="shared" si="82"/>
        <v>4058121.5739511438</v>
      </c>
      <c r="L240" s="541">
        <f t="shared" si="82"/>
        <v>4178764.0287978551</v>
      </c>
      <c r="M240" s="541">
        <f t="shared" si="82"/>
        <v>4225426.074391678</v>
      </c>
      <c r="N240" s="541">
        <f t="shared" si="82"/>
        <v>4408173.6717772773</v>
      </c>
      <c r="O240" s="541">
        <f t="shared" si="82"/>
        <v>4400565.528744</v>
      </c>
      <c r="P240" s="541">
        <f t="shared" si="82"/>
        <v>4456368.7610383723</v>
      </c>
      <c r="Q240" s="541">
        <f t="shared" si="82"/>
        <v>4506664.2061801124</v>
      </c>
      <c r="R240" s="541">
        <f t="shared" si="82"/>
        <v>4551432.5655646287</v>
      </c>
      <c r="S240" s="541">
        <f t="shared" si="82"/>
        <v>4746904.1343977787</v>
      </c>
      <c r="T240" s="541">
        <f t="shared" si="82"/>
        <v>4777596.2742242413</v>
      </c>
      <c r="U240" s="541">
        <f t="shared" si="82"/>
        <v>4802761.0554256886</v>
      </c>
      <c r="V240" s="541">
        <f t="shared" si="82"/>
        <v>4822401.5828494448</v>
      </c>
      <c r="W240" s="541">
        <f t="shared" si="82"/>
        <v>4836517.4072631607</v>
      </c>
      <c r="X240" s="541">
        <f t="shared" si="82"/>
        <v>5001266.1988018882</v>
      </c>
      <c r="Y240" s="541">
        <f t="shared" si="82"/>
        <v>5001204.8503538677</v>
      </c>
      <c r="Z240" s="541">
        <f t="shared" si="82"/>
        <v>4995608.4203922059</v>
      </c>
      <c r="AA240" s="541">
        <f t="shared" si="82"/>
        <v>4984362.2925895965</v>
      </c>
      <c r="AB240" s="541">
        <f t="shared" si="82"/>
        <v>4967698.6798602846</v>
      </c>
      <c r="AC240" s="541">
        <f t="shared" si="82"/>
        <v>5101408.7460924909</v>
      </c>
      <c r="AD240" s="541">
        <f t="shared" si="82"/>
        <v>5070572.841546189</v>
      </c>
      <c r="AE240" s="541">
        <f t="shared" si="82"/>
        <v>5034259.505738874</v>
      </c>
      <c r="AF240" s="541">
        <f t="shared" si="82"/>
        <v>4992055.6426269663</v>
      </c>
      <c r="AG240" s="541">
        <f t="shared" si="82"/>
        <v>4944158.8082934776</v>
      </c>
      <c r="AH240" s="423"/>
      <c r="AI240" s="423"/>
    </row>
    <row r="241" spans="1:35" hidden="1" x14ac:dyDescent="0.25">
      <c r="A241" s="451">
        <v>5</v>
      </c>
      <c r="B241" s="449" t="s">
        <v>86</v>
      </c>
      <c r="C241" s="540">
        <v>0.19004067891249071</v>
      </c>
      <c r="D241" s="449"/>
      <c r="E241" s="541">
        <f t="shared" si="81"/>
        <v>1380028.9945616487</v>
      </c>
      <c r="F241" s="541">
        <f t="shared" si="82"/>
        <v>1606727.93802937</v>
      </c>
      <c r="G241" s="541">
        <f t="shared" si="82"/>
        <v>1652987.1732791131</v>
      </c>
      <c r="H241" s="541">
        <f t="shared" si="82"/>
        <v>1674883.7105272035</v>
      </c>
      <c r="I241" s="541">
        <f t="shared" si="82"/>
        <v>1686122.0523367354</v>
      </c>
      <c r="J241" s="541">
        <f t="shared" si="82"/>
        <v>1714046.1609017628</v>
      </c>
      <c r="K241" s="541">
        <f t="shared" si="82"/>
        <v>1721001.1219972784</v>
      </c>
      <c r="L241" s="541">
        <f t="shared" si="82"/>
        <v>1772164.1530618072</v>
      </c>
      <c r="M241" s="541">
        <f t="shared" si="82"/>
        <v>1791952.9719422301</v>
      </c>
      <c r="N241" s="541">
        <f t="shared" si="82"/>
        <v>1869454.0557347264</v>
      </c>
      <c r="O241" s="541">
        <f t="shared" si="82"/>
        <v>1866227.5327097303</v>
      </c>
      <c r="P241" s="541">
        <f t="shared" si="82"/>
        <v>1889893.0202116692</v>
      </c>
      <c r="Q241" s="541">
        <f t="shared" si="82"/>
        <v>1911222.7206513756</v>
      </c>
      <c r="R241" s="541">
        <f t="shared" si="82"/>
        <v>1930208.4497200381</v>
      </c>
      <c r="S241" s="541">
        <f t="shared" si="82"/>
        <v>2013105.6185579051</v>
      </c>
      <c r="T241" s="541">
        <f t="shared" si="82"/>
        <v>2026121.7902312467</v>
      </c>
      <c r="U241" s="541">
        <f t="shared" si="82"/>
        <v>2036793.8748135578</v>
      </c>
      <c r="V241" s="541">
        <f t="shared" si="82"/>
        <v>2045123.1890336813</v>
      </c>
      <c r="W241" s="541">
        <f t="shared" si="82"/>
        <v>2051109.542377519</v>
      </c>
      <c r="X241" s="541">
        <f t="shared" si="82"/>
        <v>2120977.5465560597</v>
      </c>
      <c r="Y241" s="541">
        <f t="shared" si="82"/>
        <v>2120951.5294084828</v>
      </c>
      <c r="Z241" s="541">
        <f t="shared" si="82"/>
        <v>2118578.1499846079</v>
      </c>
      <c r="AA241" s="541">
        <f t="shared" si="82"/>
        <v>2113808.8008624297</v>
      </c>
      <c r="AB241" s="541">
        <f t="shared" si="82"/>
        <v>2106741.9607786438</v>
      </c>
      <c r="AC241" s="541">
        <f t="shared" si="82"/>
        <v>2163446.8105014944</v>
      </c>
      <c r="AD241" s="541">
        <f t="shared" si="82"/>
        <v>2150369.6699193511</v>
      </c>
      <c r="AE241" s="541">
        <f t="shared" si="82"/>
        <v>2134969.6158477813</v>
      </c>
      <c r="AF241" s="541">
        <f t="shared" si="82"/>
        <v>2117071.4591650344</v>
      </c>
      <c r="AG241" s="541">
        <f t="shared" si="82"/>
        <v>2096758.9810576339</v>
      </c>
      <c r="AH241" s="423"/>
      <c r="AI241" s="423"/>
    </row>
    <row r="242" spans="1:35" hidden="1" x14ac:dyDescent="0.25">
      <c r="A242" s="451">
        <v>6</v>
      </c>
      <c r="B242" s="449" t="s">
        <v>87</v>
      </c>
      <c r="C242" s="540">
        <v>9.4580161433521368E-2</v>
      </c>
      <c r="D242" s="449"/>
      <c r="E242" s="541">
        <f t="shared" si="81"/>
        <v>686818.03198926616</v>
      </c>
      <c r="F242" s="541">
        <f t="shared" si="82"/>
        <v>799642.41670880828</v>
      </c>
      <c r="G242" s="541">
        <f t="shared" si="82"/>
        <v>822664.88728063053</v>
      </c>
      <c r="H242" s="541">
        <f t="shared" si="82"/>
        <v>833562.43847656762</v>
      </c>
      <c r="I242" s="541">
        <f t="shared" si="82"/>
        <v>839155.57879091089</v>
      </c>
      <c r="J242" s="541">
        <f t="shared" si="82"/>
        <v>853052.95440060133</v>
      </c>
      <c r="K242" s="541">
        <f t="shared" si="82"/>
        <v>856514.32565512438</v>
      </c>
      <c r="L242" s="541">
        <f t="shared" si="82"/>
        <v>881977.33581275295</v>
      </c>
      <c r="M242" s="541">
        <f t="shared" si="82"/>
        <v>891825.90978649131</v>
      </c>
      <c r="N242" s="541">
        <f t="shared" si="82"/>
        <v>930396.94130623492</v>
      </c>
      <c r="O242" s="541">
        <f t="shared" si="82"/>
        <v>928791.15316487802</v>
      </c>
      <c r="P242" s="541">
        <f t="shared" si="82"/>
        <v>940569.08219115273</v>
      </c>
      <c r="Q242" s="541">
        <f t="shared" si="82"/>
        <v>951184.52790761972</v>
      </c>
      <c r="R242" s="541">
        <f t="shared" si="82"/>
        <v>960633.4171166193</v>
      </c>
      <c r="S242" s="541">
        <f t="shared" si="82"/>
        <v>1001889.9925821157</v>
      </c>
      <c r="T242" s="541">
        <f t="shared" si="82"/>
        <v>1008367.9299645536</v>
      </c>
      <c r="U242" s="541">
        <f t="shared" si="82"/>
        <v>1013679.2532475647</v>
      </c>
      <c r="V242" s="541">
        <f t="shared" si="82"/>
        <v>1017824.6177457233</v>
      </c>
      <c r="W242" s="541">
        <f t="shared" si="82"/>
        <v>1020803.9286432549</v>
      </c>
      <c r="X242" s="541">
        <f t="shared" si="82"/>
        <v>1055576.100328072</v>
      </c>
      <c r="Y242" s="541">
        <f t="shared" si="82"/>
        <v>1055563.152015995</v>
      </c>
      <c r="Z242" s="541">
        <f t="shared" si="82"/>
        <v>1054381.959597942</v>
      </c>
      <c r="AA242" s="541">
        <f t="shared" si="82"/>
        <v>1052008.331948905</v>
      </c>
      <c r="AB242" s="541">
        <f t="shared" si="82"/>
        <v>1048491.2803377754</v>
      </c>
      <c r="AC242" s="541">
        <f t="shared" si="82"/>
        <v>1076712.3636949887</v>
      </c>
      <c r="AD242" s="541">
        <f t="shared" si="82"/>
        <v>1070204.0830761981</v>
      </c>
      <c r="AE242" s="541">
        <f t="shared" si="82"/>
        <v>1062539.7261158403</v>
      </c>
      <c r="AF242" s="541">
        <f t="shared" si="82"/>
        <v>1053632.1040314331</v>
      </c>
      <c r="AG242" s="541">
        <f t="shared" si="82"/>
        <v>1043522.9133596956</v>
      </c>
      <c r="AH242" s="423"/>
      <c r="AI242" s="423"/>
    </row>
    <row r="243" spans="1:35" hidden="1" x14ac:dyDescent="0.25">
      <c r="A243" s="451">
        <v>7</v>
      </c>
      <c r="B243" s="449" t="s">
        <v>88</v>
      </c>
      <c r="C243" s="540">
        <v>6.7348296822170488E-3</v>
      </c>
      <c r="D243" s="449"/>
      <c r="E243" s="541">
        <f t="shared" si="81"/>
        <v>48906.688231595566</v>
      </c>
      <c r="F243" s="541">
        <f t="shared" si="82"/>
        <v>56940.645919658236</v>
      </c>
      <c r="G243" s="541">
        <f t="shared" si="82"/>
        <v>58580.021617637576</v>
      </c>
      <c r="H243" s="541">
        <f t="shared" si="82"/>
        <v>59356.010473497838</v>
      </c>
      <c r="I243" s="541">
        <f t="shared" si="82"/>
        <v>59754.284771563194</v>
      </c>
      <c r="J243" s="541">
        <f t="shared" si="82"/>
        <v>60743.884031518457</v>
      </c>
      <c r="K243" s="541">
        <f t="shared" si="82"/>
        <v>60990.360094921249</v>
      </c>
      <c r="L243" s="541">
        <f t="shared" si="82"/>
        <v>62803.520846700339</v>
      </c>
      <c r="M243" s="541">
        <f t="shared" si="82"/>
        <v>63504.814514637925</v>
      </c>
      <c r="N243" s="541">
        <f t="shared" si="82"/>
        <v>66251.366476652562</v>
      </c>
      <c r="O243" s="541">
        <f t="shared" si="82"/>
        <v>66137.022099630485</v>
      </c>
      <c r="P243" s="541">
        <f t="shared" si="82"/>
        <v>66975.700579334225</v>
      </c>
      <c r="Q243" s="541">
        <f t="shared" si="82"/>
        <v>67731.601370976219</v>
      </c>
      <c r="R243" s="541">
        <f t="shared" si="82"/>
        <v>68404.434431781265</v>
      </c>
      <c r="S243" s="541">
        <f t="shared" si="82"/>
        <v>71342.217628809871</v>
      </c>
      <c r="T243" s="541">
        <f t="shared" si="82"/>
        <v>71803.496234191101</v>
      </c>
      <c r="U243" s="541">
        <f t="shared" si="82"/>
        <v>72181.703007748118</v>
      </c>
      <c r="V243" s="541">
        <f t="shared" si="82"/>
        <v>72476.884612882408</v>
      </c>
      <c r="W243" s="541">
        <f t="shared" si="82"/>
        <v>72689.034297986844</v>
      </c>
      <c r="X243" s="541">
        <f t="shared" si="82"/>
        <v>75165.078432703813</v>
      </c>
      <c r="Y243" s="541">
        <f t="shared" si="82"/>
        <v>75164.156414014171</v>
      </c>
      <c r="Z243" s="541">
        <f t="shared" si="82"/>
        <v>75080.046494587717</v>
      </c>
      <c r="AA243" s="541">
        <f t="shared" si="82"/>
        <v>74911.026081607124</v>
      </c>
      <c r="AB243" s="541">
        <f t="shared" si="82"/>
        <v>74660.585151654028</v>
      </c>
      <c r="AC243" s="541">
        <f t="shared" si="82"/>
        <v>76670.141775133408</v>
      </c>
      <c r="AD243" s="541">
        <f t="shared" si="82"/>
        <v>76206.702499631239</v>
      </c>
      <c r="AE243" s="541">
        <f t="shared" si="82"/>
        <v>75660.941761127891</v>
      </c>
      <c r="AF243" s="541">
        <f t="shared" si="82"/>
        <v>75026.651052561021</v>
      </c>
      <c r="AG243" s="541">
        <f t="shared" si="82"/>
        <v>74306.799485728334</v>
      </c>
      <c r="AH243" s="423"/>
      <c r="AI243" s="423"/>
    </row>
    <row r="244" spans="1:35" hidden="1" x14ac:dyDescent="0.25">
      <c r="A244" s="451">
        <v>8</v>
      </c>
      <c r="B244" s="449" t="s">
        <v>89</v>
      </c>
      <c r="C244" s="540">
        <v>6.0346686079176034E-4</v>
      </c>
      <c r="D244" s="449"/>
      <c r="E244" s="541">
        <f t="shared" si="81"/>
        <v>4382.2289517983309</v>
      </c>
      <c r="F244" s="541">
        <f t="shared" si="82"/>
        <v>5102.1027206258468</v>
      </c>
      <c r="G244" s="541">
        <f t="shared" si="82"/>
        <v>5248.9971415389855</v>
      </c>
      <c r="H244" s="541">
        <f t="shared" si="82"/>
        <v>5318.5287527231349</v>
      </c>
      <c r="I244" s="541">
        <f t="shared" si="82"/>
        <v>5354.2156745501507</v>
      </c>
      <c r="J244" s="541">
        <f t="shared" si="82"/>
        <v>5442.8876064364013</v>
      </c>
      <c r="K244" s="541">
        <f t="shared" si="82"/>
        <v>5464.972817683054</v>
      </c>
      <c r="L244" s="541">
        <f t="shared" si="82"/>
        <v>5627.4390534478707</v>
      </c>
      <c r="M244" s="541">
        <f t="shared" si="82"/>
        <v>5690.2776860863305</v>
      </c>
      <c r="N244" s="541">
        <f t="shared" si="82"/>
        <v>5936.3793944776853</v>
      </c>
      <c r="O244" s="541">
        <f t="shared" si="82"/>
        <v>5926.1336948079679</v>
      </c>
      <c r="P244" s="541">
        <f t="shared" si="82"/>
        <v>6001.2825394323227</v>
      </c>
      <c r="Q244" s="541">
        <f t="shared" si="82"/>
        <v>6069.0141821502766</v>
      </c>
      <c r="R244" s="541">
        <f t="shared" si="82"/>
        <v>6129.3026340042315</v>
      </c>
      <c r="S244" s="541">
        <f t="shared" si="82"/>
        <v>6392.5394027496632</v>
      </c>
      <c r="T244" s="541">
        <f t="shared" si="82"/>
        <v>6433.8717548765208</v>
      </c>
      <c r="U244" s="541">
        <f t="shared" si="82"/>
        <v>6467.7605486750153</v>
      </c>
      <c r="V244" s="541">
        <f t="shared" si="82"/>
        <v>6494.2099653669056</v>
      </c>
      <c r="W244" s="541">
        <f t="shared" si="82"/>
        <v>6513.2193999820047</v>
      </c>
      <c r="X244" s="541">
        <f t="shared" si="82"/>
        <v>6735.082557873714</v>
      </c>
      <c r="Y244" s="541">
        <f t="shared" si="82"/>
        <v>6734.9999414230424</v>
      </c>
      <c r="Z244" s="541">
        <f t="shared" si="82"/>
        <v>6727.4633664192597</v>
      </c>
      <c r="AA244" s="541">
        <f t="shared" si="82"/>
        <v>6712.3184818648006</v>
      </c>
      <c r="AB244" s="541">
        <f t="shared" si="82"/>
        <v>6689.8780031973702</v>
      </c>
      <c r="AC244" s="541">
        <f t="shared" si="82"/>
        <v>6869.9420707945746</v>
      </c>
      <c r="AD244" s="541">
        <f t="shared" si="82"/>
        <v>6828.4161142446483</v>
      </c>
      <c r="AE244" s="541">
        <f t="shared" si="82"/>
        <v>6779.5138353232333</v>
      </c>
      <c r="AF244" s="541">
        <f t="shared" si="82"/>
        <v>6722.6789277176367</v>
      </c>
      <c r="AG244" s="541">
        <f t="shared" si="82"/>
        <v>6658.1774353607352</v>
      </c>
      <c r="AH244" s="423"/>
      <c r="AI244" s="423"/>
    </row>
    <row r="245" spans="1:35" hidden="1" x14ac:dyDescent="0.25">
      <c r="A245" s="451">
        <v>9</v>
      </c>
      <c r="B245" s="449" t="s">
        <v>90</v>
      </c>
      <c r="C245" s="540">
        <v>-7.3590122104963606E-3</v>
      </c>
      <c r="D245" s="449"/>
      <c r="E245" s="541">
        <f t="shared" si="81"/>
        <v>-53439.349301075832</v>
      </c>
      <c r="F245" s="541">
        <f t="shared" si="82"/>
        <v>-62217.892414225782</v>
      </c>
      <c r="G245" s="541">
        <f t="shared" si="82"/>
        <v>-64009.205090012634</v>
      </c>
      <c r="H245" s="541">
        <f t="shared" si="82"/>
        <v>-64857.112421739679</v>
      </c>
      <c r="I245" s="541">
        <f t="shared" si="82"/>
        <v>-65292.298693833349</v>
      </c>
      <c r="J245" s="541">
        <f t="shared" si="82"/>
        <v>-66373.613794753852</v>
      </c>
      <c r="K245" s="541">
        <f t="shared" si="82"/>
        <v>-66642.933205304871</v>
      </c>
      <c r="L245" s="541">
        <f t="shared" si="82"/>
        <v>-68624.137295315755</v>
      </c>
      <c r="M245" s="541">
        <f t="shared" si="82"/>
        <v>-69390.426705591919</v>
      </c>
      <c r="N245" s="541">
        <f t="shared" si="82"/>
        <v>-72391.528497163104</v>
      </c>
      <c r="O245" s="541">
        <f t="shared" si="82"/>
        <v>-72266.58670851939</v>
      </c>
      <c r="P245" s="541">
        <f t="shared" si="82"/>
        <v>-73182.993724589411</v>
      </c>
      <c r="Q245" s="541">
        <f t="shared" si="82"/>
        <v>-74008.951234740744</v>
      </c>
      <c r="R245" s="541">
        <f t="shared" si="82"/>
        <v>-74744.142315097793</v>
      </c>
      <c r="S245" s="541">
        <f t="shared" si="82"/>
        <v>-77954.198610331048</v>
      </c>
      <c r="T245" s="541">
        <f t="shared" si="82"/>
        <v>-78458.228415034842</v>
      </c>
      <c r="U245" s="541">
        <f t="shared" si="82"/>
        <v>-78871.48730887851</v>
      </c>
      <c r="V245" s="541">
        <f t="shared" si="82"/>
        <v>-79194.026280017293</v>
      </c>
      <c r="W245" s="541">
        <f t="shared" si="82"/>
        <v>-79425.837951106587</v>
      </c>
      <c r="X245" s="541">
        <f t="shared" si="82"/>
        <v>-82131.36130965894</v>
      </c>
      <c r="Y245" s="541">
        <f t="shared" si="82"/>
        <v>-82130.353838480674</v>
      </c>
      <c r="Z245" s="541">
        <f t="shared" si="82"/>
        <v>-82038.448630288491</v>
      </c>
      <c r="AA245" s="541">
        <f t="shared" si="82"/>
        <v>-81853.763442742988</v>
      </c>
      <c r="AB245" s="541">
        <f t="shared" si="82"/>
        <v>-81580.111702684982</v>
      </c>
      <c r="AC245" s="541">
        <f t="shared" si="82"/>
        <v>-83775.913590432261</v>
      </c>
      <c r="AD245" s="541">
        <f t="shared" si="82"/>
        <v>-83269.522865177671</v>
      </c>
      <c r="AE245" s="541">
        <f t="shared" si="82"/>
        <v>-82673.181141902867</v>
      </c>
      <c r="AF245" s="541">
        <f t="shared" si="82"/>
        <v>-81980.10451048144</v>
      </c>
      <c r="AG245" s="541">
        <f t="shared" si="82"/>
        <v>-81193.537259337114</v>
      </c>
      <c r="AH245" s="423"/>
      <c r="AI245" s="423"/>
    </row>
    <row r="246" spans="1:35" hidden="1" x14ac:dyDescent="0.25">
      <c r="A246" s="451">
        <v>10</v>
      </c>
      <c r="B246" s="449" t="s">
        <v>91</v>
      </c>
      <c r="C246" s="540">
        <v>4.0733571346658459E-3</v>
      </c>
      <c r="D246" s="449"/>
      <c r="E246" s="541">
        <f t="shared" si="81"/>
        <v>29579.724631650708</v>
      </c>
      <c r="F246" s="541">
        <f t="shared" si="82"/>
        <v>34438.819874204899</v>
      </c>
      <c r="G246" s="541">
        <f t="shared" si="82"/>
        <v>35430.346462233429</v>
      </c>
      <c r="H246" s="541">
        <f t="shared" si="82"/>
        <v>35899.679747793081</v>
      </c>
      <c r="I246" s="541">
        <f t="shared" si="82"/>
        <v>36140.563857730136</v>
      </c>
      <c r="J246" s="541">
        <f t="shared" si="82"/>
        <v>36739.092906897102</v>
      </c>
      <c r="K246" s="541">
        <f t="shared" si="82"/>
        <v>36888.166466104856</v>
      </c>
      <c r="L246" s="541">
        <f t="shared" si="82"/>
        <v>37984.801664476217</v>
      </c>
      <c r="M246" s="541">
        <f t="shared" si="82"/>
        <v>38408.957834799621</v>
      </c>
      <c r="N246" s="541">
        <f t="shared" si="82"/>
        <v>40070.1263510196</v>
      </c>
      <c r="O246" s="541">
        <f t="shared" si="82"/>
        <v>40000.968628266557</v>
      </c>
      <c r="P246" s="541">
        <f t="shared" si="82"/>
        <v>40508.217828348381</v>
      </c>
      <c r="Q246" s="541">
        <f t="shared" si="82"/>
        <v>40965.40145852459</v>
      </c>
      <c r="R246" s="541">
        <f t="shared" si="82"/>
        <v>41372.344095233857</v>
      </c>
      <c r="S246" s="541">
        <f t="shared" si="82"/>
        <v>43149.173014503365</v>
      </c>
      <c r="T246" s="541">
        <f t="shared" si="82"/>
        <v>43428.163365701053</v>
      </c>
      <c r="U246" s="541">
        <f t="shared" si="82"/>
        <v>43656.910243074242</v>
      </c>
      <c r="V246" s="541">
        <f t="shared" si="82"/>
        <v>43835.441869563736</v>
      </c>
      <c r="W246" s="541">
        <f t="shared" si="82"/>
        <v>43963.754161665049</v>
      </c>
      <c r="X246" s="541">
        <f t="shared" ref="F246:AG247" si="84">$C246*X$21</f>
        <v>45461.314236350816</v>
      </c>
      <c r="Y246" s="541">
        <f t="shared" si="84"/>
        <v>45460.75658135656</v>
      </c>
      <c r="Z246" s="541">
        <f t="shared" si="84"/>
        <v>45409.885251782107</v>
      </c>
      <c r="AA246" s="541">
        <f t="shared" si="84"/>
        <v>45307.658389692842</v>
      </c>
      <c r="AB246" s="541">
        <f t="shared" si="84"/>
        <v>45156.186801401542</v>
      </c>
      <c r="AC246" s="541">
        <f t="shared" si="84"/>
        <v>46371.606076424709</v>
      </c>
      <c r="AD246" s="541">
        <f t="shared" si="84"/>
        <v>46091.308909543768</v>
      </c>
      <c r="AE246" s="541">
        <f t="shared" si="84"/>
        <v>45761.222106625348</v>
      </c>
      <c r="AF246" s="541">
        <f t="shared" si="84"/>
        <v>45377.59064078216</v>
      </c>
      <c r="AG246" s="541">
        <f t="shared" si="84"/>
        <v>44942.210289085859</v>
      </c>
      <c r="AH246" s="423"/>
      <c r="AI246" s="423"/>
    </row>
    <row r="247" spans="1:35" ht="15.75" hidden="1" customHeight="1" x14ac:dyDescent="0.25">
      <c r="A247" s="451">
        <v>11</v>
      </c>
      <c r="B247" s="449" t="s">
        <v>92</v>
      </c>
      <c r="C247" s="540">
        <v>2.8216504930048156E-3</v>
      </c>
      <c r="D247" s="449"/>
      <c r="E247" s="541">
        <f t="shared" si="81"/>
        <v>20490.136717828151</v>
      </c>
      <c r="F247" s="541">
        <f t="shared" si="84"/>
        <v>23856.074943579897</v>
      </c>
      <c r="G247" s="541">
        <f t="shared" si="84"/>
        <v>24542.914175555954</v>
      </c>
      <c r="H247" s="541">
        <f t="shared" si="84"/>
        <v>24868.025491063425</v>
      </c>
      <c r="I247" s="541">
        <f t="shared" si="84"/>
        <v>25034.888043275336</v>
      </c>
      <c r="J247" s="541">
        <f t="shared" si="84"/>
        <v>25449.494406239926</v>
      </c>
      <c r="K247" s="541">
        <f t="shared" si="84"/>
        <v>25552.758978416223</v>
      </c>
      <c r="L247" s="541">
        <f t="shared" si="84"/>
        <v>26312.40787386836</v>
      </c>
      <c r="M247" s="541">
        <f t="shared" si="84"/>
        <v>26606.224602315433</v>
      </c>
      <c r="N247" s="541">
        <f t="shared" si="84"/>
        <v>27756.930717147836</v>
      </c>
      <c r="O247" s="541">
        <f t="shared" si="84"/>
        <v>27709.024551287614</v>
      </c>
      <c r="P247" s="541">
        <f t="shared" si="84"/>
        <v>28060.400555936561</v>
      </c>
      <c r="Q247" s="541">
        <f t="shared" si="84"/>
        <v>28377.095697764889</v>
      </c>
      <c r="R247" s="541">
        <f t="shared" si="84"/>
        <v>28658.988459321037</v>
      </c>
      <c r="S247" s="541">
        <f t="shared" si="84"/>
        <v>29889.813557708414</v>
      </c>
      <c r="T247" s="541">
        <f t="shared" si="84"/>
        <v>30083.072640075894</v>
      </c>
      <c r="U247" s="541">
        <f t="shared" si="84"/>
        <v>30241.527624005586</v>
      </c>
      <c r="V247" s="541">
        <f t="shared" si="84"/>
        <v>30365.198059778057</v>
      </c>
      <c r="W247" s="541">
        <f t="shared" si="84"/>
        <v>30454.081118713657</v>
      </c>
      <c r="X247" s="541">
        <f t="shared" si="84"/>
        <v>31491.454219903335</v>
      </c>
      <c r="Y247" s="541">
        <f t="shared" si="84"/>
        <v>31491.067927359509</v>
      </c>
      <c r="Z247" s="541">
        <f t="shared" si="84"/>
        <v>31455.828907693893</v>
      </c>
      <c r="AA247" s="541">
        <f t="shared" si="84"/>
        <v>31385.015456705838</v>
      </c>
      <c r="AB247" s="541">
        <f t="shared" si="84"/>
        <v>31280.089748586353</v>
      </c>
      <c r="AC247" s="541">
        <f t="shared" si="84"/>
        <v>32122.021423908998</v>
      </c>
      <c r="AD247" s="541">
        <f t="shared" si="84"/>
        <v>31927.857098766333</v>
      </c>
      <c r="AE247" s="541">
        <f t="shared" si="84"/>
        <v>31699.203052632576</v>
      </c>
      <c r="AF247" s="541">
        <f t="shared" si="84"/>
        <v>31433.458145190922</v>
      </c>
      <c r="AG247" s="541">
        <f t="shared" si="84"/>
        <v>31131.866327092393</v>
      </c>
      <c r="AH247" s="423"/>
      <c r="AI247" s="423"/>
    </row>
    <row r="248" spans="1:35" hidden="1" x14ac:dyDescent="0.25">
      <c r="A248" s="449"/>
      <c r="B248" s="449" t="s">
        <v>67</v>
      </c>
      <c r="C248" s="451" t="s">
        <v>0</v>
      </c>
      <c r="D248" s="449"/>
      <c r="E248" s="541">
        <f t="shared" ref="E248:AG248" si="85">SUM(E237:E247)</f>
        <v>7261755.7591294432</v>
      </c>
      <c r="F248" s="541">
        <f t="shared" si="85"/>
        <v>8454652.6944856402</v>
      </c>
      <c r="G248" s="541">
        <f t="shared" si="85"/>
        <v>8698070.2381108366</v>
      </c>
      <c r="H248" s="541">
        <f t="shared" si="85"/>
        <v>8813290.5023900103</v>
      </c>
      <c r="I248" s="541">
        <f t="shared" si="85"/>
        <v>8872427.0087098312</v>
      </c>
      <c r="J248" s="541">
        <f t="shared" si="85"/>
        <v>9019364.5418991651</v>
      </c>
      <c r="K248" s="541">
        <f t="shared" si="85"/>
        <v>9055961.7648480404</v>
      </c>
      <c r="L248" s="541">
        <f t="shared" si="85"/>
        <v>9325183.2355211042</v>
      </c>
      <c r="M248" s="541">
        <f t="shared" si="85"/>
        <v>9429312.6197859086</v>
      </c>
      <c r="N248" s="541">
        <f t="shared" si="85"/>
        <v>9837125.7481960803</v>
      </c>
      <c r="O248" s="541">
        <f t="shared" si="85"/>
        <v>9820147.6830604486</v>
      </c>
      <c r="P248" s="541">
        <f t="shared" si="85"/>
        <v>9944676.2189368978</v>
      </c>
      <c r="Q248" s="541">
        <f t="shared" si="85"/>
        <v>10056913.770190479</v>
      </c>
      <c r="R248" s="541">
        <f t="shared" si="85"/>
        <v>10156817.270732095</v>
      </c>
      <c r="S248" s="541">
        <f t="shared" si="85"/>
        <v>10593024.76752829</v>
      </c>
      <c r="T248" s="541">
        <f t="shared" si="85"/>
        <v>10661516.270230906</v>
      </c>
      <c r="U248" s="541">
        <f t="shared" si="85"/>
        <v>10717673.113299357</v>
      </c>
      <c r="V248" s="541">
        <f t="shared" si="85"/>
        <v>10761502.225402031</v>
      </c>
      <c r="W248" s="541">
        <f t="shared" si="85"/>
        <v>10793002.604047772</v>
      </c>
      <c r="X248" s="541">
        <f t="shared" si="85"/>
        <v>11160650.228642471</v>
      </c>
      <c r="Y248" s="541">
        <f t="shared" si="85"/>
        <v>11160513.325597681</v>
      </c>
      <c r="Z248" s="541">
        <f t="shared" si="85"/>
        <v>11148024.528791353</v>
      </c>
      <c r="AA248" s="541">
        <f t="shared" si="85"/>
        <v>11122928.06444766</v>
      </c>
      <c r="AB248" s="541">
        <f t="shared" si="85"/>
        <v>11085742.130761115</v>
      </c>
      <c r="AC248" s="541">
        <f t="shared" si="85"/>
        <v>11384124.824652471</v>
      </c>
      <c r="AD248" s="541">
        <f t="shared" si="85"/>
        <v>11315312.501643641</v>
      </c>
      <c r="AE248" s="541">
        <f t="shared" si="85"/>
        <v>11234276.935154947</v>
      </c>
      <c r="AF248" s="541">
        <f t="shared" si="85"/>
        <v>11140096.274544967</v>
      </c>
      <c r="AG248" s="541">
        <f t="shared" si="85"/>
        <v>11033211.379039235</v>
      </c>
      <c r="AH248" s="423"/>
      <c r="AI248" s="423"/>
    </row>
    <row r="249" spans="1:35" hidden="1" x14ac:dyDescent="0.25">
      <c r="A249" s="449"/>
      <c r="B249" s="449"/>
      <c r="C249" s="449"/>
      <c r="D249" s="449"/>
      <c r="E249" s="450"/>
      <c r="F249" s="450"/>
      <c r="G249" s="450"/>
      <c r="H249" s="450"/>
      <c r="I249" s="450"/>
      <c r="J249" s="450"/>
      <c r="K249" s="450"/>
      <c r="L249" s="450"/>
      <c r="M249" s="450"/>
      <c r="N249" s="450"/>
      <c r="O249" s="450"/>
      <c r="P249" s="450"/>
      <c r="Q249" s="450"/>
      <c r="R249" s="450"/>
      <c r="S249" s="450"/>
      <c r="T249" s="450"/>
      <c r="U249" s="450"/>
      <c r="V249" s="450"/>
      <c r="W249" s="450"/>
      <c r="X249" s="450"/>
      <c r="Y249" s="450"/>
      <c r="Z249" s="450"/>
      <c r="AA249" s="450"/>
      <c r="AB249" s="450"/>
      <c r="AC249" s="450"/>
      <c r="AD249" s="450"/>
      <c r="AE249" s="450"/>
      <c r="AF249" s="450"/>
      <c r="AG249" s="450"/>
      <c r="AH249" s="423"/>
      <c r="AI249" s="423"/>
    </row>
    <row r="250" spans="1:35" hidden="1" x14ac:dyDescent="0.25">
      <c r="A250" s="449"/>
      <c r="B250" s="539" t="s">
        <v>95</v>
      </c>
      <c r="C250" s="450"/>
      <c r="D250" s="449"/>
      <c r="E250" s="449"/>
      <c r="F250" s="449"/>
      <c r="G250" s="449"/>
      <c r="H250" s="449"/>
      <c r="I250" s="449"/>
      <c r="J250" s="449"/>
      <c r="K250" s="449"/>
      <c r="L250" s="449"/>
      <c r="M250" s="449"/>
      <c r="N250" s="449"/>
      <c r="O250" s="449"/>
      <c r="P250" s="449"/>
      <c r="Q250" s="449"/>
      <c r="R250" s="449"/>
      <c r="S250" s="449"/>
      <c r="T250" s="449"/>
      <c r="U250" s="449"/>
      <c r="V250" s="449"/>
      <c r="W250" s="449"/>
      <c r="X250" s="449"/>
      <c r="Y250" s="449"/>
      <c r="Z250" s="449"/>
      <c r="AA250" s="449"/>
      <c r="AB250" s="449"/>
      <c r="AC250" s="449"/>
      <c r="AD250" s="449"/>
      <c r="AE250" s="449"/>
      <c r="AF250" s="449"/>
      <c r="AG250" s="449"/>
    </row>
    <row r="251" spans="1:35" hidden="1" x14ac:dyDescent="0.25">
      <c r="A251" s="451"/>
      <c r="B251" s="449" t="s">
        <v>80</v>
      </c>
      <c r="C251" s="451"/>
      <c r="D251" s="449"/>
      <c r="E251" s="450">
        <v>2017</v>
      </c>
      <c r="F251" s="450">
        <v>2018</v>
      </c>
      <c r="G251" s="450">
        <v>2019</v>
      </c>
      <c r="H251" s="450">
        <v>2020</v>
      </c>
      <c r="I251" s="450">
        <v>2021</v>
      </c>
      <c r="J251" s="450">
        <v>2022</v>
      </c>
      <c r="K251" s="450">
        <v>2023</v>
      </c>
      <c r="L251" s="450">
        <v>2024</v>
      </c>
      <c r="M251" s="450">
        <v>2025</v>
      </c>
      <c r="N251" s="450">
        <v>2026</v>
      </c>
      <c r="O251" s="450">
        <v>2027</v>
      </c>
      <c r="P251" s="450">
        <v>2028</v>
      </c>
      <c r="Q251" s="450">
        <v>2029</v>
      </c>
      <c r="R251" s="450">
        <v>2030</v>
      </c>
      <c r="S251" s="450">
        <v>2031</v>
      </c>
      <c r="T251" s="450">
        <v>2032</v>
      </c>
      <c r="U251" s="450">
        <v>2033</v>
      </c>
      <c r="V251" s="450">
        <v>2034</v>
      </c>
      <c r="W251" s="450">
        <v>2035</v>
      </c>
      <c r="X251" s="450">
        <v>2036</v>
      </c>
      <c r="Y251" s="450">
        <v>2037</v>
      </c>
      <c r="Z251" s="450">
        <v>2038</v>
      </c>
      <c r="AA251" s="450">
        <v>2039</v>
      </c>
      <c r="AB251" s="450">
        <v>2040</v>
      </c>
      <c r="AC251" s="450">
        <v>2041</v>
      </c>
      <c r="AD251" s="450">
        <v>2042</v>
      </c>
      <c r="AE251" s="450">
        <v>2043</v>
      </c>
      <c r="AF251" s="450">
        <v>2044</v>
      </c>
      <c r="AG251" s="450">
        <v>2045</v>
      </c>
    </row>
    <row r="252" spans="1:35" hidden="1" x14ac:dyDescent="0.25">
      <c r="A252" s="451">
        <v>1</v>
      </c>
      <c r="B252" s="449" t="s">
        <v>82</v>
      </c>
      <c r="C252" s="451"/>
      <c r="D252" s="449"/>
      <c r="E252" s="541">
        <f t="shared" ref="E252:E262" si="86">SUMIF($A$67:$A$247,$A252,E$67:E$247)</f>
        <v>2353570.9241426676</v>
      </c>
      <c r="F252" s="541">
        <f t="shared" ref="F252:AG261" si="87">SUMIF($A$67:$A$247,$A252,F$67:F$247)</f>
        <v>2577402.6764854076</v>
      </c>
      <c r="G252" s="541">
        <f t="shared" si="87"/>
        <v>2627329.0406258376</v>
      </c>
      <c r="H252" s="541">
        <f t="shared" si="87"/>
        <v>2505859.6779443715</v>
      </c>
      <c r="I252" s="541">
        <f t="shared" si="87"/>
        <v>2598666.3402535236</v>
      </c>
      <c r="J252" s="541">
        <f t="shared" si="87"/>
        <v>2667019.1054544472</v>
      </c>
      <c r="K252" s="541">
        <f t="shared" si="87"/>
        <v>2698523.2675027102</v>
      </c>
      <c r="L252" s="541">
        <f t="shared" si="87"/>
        <v>2761513.7917213161</v>
      </c>
      <c r="M252" s="541">
        <f t="shared" si="87"/>
        <v>2801385.3446366196</v>
      </c>
      <c r="N252" s="541">
        <f t="shared" si="87"/>
        <v>2886874.3060416109</v>
      </c>
      <c r="O252" s="541">
        <f t="shared" si="87"/>
        <v>2908589.1433373578</v>
      </c>
      <c r="P252" s="541">
        <f t="shared" si="87"/>
        <v>2952634.9937739773</v>
      </c>
      <c r="Q252" s="541">
        <f t="shared" si="87"/>
        <v>2995554.83435224</v>
      </c>
      <c r="R252" s="541">
        <f t="shared" si="87"/>
        <v>3037413.4422701322</v>
      </c>
      <c r="S252" s="541">
        <f t="shared" si="87"/>
        <v>3129958.016367767</v>
      </c>
      <c r="T252" s="541">
        <f t="shared" si="87"/>
        <v>3168107.9293124815</v>
      </c>
      <c r="U252" s="541">
        <f t="shared" si="87"/>
        <v>3205169.0854256647</v>
      </c>
      <c r="V252" s="541">
        <f t="shared" si="87"/>
        <v>3241156.6518158079</v>
      </c>
      <c r="W252" s="541">
        <f t="shared" si="87"/>
        <v>3276049.5461922623</v>
      </c>
      <c r="X252" s="541">
        <f t="shared" si="87"/>
        <v>3361505.6738539506</v>
      </c>
      <c r="Y252" s="541">
        <f t="shared" si="87"/>
        <v>3392590.6097412454</v>
      </c>
      <c r="Z252" s="541">
        <f t="shared" si="87"/>
        <v>3422361.1872976823</v>
      </c>
      <c r="AA252" s="541">
        <f t="shared" si="87"/>
        <v>3451296.6946948729</v>
      </c>
      <c r="AB252" s="541">
        <f t="shared" si="87"/>
        <v>3479458.4853245765</v>
      </c>
      <c r="AC252" s="541">
        <f t="shared" si="87"/>
        <v>3557897.0824722508</v>
      </c>
      <c r="AD252" s="541">
        <f t="shared" si="87"/>
        <v>3582240.7186202919</v>
      </c>
      <c r="AE252" s="541">
        <f t="shared" si="87"/>
        <v>3604796.9410329051</v>
      </c>
      <c r="AF252" s="541">
        <f t="shared" si="87"/>
        <v>3625858.987872594</v>
      </c>
      <c r="AG252" s="541">
        <f t="shared" si="87"/>
        <v>3646461.1607347457</v>
      </c>
      <c r="AH252" s="438"/>
      <c r="AI252" s="438"/>
    </row>
    <row r="253" spans="1:35" hidden="1" x14ac:dyDescent="0.25">
      <c r="A253" s="451">
        <v>2</v>
      </c>
      <c r="B253" s="449" t="s">
        <v>83</v>
      </c>
      <c r="C253" s="451"/>
      <c r="D253" s="449"/>
      <c r="E253" s="541">
        <f t="shared" si="86"/>
        <v>607565.57748242514</v>
      </c>
      <c r="F253" s="541">
        <f t="shared" si="87"/>
        <v>676781.52494971885</v>
      </c>
      <c r="G253" s="541">
        <f t="shared" si="87"/>
        <v>692615.18540679966</v>
      </c>
      <c r="H253" s="541">
        <f t="shared" si="87"/>
        <v>684071.06459653378</v>
      </c>
      <c r="I253" s="541">
        <f t="shared" si="87"/>
        <v>698478.93622520124</v>
      </c>
      <c r="J253" s="541">
        <f t="shared" si="87"/>
        <v>713170.0217271545</v>
      </c>
      <c r="K253" s="541">
        <f t="shared" si="87"/>
        <v>719770.35865618766</v>
      </c>
      <c r="L253" s="541">
        <f t="shared" si="87"/>
        <v>738198.55369266099</v>
      </c>
      <c r="M253" s="541">
        <f t="shared" si="87"/>
        <v>748229.73716361425</v>
      </c>
      <c r="N253" s="541">
        <f t="shared" si="87"/>
        <v>774213.8469428625</v>
      </c>
      <c r="O253" s="541">
        <f t="shared" si="87"/>
        <v>777930.91083985497</v>
      </c>
      <c r="P253" s="541">
        <f t="shared" si="87"/>
        <v>789233.76400053478</v>
      </c>
      <c r="Q253" s="541">
        <f t="shared" si="87"/>
        <v>800010.83007183624</v>
      </c>
      <c r="R253" s="541">
        <f t="shared" si="87"/>
        <v>810318.39031693828</v>
      </c>
      <c r="S253" s="541">
        <f t="shared" si="87"/>
        <v>838295.8198720325</v>
      </c>
      <c r="T253" s="541">
        <f t="shared" si="87"/>
        <v>847095.58995814971</v>
      </c>
      <c r="U253" s="541">
        <f t="shared" si="87"/>
        <v>855375.71255244431</v>
      </c>
      <c r="V253" s="541">
        <f t="shared" si="87"/>
        <v>863139.06793139153</v>
      </c>
      <c r="W253" s="541">
        <f t="shared" si="87"/>
        <v>870447.77913882118</v>
      </c>
      <c r="X253" s="541">
        <f t="shared" si="87"/>
        <v>895395.27415465168</v>
      </c>
      <c r="Y253" s="541">
        <f t="shared" si="87"/>
        <v>901169.9752380515</v>
      </c>
      <c r="Z253" s="541">
        <f t="shared" si="87"/>
        <v>906402.85720627243</v>
      </c>
      <c r="AA253" s="541">
        <f t="shared" si="87"/>
        <v>911141.58568020118</v>
      </c>
      <c r="AB253" s="541">
        <f t="shared" si="87"/>
        <v>915651.10408995091</v>
      </c>
      <c r="AC253" s="541">
        <f t="shared" si="87"/>
        <v>937577.29851967853</v>
      </c>
      <c r="AD253" s="541">
        <f t="shared" si="87"/>
        <v>940388.34685090999</v>
      </c>
      <c r="AE253" s="541">
        <f t="shared" si="87"/>
        <v>942612.18584554433</v>
      </c>
      <c r="AF253" s="541">
        <f t="shared" si="87"/>
        <v>944251.66590327118</v>
      </c>
      <c r="AG253" s="541">
        <f t="shared" si="87"/>
        <v>945443.40918060159</v>
      </c>
      <c r="AH253" s="438"/>
      <c r="AI253" s="438"/>
    </row>
    <row r="254" spans="1:35" hidden="1" x14ac:dyDescent="0.25">
      <c r="A254" s="451">
        <v>3</v>
      </c>
      <c r="B254" s="449" t="s">
        <v>84</v>
      </c>
      <c r="C254" s="451"/>
      <c r="D254" s="449"/>
      <c r="E254" s="541">
        <f t="shared" si="86"/>
        <v>1941593.4224249949</v>
      </c>
      <c r="F254" s="541">
        <f t="shared" si="87"/>
        <v>2168781.359605724</v>
      </c>
      <c r="G254" s="541">
        <f t="shared" si="87"/>
        <v>2225337.8198803775</v>
      </c>
      <c r="H254" s="541">
        <f t="shared" si="87"/>
        <v>2215975.1282722689</v>
      </c>
      <c r="I254" s="541">
        <f t="shared" si="87"/>
        <v>2263767.9498921316</v>
      </c>
      <c r="J254" s="541">
        <f t="shared" si="87"/>
        <v>2314856.1827014214</v>
      </c>
      <c r="K254" s="541">
        <f t="shared" si="87"/>
        <v>2340574.5553858979</v>
      </c>
      <c r="L254" s="541">
        <f t="shared" si="87"/>
        <v>2404942.1655976255</v>
      </c>
      <c r="M254" s="541">
        <f t="shared" si="87"/>
        <v>2442263.3685041233</v>
      </c>
      <c r="N254" s="541">
        <f t="shared" si="87"/>
        <v>2530087.9010562021</v>
      </c>
      <c r="O254" s="541">
        <f t="shared" si="87"/>
        <v>2547495.8323035361</v>
      </c>
      <c r="P254" s="541">
        <f t="shared" si="87"/>
        <v>2589255.3265699451</v>
      </c>
      <c r="Q254" s="541">
        <f t="shared" si="87"/>
        <v>2629473.755559118</v>
      </c>
      <c r="R254" s="541">
        <f t="shared" si="87"/>
        <v>2668288.7826318219</v>
      </c>
      <c r="S254" s="541">
        <f t="shared" si="87"/>
        <v>2763178.5471000429</v>
      </c>
      <c r="T254" s="541">
        <f t="shared" si="87"/>
        <v>2797620.711777071</v>
      </c>
      <c r="U254" s="541">
        <f t="shared" si="87"/>
        <v>2830536.0668317596</v>
      </c>
      <c r="V254" s="541">
        <f t="shared" si="87"/>
        <v>2861932.3225565292</v>
      </c>
      <c r="W254" s="541">
        <f t="shared" si="87"/>
        <v>2891960.9622983802</v>
      </c>
      <c r="X254" s="541">
        <f t="shared" si="87"/>
        <v>2977979.56814209</v>
      </c>
      <c r="Y254" s="541">
        <f t="shared" si="87"/>
        <v>3003560.4344412284</v>
      </c>
      <c r="Z254" s="541">
        <f t="shared" si="87"/>
        <v>3027554.2174155526</v>
      </c>
      <c r="AA254" s="541">
        <f t="shared" si="87"/>
        <v>3050079.325220177</v>
      </c>
      <c r="AB254" s="541">
        <f t="shared" si="87"/>
        <v>3071804.6149911042</v>
      </c>
      <c r="AC254" s="541">
        <f t="shared" si="87"/>
        <v>3148948.0722059477</v>
      </c>
      <c r="AD254" s="541">
        <f t="shared" si="87"/>
        <v>3165823.0289997701</v>
      </c>
      <c r="AE254" s="541">
        <f t="shared" si="87"/>
        <v>3180993.4023205759</v>
      </c>
      <c r="AF254" s="541">
        <f t="shared" si="87"/>
        <v>3194438.7475057319</v>
      </c>
      <c r="AG254" s="541">
        <f t="shared" si="87"/>
        <v>3206533.8957327772</v>
      </c>
      <c r="AH254" s="438"/>
      <c r="AI254" s="438"/>
    </row>
    <row r="255" spans="1:35" hidden="1" x14ac:dyDescent="0.25">
      <c r="A255" s="451">
        <v>4</v>
      </c>
      <c r="B255" s="449" t="s">
        <v>85</v>
      </c>
      <c r="C255" s="451"/>
      <c r="D255" s="449"/>
      <c r="E255" s="541">
        <f t="shared" si="86"/>
        <v>14150057.970049765</v>
      </c>
      <c r="F255" s="541">
        <f t="shared" si="87"/>
        <v>15256607.240721116</v>
      </c>
      <c r="G255" s="541">
        <f t="shared" si="87"/>
        <v>15473878.041927125</v>
      </c>
      <c r="H255" s="541">
        <f t="shared" si="87"/>
        <v>14247324.809255367</v>
      </c>
      <c r="I255" s="541">
        <f t="shared" si="87"/>
        <v>14967058.012262195</v>
      </c>
      <c r="J255" s="541">
        <f t="shared" si="87"/>
        <v>15409862.641609676</v>
      </c>
      <c r="K255" s="541">
        <f t="shared" si="87"/>
        <v>15603947.323225481</v>
      </c>
      <c r="L255" s="541">
        <f t="shared" si="87"/>
        <v>15915982.91045895</v>
      </c>
      <c r="M255" s="541">
        <f t="shared" si="87"/>
        <v>16190452.636276715</v>
      </c>
      <c r="N255" s="541">
        <f t="shared" si="87"/>
        <v>16609407.604106531</v>
      </c>
      <c r="O255" s="541">
        <f t="shared" si="87"/>
        <v>16746781.709457181</v>
      </c>
      <c r="P255" s="541">
        <f t="shared" si="87"/>
        <v>16984718.656799197</v>
      </c>
      <c r="Q255" s="541">
        <f t="shared" si="87"/>
        <v>17219454.955933284</v>
      </c>
      <c r="R255" s="541">
        <f t="shared" si="87"/>
        <v>17535233.00008893</v>
      </c>
      <c r="S255" s="541">
        <f t="shared" si="87"/>
        <v>17989995.991990186</v>
      </c>
      <c r="T255" s="541">
        <f t="shared" si="87"/>
        <v>18206894.642820634</v>
      </c>
      <c r="U255" s="541">
        <f t="shared" si="87"/>
        <v>18420907.234460916</v>
      </c>
      <c r="V255" s="541">
        <f t="shared" si="87"/>
        <v>18632151.257801488</v>
      </c>
      <c r="W255" s="541">
        <f t="shared" si="87"/>
        <v>18948187.454693474</v>
      </c>
      <c r="X255" s="541">
        <f t="shared" si="87"/>
        <v>19375549.366458401</v>
      </c>
      <c r="Y255" s="541">
        <f t="shared" si="87"/>
        <v>19565342.179787837</v>
      </c>
      <c r="Z255" s="541">
        <f t="shared" si="87"/>
        <v>19750296.981006354</v>
      </c>
      <c r="AA255" s="541">
        <f t="shared" si="87"/>
        <v>19934818.350896675</v>
      </c>
      <c r="AB255" s="541">
        <f t="shared" si="87"/>
        <v>20522795.47841797</v>
      </c>
      <c r="AC255" s="541">
        <f t="shared" si="87"/>
        <v>20926529.078678198</v>
      </c>
      <c r="AD255" s="541">
        <f t="shared" si="87"/>
        <v>21094653.207717244</v>
      </c>
      <c r="AE255" s="541">
        <f t="shared" si="87"/>
        <v>21253573.557401411</v>
      </c>
      <c r="AF255" s="541">
        <f t="shared" si="87"/>
        <v>21406501.178829908</v>
      </c>
      <c r="AG255" s="541">
        <f t="shared" si="87"/>
        <v>21562282.316414401</v>
      </c>
      <c r="AH255" s="438"/>
      <c r="AI255" s="438"/>
    </row>
    <row r="256" spans="1:35" hidden="1" x14ac:dyDescent="0.25">
      <c r="A256" s="451">
        <v>5</v>
      </c>
      <c r="B256" s="449" t="s">
        <v>86</v>
      </c>
      <c r="C256" s="451"/>
      <c r="D256" s="449"/>
      <c r="E256" s="541">
        <f t="shared" si="86"/>
        <v>7018885.8297833614</v>
      </c>
      <c r="F256" s="541">
        <f t="shared" si="87"/>
        <v>7529196.6049074363</v>
      </c>
      <c r="G256" s="541">
        <f t="shared" si="87"/>
        <v>7633205.6989535699</v>
      </c>
      <c r="H256" s="541">
        <f t="shared" si="87"/>
        <v>7019459.937743919</v>
      </c>
      <c r="I256" s="541">
        <f t="shared" si="87"/>
        <v>7383093.71271451</v>
      </c>
      <c r="J256" s="541">
        <f t="shared" si="87"/>
        <v>7604429.2521638386</v>
      </c>
      <c r="K256" s="541">
        <f t="shared" si="87"/>
        <v>7705728.3108096793</v>
      </c>
      <c r="L256" s="541">
        <f t="shared" si="87"/>
        <v>7856635.4705128297</v>
      </c>
      <c r="M256" s="541">
        <f t="shared" si="87"/>
        <v>7996167.8605633639</v>
      </c>
      <c r="N256" s="541">
        <f t="shared" si="87"/>
        <v>8195033.6692499118</v>
      </c>
      <c r="O256" s="541">
        <f t="shared" si="87"/>
        <v>8270629.6166779995</v>
      </c>
      <c r="P256" s="541">
        <f t="shared" si="87"/>
        <v>8390864.1038490478</v>
      </c>
      <c r="Q256" s="541">
        <f t="shared" si="87"/>
        <v>8510133.1376319826</v>
      </c>
      <c r="R256" s="541">
        <f t="shared" si="87"/>
        <v>8671405.1083486788</v>
      </c>
      <c r="S256" s="541">
        <f t="shared" si="87"/>
        <v>8887668.5541224964</v>
      </c>
      <c r="T256" s="541">
        <f t="shared" si="87"/>
        <v>9000224.030505022</v>
      </c>
      <c r="U256" s="541">
        <f t="shared" si="87"/>
        <v>9111982.1289850511</v>
      </c>
      <c r="V256" s="541">
        <f t="shared" si="87"/>
        <v>9223003.7086387575</v>
      </c>
      <c r="W256" s="541">
        <f t="shared" si="87"/>
        <v>9388156.8242110889</v>
      </c>
      <c r="X256" s="541">
        <f t="shared" si="87"/>
        <v>9594220.3499136642</v>
      </c>
      <c r="Y256" s="541">
        <f t="shared" si="87"/>
        <v>9696739.1576757971</v>
      </c>
      <c r="Z256" s="541">
        <f t="shared" si="87"/>
        <v>9797495.8831224125</v>
      </c>
      <c r="AA256" s="541">
        <f t="shared" si="87"/>
        <v>9898710.6274536122</v>
      </c>
      <c r="AB256" s="541">
        <f t="shared" si="87"/>
        <v>10206376.191252671</v>
      </c>
      <c r="AC256" s="541">
        <f t="shared" si="87"/>
        <v>10404246.355620041</v>
      </c>
      <c r="AD256" s="541">
        <f t="shared" si="87"/>
        <v>10499541.924224624</v>
      </c>
      <c r="AE256" s="541">
        <f t="shared" si="87"/>
        <v>10590895.347451515</v>
      </c>
      <c r="AF256" s="541">
        <f t="shared" si="87"/>
        <v>10679956.491445549</v>
      </c>
      <c r="AG256" s="541">
        <f t="shared" si="87"/>
        <v>10771142.567249062</v>
      </c>
      <c r="AH256" s="438"/>
      <c r="AI256" s="438"/>
    </row>
    <row r="257" spans="1:35" hidden="1" x14ac:dyDescent="0.25">
      <c r="A257" s="451">
        <v>6</v>
      </c>
      <c r="B257" s="449" t="s">
        <v>87</v>
      </c>
      <c r="C257" s="451"/>
      <c r="D257" s="449"/>
      <c r="E257" s="541">
        <f>SUMIF($A$67:$A$247,$A257,E$67:E$247)</f>
        <v>6455265.0788895935</v>
      </c>
      <c r="F257" s="541">
        <f t="shared" si="87"/>
        <v>6821102.0889733601</v>
      </c>
      <c r="G257" s="541">
        <f t="shared" si="87"/>
        <v>6860486.4085797826</v>
      </c>
      <c r="H257" s="541">
        <f t="shared" si="87"/>
        <v>5906583.8503498137</v>
      </c>
      <c r="I257" s="541">
        <f t="shared" si="87"/>
        <v>6361324.0383069953</v>
      </c>
      <c r="J257" s="541">
        <f t="shared" si="87"/>
        <v>6590189.5410569534</v>
      </c>
      <c r="K257" s="541">
        <f t="shared" si="87"/>
        <v>6678312.7275868971</v>
      </c>
      <c r="L257" s="541">
        <f t="shared" si="87"/>
        <v>6774327.9094108939</v>
      </c>
      <c r="M257" s="541">
        <f t="shared" si="87"/>
        <v>6894024.6547313901</v>
      </c>
      <c r="N257" s="541">
        <f t="shared" si="87"/>
        <v>7022160.7603799431</v>
      </c>
      <c r="O257" s="541">
        <f t="shared" si="87"/>
        <v>7083233.0267016161</v>
      </c>
      <c r="P257" s="541">
        <f t="shared" si="87"/>
        <v>7169835.2605491802</v>
      </c>
      <c r="Q257" s="541">
        <f t="shared" si="87"/>
        <v>7257134.5192856323</v>
      </c>
      <c r="R257" s="541">
        <f t="shared" si="87"/>
        <v>7402241.7644056836</v>
      </c>
      <c r="S257" s="541">
        <f t="shared" si="87"/>
        <v>7542190.674017502</v>
      </c>
      <c r="T257" s="541">
        <f t="shared" si="87"/>
        <v>7627623.4076005677</v>
      </c>
      <c r="U257" s="541">
        <f t="shared" si="87"/>
        <v>7713951.0952907978</v>
      </c>
      <c r="V257" s="541">
        <f t="shared" si="87"/>
        <v>7801244.5138008315</v>
      </c>
      <c r="W257" s="541">
        <f t="shared" si="87"/>
        <v>7962374.1128471419</v>
      </c>
      <c r="X257" s="541">
        <f t="shared" si="87"/>
        <v>8099563.6635943716</v>
      </c>
      <c r="Y257" s="541">
        <f t="shared" si="87"/>
        <v>8182412.0429260228</v>
      </c>
      <c r="Z257" s="541">
        <f t="shared" si="87"/>
        <v>8264711.9943594523</v>
      </c>
      <c r="AA257" s="541">
        <f t="shared" si="87"/>
        <v>8349672.3511439525</v>
      </c>
      <c r="AB257" s="541">
        <f t="shared" si="87"/>
        <v>8710813.4539646432</v>
      </c>
      <c r="AC257" s="541">
        <f t="shared" si="87"/>
        <v>8847775.3725583348</v>
      </c>
      <c r="AD257" s="541">
        <f t="shared" si="87"/>
        <v>8931543.6496443618</v>
      </c>
      <c r="AE257" s="541">
        <f t="shared" si="87"/>
        <v>9011551.7149165384</v>
      </c>
      <c r="AF257" s="541">
        <f t="shared" si="87"/>
        <v>9090371.74010133</v>
      </c>
      <c r="AG257" s="541">
        <f t="shared" si="87"/>
        <v>9174151.229431143</v>
      </c>
      <c r="AH257" s="438"/>
      <c r="AI257" s="438"/>
    </row>
    <row r="258" spans="1:35" hidden="1" x14ac:dyDescent="0.25">
      <c r="A258" s="451">
        <v>7</v>
      </c>
      <c r="B258" s="449" t="s">
        <v>88</v>
      </c>
      <c r="C258" s="451"/>
      <c r="D258" s="449"/>
      <c r="E258" s="541">
        <f t="shared" si="86"/>
        <v>1341630.2600862544</v>
      </c>
      <c r="F258" s="541">
        <f t="shared" si="87"/>
        <v>1408060.7368259479</v>
      </c>
      <c r="G258" s="541">
        <f t="shared" si="87"/>
        <v>1399699.4731443515</v>
      </c>
      <c r="H258" s="541">
        <f t="shared" si="87"/>
        <v>1323366.062115283</v>
      </c>
      <c r="I258" s="541">
        <f t="shared" si="87"/>
        <v>1376617.5930870071</v>
      </c>
      <c r="J258" s="541">
        <f t="shared" si="87"/>
        <v>1430737.8169336806</v>
      </c>
      <c r="K258" s="541">
        <f t="shared" si="87"/>
        <v>1451370.4736420517</v>
      </c>
      <c r="L258" s="541">
        <f t="shared" si="87"/>
        <v>1468936.6524312762</v>
      </c>
      <c r="M258" s="541">
        <f t="shared" si="87"/>
        <v>1486564.4295552108</v>
      </c>
      <c r="N258" s="541">
        <f t="shared" si="87"/>
        <v>1509254.4765556036</v>
      </c>
      <c r="O258" s="541">
        <f t="shared" si="87"/>
        <v>1524076.220288886</v>
      </c>
      <c r="P258" s="541">
        <f t="shared" si="87"/>
        <v>1542303.5454048219</v>
      </c>
      <c r="Q258" s="541">
        <f t="shared" si="87"/>
        <v>1560953.3508434207</v>
      </c>
      <c r="R258" s="541">
        <f t="shared" si="87"/>
        <v>1580268.630277005</v>
      </c>
      <c r="S258" s="541">
        <f t="shared" si="87"/>
        <v>1605238.5755615958</v>
      </c>
      <c r="T258" s="541">
        <f t="shared" si="87"/>
        <v>1624294.542891955</v>
      </c>
      <c r="U258" s="541">
        <f t="shared" si="87"/>
        <v>1643822.4341619387</v>
      </c>
      <c r="V258" s="541">
        <f t="shared" si="87"/>
        <v>1663839.624049536</v>
      </c>
      <c r="W258" s="541">
        <f t="shared" si="87"/>
        <v>1684479.5320228653</v>
      </c>
      <c r="X258" s="541">
        <f t="shared" si="87"/>
        <v>1710542.9010392586</v>
      </c>
      <c r="Y258" s="541">
        <f t="shared" si="87"/>
        <v>1730718.4795925664</v>
      </c>
      <c r="Z258" s="541">
        <f t="shared" si="87"/>
        <v>1750979.316984484</v>
      </c>
      <c r="AA258" s="541">
        <f t="shared" si="87"/>
        <v>1772148.7243068565</v>
      </c>
      <c r="AB258" s="541">
        <f t="shared" si="87"/>
        <v>1794847.9944777375</v>
      </c>
      <c r="AC258" s="541">
        <f t="shared" si="87"/>
        <v>1822142.4885284733</v>
      </c>
      <c r="AD258" s="541">
        <f t="shared" si="87"/>
        <v>1843829.1193197449</v>
      </c>
      <c r="AE258" s="541">
        <f t="shared" si="87"/>
        <v>1864779.9717555151</v>
      </c>
      <c r="AF258" s="541">
        <f t="shared" si="87"/>
        <v>1885670.4278721707</v>
      </c>
      <c r="AG258" s="541">
        <f t="shared" si="87"/>
        <v>1908057.2381658801</v>
      </c>
      <c r="AH258" s="438"/>
      <c r="AI258" s="438"/>
    </row>
    <row r="259" spans="1:35" hidden="1" x14ac:dyDescent="0.25">
      <c r="A259" s="451">
        <v>8</v>
      </c>
      <c r="B259" s="449" t="s">
        <v>89</v>
      </c>
      <c r="C259" s="451"/>
      <c r="D259" s="449"/>
      <c r="E259" s="541">
        <f>SUMIF($A$67:$A$247,$A259,E$67:E$247)</f>
        <v>673140.96419472469</v>
      </c>
      <c r="F259" s="541">
        <f t="shared" si="87"/>
        <v>699583.06683773594</v>
      </c>
      <c r="G259" s="541">
        <f t="shared" si="87"/>
        <v>684082.00703937409</v>
      </c>
      <c r="H259" s="541">
        <f t="shared" si="87"/>
        <v>659758.56796690135</v>
      </c>
      <c r="I259" s="541">
        <f t="shared" si="87"/>
        <v>678249.73920629953</v>
      </c>
      <c r="J259" s="541">
        <f t="shared" si="87"/>
        <v>708474.46435414487</v>
      </c>
      <c r="K259" s="541">
        <f t="shared" si="87"/>
        <v>717435.84912645363</v>
      </c>
      <c r="L259" s="541">
        <f t="shared" si="87"/>
        <v>721437.29921943438</v>
      </c>
      <c r="M259" s="541">
        <f t="shared" si="87"/>
        <v>727081.75776921993</v>
      </c>
      <c r="N259" s="541">
        <f t="shared" si="87"/>
        <v>733122.14787828259</v>
      </c>
      <c r="O259" s="541">
        <f t="shared" si="87"/>
        <v>738256.01812613965</v>
      </c>
      <c r="P259" s="541">
        <f t="shared" si="87"/>
        <v>744003.19408337167</v>
      </c>
      <c r="Q259" s="541">
        <f t="shared" si="87"/>
        <v>750055.73496032739</v>
      </c>
      <c r="R259" s="541">
        <f t="shared" si="87"/>
        <v>756238.30112096132</v>
      </c>
      <c r="S259" s="541">
        <f t="shared" si="87"/>
        <v>762932.35591261927</v>
      </c>
      <c r="T259" s="541">
        <f t="shared" si="87"/>
        <v>769350.00822800759</v>
      </c>
      <c r="U259" s="541">
        <f t="shared" si="87"/>
        <v>776103.66895310942</v>
      </c>
      <c r="V259" s="541">
        <f t="shared" si="87"/>
        <v>783204.13148277986</v>
      </c>
      <c r="W259" s="541">
        <f t="shared" si="87"/>
        <v>790303.09113820503</v>
      </c>
      <c r="X259" s="541">
        <f t="shared" si="87"/>
        <v>797862.0449826424</v>
      </c>
      <c r="Y259" s="541">
        <f t="shared" si="87"/>
        <v>805158.16757650103</v>
      </c>
      <c r="Z259" s="541">
        <f t="shared" si="87"/>
        <v>812522.87076129788</v>
      </c>
      <c r="AA259" s="541">
        <f t="shared" si="87"/>
        <v>820517.19946988637</v>
      </c>
      <c r="AB259" s="541">
        <f t="shared" si="87"/>
        <v>827915.10638407222</v>
      </c>
      <c r="AC259" s="541">
        <f t="shared" si="87"/>
        <v>836404.78339731775</v>
      </c>
      <c r="AD259" s="541">
        <f t="shared" si="87"/>
        <v>844809.86198119516</v>
      </c>
      <c r="AE259" s="541">
        <f t="shared" si="87"/>
        <v>852719.4245178994</v>
      </c>
      <c r="AF259" s="541">
        <f t="shared" si="87"/>
        <v>860601.78182352346</v>
      </c>
      <c r="AG259" s="541">
        <f t="shared" si="87"/>
        <v>869507.77978428453</v>
      </c>
      <c r="AH259" s="438"/>
      <c r="AI259" s="438"/>
    </row>
    <row r="260" spans="1:35" hidden="1" x14ac:dyDescent="0.25">
      <c r="A260" s="451">
        <v>9</v>
      </c>
      <c r="B260" s="449" t="s">
        <v>90</v>
      </c>
      <c r="C260" s="451"/>
      <c r="D260" s="449"/>
      <c r="E260" s="541">
        <f t="shared" si="86"/>
        <v>99646.113840255479</v>
      </c>
      <c r="F260" s="541">
        <f t="shared" si="87"/>
        <v>94412.258771897061</v>
      </c>
      <c r="G260" s="541">
        <f t="shared" si="87"/>
        <v>88447.85937532867</v>
      </c>
      <c r="H260" s="541">
        <f t="shared" si="87"/>
        <v>91731.753637173795</v>
      </c>
      <c r="I260" s="541">
        <f t="shared" si="87"/>
        <v>92431.637935999461</v>
      </c>
      <c r="J260" s="541">
        <f t="shared" si="87"/>
        <v>98189.169111199211</v>
      </c>
      <c r="K260" s="541">
        <f t="shared" si="87"/>
        <v>100339.42002802694</v>
      </c>
      <c r="L260" s="541">
        <f t="shared" si="87"/>
        <v>99154.080359422558</v>
      </c>
      <c r="M260" s="541">
        <f t="shared" si="87"/>
        <v>99937.311468077227</v>
      </c>
      <c r="N260" s="541">
        <f t="shared" si="87"/>
        <v>97897.605418685052</v>
      </c>
      <c r="O260" s="541">
        <f t="shared" si="87"/>
        <v>99759.416265371561</v>
      </c>
      <c r="P260" s="541">
        <f t="shared" si="87"/>
        <v>100402.13294620032</v>
      </c>
      <c r="Q260" s="541">
        <f t="shared" si="87"/>
        <v>101241.83487299473</v>
      </c>
      <c r="R260" s="541">
        <f t="shared" si="87"/>
        <v>102239.79790032766</v>
      </c>
      <c r="S260" s="541">
        <f t="shared" si="87"/>
        <v>100126.06553418114</v>
      </c>
      <c r="T260" s="541">
        <f t="shared" si="87"/>
        <v>101501.68575487846</v>
      </c>
      <c r="U260" s="541">
        <f t="shared" si="87"/>
        <v>103082.61709873995</v>
      </c>
      <c r="V260" s="541">
        <f t="shared" si="87"/>
        <v>104871.47372332976</v>
      </c>
      <c r="W260" s="541">
        <f t="shared" si="87"/>
        <v>106790.76477524465</v>
      </c>
      <c r="X260" s="541">
        <f t="shared" si="87"/>
        <v>105590.22741520498</v>
      </c>
      <c r="Y260" s="541">
        <f t="shared" si="87"/>
        <v>107884.22623778965</v>
      </c>
      <c r="Z260" s="541">
        <f t="shared" si="87"/>
        <v>110326.21873752277</v>
      </c>
      <c r="AA260" s="541">
        <f t="shared" si="87"/>
        <v>113042.8690402717</v>
      </c>
      <c r="AB260" s="541">
        <f t="shared" si="87"/>
        <v>115755.42187238554</v>
      </c>
      <c r="AC260" s="541">
        <f t="shared" si="87"/>
        <v>115497.34687778226</v>
      </c>
      <c r="AD260" s="541">
        <f t="shared" si="87"/>
        <v>118769.14463131192</v>
      </c>
      <c r="AE260" s="541">
        <f t="shared" si="87"/>
        <v>122064.87601240119</v>
      </c>
      <c r="AF260" s="541">
        <f t="shared" si="87"/>
        <v>125497.20650833056</v>
      </c>
      <c r="AG260" s="541">
        <f t="shared" si="87"/>
        <v>129294.2430688155</v>
      </c>
      <c r="AH260" s="438"/>
      <c r="AI260" s="438"/>
    </row>
    <row r="261" spans="1:35" hidden="1" x14ac:dyDescent="0.25">
      <c r="A261" s="451">
        <v>10</v>
      </c>
      <c r="B261" s="449" t="s">
        <v>91</v>
      </c>
      <c r="C261" s="451"/>
      <c r="D261" s="449"/>
      <c r="E261" s="541">
        <f t="shared" si="86"/>
        <v>1425927.3891218847</v>
      </c>
      <c r="F261" s="541">
        <f t="shared" si="87"/>
        <v>1488825.7411575175</v>
      </c>
      <c r="G261" s="541">
        <f t="shared" si="87"/>
        <v>1467488.6173318136</v>
      </c>
      <c r="H261" s="541">
        <f t="shared" si="87"/>
        <v>1402941.0648871136</v>
      </c>
      <c r="I261" s="541">
        <f t="shared" ref="I261:AG262" si="88">SUMIF($A$67:$A$247,$A261,I$67:I$247)</f>
        <v>1450089.6909740595</v>
      </c>
      <c r="J261" s="541">
        <f t="shared" si="88"/>
        <v>1510948.22247698</v>
      </c>
      <c r="K261" s="541">
        <f t="shared" si="88"/>
        <v>1531374.9035650655</v>
      </c>
      <c r="L261" s="541">
        <f t="shared" si="88"/>
        <v>1544771.5184573336</v>
      </c>
      <c r="M261" s="541">
        <f t="shared" si="88"/>
        <v>1559855.4442698627</v>
      </c>
      <c r="N261" s="541">
        <f t="shared" si="88"/>
        <v>1578100.3073713209</v>
      </c>
      <c r="O261" s="541">
        <f t="shared" si="88"/>
        <v>1591365.7984870984</v>
      </c>
      <c r="P261" s="541">
        <f t="shared" si="88"/>
        <v>1607033.3567424458</v>
      </c>
      <c r="Q261" s="541">
        <f t="shared" si="88"/>
        <v>1623253.9890114486</v>
      </c>
      <c r="R261" s="541">
        <f t="shared" si="88"/>
        <v>1639715.0432400017</v>
      </c>
      <c r="S261" s="541">
        <f t="shared" si="88"/>
        <v>1659845.1200402908</v>
      </c>
      <c r="T261" s="541">
        <f t="shared" si="88"/>
        <v>1676680.7494439729</v>
      </c>
      <c r="U261" s="541">
        <f t="shared" si="88"/>
        <v>1694128.4837044051</v>
      </c>
      <c r="V261" s="541">
        <f t="shared" si="88"/>
        <v>1712209.0799165363</v>
      </c>
      <c r="W261" s="541">
        <f t="shared" si="88"/>
        <v>1730293.6396986577</v>
      </c>
      <c r="X261" s="541">
        <f t="shared" si="88"/>
        <v>1751950.5519845472</v>
      </c>
      <c r="Y261" s="541">
        <f t="shared" si="88"/>
        <v>1770341.1828182822</v>
      </c>
      <c r="Z261" s="541">
        <f t="shared" si="88"/>
        <v>1788852.7799130275</v>
      </c>
      <c r="AA261" s="541">
        <f t="shared" si="88"/>
        <v>1808521.7786691587</v>
      </c>
      <c r="AB261" s="541">
        <f t="shared" si="88"/>
        <v>1827140.4958141078</v>
      </c>
      <c r="AC261" s="541">
        <f t="shared" si="88"/>
        <v>1850459.1490937795</v>
      </c>
      <c r="AD261" s="541">
        <f t="shared" si="88"/>
        <v>1870850.3457708603</v>
      </c>
      <c r="AE261" s="541">
        <f t="shared" si="88"/>
        <v>1890324.2056252006</v>
      </c>
      <c r="AF261" s="541">
        <f t="shared" si="88"/>
        <v>1909739.8749318125</v>
      </c>
      <c r="AG261" s="541">
        <f t="shared" si="88"/>
        <v>1931045.9885205</v>
      </c>
      <c r="AH261" s="438"/>
      <c r="AI261" s="438"/>
    </row>
    <row r="262" spans="1:35" hidden="1" x14ac:dyDescent="0.25">
      <c r="A262" s="451">
        <v>11</v>
      </c>
      <c r="B262" s="449" t="s">
        <v>92</v>
      </c>
      <c r="C262" s="449"/>
      <c r="D262" s="449"/>
      <c r="E262" s="541">
        <f t="shared" si="86"/>
        <v>1670106.8564577394</v>
      </c>
      <c r="F262" s="541">
        <f>SUMIF($A$67:$A$247,$A262,F$67:F$247)</f>
        <v>1732296.4235561136</v>
      </c>
      <c r="G262" s="541">
        <f>SUMIF($A$67:$A$247,$A262,G$67:G$247)</f>
        <v>1725670.0241455603</v>
      </c>
      <c r="H262" s="541">
        <f>SUMIF($A$67:$A$247,$A262,H$67:H$247)</f>
        <v>1369034.2164251085</v>
      </c>
      <c r="I262" s="541">
        <f t="shared" si="88"/>
        <v>1519476.6372189466</v>
      </c>
      <c r="J262" s="541">
        <f t="shared" si="88"/>
        <v>1584803.8461114699</v>
      </c>
      <c r="K262" s="541">
        <f t="shared" si="88"/>
        <v>1605663.7353266648</v>
      </c>
      <c r="L262" s="541">
        <f t="shared" si="88"/>
        <v>1617435.1569487713</v>
      </c>
      <c r="M262" s="541">
        <f t="shared" si="88"/>
        <v>1631884.0110289052</v>
      </c>
      <c r="N262" s="541">
        <f t="shared" si="88"/>
        <v>1648450.4396666244</v>
      </c>
      <c r="O262" s="541">
        <f t="shared" si="88"/>
        <v>1661392.9679378867</v>
      </c>
      <c r="P262" s="541">
        <f t="shared" si="88"/>
        <v>1676283.5036311222</v>
      </c>
      <c r="Q262" s="541">
        <f t="shared" si="88"/>
        <v>1691804.9794802004</v>
      </c>
      <c r="R262" s="541">
        <f t="shared" si="88"/>
        <v>1707601.9526959981</v>
      </c>
      <c r="S262" s="541">
        <f t="shared" si="88"/>
        <v>1725912.4679913528</v>
      </c>
      <c r="T262" s="541">
        <f t="shared" si="88"/>
        <v>1742177.0337971025</v>
      </c>
      <c r="U262" s="541">
        <f t="shared" si="88"/>
        <v>1759137.6118120586</v>
      </c>
      <c r="V262" s="541">
        <f t="shared" si="88"/>
        <v>1776817.0520166957</v>
      </c>
      <c r="W262" s="541">
        <f t="shared" si="88"/>
        <v>1794504.922912823</v>
      </c>
      <c r="X262" s="541">
        <f t="shared" si="88"/>
        <v>1814600.0184225163</v>
      </c>
      <c r="Y262" s="541">
        <f t="shared" si="88"/>
        <v>1832679.5749326344</v>
      </c>
      <c r="Z262" s="541">
        <f t="shared" si="88"/>
        <v>1850905.8402938342</v>
      </c>
      <c r="AA262" s="541">
        <f t="shared" si="88"/>
        <v>1870436.2529957467</v>
      </c>
      <c r="AB262" s="541">
        <f t="shared" si="88"/>
        <v>1888772.9523645584</v>
      </c>
      <c r="AC262" s="541">
        <f t="shared" si="88"/>
        <v>1910799.4922491172</v>
      </c>
      <c r="AD262" s="541">
        <f t="shared" si="88"/>
        <v>1931184.0817126674</v>
      </c>
      <c r="AE262" s="541">
        <f t="shared" si="88"/>
        <v>1950554.6859386549</v>
      </c>
      <c r="AF262" s="541">
        <f t="shared" si="88"/>
        <v>1969874.2920805155</v>
      </c>
      <c r="AG262" s="541">
        <f t="shared" si="88"/>
        <v>1991314.6055835879</v>
      </c>
      <c r="AH262" s="438"/>
      <c r="AI262" s="438"/>
    </row>
    <row r="263" spans="1:35" hidden="1" x14ac:dyDescent="0.25">
      <c r="A263" s="449"/>
      <c r="B263" s="449" t="s">
        <v>67</v>
      </c>
      <c r="C263" s="449"/>
      <c r="D263" s="449"/>
      <c r="E263" s="541">
        <f>SUM(E252:E262)</f>
        <v>37737390.386473663</v>
      </c>
      <c r="F263" s="541">
        <f t="shared" ref="F263:AG263" si="89">SUM(F252:F262)</f>
        <v>40453049.72279197</v>
      </c>
      <c r="G263" s="541">
        <f t="shared" si="89"/>
        <v>40878240.176409915</v>
      </c>
      <c r="H263" s="541">
        <f t="shared" si="89"/>
        <v>37426106.133193851</v>
      </c>
      <c r="I263" s="541">
        <f t="shared" si="89"/>
        <v>39389254.288076863</v>
      </c>
      <c r="J263" s="541">
        <f t="shared" si="89"/>
        <v>40632680.263700962</v>
      </c>
      <c r="K263" s="541">
        <f t="shared" si="89"/>
        <v>41153040.924855106</v>
      </c>
      <c r="L263" s="541">
        <f t="shared" si="89"/>
        <v>41903335.50881052</v>
      </c>
      <c r="M263" s="541">
        <f t="shared" si="89"/>
        <v>42577846.555967107</v>
      </c>
      <c r="N263" s="541">
        <f t="shared" si="89"/>
        <v>43584603.064667568</v>
      </c>
      <c r="O263" s="541">
        <f t="shared" si="89"/>
        <v>43949510.660422921</v>
      </c>
      <c r="P263" s="541">
        <f t="shared" si="89"/>
        <v>44546567.838349849</v>
      </c>
      <c r="Q263" s="541">
        <f t="shared" si="89"/>
        <v>45139071.922002487</v>
      </c>
      <c r="R263" s="541">
        <f t="shared" si="89"/>
        <v>45910964.21329648</v>
      </c>
      <c r="S263" s="541">
        <f t="shared" si="89"/>
        <v>47005342.188510068</v>
      </c>
      <c r="T263" s="541">
        <f t="shared" si="89"/>
        <v>47561570.332089841</v>
      </c>
      <c r="U263" s="541">
        <f t="shared" si="89"/>
        <v>48114196.139276877</v>
      </c>
      <c r="V263" s="541">
        <f t="shared" si="89"/>
        <v>48663568.883733682</v>
      </c>
      <c r="W263" s="541">
        <f t="shared" si="89"/>
        <v>49443548.629928961</v>
      </c>
      <c r="X263" s="541">
        <f t="shared" si="89"/>
        <v>50484759.639961295</v>
      </c>
      <c r="Y263" s="541">
        <f t="shared" si="89"/>
        <v>50988596.030967951</v>
      </c>
      <c r="Z263" s="541">
        <f t="shared" si="89"/>
        <v>51482410.147097893</v>
      </c>
      <c r="AA263" s="541">
        <f t="shared" si="89"/>
        <v>51980385.759571403</v>
      </c>
      <c r="AB263" s="541">
        <f t="shared" si="89"/>
        <v>53361331.298953772</v>
      </c>
      <c r="AC263" s="541">
        <f t="shared" si="89"/>
        <v>54358276.520200916</v>
      </c>
      <c r="AD263" s="541">
        <f t="shared" si="89"/>
        <v>54823633.429472983</v>
      </c>
      <c r="AE263" s="541">
        <f t="shared" si="89"/>
        <v>55264866.312818155</v>
      </c>
      <c r="AF263" s="541">
        <f t="shared" si="89"/>
        <v>55692762.394874737</v>
      </c>
      <c r="AG263" s="541">
        <f t="shared" si="89"/>
        <v>56135234.433865793</v>
      </c>
      <c r="AH263" s="438"/>
      <c r="AI263" s="438"/>
    </row>
    <row r="264" spans="1:35" x14ac:dyDescent="0.25">
      <c r="E264" s="438"/>
      <c r="F264" s="438"/>
      <c r="G264" s="438"/>
      <c r="H264" s="438"/>
      <c r="I264" s="438"/>
      <c r="J264" s="438"/>
      <c r="K264" s="438"/>
      <c r="L264" s="438"/>
      <c r="M264" s="438"/>
      <c r="N264" s="438"/>
      <c r="O264" s="438"/>
      <c r="P264" s="438"/>
      <c r="Q264" s="438"/>
      <c r="R264" s="438"/>
      <c r="S264" s="438"/>
      <c r="T264" s="438"/>
      <c r="U264" s="438"/>
      <c r="V264" s="438"/>
      <c r="W264" s="438"/>
      <c r="X264" s="438"/>
      <c r="Y264" s="438"/>
      <c r="Z264" s="438"/>
      <c r="AA264" s="438"/>
      <c r="AB264" s="438"/>
      <c r="AC264" s="438"/>
      <c r="AD264" s="438"/>
      <c r="AE264" s="438"/>
      <c r="AF264" s="438"/>
      <c r="AG264" s="438"/>
      <c r="AH264" s="438"/>
      <c r="AI264" s="438"/>
    </row>
    <row r="265" spans="1:35" x14ac:dyDescent="0.25">
      <c r="B265" s="422" t="s">
        <v>96</v>
      </c>
      <c r="C265" s="423" t="s">
        <v>97</v>
      </c>
      <c r="E265" s="423">
        <v>2017</v>
      </c>
      <c r="F265" s="423">
        <v>2018</v>
      </c>
      <c r="G265" s="423">
        <v>2019</v>
      </c>
      <c r="H265" s="423">
        <v>2020</v>
      </c>
      <c r="I265" s="423">
        <v>2021</v>
      </c>
      <c r="J265" s="423">
        <v>2022</v>
      </c>
      <c r="K265" s="423">
        <v>2023</v>
      </c>
      <c r="L265" s="423">
        <v>2024</v>
      </c>
      <c r="M265" s="423">
        <v>2025</v>
      </c>
      <c r="N265" s="423">
        <v>2026</v>
      </c>
      <c r="O265" s="423">
        <v>2027</v>
      </c>
      <c r="P265" s="423">
        <v>2028</v>
      </c>
      <c r="Q265" s="423">
        <v>2029</v>
      </c>
      <c r="R265" s="423">
        <v>2030</v>
      </c>
      <c r="S265" s="423">
        <v>2031</v>
      </c>
      <c r="T265" s="423">
        <v>2032</v>
      </c>
      <c r="U265" s="423">
        <v>2033</v>
      </c>
      <c r="V265" s="423">
        <v>2034</v>
      </c>
      <c r="W265" s="423">
        <v>2035</v>
      </c>
      <c r="X265" s="423">
        <v>2036</v>
      </c>
      <c r="Y265" s="423">
        <v>2037</v>
      </c>
      <c r="Z265" s="423">
        <v>2038</v>
      </c>
      <c r="AA265" s="423">
        <v>2039</v>
      </c>
      <c r="AB265" s="423">
        <v>2040</v>
      </c>
      <c r="AC265" s="423">
        <v>2041</v>
      </c>
      <c r="AD265" s="423">
        <v>2042</v>
      </c>
      <c r="AE265" s="423">
        <v>2043</v>
      </c>
      <c r="AF265" s="423">
        <v>2044</v>
      </c>
      <c r="AG265" s="423">
        <v>2045</v>
      </c>
      <c r="AH265" s="438"/>
      <c r="AI265" s="438"/>
    </row>
    <row r="266" spans="1:35" x14ac:dyDescent="0.25">
      <c r="B266" s="421" t="s">
        <v>98</v>
      </c>
      <c r="C266" s="439">
        <v>1</v>
      </c>
      <c r="E266" s="440">
        <f>$C266*E280</f>
        <v>321451</v>
      </c>
      <c r="F266" s="440">
        <f t="shared" ref="F266:AG275" si="90">$C266*F280</f>
        <v>271621.88</v>
      </c>
      <c r="G266" s="440">
        <f t="shared" si="90"/>
        <v>272808.63</v>
      </c>
      <c r="H266" s="440">
        <f t="shared" si="90"/>
        <v>244757.58999999997</v>
      </c>
      <c r="I266" s="440">
        <f t="shared" si="90"/>
        <v>264537.8</v>
      </c>
      <c r="J266" s="440">
        <f t="shared" si="90"/>
        <v>277728.23960919119</v>
      </c>
      <c r="K266" s="440">
        <f t="shared" si="90"/>
        <v>280789.2755542263</v>
      </c>
      <c r="L266" s="440">
        <f t="shared" si="90"/>
        <v>281225.35810925928</v>
      </c>
      <c r="M266" s="440">
        <f t="shared" si="90"/>
        <v>282574.08930833265</v>
      </c>
      <c r="N266" s="440">
        <f t="shared" si="90"/>
        <v>283845.46729933581</v>
      </c>
      <c r="O266" s="440">
        <f t="shared" si="90"/>
        <v>285003.46535570815</v>
      </c>
      <c r="P266" s="440">
        <f t="shared" si="90"/>
        <v>286306.95838565374</v>
      </c>
      <c r="Q266" s="440">
        <f t="shared" si="90"/>
        <v>287739.70855991531</v>
      </c>
      <c r="R266" s="440">
        <f t="shared" si="90"/>
        <v>289215.43225033622</v>
      </c>
      <c r="S266" s="440">
        <f t="shared" si="90"/>
        <v>290637.16091817158</v>
      </c>
      <c r="T266" s="440">
        <f t="shared" si="90"/>
        <v>292192.87326515862</v>
      </c>
      <c r="U266" s="440">
        <f t="shared" si="90"/>
        <v>293890.80643652868</v>
      </c>
      <c r="V266" s="440">
        <f t="shared" si="90"/>
        <v>295735.66743391211</v>
      </c>
      <c r="W266" s="440">
        <f t="shared" si="90"/>
        <v>297557.45139161154</v>
      </c>
      <c r="X266" s="440">
        <f t="shared" si="90"/>
        <v>299298.72205316339</v>
      </c>
      <c r="Y266" s="440">
        <f t="shared" si="90"/>
        <v>301178.13319446467</v>
      </c>
      <c r="Z266" s="440">
        <f t="shared" si="90"/>
        <v>303068.67401384504</v>
      </c>
      <c r="AA266" s="440">
        <f t="shared" si="90"/>
        <v>305239.89809358079</v>
      </c>
      <c r="AB266" s="440">
        <f t="shared" si="90"/>
        <v>307093.63829434832</v>
      </c>
      <c r="AC266" s="440">
        <f t="shared" si="90"/>
        <v>309174.05243711302</v>
      </c>
      <c r="AD266" s="440">
        <f t="shared" si="90"/>
        <v>311475.12232909229</v>
      </c>
      <c r="AE266" s="440">
        <f t="shared" si="90"/>
        <v>313513.15282481734</v>
      </c>
      <c r="AF266" s="440">
        <f t="shared" si="90"/>
        <v>315513.64296707092</v>
      </c>
      <c r="AG266" s="440">
        <f t="shared" si="90"/>
        <v>317981.03911420453</v>
      </c>
      <c r="AH266" s="438"/>
      <c r="AI266" s="438"/>
    </row>
    <row r="267" spans="1:35" x14ac:dyDescent="0.25">
      <c r="B267" s="421" t="s">
        <v>38</v>
      </c>
      <c r="C267" s="439">
        <v>1</v>
      </c>
      <c r="E267" s="440">
        <f t="shared" ref="E267:E276" si="91">$C267*E281</f>
        <v>3549137</v>
      </c>
      <c r="F267" s="440">
        <f t="shared" ref="F267:T267" si="92">$C267*F281</f>
        <v>3729335.3200000101</v>
      </c>
      <c r="G267" s="440">
        <f t="shared" si="92"/>
        <v>3564633.6800000006</v>
      </c>
      <c r="H267" s="440">
        <f t="shared" si="92"/>
        <v>3757438.5</v>
      </c>
      <c r="I267" s="440">
        <f t="shared" si="92"/>
        <v>3727069.2699999996</v>
      </c>
      <c r="J267" s="440">
        <f t="shared" si="92"/>
        <v>3912909.1844666936</v>
      </c>
      <c r="K267" s="440">
        <f t="shared" si="92"/>
        <v>3956036.075992614</v>
      </c>
      <c r="L267" s="440">
        <f t="shared" si="92"/>
        <v>3962180.0368558499</v>
      </c>
      <c r="M267" s="440">
        <f t="shared" si="92"/>
        <v>3981182.2913750773</v>
      </c>
      <c r="N267" s="440">
        <f t="shared" si="92"/>
        <v>3999094.7176552624</v>
      </c>
      <c r="O267" s="440">
        <f t="shared" si="92"/>
        <v>4015409.7356626131</v>
      </c>
      <c r="P267" s="440">
        <f t="shared" si="92"/>
        <v>4033774.6302658399</v>
      </c>
      <c r="Q267" s="440">
        <f t="shared" si="92"/>
        <v>4053960.6269214312</v>
      </c>
      <c r="R267" s="440">
        <f t="shared" si="92"/>
        <v>4074752.0768298325</v>
      </c>
      <c r="S267" s="440">
        <f t="shared" si="92"/>
        <v>4094782.7916394635</v>
      </c>
      <c r="T267" s="440">
        <f t="shared" si="92"/>
        <v>4116701.2005829676</v>
      </c>
      <c r="U267" s="440">
        <f t="shared" si="90"/>
        <v>4140623.3566813665</v>
      </c>
      <c r="V267" s="440">
        <f t="shared" si="90"/>
        <v>4166615.5768131185</v>
      </c>
      <c r="W267" s="440">
        <f t="shared" si="90"/>
        <v>4192282.6648637508</v>
      </c>
      <c r="X267" s="440">
        <f t="shared" si="90"/>
        <v>4216815.4022397418</v>
      </c>
      <c r="Y267" s="440">
        <f t="shared" si="90"/>
        <v>4243294.3988536084</v>
      </c>
      <c r="Z267" s="440">
        <f t="shared" si="90"/>
        <v>4269930.2013423005</v>
      </c>
      <c r="AA267" s="440">
        <f t="shared" si="90"/>
        <v>4300520.5462603699</v>
      </c>
      <c r="AB267" s="440">
        <f t="shared" si="90"/>
        <v>4326637.8653612481</v>
      </c>
      <c r="AC267" s="440">
        <f t="shared" si="90"/>
        <v>4355948.7903797962</v>
      </c>
      <c r="AD267" s="440">
        <f t="shared" si="90"/>
        <v>4388368.5310842181</v>
      </c>
      <c r="AE267" s="440">
        <f t="shared" si="90"/>
        <v>4417082.3135075225</v>
      </c>
      <c r="AF267" s="440">
        <f t="shared" si="90"/>
        <v>4445267.1904291995</v>
      </c>
      <c r="AG267" s="440">
        <f t="shared" si="90"/>
        <v>4480030.2993569141</v>
      </c>
      <c r="AH267" s="438"/>
      <c r="AI267" s="438"/>
    </row>
    <row r="268" spans="1:35" x14ac:dyDescent="0.25">
      <c r="B268" s="421" t="s">
        <v>39</v>
      </c>
      <c r="C268" s="439">
        <v>1</v>
      </c>
      <c r="E268" s="440">
        <f t="shared" si="91"/>
        <v>2370871</v>
      </c>
      <c r="F268" s="440">
        <f t="shared" si="90"/>
        <v>2486508.16</v>
      </c>
      <c r="G268" s="440">
        <f t="shared" si="90"/>
        <v>2454071.9300000002</v>
      </c>
      <c r="H268" s="440">
        <f t="shared" si="90"/>
        <v>2427335.3099999996</v>
      </c>
      <c r="I268" s="440">
        <f t="shared" si="90"/>
        <v>2521445.2100000004</v>
      </c>
      <c r="J268" s="440">
        <f t="shared" si="90"/>
        <v>2647170.0431633117</v>
      </c>
      <c r="K268" s="440">
        <f t="shared" si="90"/>
        <v>2676346.3439462115</v>
      </c>
      <c r="L268" s="440">
        <f t="shared" si="90"/>
        <v>2680502.8700440032</v>
      </c>
      <c r="M268" s="440">
        <f t="shared" si="90"/>
        <v>2693358.3176264698</v>
      </c>
      <c r="N268" s="440">
        <f t="shared" si="90"/>
        <v>2705476.4721794846</v>
      </c>
      <c r="O268" s="440">
        <f t="shared" si="90"/>
        <v>2716513.9445272144</v>
      </c>
      <c r="P268" s="440">
        <f t="shared" si="90"/>
        <v>2728938.2039586632</v>
      </c>
      <c r="Q268" s="440">
        <f t="shared" si="90"/>
        <v>2742594.4794097273</v>
      </c>
      <c r="R268" s="440">
        <f t="shared" si="90"/>
        <v>2756660.3574449089</v>
      </c>
      <c r="S268" s="440">
        <f t="shared" si="90"/>
        <v>2770211.5812754282</v>
      </c>
      <c r="T268" s="440">
        <f t="shared" si="90"/>
        <v>2785039.8721489757</v>
      </c>
      <c r="U268" s="440">
        <f t="shared" si="90"/>
        <v>2801223.7425140091</v>
      </c>
      <c r="V268" s="440">
        <f t="shared" si="90"/>
        <v>2818808.0572129609</v>
      </c>
      <c r="W268" s="440">
        <f t="shared" si="90"/>
        <v>2836172.4128316892</v>
      </c>
      <c r="X268" s="440">
        <f t="shared" si="90"/>
        <v>2852769.3550035963</v>
      </c>
      <c r="Y268" s="440">
        <f t="shared" si="90"/>
        <v>2870682.9848132292</v>
      </c>
      <c r="Z268" s="440">
        <f t="shared" si="90"/>
        <v>2888702.6972828121</v>
      </c>
      <c r="AA268" s="440">
        <f t="shared" si="90"/>
        <v>2909397.7456112038</v>
      </c>
      <c r="AB268" s="440">
        <f t="shared" si="90"/>
        <v>2927066.6925435881</v>
      </c>
      <c r="AC268" s="440">
        <f t="shared" si="90"/>
        <v>2946896.1848697904</v>
      </c>
      <c r="AD268" s="440">
        <f t="shared" si="90"/>
        <v>2968828.8601132012</v>
      </c>
      <c r="AE268" s="440">
        <f t="shared" si="90"/>
        <v>2988254.372199866</v>
      </c>
      <c r="AF268" s="440">
        <f t="shared" si="90"/>
        <v>3007322.0679576648</v>
      </c>
      <c r="AG268" s="440">
        <f t="shared" si="90"/>
        <v>3030840.0838947543</v>
      </c>
    </row>
    <row r="269" spans="1:35" x14ac:dyDescent="0.25">
      <c r="B269" s="421" t="s">
        <v>99</v>
      </c>
      <c r="C269" s="439">
        <v>1</v>
      </c>
      <c r="E269" s="440">
        <f t="shared" si="91"/>
        <v>13737518</v>
      </c>
      <c r="F269" s="440">
        <f t="shared" si="90"/>
        <v>14096762.899999999</v>
      </c>
      <c r="G269" s="440">
        <f t="shared" si="90"/>
        <v>13764579.859999999</v>
      </c>
      <c r="H269" s="440">
        <f t="shared" si="90"/>
        <v>9968477.4599999972</v>
      </c>
      <c r="I269" s="440">
        <f t="shared" si="90"/>
        <v>11491760.699999999</v>
      </c>
      <c r="J269" s="440">
        <f t="shared" si="90"/>
        <v>12064765.297137449</v>
      </c>
      <c r="K269" s="440">
        <f t="shared" si="90"/>
        <v>12197739.460279509</v>
      </c>
      <c r="L269" s="440">
        <f t="shared" si="90"/>
        <v>12216683.279907113</v>
      </c>
      <c r="M269" s="440">
        <f t="shared" si="90"/>
        <v>12275273.380030328</v>
      </c>
      <c r="N269" s="440">
        <f t="shared" si="90"/>
        <v>12330503.187006326</v>
      </c>
      <c r="O269" s="440">
        <f t="shared" si="90"/>
        <v>12380807.667329729</v>
      </c>
      <c r="P269" s="440">
        <f t="shared" si="90"/>
        <v>12437432.580571815</v>
      </c>
      <c r="Q269" s="440">
        <f t="shared" si="90"/>
        <v>12499672.540779762</v>
      </c>
      <c r="R269" s="440">
        <f t="shared" si="90"/>
        <v>12563779.309300698</v>
      </c>
      <c r="S269" s="440">
        <f t="shared" si="90"/>
        <v>12625540.4853258</v>
      </c>
      <c r="T269" s="440">
        <f t="shared" si="90"/>
        <v>12693122.03325434</v>
      </c>
      <c r="U269" s="440">
        <f t="shared" si="90"/>
        <v>12766881.78210678</v>
      </c>
      <c r="V269" s="440">
        <f t="shared" si="90"/>
        <v>12847024.208280634</v>
      </c>
      <c r="W269" s="440">
        <f t="shared" si="90"/>
        <v>12926164.147030335</v>
      </c>
      <c r="X269" s="440">
        <f t="shared" si="90"/>
        <v>13001806.515555684</v>
      </c>
      <c r="Y269" s="440">
        <f t="shared" si="90"/>
        <v>13083449.83115273</v>
      </c>
      <c r="Z269" s="440">
        <f t="shared" si="90"/>
        <v>13165576.630006809</v>
      </c>
      <c r="AA269" s="440">
        <f t="shared" si="90"/>
        <v>13259896.562925287</v>
      </c>
      <c r="AB269" s="440">
        <f t="shared" si="90"/>
        <v>13340424.709705029</v>
      </c>
      <c r="AC269" s="440">
        <f t="shared" si="90"/>
        <v>13430799.777032072</v>
      </c>
      <c r="AD269" s="440">
        <f t="shared" si="90"/>
        <v>13530760.329182277</v>
      </c>
      <c r="AE269" s="440">
        <f t="shared" si="90"/>
        <v>13619294.21264307</v>
      </c>
      <c r="AF269" s="440">
        <f t="shared" si="90"/>
        <v>13706197.30927987</v>
      </c>
      <c r="AG269" s="440">
        <f t="shared" si="90"/>
        <v>13813383.224014785</v>
      </c>
      <c r="AH269" s="438"/>
      <c r="AI269" s="438"/>
    </row>
    <row r="270" spans="1:35" x14ac:dyDescent="0.25">
      <c r="B270" s="421" t="s">
        <v>100</v>
      </c>
      <c r="C270" s="439">
        <v>1</v>
      </c>
      <c r="E270" s="440">
        <f t="shared" si="91"/>
        <v>143907</v>
      </c>
      <c r="F270" s="440">
        <f t="shared" si="90"/>
        <v>145101.37000000002</v>
      </c>
      <c r="G270" s="440">
        <f t="shared" si="90"/>
        <v>164003.56</v>
      </c>
      <c r="H270" s="440">
        <f t="shared" si="90"/>
        <v>284823.26</v>
      </c>
      <c r="I270" s="440">
        <f t="shared" si="90"/>
        <v>369423.56</v>
      </c>
      <c r="J270" s="440">
        <f t="shared" si="90"/>
        <v>387843.83550842426</v>
      </c>
      <c r="K270" s="440">
        <f t="shared" si="90"/>
        <v>392118.53196429118</v>
      </c>
      <c r="L270" s="440">
        <f t="shared" si="90"/>
        <v>392727.51551951154</v>
      </c>
      <c r="M270" s="440">
        <f t="shared" si="90"/>
        <v>394611.0009081582</v>
      </c>
      <c r="N270" s="440">
        <f t="shared" si="90"/>
        <v>396386.4635586454</v>
      </c>
      <c r="O270" s="440">
        <f t="shared" si="90"/>
        <v>398003.59262095008</v>
      </c>
      <c r="P270" s="440">
        <f t="shared" si="90"/>
        <v>399823.90350112558</v>
      </c>
      <c r="Q270" s="440">
        <f t="shared" si="90"/>
        <v>401824.72028408188</v>
      </c>
      <c r="R270" s="440">
        <f t="shared" si="90"/>
        <v>403885.54901741084</v>
      </c>
      <c r="S270" s="440">
        <f t="shared" si="90"/>
        <v>405870.97441153519</v>
      </c>
      <c r="T270" s="440">
        <f t="shared" si="90"/>
        <v>408043.5062522018</v>
      </c>
      <c r="U270" s="440">
        <f t="shared" si="90"/>
        <v>410414.64760443813</v>
      </c>
      <c r="V270" s="440">
        <f t="shared" si="90"/>
        <v>412990.97173414112</v>
      </c>
      <c r="W270" s="440">
        <f t="shared" si="90"/>
        <v>415535.06908130366</v>
      </c>
      <c r="X270" s="440">
        <f t="shared" si="90"/>
        <v>417966.73066885013</v>
      </c>
      <c r="Y270" s="440">
        <f t="shared" si="90"/>
        <v>420591.30362032691</v>
      </c>
      <c r="Z270" s="440">
        <f t="shared" si="90"/>
        <v>423231.41902092675</v>
      </c>
      <c r="AA270" s="440">
        <f t="shared" si="90"/>
        <v>426263.50490465952</v>
      </c>
      <c r="AB270" s="440">
        <f t="shared" si="90"/>
        <v>428852.22872515948</v>
      </c>
      <c r="AC270" s="440">
        <f t="shared" si="90"/>
        <v>431757.49972572911</v>
      </c>
      <c r="AD270" s="440">
        <f t="shared" si="90"/>
        <v>434970.9135792646</v>
      </c>
      <c r="AE270" s="440">
        <f t="shared" si="90"/>
        <v>437816.99637393252</v>
      </c>
      <c r="AF270" s="440">
        <f t="shared" si="90"/>
        <v>440610.65455849521</v>
      </c>
      <c r="AG270" s="440">
        <f t="shared" si="90"/>
        <v>444056.3408407747</v>
      </c>
      <c r="AH270" s="438"/>
      <c r="AI270" s="438"/>
    </row>
    <row r="271" spans="1:35" x14ac:dyDescent="0.25">
      <c r="B271" s="421" t="s">
        <v>101</v>
      </c>
      <c r="C271" s="439">
        <v>1</v>
      </c>
      <c r="E271" s="440">
        <f t="shared" si="91"/>
        <v>6786803</v>
      </c>
      <c r="F271" s="440">
        <f t="shared" si="90"/>
        <v>7109431.8200000003</v>
      </c>
      <c r="G271" s="440">
        <f t="shared" si="90"/>
        <v>7379370.7999999989</v>
      </c>
      <c r="H271" s="440">
        <f t="shared" si="90"/>
        <v>4691856.3000000007</v>
      </c>
      <c r="I271" s="440">
        <f t="shared" si="90"/>
        <v>5725541.3000000017</v>
      </c>
      <c r="J271" s="440">
        <f t="shared" si="90"/>
        <v>6011029.4485654626</v>
      </c>
      <c r="K271" s="440">
        <f t="shared" si="90"/>
        <v>6077281.1816791538</v>
      </c>
      <c r="L271" s="440">
        <f t="shared" si="90"/>
        <v>6086719.5631847484</v>
      </c>
      <c r="M271" s="440">
        <f t="shared" si="90"/>
        <v>6115910.9157358501</v>
      </c>
      <c r="N271" s="440">
        <f t="shared" si="90"/>
        <v>6143428.069032656</v>
      </c>
      <c r="O271" s="440">
        <f t="shared" si="90"/>
        <v>6168491.2762456881</v>
      </c>
      <c r="P271" s="440">
        <f t="shared" si="90"/>
        <v>6196703.5135033336</v>
      </c>
      <c r="Q271" s="440">
        <f t="shared" si="90"/>
        <v>6227713.3362784414</v>
      </c>
      <c r="R271" s="440">
        <f t="shared" si="90"/>
        <v>6259653.2591813058</v>
      </c>
      <c r="S271" s="440">
        <f t="shared" si="90"/>
        <v>6290424.5372560658</v>
      </c>
      <c r="T271" s="440">
        <f t="shared" si="90"/>
        <v>6324095.6999163516</v>
      </c>
      <c r="U271" s="440">
        <f t="shared" si="90"/>
        <v>6360845.0283575775</v>
      </c>
      <c r="V271" s="440">
        <f t="shared" si="90"/>
        <v>6400774.3988795904</v>
      </c>
      <c r="W271" s="440">
        <f t="shared" si="90"/>
        <v>6440204.299973065</v>
      </c>
      <c r="X271" s="440">
        <f t="shared" si="90"/>
        <v>6477891.6062377784</v>
      </c>
      <c r="Y271" s="440">
        <f t="shared" si="90"/>
        <v>6518568.7650755728</v>
      </c>
      <c r="Z271" s="440">
        <f t="shared" si="90"/>
        <v>6559486.8098340081</v>
      </c>
      <c r="AA271" s="440">
        <f t="shared" si="90"/>
        <v>6606479.841227184</v>
      </c>
      <c r="AB271" s="440">
        <f t="shared" si="90"/>
        <v>6646601.3893725332</v>
      </c>
      <c r="AC271" s="440">
        <f t="shared" si="90"/>
        <v>6691628.9699130207</v>
      </c>
      <c r="AD271" s="440">
        <f t="shared" si="90"/>
        <v>6741432.3276967248</v>
      </c>
      <c r="AE271" s="440">
        <f t="shared" si="90"/>
        <v>6785542.5749806035</v>
      </c>
      <c r="AF271" s="440">
        <f t="shared" si="90"/>
        <v>6828840.3151512537</v>
      </c>
      <c r="AG271" s="440">
        <f t="shared" si="90"/>
        <v>6882243.5661946759</v>
      </c>
      <c r="AH271" s="438"/>
      <c r="AI271" s="438"/>
    </row>
    <row r="272" spans="1:35" x14ac:dyDescent="0.25">
      <c r="B272" s="421" t="s">
        <v>102</v>
      </c>
      <c r="C272" s="439">
        <v>1.5</v>
      </c>
      <c r="E272" s="440">
        <f t="shared" si="91"/>
        <v>0</v>
      </c>
      <c r="F272" s="440">
        <f t="shared" si="90"/>
        <v>0</v>
      </c>
      <c r="G272" s="440">
        <f t="shared" si="90"/>
        <v>0</v>
      </c>
      <c r="H272" s="440">
        <f t="shared" si="90"/>
        <v>0</v>
      </c>
      <c r="I272" s="440">
        <f t="shared" si="90"/>
        <v>0</v>
      </c>
      <c r="J272" s="440">
        <f t="shared" si="90"/>
        <v>0</v>
      </c>
      <c r="K272" s="440">
        <f t="shared" si="90"/>
        <v>0</v>
      </c>
      <c r="L272" s="440">
        <f t="shared" si="90"/>
        <v>0</v>
      </c>
      <c r="M272" s="440">
        <f t="shared" si="90"/>
        <v>0</v>
      </c>
      <c r="N272" s="440">
        <f t="shared" si="90"/>
        <v>0</v>
      </c>
      <c r="O272" s="440">
        <f t="shared" si="90"/>
        <v>0</v>
      </c>
      <c r="P272" s="440">
        <f t="shared" si="90"/>
        <v>0</v>
      </c>
      <c r="Q272" s="440">
        <f t="shared" si="90"/>
        <v>0</v>
      </c>
      <c r="R272" s="440">
        <f t="shared" si="90"/>
        <v>0</v>
      </c>
      <c r="S272" s="440">
        <f t="shared" si="90"/>
        <v>0</v>
      </c>
      <c r="T272" s="440">
        <f t="shared" si="90"/>
        <v>0</v>
      </c>
      <c r="U272" s="440">
        <f t="shared" si="90"/>
        <v>0</v>
      </c>
      <c r="V272" s="440">
        <f t="shared" si="90"/>
        <v>0</v>
      </c>
      <c r="W272" s="440">
        <f t="shared" si="90"/>
        <v>0</v>
      </c>
      <c r="X272" s="440">
        <f t="shared" si="90"/>
        <v>0</v>
      </c>
      <c r="Y272" s="440">
        <f t="shared" si="90"/>
        <v>0</v>
      </c>
      <c r="Z272" s="440">
        <f t="shared" si="90"/>
        <v>0</v>
      </c>
      <c r="AA272" s="440">
        <f t="shared" si="90"/>
        <v>0</v>
      </c>
      <c r="AB272" s="440">
        <f t="shared" si="90"/>
        <v>0</v>
      </c>
      <c r="AC272" s="440">
        <f t="shared" si="90"/>
        <v>0</v>
      </c>
      <c r="AD272" s="440">
        <f t="shared" si="90"/>
        <v>0</v>
      </c>
      <c r="AE272" s="440">
        <f t="shared" si="90"/>
        <v>0</v>
      </c>
      <c r="AF272" s="440">
        <f t="shared" si="90"/>
        <v>0</v>
      </c>
      <c r="AG272" s="440">
        <f t="shared" si="90"/>
        <v>0</v>
      </c>
    </row>
    <row r="273" spans="2:35" x14ac:dyDescent="0.25">
      <c r="B273" s="421" t="s">
        <v>103</v>
      </c>
      <c r="C273" s="439">
        <v>3.5</v>
      </c>
      <c r="E273" s="440">
        <f t="shared" si="91"/>
        <v>6818</v>
      </c>
      <c r="F273" s="440">
        <f t="shared" si="90"/>
        <v>-28756.209999999992</v>
      </c>
      <c r="G273" s="440">
        <f t="shared" si="90"/>
        <v>2223.1649999999995</v>
      </c>
      <c r="H273" s="440">
        <f t="shared" si="90"/>
        <v>6785.9400000000005</v>
      </c>
      <c r="I273" s="440">
        <f t="shared" si="90"/>
        <v>6104.3149999999996</v>
      </c>
      <c r="J273" s="440">
        <f t="shared" si="90"/>
        <v>6408.6896427277316</v>
      </c>
      <c r="K273" s="440">
        <f t="shared" si="90"/>
        <v>6479.3242652082117</v>
      </c>
      <c r="L273" s="440">
        <f t="shared" si="90"/>
        <v>6489.3870436917641</v>
      </c>
      <c r="M273" s="440">
        <f t="shared" si="90"/>
        <v>6520.5095527981048</v>
      </c>
      <c r="N273" s="440">
        <f t="shared" si="90"/>
        <v>6549.8471058478026</v>
      </c>
      <c r="O273" s="440">
        <f t="shared" si="90"/>
        <v>6576.5683717897009</v>
      </c>
      <c r="P273" s="440">
        <f t="shared" si="90"/>
        <v>6606.6469921422267</v>
      </c>
      <c r="Q273" s="440">
        <f t="shared" si="90"/>
        <v>6639.7082725339042</v>
      </c>
      <c r="R273" s="440">
        <f t="shared" si="90"/>
        <v>6673.7611839109986</v>
      </c>
      <c r="S273" s="440">
        <f t="shared" si="90"/>
        <v>6706.5681386562082</v>
      </c>
      <c r="T273" s="440">
        <f t="shared" si="90"/>
        <v>6742.4668201126897</v>
      </c>
      <c r="U273" s="440">
        <f t="shared" si="90"/>
        <v>6781.6473036843827</v>
      </c>
      <c r="V273" s="440">
        <f t="shared" si="90"/>
        <v>6824.21820530692</v>
      </c>
      <c r="W273" s="440">
        <f t="shared" si="90"/>
        <v>6866.2565950559238</v>
      </c>
      <c r="X273" s="440">
        <f t="shared" si="90"/>
        <v>6906.4371084584363</v>
      </c>
      <c r="Y273" s="440">
        <f t="shared" si="90"/>
        <v>6949.8052684000868</v>
      </c>
      <c r="Z273" s="440">
        <f t="shared" si="90"/>
        <v>6993.4302500921394</v>
      </c>
      <c r="AA273" s="440">
        <f t="shared" si="90"/>
        <v>7043.5321097065025</v>
      </c>
      <c r="AB273" s="440">
        <f t="shared" si="90"/>
        <v>7086.3079024803446</v>
      </c>
      <c r="AC273" s="440">
        <f t="shared" si="90"/>
        <v>7134.3142866639682</v>
      </c>
      <c r="AD273" s="440">
        <f t="shared" si="90"/>
        <v>7187.4123900641534</v>
      </c>
      <c r="AE273" s="440">
        <f t="shared" si="90"/>
        <v>7234.4407547270166</v>
      </c>
      <c r="AF273" s="440">
        <f t="shared" si="90"/>
        <v>7280.6028607954522</v>
      </c>
      <c r="AG273" s="440">
        <f t="shared" si="90"/>
        <v>7337.539008717943</v>
      </c>
      <c r="AH273" s="438"/>
      <c r="AI273" s="438"/>
    </row>
    <row r="274" spans="2:35" x14ac:dyDescent="0.25">
      <c r="B274" s="421" t="s">
        <v>104</v>
      </c>
      <c r="C274" s="439">
        <v>2</v>
      </c>
      <c r="E274" s="440">
        <f t="shared" si="91"/>
        <v>59552</v>
      </c>
      <c r="F274" s="440">
        <f t="shared" si="90"/>
        <v>65353.780000000006</v>
      </c>
      <c r="G274" s="440">
        <f t="shared" si="90"/>
        <v>56083.16</v>
      </c>
      <c r="H274" s="440">
        <f t="shared" si="90"/>
        <v>122693.98000000001</v>
      </c>
      <c r="I274" s="440">
        <f t="shared" si="90"/>
        <v>101961.66</v>
      </c>
      <c r="J274" s="440">
        <f t="shared" si="90"/>
        <v>107045.69380795822</v>
      </c>
      <c r="K274" s="440">
        <f t="shared" si="90"/>
        <v>108225.51879431347</v>
      </c>
      <c r="L274" s="440">
        <f t="shared" si="90"/>
        <v>108393.5995041712</v>
      </c>
      <c r="M274" s="440">
        <f t="shared" si="90"/>
        <v>108913.44533320323</v>
      </c>
      <c r="N274" s="440">
        <f t="shared" si="90"/>
        <v>109403.47666502102</v>
      </c>
      <c r="O274" s="440">
        <f t="shared" si="90"/>
        <v>109849.80760186444</v>
      </c>
      <c r="P274" s="440">
        <f t="shared" si="90"/>
        <v>110352.21713702986</v>
      </c>
      <c r="Q274" s="440">
        <f t="shared" si="90"/>
        <v>110904.44667145934</v>
      </c>
      <c r="R274" s="440">
        <f t="shared" si="90"/>
        <v>111473.23962723595</v>
      </c>
      <c r="S274" s="440">
        <f t="shared" si="90"/>
        <v>112021.2211067904</v>
      </c>
      <c r="T274" s="440">
        <f t="shared" si="90"/>
        <v>112620.84434922038</v>
      </c>
      <c r="U274" s="440">
        <f t="shared" si="90"/>
        <v>113275.28422405853</v>
      </c>
      <c r="V274" s="440">
        <f t="shared" si="90"/>
        <v>113986.35496616975</v>
      </c>
      <c r="W274" s="440">
        <f t="shared" si="90"/>
        <v>114688.53105022429</v>
      </c>
      <c r="X274" s="440">
        <f t="shared" si="90"/>
        <v>115359.67463409445</v>
      </c>
      <c r="Y274" s="440">
        <f t="shared" si="90"/>
        <v>116084.06214994124</v>
      </c>
      <c r="Z274" s="440">
        <f t="shared" si="90"/>
        <v>116812.73941361312</v>
      </c>
      <c r="AA274" s="440">
        <f t="shared" si="90"/>
        <v>117649.60133429831</v>
      </c>
      <c r="AB274" s="440">
        <f t="shared" si="90"/>
        <v>118364.09441649294</v>
      </c>
      <c r="AC274" s="440">
        <f t="shared" si="90"/>
        <v>119165.95516941282</v>
      </c>
      <c r="AD274" s="440">
        <f t="shared" si="90"/>
        <v>120052.86398154563</v>
      </c>
      <c r="AE274" s="440">
        <f t="shared" si="90"/>
        <v>120838.38866828132</v>
      </c>
      <c r="AF274" s="440">
        <f t="shared" si="90"/>
        <v>121609.44405514024</v>
      </c>
      <c r="AG274" s="440">
        <f t="shared" si="90"/>
        <v>122560.4605338414</v>
      </c>
      <c r="AH274" s="441"/>
      <c r="AI274" s="441"/>
    </row>
    <row r="275" spans="2:35" x14ac:dyDescent="0.25">
      <c r="B275" s="421" t="s">
        <v>105</v>
      </c>
      <c r="C275" s="439">
        <v>0.3</v>
      </c>
      <c r="E275" s="440">
        <f t="shared" si="91"/>
        <v>1650486.5999999999</v>
      </c>
      <c r="F275" s="440">
        <f t="shared" si="90"/>
        <v>1699466.4840000004</v>
      </c>
      <c r="G275" s="440">
        <f t="shared" si="90"/>
        <v>1650725.1089999999</v>
      </c>
      <c r="H275" s="440">
        <f t="shared" si="90"/>
        <v>813671.42400000012</v>
      </c>
      <c r="I275" s="440">
        <f t="shared" si="90"/>
        <v>1038722.313</v>
      </c>
      <c r="J275" s="440">
        <f t="shared" si="90"/>
        <v>1090515.3041730796</v>
      </c>
      <c r="K275" s="440">
        <f t="shared" si="90"/>
        <v>1102534.6312295645</v>
      </c>
      <c r="L275" s="440">
        <f t="shared" si="90"/>
        <v>1104246.9335176414</v>
      </c>
      <c r="M275" s="440">
        <f t="shared" si="90"/>
        <v>1109542.8012186531</v>
      </c>
      <c r="N275" s="440">
        <f t="shared" si="90"/>
        <v>1114534.9372669309</v>
      </c>
      <c r="O275" s="440">
        <f t="shared" si="90"/>
        <v>1119081.8807266732</v>
      </c>
      <c r="P275" s="440">
        <f t="shared" si="90"/>
        <v>1124200.1182528206</v>
      </c>
      <c r="Q275" s="440">
        <f t="shared" si="90"/>
        <v>1129825.8911100838</v>
      </c>
      <c r="R275" s="440">
        <f t="shared" si="90"/>
        <v>1135620.4018569901</v>
      </c>
      <c r="S275" s="440">
        <f t="shared" si="90"/>
        <v>1141202.8981592662</v>
      </c>
      <c r="T275" s="440">
        <f t="shared" si="90"/>
        <v>1147311.4887932893</v>
      </c>
      <c r="U275" s="440">
        <f t="shared" si="90"/>
        <v>1153978.5173657085</v>
      </c>
      <c r="V275" s="440">
        <f t="shared" si="90"/>
        <v>1161222.4661789427</v>
      </c>
      <c r="W275" s="440">
        <f t="shared" si="90"/>
        <v>1168375.8017186194</v>
      </c>
      <c r="X275" s="440">
        <f t="shared" ref="F275:AG276" si="93">$C275*X289</f>
        <v>1175212.9973448254</v>
      </c>
      <c r="Y275" s="440">
        <f t="shared" si="93"/>
        <v>1182592.6092103904</v>
      </c>
      <c r="Z275" s="440">
        <f t="shared" si="93"/>
        <v>1190015.9223729239</v>
      </c>
      <c r="AA275" s="440">
        <f t="shared" si="93"/>
        <v>1198541.3538921415</v>
      </c>
      <c r="AB275" s="440">
        <f t="shared" si="93"/>
        <v>1205820.1673888981</v>
      </c>
      <c r="AC275" s="440">
        <f t="shared" si="93"/>
        <v>1213989.0286645663</v>
      </c>
      <c r="AD275" s="440">
        <f t="shared" si="93"/>
        <v>1223024.3069520979</v>
      </c>
      <c r="AE275" s="440">
        <f t="shared" si="93"/>
        <v>1231026.746491869</v>
      </c>
      <c r="AF275" s="440">
        <f t="shared" si="93"/>
        <v>1238881.7817559987</v>
      </c>
      <c r="AG275" s="440">
        <f t="shared" si="93"/>
        <v>1248570.1492900068</v>
      </c>
      <c r="AH275" s="438"/>
      <c r="AI275" s="438"/>
    </row>
    <row r="276" spans="2:35" x14ac:dyDescent="0.25">
      <c r="B276" s="421" t="s">
        <v>106</v>
      </c>
      <c r="C276" s="439">
        <v>0.3</v>
      </c>
      <c r="E276" s="440">
        <f t="shared" si="91"/>
        <v>28751.7</v>
      </c>
      <c r="F276" s="440">
        <f t="shared" si="93"/>
        <v>37679.769</v>
      </c>
      <c r="G276" s="440">
        <f t="shared" si="93"/>
        <v>41326.538999999997</v>
      </c>
      <c r="H276" s="440">
        <f t="shared" si="93"/>
        <v>49812.885000000002</v>
      </c>
      <c r="I276" s="440">
        <f t="shared" si="93"/>
        <v>58007.231999999996</v>
      </c>
      <c r="J276" s="440">
        <f t="shared" si="93"/>
        <v>60899.600843289474</v>
      </c>
      <c r="K276" s="440">
        <f t="shared" si="93"/>
        <v>61570.817668348092</v>
      </c>
      <c r="L276" s="440">
        <f t="shared" si="93"/>
        <v>61666.440834265966</v>
      </c>
      <c r="M276" s="440">
        <f t="shared" si="93"/>
        <v>61962.187466959993</v>
      </c>
      <c r="N276" s="440">
        <f t="shared" si="93"/>
        <v>62240.972268541525</v>
      </c>
      <c r="O276" s="440">
        <f t="shared" si="93"/>
        <v>62494.895382408577</v>
      </c>
      <c r="P276" s="440">
        <f t="shared" si="93"/>
        <v>62780.722294851483</v>
      </c>
      <c r="Q276" s="440">
        <f t="shared" si="93"/>
        <v>63094.892412530055</v>
      </c>
      <c r="R276" s="440">
        <f t="shared" si="93"/>
        <v>63418.485662637002</v>
      </c>
      <c r="S276" s="440">
        <f t="shared" si="93"/>
        <v>63730.239010083664</v>
      </c>
      <c r="T276" s="440">
        <f t="shared" si="93"/>
        <v>64071.371986304614</v>
      </c>
      <c r="U276" s="440">
        <f t="shared" si="93"/>
        <v>64443.690813300826</v>
      </c>
      <c r="V276" s="440">
        <f t="shared" si="93"/>
        <v>64848.227631415182</v>
      </c>
      <c r="W276" s="440">
        <f t="shared" si="93"/>
        <v>65247.704170072982</v>
      </c>
      <c r="X276" s="440">
        <f t="shared" si="93"/>
        <v>65629.525940872583</v>
      </c>
      <c r="Y276" s="440">
        <f t="shared" si="93"/>
        <v>66041.638833989753</v>
      </c>
      <c r="Z276" s="440">
        <f t="shared" si="93"/>
        <v>66456.192216966636</v>
      </c>
      <c r="AA276" s="440">
        <f t="shared" si="93"/>
        <v>66932.293170846286</v>
      </c>
      <c r="AB276" s="440">
        <f t="shared" si="93"/>
        <v>67338.776999976355</v>
      </c>
      <c r="AC276" s="440">
        <f t="shared" si="93"/>
        <v>67794.965362605188</v>
      </c>
      <c r="AD276" s="440">
        <f t="shared" si="93"/>
        <v>68299.538603451132</v>
      </c>
      <c r="AE276" s="440">
        <f t="shared" si="93"/>
        <v>68746.433178776846</v>
      </c>
      <c r="AF276" s="440">
        <f t="shared" si="93"/>
        <v>69185.095992920673</v>
      </c>
      <c r="AG276" s="440">
        <f t="shared" si="93"/>
        <v>69726.140867198323</v>
      </c>
    </row>
    <row r="278" spans="2:35" x14ac:dyDescent="0.25">
      <c r="B278" s="422"/>
      <c r="E278" s="423"/>
      <c r="F278" s="423"/>
      <c r="G278" s="423"/>
      <c r="H278" s="423"/>
      <c r="I278" s="423"/>
      <c r="J278" s="423"/>
      <c r="K278" s="423"/>
      <c r="L278" s="423"/>
      <c r="M278" s="423"/>
      <c r="N278" s="423"/>
      <c r="O278" s="423"/>
      <c r="P278" s="423"/>
      <c r="Q278" s="423"/>
      <c r="R278" s="423"/>
      <c r="S278" s="423"/>
      <c r="T278" s="423"/>
      <c r="U278" s="423"/>
      <c r="V278" s="423"/>
      <c r="W278" s="423"/>
      <c r="X278" s="423"/>
      <c r="Y278" s="423"/>
      <c r="Z278" s="423"/>
      <c r="AA278" s="423"/>
      <c r="AB278" s="423"/>
      <c r="AC278" s="423"/>
      <c r="AD278" s="423"/>
      <c r="AE278" s="423"/>
      <c r="AF278" s="423"/>
      <c r="AG278" s="423"/>
      <c r="AH278" s="423"/>
      <c r="AI278" s="423"/>
    </row>
    <row r="279" spans="2:35" x14ac:dyDescent="0.25">
      <c r="B279" s="422" t="s">
        <v>107</v>
      </c>
      <c r="E279" s="423">
        <v>2017</v>
      </c>
      <c r="F279" s="423">
        <v>2018</v>
      </c>
      <c r="G279" s="423">
        <v>2019</v>
      </c>
      <c r="H279" s="423">
        <v>2020</v>
      </c>
      <c r="I279" s="423">
        <v>2021</v>
      </c>
      <c r="J279" s="423">
        <v>2022</v>
      </c>
      <c r="K279" s="423">
        <v>2023</v>
      </c>
      <c r="L279" s="423">
        <v>2024</v>
      </c>
      <c r="M279" s="423">
        <v>2025</v>
      </c>
      <c r="N279" s="423">
        <v>2026</v>
      </c>
      <c r="O279" s="423">
        <v>2027</v>
      </c>
      <c r="P279" s="423">
        <v>2028</v>
      </c>
      <c r="Q279" s="423">
        <v>2029</v>
      </c>
      <c r="R279" s="423">
        <v>2030</v>
      </c>
      <c r="S279" s="423">
        <v>2031</v>
      </c>
      <c r="T279" s="423">
        <v>2032</v>
      </c>
      <c r="U279" s="423">
        <v>2033</v>
      </c>
      <c r="V279" s="423">
        <v>2034</v>
      </c>
      <c r="W279" s="423">
        <v>2035</v>
      </c>
      <c r="X279" s="423">
        <v>2036</v>
      </c>
      <c r="Y279" s="423">
        <v>2037</v>
      </c>
      <c r="Z279" s="423">
        <v>2038</v>
      </c>
      <c r="AA279" s="423">
        <v>2039</v>
      </c>
      <c r="AB279" s="423">
        <v>2040</v>
      </c>
      <c r="AC279" s="423">
        <v>2041</v>
      </c>
      <c r="AD279" s="423">
        <v>2042</v>
      </c>
      <c r="AE279" s="423">
        <v>2043</v>
      </c>
      <c r="AF279" s="423">
        <v>2044</v>
      </c>
      <c r="AG279" s="423">
        <v>2045</v>
      </c>
      <c r="AH279" s="431"/>
      <c r="AI279" s="431"/>
    </row>
    <row r="280" spans="2:35" x14ac:dyDescent="0.25">
      <c r="B280" s="421" t="s">
        <v>98</v>
      </c>
      <c r="D280" s="442"/>
      <c r="E280" s="440">
        <v>321451</v>
      </c>
      <c r="F280" s="440">
        <f t="array" ref="F280:I290">TRANSPOSE('Historical Data'!C21:M24)</f>
        <v>271621.88</v>
      </c>
      <c r="G280" s="440">
        <v>272808.63</v>
      </c>
      <c r="H280" s="440">
        <v>244757.58999999997</v>
      </c>
      <c r="I280" s="440">
        <v>264537.8</v>
      </c>
      <c r="J280" s="440">
        <f t="array" ref="J280:AG290">TRANSPOSE(' Summary Data'!C5:M28)</f>
        <v>277728.23960919119</v>
      </c>
      <c r="K280" s="440">
        <v>280789.2755542263</v>
      </c>
      <c r="L280" s="440">
        <v>281225.35810925928</v>
      </c>
      <c r="M280" s="440">
        <v>282574.08930833265</v>
      </c>
      <c r="N280" s="440">
        <v>283845.46729933581</v>
      </c>
      <c r="O280" s="440">
        <v>285003.46535570815</v>
      </c>
      <c r="P280" s="440">
        <v>286306.95838565374</v>
      </c>
      <c r="Q280" s="440">
        <v>287739.70855991531</v>
      </c>
      <c r="R280" s="440">
        <v>289215.43225033622</v>
      </c>
      <c r="S280" s="440">
        <v>290637.16091817158</v>
      </c>
      <c r="T280" s="440">
        <v>292192.87326515862</v>
      </c>
      <c r="U280" s="440">
        <v>293890.80643652868</v>
      </c>
      <c r="V280" s="440">
        <v>295735.66743391211</v>
      </c>
      <c r="W280" s="440">
        <v>297557.45139161154</v>
      </c>
      <c r="X280" s="440">
        <v>299298.72205316339</v>
      </c>
      <c r="Y280" s="440">
        <v>301178.13319446467</v>
      </c>
      <c r="Z280" s="440">
        <v>303068.67401384504</v>
      </c>
      <c r="AA280" s="440">
        <v>305239.89809358079</v>
      </c>
      <c r="AB280" s="440">
        <v>307093.63829434832</v>
      </c>
      <c r="AC280" s="440">
        <v>309174.05243711302</v>
      </c>
      <c r="AD280" s="440">
        <v>311475.12232909229</v>
      </c>
      <c r="AE280" s="440">
        <v>313513.15282481734</v>
      </c>
      <c r="AF280" s="440">
        <v>315513.64296707092</v>
      </c>
      <c r="AG280" s="440">
        <v>317981.03911420453</v>
      </c>
      <c r="AH280" s="431"/>
      <c r="AI280" s="431"/>
    </row>
    <row r="281" spans="2:35" x14ac:dyDescent="0.25">
      <c r="B281" s="421" t="s">
        <v>38</v>
      </c>
      <c r="D281" s="442"/>
      <c r="E281" s="440">
        <v>3549137</v>
      </c>
      <c r="F281" s="440">
        <v>3729335.3200000101</v>
      </c>
      <c r="G281" s="440">
        <v>3564633.6800000006</v>
      </c>
      <c r="H281" s="440">
        <v>3757438.5</v>
      </c>
      <c r="I281" s="440">
        <v>3727069.2699999996</v>
      </c>
      <c r="J281" s="440">
        <v>3912909.1844666936</v>
      </c>
      <c r="K281" s="440">
        <v>3956036.075992614</v>
      </c>
      <c r="L281" s="440">
        <v>3962180.0368558499</v>
      </c>
      <c r="M281" s="440">
        <v>3981182.2913750773</v>
      </c>
      <c r="N281" s="440">
        <v>3999094.7176552624</v>
      </c>
      <c r="O281" s="440">
        <v>4015409.7356626131</v>
      </c>
      <c r="P281" s="440">
        <v>4033774.6302658399</v>
      </c>
      <c r="Q281" s="440">
        <v>4053960.6269214312</v>
      </c>
      <c r="R281" s="440">
        <v>4074752.0768298325</v>
      </c>
      <c r="S281" s="440">
        <v>4094782.7916394635</v>
      </c>
      <c r="T281" s="440">
        <v>4116701.2005829676</v>
      </c>
      <c r="U281" s="440">
        <v>4140623.3566813665</v>
      </c>
      <c r="V281" s="440">
        <v>4166615.5768131185</v>
      </c>
      <c r="W281" s="440">
        <v>4192282.6648637508</v>
      </c>
      <c r="X281" s="440">
        <v>4216815.4022397418</v>
      </c>
      <c r="Y281" s="440">
        <v>4243294.3988536084</v>
      </c>
      <c r="Z281" s="440">
        <v>4269930.2013423005</v>
      </c>
      <c r="AA281" s="440">
        <v>4300520.5462603699</v>
      </c>
      <c r="AB281" s="440">
        <v>4326637.8653612481</v>
      </c>
      <c r="AC281" s="440">
        <v>4355948.7903797962</v>
      </c>
      <c r="AD281" s="440">
        <v>4388368.5310842181</v>
      </c>
      <c r="AE281" s="440">
        <v>4417082.3135075225</v>
      </c>
      <c r="AF281" s="440">
        <v>4445267.1904291995</v>
      </c>
      <c r="AG281" s="440">
        <v>4480030.2993569141</v>
      </c>
      <c r="AH281" s="431"/>
      <c r="AI281" s="431"/>
    </row>
    <row r="282" spans="2:35" x14ac:dyDescent="0.25">
      <c r="B282" s="421" t="s">
        <v>39</v>
      </c>
      <c r="D282" s="442"/>
      <c r="E282" s="440">
        <v>2370871</v>
      </c>
      <c r="F282" s="440">
        <v>2486508.16</v>
      </c>
      <c r="G282" s="440">
        <v>2454071.9300000002</v>
      </c>
      <c r="H282" s="440">
        <v>2427335.3099999996</v>
      </c>
      <c r="I282" s="440">
        <v>2521445.2100000004</v>
      </c>
      <c r="J282" s="440">
        <v>2647170.0431633117</v>
      </c>
      <c r="K282" s="440">
        <v>2676346.3439462115</v>
      </c>
      <c r="L282" s="440">
        <v>2680502.8700440032</v>
      </c>
      <c r="M282" s="440">
        <v>2693358.3176264698</v>
      </c>
      <c r="N282" s="440">
        <v>2705476.4721794846</v>
      </c>
      <c r="O282" s="440">
        <v>2716513.9445272144</v>
      </c>
      <c r="P282" s="440">
        <v>2728938.2039586632</v>
      </c>
      <c r="Q282" s="440">
        <v>2742594.4794097273</v>
      </c>
      <c r="R282" s="440">
        <v>2756660.3574449089</v>
      </c>
      <c r="S282" s="440">
        <v>2770211.5812754282</v>
      </c>
      <c r="T282" s="440">
        <v>2785039.8721489757</v>
      </c>
      <c r="U282" s="440">
        <v>2801223.7425140091</v>
      </c>
      <c r="V282" s="440">
        <v>2818808.0572129609</v>
      </c>
      <c r="W282" s="440">
        <v>2836172.4128316892</v>
      </c>
      <c r="X282" s="440">
        <v>2852769.3550035963</v>
      </c>
      <c r="Y282" s="440">
        <v>2870682.9848132292</v>
      </c>
      <c r="Z282" s="440">
        <v>2888702.6972828121</v>
      </c>
      <c r="AA282" s="440">
        <v>2909397.7456112038</v>
      </c>
      <c r="AB282" s="440">
        <v>2927066.6925435881</v>
      </c>
      <c r="AC282" s="440">
        <v>2946896.1848697904</v>
      </c>
      <c r="AD282" s="440">
        <v>2968828.8601132012</v>
      </c>
      <c r="AE282" s="440">
        <v>2988254.372199866</v>
      </c>
      <c r="AF282" s="440">
        <v>3007322.0679576648</v>
      </c>
      <c r="AG282" s="440">
        <v>3030840.0838947543</v>
      </c>
      <c r="AH282" s="431"/>
      <c r="AI282" s="431"/>
    </row>
    <row r="283" spans="2:35" x14ac:dyDescent="0.25">
      <c r="B283" s="421" t="s">
        <v>99</v>
      </c>
      <c r="D283" s="442"/>
      <c r="E283" s="440">
        <v>13737518</v>
      </c>
      <c r="F283" s="440">
        <v>14096762.899999999</v>
      </c>
      <c r="G283" s="440">
        <v>13764579.859999999</v>
      </c>
      <c r="H283" s="440">
        <v>9968477.4599999972</v>
      </c>
      <c r="I283" s="440">
        <v>11491760.699999999</v>
      </c>
      <c r="J283" s="440">
        <v>12064765.297137449</v>
      </c>
      <c r="K283" s="440">
        <v>12197739.460279509</v>
      </c>
      <c r="L283" s="440">
        <v>12216683.279907113</v>
      </c>
      <c r="M283" s="440">
        <v>12275273.380030328</v>
      </c>
      <c r="N283" s="440">
        <v>12330503.187006326</v>
      </c>
      <c r="O283" s="440">
        <v>12380807.667329729</v>
      </c>
      <c r="P283" s="440">
        <v>12437432.580571815</v>
      </c>
      <c r="Q283" s="440">
        <v>12499672.540779762</v>
      </c>
      <c r="R283" s="440">
        <v>12563779.309300698</v>
      </c>
      <c r="S283" s="440">
        <v>12625540.4853258</v>
      </c>
      <c r="T283" s="440">
        <v>12693122.03325434</v>
      </c>
      <c r="U283" s="440">
        <v>12766881.78210678</v>
      </c>
      <c r="V283" s="440">
        <v>12847024.208280634</v>
      </c>
      <c r="W283" s="440">
        <v>12926164.147030335</v>
      </c>
      <c r="X283" s="440">
        <v>13001806.515555684</v>
      </c>
      <c r="Y283" s="440">
        <v>13083449.83115273</v>
      </c>
      <c r="Z283" s="440">
        <v>13165576.630006809</v>
      </c>
      <c r="AA283" s="440">
        <v>13259896.562925287</v>
      </c>
      <c r="AB283" s="440">
        <v>13340424.709705029</v>
      </c>
      <c r="AC283" s="440">
        <v>13430799.777032072</v>
      </c>
      <c r="AD283" s="440">
        <v>13530760.329182277</v>
      </c>
      <c r="AE283" s="440">
        <v>13619294.21264307</v>
      </c>
      <c r="AF283" s="440">
        <v>13706197.30927987</v>
      </c>
      <c r="AG283" s="440">
        <v>13813383.224014785</v>
      </c>
      <c r="AH283" s="431"/>
      <c r="AI283" s="431"/>
    </row>
    <row r="284" spans="2:35" x14ac:dyDescent="0.25">
      <c r="B284" s="421" t="s">
        <v>100</v>
      </c>
      <c r="D284" s="442"/>
      <c r="E284" s="440">
        <v>143907</v>
      </c>
      <c r="F284" s="440">
        <v>145101.37000000002</v>
      </c>
      <c r="G284" s="440">
        <v>164003.56</v>
      </c>
      <c r="H284" s="440">
        <v>284823.26</v>
      </c>
      <c r="I284" s="440">
        <v>369423.56</v>
      </c>
      <c r="J284" s="440">
        <v>387843.83550842426</v>
      </c>
      <c r="K284" s="440">
        <v>392118.53196429118</v>
      </c>
      <c r="L284" s="440">
        <v>392727.51551951154</v>
      </c>
      <c r="M284" s="440">
        <v>394611.0009081582</v>
      </c>
      <c r="N284" s="440">
        <v>396386.4635586454</v>
      </c>
      <c r="O284" s="440">
        <v>398003.59262095008</v>
      </c>
      <c r="P284" s="440">
        <v>399823.90350112558</v>
      </c>
      <c r="Q284" s="440">
        <v>401824.72028408188</v>
      </c>
      <c r="R284" s="440">
        <v>403885.54901741084</v>
      </c>
      <c r="S284" s="440">
        <v>405870.97441153519</v>
      </c>
      <c r="T284" s="440">
        <v>408043.5062522018</v>
      </c>
      <c r="U284" s="440">
        <v>410414.64760443813</v>
      </c>
      <c r="V284" s="440">
        <v>412990.97173414112</v>
      </c>
      <c r="W284" s="440">
        <v>415535.06908130366</v>
      </c>
      <c r="X284" s="440">
        <v>417966.73066885013</v>
      </c>
      <c r="Y284" s="440">
        <v>420591.30362032691</v>
      </c>
      <c r="Z284" s="440">
        <v>423231.41902092675</v>
      </c>
      <c r="AA284" s="440">
        <v>426263.50490465952</v>
      </c>
      <c r="AB284" s="440">
        <v>428852.22872515948</v>
      </c>
      <c r="AC284" s="440">
        <v>431757.49972572911</v>
      </c>
      <c r="AD284" s="440">
        <v>434970.9135792646</v>
      </c>
      <c r="AE284" s="440">
        <v>437816.99637393252</v>
      </c>
      <c r="AF284" s="440">
        <v>440610.65455849521</v>
      </c>
      <c r="AG284" s="440">
        <v>444056.3408407747</v>
      </c>
      <c r="AH284" s="431"/>
      <c r="AI284" s="431"/>
    </row>
    <row r="285" spans="2:35" x14ac:dyDescent="0.25">
      <c r="B285" s="421" t="s">
        <v>101</v>
      </c>
      <c r="D285" s="442"/>
      <c r="E285" s="440">
        <v>6786803</v>
      </c>
      <c r="F285" s="440">
        <v>7109431.8200000003</v>
      </c>
      <c r="G285" s="440">
        <v>7379370.7999999989</v>
      </c>
      <c r="H285" s="440">
        <v>4691856.3000000007</v>
      </c>
      <c r="I285" s="440">
        <v>5725541.3000000017</v>
      </c>
      <c r="J285" s="440">
        <v>6011029.4485654626</v>
      </c>
      <c r="K285" s="440">
        <v>6077281.1816791538</v>
      </c>
      <c r="L285" s="440">
        <v>6086719.5631847484</v>
      </c>
      <c r="M285" s="440">
        <v>6115910.9157358501</v>
      </c>
      <c r="N285" s="440">
        <v>6143428.069032656</v>
      </c>
      <c r="O285" s="440">
        <v>6168491.2762456881</v>
      </c>
      <c r="P285" s="440">
        <v>6196703.5135033336</v>
      </c>
      <c r="Q285" s="440">
        <v>6227713.3362784414</v>
      </c>
      <c r="R285" s="440">
        <v>6259653.2591813058</v>
      </c>
      <c r="S285" s="440">
        <v>6290424.5372560658</v>
      </c>
      <c r="T285" s="440">
        <v>6324095.6999163516</v>
      </c>
      <c r="U285" s="440">
        <v>6360845.0283575775</v>
      </c>
      <c r="V285" s="440">
        <v>6400774.3988795904</v>
      </c>
      <c r="W285" s="440">
        <v>6440204.299973065</v>
      </c>
      <c r="X285" s="440">
        <v>6477891.6062377784</v>
      </c>
      <c r="Y285" s="440">
        <v>6518568.7650755728</v>
      </c>
      <c r="Z285" s="440">
        <v>6559486.8098340081</v>
      </c>
      <c r="AA285" s="440">
        <v>6606479.841227184</v>
      </c>
      <c r="AB285" s="440">
        <v>6646601.3893725332</v>
      </c>
      <c r="AC285" s="440">
        <v>6691628.9699130207</v>
      </c>
      <c r="AD285" s="440">
        <v>6741432.3276967248</v>
      </c>
      <c r="AE285" s="440">
        <v>6785542.5749806035</v>
      </c>
      <c r="AF285" s="440">
        <v>6828840.3151512537</v>
      </c>
      <c r="AG285" s="440">
        <v>6882243.5661946759</v>
      </c>
      <c r="AH285" s="431"/>
      <c r="AI285" s="431"/>
    </row>
    <row r="286" spans="2:35" x14ac:dyDescent="0.25">
      <c r="B286" s="421" t="s">
        <v>102</v>
      </c>
      <c r="D286" s="442"/>
      <c r="E286" s="440">
        <v>0</v>
      </c>
      <c r="F286" s="440">
        <v>0</v>
      </c>
      <c r="G286" s="440">
        <v>0</v>
      </c>
      <c r="H286" s="440">
        <v>0</v>
      </c>
      <c r="I286" s="440">
        <v>0</v>
      </c>
      <c r="J286" s="440">
        <v>0</v>
      </c>
      <c r="K286" s="440">
        <v>0</v>
      </c>
      <c r="L286" s="440">
        <v>0</v>
      </c>
      <c r="M286" s="440">
        <v>0</v>
      </c>
      <c r="N286" s="440">
        <v>0</v>
      </c>
      <c r="O286" s="440">
        <v>0</v>
      </c>
      <c r="P286" s="440">
        <v>0</v>
      </c>
      <c r="Q286" s="440">
        <v>0</v>
      </c>
      <c r="R286" s="440">
        <v>0</v>
      </c>
      <c r="S286" s="440">
        <v>0</v>
      </c>
      <c r="T286" s="440">
        <v>0</v>
      </c>
      <c r="U286" s="440">
        <v>0</v>
      </c>
      <c r="V286" s="440">
        <v>0</v>
      </c>
      <c r="W286" s="440">
        <v>0</v>
      </c>
      <c r="X286" s="440">
        <v>0</v>
      </c>
      <c r="Y286" s="440">
        <v>0</v>
      </c>
      <c r="Z286" s="440">
        <v>0</v>
      </c>
      <c r="AA286" s="440">
        <v>0</v>
      </c>
      <c r="AB286" s="440">
        <v>0</v>
      </c>
      <c r="AC286" s="440">
        <v>0</v>
      </c>
      <c r="AD286" s="440">
        <v>0</v>
      </c>
      <c r="AE286" s="440">
        <v>0</v>
      </c>
      <c r="AF286" s="440">
        <v>0</v>
      </c>
      <c r="AG286" s="440">
        <v>0</v>
      </c>
      <c r="AH286" s="431"/>
      <c r="AI286" s="431"/>
    </row>
    <row r="287" spans="2:35" x14ac:dyDescent="0.25">
      <c r="B287" s="421" t="s">
        <v>103</v>
      </c>
      <c r="D287" s="442"/>
      <c r="E287" s="440">
        <v>1948</v>
      </c>
      <c r="F287" s="440">
        <v>-8216.0599999999977</v>
      </c>
      <c r="G287" s="440">
        <v>635.18999999999983</v>
      </c>
      <c r="H287" s="440">
        <v>1938.8400000000001</v>
      </c>
      <c r="I287" s="440">
        <v>1744.09</v>
      </c>
      <c r="J287" s="440">
        <v>1831.0541836364946</v>
      </c>
      <c r="K287" s="440">
        <v>1851.2355043452035</v>
      </c>
      <c r="L287" s="440">
        <v>1854.1105839119325</v>
      </c>
      <c r="M287" s="440">
        <v>1863.002729370887</v>
      </c>
      <c r="N287" s="440">
        <v>1871.3848873850866</v>
      </c>
      <c r="O287" s="440">
        <v>1879.0195347970573</v>
      </c>
      <c r="P287" s="440">
        <v>1887.6134263263505</v>
      </c>
      <c r="Q287" s="440">
        <v>1897.0595064382583</v>
      </c>
      <c r="R287" s="440">
        <v>1906.7889096888568</v>
      </c>
      <c r="S287" s="440">
        <v>1916.1623253303453</v>
      </c>
      <c r="T287" s="440">
        <v>1926.4190914607684</v>
      </c>
      <c r="U287" s="440">
        <v>1937.613515338395</v>
      </c>
      <c r="V287" s="440">
        <v>1949.7766300876915</v>
      </c>
      <c r="W287" s="440">
        <v>1961.7875985874068</v>
      </c>
      <c r="X287" s="440">
        <v>1973.267745273839</v>
      </c>
      <c r="Y287" s="440">
        <v>1985.6586481143106</v>
      </c>
      <c r="Z287" s="440">
        <v>1998.122928597754</v>
      </c>
      <c r="AA287" s="440">
        <v>2012.4377456304292</v>
      </c>
      <c r="AB287" s="440">
        <v>2024.6594007086699</v>
      </c>
      <c r="AC287" s="440">
        <v>2038.3755104754196</v>
      </c>
      <c r="AD287" s="440">
        <v>2053.5463971611866</v>
      </c>
      <c r="AE287" s="440">
        <v>2066.9830727791477</v>
      </c>
      <c r="AF287" s="440">
        <v>2080.1722459415578</v>
      </c>
      <c r="AG287" s="440">
        <v>2096.4397167765551</v>
      </c>
      <c r="AH287" s="431"/>
      <c r="AI287" s="431"/>
    </row>
    <row r="288" spans="2:35" x14ac:dyDescent="0.25">
      <c r="B288" s="421" t="s">
        <v>104</v>
      </c>
      <c r="D288" s="442"/>
      <c r="E288" s="440">
        <v>29776</v>
      </c>
      <c r="F288" s="440">
        <v>32676.890000000003</v>
      </c>
      <c r="G288" s="440">
        <v>28041.58</v>
      </c>
      <c r="H288" s="440">
        <v>61346.990000000005</v>
      </c>
      <c r="I288" s="440">
        <v>50980.83</v>
      </c>
      <c r="J288" s="440">
        <v>53522.846903979109</v>
      </c>
      <c r="K288" s="440">
        <v>54112.759397156733</v>
      </c>
      <c r="L288" s="440">
        <v>54196.799752085601</v>
      </c>
      <c r="M288" s="440">
        <v>54456.722666601614</v>
      </c>
      <c r="N288" s="440">
        <v>54701.738332510511</v>
      </c>
      <c r="O288" s="440">
        <v>54924.903800932218</v>
      </c>
      <c r="P288" s="440">
        <v>55176.10856851493</v>
      </c>
      <c r="Q288" s="440">
        <v>55452.223335729672</v>
      </c>
      <c r="R288" s="440">
        <v>55736.619813617974</v>
      </c>
      <c r="S288" s="440">
        <v>56010.6105533952</v>
      </c>
      <c r="T288" s="440">
        <v>56310.42217461019</v>
      </c>
      <c r="U288" s="440">
        <v>56637.642112029265</v>
      </c>
      <c r="V288" s="440">
        <v>56993.177483084874</v>
      </c>
      <c r="W288" s="440">
        <v>57344.265525112147</v>
      </c>
      <c r="X288" s="440">
        <v>57679.837317047226</v>
      </c>
      <c r="Y288" s="440">
        <v>58042.031074970619</v>
      </c>
      <c r="Z288" s="440">
        <v>58406.369706806559</v>
      </c>
      <c r="AA288" s="440">
        <v>58824.800667149153</v>
      </c>
      <c r="AB288" s="440">
        <v>59182.047208246469</v>
      </c>
      <c r="AC288" s="440">
        <v>59582.977584706408</v>
      </c>
      <c r="AD288" s="440">
        <v>60026.431990772813</v>
      </c>
      <c r="AE288" s="440">
        <v>60419.194334140659</v>
      </c>
      <c r="AF288" s="440">
        <v>60804.722027570118</v>
      </c>
      <c r="AG288" s="440">
        <v>61280.230266920698</v>
      </c>
      <c r="AH288" s="431"/>
      <c r="AI288" s="431"/>
    </row>
    <row r="289" spans="2:35" x14ac:dyDescent="0.25">
      <c r="B289" s="421" t="s">
        <v>105</v>
      </c>
      <c r="E289" s="440">
        <v>5501622</v>
      </c>
      <c r="F289" s="440">
        <v>5664888.2800000012</v>
      </c>
      <c r="G289" s="440">
        <v>5502417.0300000003</v>
      </c>
      <c r="H289" s="440">
        <v>2712238.0800000005</v>
      </c>
      <c r="I289" s="440">
        <v>3462407.71</v>
      </c>
      <c r="J289" s="440">
        <v>3635051.0139102656</v>
      </c>
      <c r="K289" s="440">
        <v>3675115.4374318821</v>
      </c>
      <c r="L289" s="440">
        <v>3680823.1117254714</v>
      </c>
      <c r="M289" s="440">
        <v>3698476.0040621771</v>
      </c>
      <c r="N289" s="440">
        <v>3715116.4575564368</v>
      </c>
      <c r="O289" s="440">
        <v>3730272.9357555774</v>
      </c>
      <c r="P289" s="440">
        <v>3747333.7275094022</v>
      </c>
      <c r="Q289" s="440">
        <v>3766086.3037002794</v>
      </c>
      <c r="R289" s="440">
        <v>3785401.3395233001</v>
      </c>
      <c r="S289" s="440">
        <v>3804009.6605308875</v>
      </c>
      <c r="T289" s="440">
        <v>3824371.6293109641</v>
      </c>
      <c r="U289" s="440">
        <v>3846595.0578856952</v>
      </c>
      <c r="V289" s="440">
        <v>3870741.5539298095</v>
      </c>
      <c r="W289" s="440">
        <v>3894586.0057287314</v>
      </c>
      <c r="X289" s="440">
        <v>3917376.657816085</v>
      </c>
      <c r="Y289" s="440">
        <v>3941975.364034635</v>
      </c>
      <c r="Z289" s="440">
        <v>3966719.7412430798</v>
      </c>
      <c r="AA289" s="440">
        <v>3995137.8463071384</v>
      </c>
      <c r="AB289" s="440">
        <v>4019400.5579629941</v>
      </c>
      <c r="AC289" s="440">
        <v>4046630.0955485548</v>
      </c>
      <c r="AD289" s="440">
        <v>4076747.6898403266</v>
      </c>
      <c r="AE289" s="440">
        <v>4103422.4883062304</v>
      </c>
      <c r="AF289" s="440">
        <v>4129605.9391866629</v>
      </c>
      <c r="AG289" s="440">
        <v>4161900.4976333566</v>
      </c>
    </row>
    <row r="290" spans="2:35" x14ac:dyDescent="0.25">
      <c r="B290" s="421" t="s">
        <v>106</v>
      </c>
      <c r="E290" s="440">
        <v>95839</v>
      </c>
      <c r="F290" s="440">
        <v>125599.23000000001</v>
      </c>
      <c r="G290" s="440">
        <v>137755.13</v>
      </c>
      <c r="H290" s="440">
        <v>166042.95000000001</v>
      </c>
      <c r="I290" s="440">
        <v>193357.44</v>
      </c>
      <c r="J290" s="440">
        <v>202998.6694776316</v>
      </c>
      <c r="K290" s="440">
        <v>205236.05889449365</v>
      </c>
      <c r="L290" s="440">
        <v>205554.80278088656</v>
      </c>
      <c r="M290" s="440">
        <v>206540.62488986665</v>
      </c>
      <c r="N290" s="440">
        <v>207469.9075618051</v>
      </c>
      <c r="O290" s="440">
        <v>208316.31794136192</v>
      </c>
      <c r="P290" s="440">
        <v>209269.07431617161</v>
      </c>
      <c r="Q290" s="440">
        <v>210316.30804176687</v>
      </c>
      <c r="R290" s="440">
        <v>211394.95220879003</v>
      </c>
      <c r="S290" s="440">
        <v>212434.13003361222</v>
      </c>
      <c r="T290" s="440">
        <v>213571.23995434871</v>
      </c>
      <c r="U290" s="440">
        <v>214812.30271100276</v>
      </c>
      <c r="V290" s="440">
        <v>216160.75877138396</v>
      </c>
      <c r="W290" s="440">
        <v>217492.34723357661</v>
      </c>
      <c r="X290" s="440">
        <v>218765.0864695753</v>
      </c>
      <c r="Y290" s="440">
        <v>220138.79611329918</v>
      </c>
      <c r="Z290" s="440">
        <v>221520.64072322214</v>
      </c>
      <c r="AA290" s="440">
        <v>223107.64390282094</v>
      </c>
      <c r="AB290" s="440">
        <v>224462.58999992121</v>
      </c>
      <c r="AC290" s="440">
        <v>225983.21787535065</v>
      </c>
      <c r="AD290" s="440">
        <v>227665.12867817047</v>
      </c>
      <c r="AE290" s="440">
        <v>229154.77726258952</v>
      </c>
      <c r="AF290" s="440">
        <v>230616.9866430689</v>
      </c>
      <c r="AG290" s="440">
        <v>232420.46955732774</v>
      </c>
      <c r="AH290" s="431"/>
      <c r="AI290" s="431"/>
    </row>
    <row r="291" spans="2:35" x14ac:dyDescent="0.25">
      <c r="D291" s="442"/>
      <c r="E291" s="431"/>
      <c r="F291" s="431"/>
      <c r="G291" s="431"/>
      <c r="H291" s="431"/>
      <c r="I291" s="431"/>
      <c r="J291" s="431"/>
      <c r="K291" s="431"/>
      <c r="L291" s="431"/>
      <c r="M291" s="431"/>
      <c r="N291" s="431"/>
      <c r="O291" s="431"/>
      <c r="P291" s="431"/>
      <c r="Q291" s="431"/>
      <c r="R291" s="431"/>
      <c r="S291" s="431"/>
      <c r="T291" s="431"/>
      <c r="U291" s="431"/>
      <c r="V291" s="431"/>
      <c r="W291" s="431"/>
      <c r="X291" s="431"/>
      <c r="Y291" s="431"/>
      <c r="Z291" s="431"/>
      <c r="AA291" s="431"/>
      <c r="AB291" s="431"/>
      <c r="AC291" s="431"/>
      <c r="AD291" s="431"/>
      <c r="AE291" s="431"/>
      <c r="AF291" s="431"/>
      <c r="AG291" s="431"/>
      <c r="AH291" s="431"/>
      <c r="AI291" s="431"/>
    </row>
    <row r="292" spans="2:35" x14ac:dyDescent="0.25">
      <c r="D292" s="442"/>
      <c r="E292" s="431"/>
      <c r="F292" s="431"/>
      <c r="G292" s="431"/>
      <c r="H292" s="431"/>
      <c r="I292" s="431"/>
      <c r="J292" s="431"/>
      <c r="K292" s="431"/>
      <c r="L292" s="431"/>
      <c r="M292" s="431"/>
      <c r="N292" s="431"/>
      <c r="O292" s="431"/>
      <c r="P292" s="431"/>
      <c r="Q292" s="431"/>
      <c r="R292" s="431"/>
      <c r="S292" s="431"/>
      <c r="T292" s="431"/>
      <c r="U292" s="431"/>
      <c r="V292" s="431"/>
      <c r="W292" s="431"/>
      <c r="X292" s="431"/>
      <c r="Y292" s="431"/>
      <c r="Z292" s="431"/>
      <c r="AA292" s="431"/>
      <c r="AB292" s="431"/>
      <c r="AC292" s="431"/>
      <c r="AD292" s="431"/>
      <c r="AE292" s="431"/>
      <c r="AF292" s="431"/>
      <c r="AG292" s="431"/>
      <c r="AH292" s="431"/>
      <c r="AI292" s="431"/>
    </row>
    <row r="293" spans="2:35" x14ac:dyDescent="0.25">
      <c r="B293" s="422" t="s">
        <v>108</v>
      </c>
      <c r="D293" s="442"/>
      <c r="E293" s="423">
        <v>2017</v>
      </c>
      <c r="F293" s="423">
        <v>2018</v>
      </c>
      <c r="G293" s="423">
        <v>2019</v>
      </c>
      <c r="H293" s="423">
        <v>2020</v>
      </c>
      <c r="I293" s="423">
        <v>2021</v>
      </c>
      <c r="J293" s="423">
        <v>2022</v>
      </c>
      <c r="K293" s="423">
        <v>2023</v>
      </c>
      <c r="L293" s="423">
        <v>2024</v>
      </c>
      <c r="M293" s="423">
        <v>2025</v>
      </c>
      <c r="N293" s="423">
        <v>2026</v>
      </c>
      <c r="O293" s="423">
        <v>2027</v>
      </c>
      <c r="P293" s="423">
        <v>2028</v>
      </c>
      <c r="Q293" s="423">
        <v>2029</v>
      </c>
      <c r="R293" s="423">
        <v>2030</v>
      </c>
      <c r="S293" s="423">
        <v>2031</v>
      </c>
      <c r="T293" s="423">
        <v>2032</v>
      </c>
      <c r="U293" s="423">
        <v>2033</v>
      </c>
      <c r="V293" s="423">
        <v>2034</v>
      </c>
      <c r="W293" s="423">
        <v>2035</v>
      </c>
      <c r="X293" s="423">
        <v>2036</v>
      </c>
      <c r="Y293" s="423">
        <v>2037</v>
      </c>
      <c r="Z293" s="423">
        <v>2038</v>
      </c>
      <c r="AA293" s="423">
        <v>2039</v>
      </c>
      <c r="AB293" s="423">
        <v>2040</v>
      </c>
      <c r="AC293" s="423">
        <v>2041</v>
      </c>
      <c r="AD293" s="423">
        <v>2042</v>
      </c>
      <c r="AE293" s="423">
        <v>2043</v>
      </c>
      <c r="AF293" s="423">
        <v>2044</v>
      </c>
      <c r="AG293" s="423">
        <v>2045</v>
      </c>
      <c r="AH293" s="431"/>
      <c r="AI293" s="431"/>
    </row>
    <row r="294" spans="2:35" x14ac:dyDescent="0.25">
      <c r="B294" s="421" t="s">
        <v>98</v>
      </c>
      <c r="D294" s="442"/>
      <c r="E294" s="428">
        <f>(E280/SUM(E$280:E$290)*SUM(E$252:E$256))</f>
        <v>257561.65088377937</v>
      </c>
      <c r="F294" s="428">
        <f t="shared" ref="F294:AG294" si="94">(F280/SUM(F$280:F$290)*SUM(F$252:F$256))</f>
        <v>227675.31504068468</v>
      </c>
      <c r="G294" s="428">
        <f t="shared" si="94"/>
        <v>234956.65755863057</v>
      </c>
      <c r="H294" s="428">
        <f t="shared" si="94"/>
        <v>268476.51495914836</v>
      </c>
      <c r="I294" s="428">
        <f t="shared" si="94"/>
        <v>265515.69992719445</v>
      </c>
      <c r="J294" s="428">
        <f t="shared" si="94"/>
        <v>273109.59919881797</v>
      </c>
      <c r="K294" s="428">
        <f t="shared" si="94"/>
        <v>276526.70260026731</v>
      </c>
      <c r="L294" s="428">
        <f t="shared" si="94"/>
        <v>282317.49299357645</v>
      </c>
      <c r="M294" s="428">
        <f t="shared" si="94"/>
        <v>287085.61585416296</v>
      </c>
      <c r="N294" s="428">
        <f t="shared" si="94"/>
        <v>294858.79681427137</v>
      </c>
      <c r="O294" s="428">
        <f t="shared" si="94"/>
        <v>297292.29553030262</v>
      </c>
      <c r="P294" s="428">
        <f t="shared" si="94"/>
        <v>301623.33379286365</v>
      </c>
      <c r="Q294" s="428">
        <f t="shared" si="94"/>
        <v>305884.36682871339</v>
      </c>
      <c r="R294" s="428">
        <f t="shared" si="94"/>
        <v>311288.00171671313</v>
      </c>
      <c r="S294" s="428">
        <f t="shared" si="94"/>
        <v>319720.61656191543</v>
      </c>
      <c r="T294" s="428">
        <f t="shared" si="94"/>
        <v>323628.96104047709</v>
      </c>
      <c r="U294" s="428">
        <f t="shared" si="94"/>
        <v>327472.44024406042</v>
      </c>
      <c r="V294" s="428">
        <f t="shared" si="94"/>
        <v>331252.99583214894</v>
      </c>
      <c r="W294" s="428">
        <f t="shared" si="94"/>
        <v>336517.63125527464</v>
      </c>
      <c r="X294" s="428">
        <f t="shared" si="94"/>
        <v>344411.90487944556</v>
      </c>
      <c r="Y294" s="428">
        <f t="shared" si="94"/>
        <v>347786.63310155628</v>
      </c>
      <c r="Z294" s="428">
        <f t="shared" si="94"/>
        <v>351065.81969924405</v>
      </c>
      <c r="AA294" s="428">
        <f t="shared" si="94"/>
        <v>354318.62401150411</v>
      </c>
      <c r="AB294" s="428">
        <f t="shared" si="94"/>
        <v>363356.2708199331</v>
      </c>
      <c r="AC294" s="428">
        <f t="shared" si="94"/>
        <v>370767.90029109258</v>
      </c>
      <c r="AD294" s="428">
        <f t="shared" si="94"/>
        <v>373692.64094706264</v>
      </c>
      <c r="AE294" s="428">
        <f t="shared" si="94"/>
        <v>376453.52032452228</v>
      </c>
      <c r="AF294" s="428">
        <f t="shared" si="94"/>
        <v>379099.40211354021</v>
      </c>
      <c r="AG294" s="428">
        <f t="shared" si="94"/>
        <v>381771.16513286351</v>
      </c>
      <c r="AH294" s="431"/>
      <c r="AI294" s="431"/>
    </row>
    <row r="295" spans="2:35" x14ac:dyDescent="0.25">
      <c r="B295" s="421" t="s">
        <v>38</v>
      </c>
      <c r="D295" s="442"/>
      <c r="E295" s="428">
        <f t="shared" ref="E295:AG295" si="95">(E281/SUM(E$280:E$290)*SUM(E$252:E$256))</f>
        <v>2843735.3902545148</v>
      </c>
      <c r="F295" s="428">
        <f t="shared" si="95"/>
        <v>3125954.3372329017</v>
      </c>
      <c r="G295" s="428">
        <f t="shared" si="95"/>
        <v>3070043.6964685507</v>
      </c>
      <c r="H295" s="428">
        <f t="shared" si="95"/>
        <v>4121563.6812461261</v>
      </c>
      <c r="I295" s="428">
        <f t="shared" si="95"/>
        <v>3740846.8880484663</v>
      </c>
      <c r="J295" s="428">
        <f t="shared" si="95"/>
        <v>3847837.2259689583</v>
      </c>
      <c r="K295" s="428">
        <f t="shared" si="95"/>
        <v>3895980.7467813115</v>
      </c>
      <c r="L295" s="428">
        <f t="shared" si="95"/>
        <v>3977567.1095767743</v>
      </c>
      <c r="M295" s="428">
        <f t="shared" si="95"/>
        <v>4044745.1241715746</v>
      </c>
      <c r="N295" s="428">
        <f t="shared" si="95"/>
        <v>4154261.3592297388</v>
      </c>
      <c r="O295" s="428">
        <f t="shared" si="95"/>
        <v>4188546.8877368346</v>
      </c>
      <c r="P295" s="428">
        <f t="shared" si="95"/>
        <v>4249566.8236990506</v>
      </c>
      <c r="Q295" s="428">
        <f t="shared" si="95"/>
        <v>4309600.4570261976</v>
      </c>
      <c r="R295" s="428">
        <f t="shared" si="95"/>
        <v>4385732.1914602323</v>
      </c>
      <c r="S295" s="428">
        <f t="shared" si="95"/>
        <v>4504539.1810673857</v>
      </c>
      <c r="T295" s="428">
        <f t="shared" si="95"/>
        <v>4559603.7903694259</v>
      </c>
      <c r="U295" s="428">
        <f t="shared" si="95"/>
        <v>4613754.5137426425</v>
      </c>
      <c r="V295" s="428">
        <f t="shared" si="95"/>
        <v>4667018.7071996517</v>
      </c>
      <c r="W295" s="428">
        <f t="shared" si="95"/>
        <v>4741192.0801667115</v>
      </c>
      <c r="X295" s="428">
        <f t="shared" si="95"/>
        <v>4852414.388032048</v>
      </c>
      <c r="Y295" s="428">
        <f t="shared" si="95"/>
        <v>4899960.8855504775</v>
      </c>
      <c r="Z295" s="428">
        <f t="shared" si="95"/>
        <v>4946161.2984927408</v>
      </c>
      <c r="AA295" s="428">
        <f t="shared" si="95"/>
        <v>4991990.0117940083</v>
      </c>
      <c r="AB295" s="428">
        <f t="shared" si="95"/>
        <v>5119321.2880532397</v>
      </c>
      <c r="AC295" s="428">
        <f t="shared" si="95"/>
        <v>5223743.629369243</v>
      </c>
      <c r="AD295" s="428">
        <f t="shared" si="95"/>
        <v>5264950.2585223773</v>
      </c>
      <c r="AE295" s="428">
        <f t="shared" si="95"/>
        <v>5303848.2484727977</v>
      </c>
      <c r="AF295" s="428">
        <f t="shared" si="95"/>
        <v>5341126.0390490452</v>
      </c>
      <c r="AG295" s="428">
        <f t="shared" si="95"/>
        <v>5378768.4699078575</v>
      </c>
      <c r="AH295" s="431"/>
      <c r="AI295" s="431"/>
    </row>
    <row r="296" spans="2:35" x14ac:dyDescent="0.25">
      <c r="B296" s="421" t="s">
        <v>39</v>
      </c>
      <c r="D296" s="442"/>
      <c r="E296" s="428">
        <f t="shared" ref="E296:AG296" si="96">(E282/SUM(E$280:E$290)*SUM(E$252:E$256))</f>
        <v>1899653.2871027833</v>
      </c>
      <c r="F296" s="428">
        <f t="shared" si="96"/>
        <v>2084208.1229952213</v>
      </c>
      <c r="G296" s="428">
        <f t="shared" si="96"/>
        <v>2113571.4734583637</v>
      </c>
      <c r="H296" s="428">
        <f t="shared" si="96"/>
        <v>2662563.0880990615</v>
      </c>
      <c r="I296" s="428">
        <f t="shared" si="96"/>
        <v>2530766.0748718027</v>
      </c>
      <c r="J296" s="428">
        <f t="shared" si="96"/>
        <v>2603147.4167581326</v>
      </c>
      <c r="K296" s="428">
        <f t="shared" si="96"/>
        <v>2635717.5787677174</v>
      </c>
      <c r="L296" s="428">
        <f t="shared" si="96"/>
        <v>2690912.5667782142</v>
      </c>
      <c r="M296" s="428">
        <f t="shared" si="96"/>
        <v>2736359.9869484785</v>
      </c>
      <c r="N296" s="428">
        <f t="shared" si="96"/>
        <v>2810450.1543964911</v>
      </c>
      <c r="O296" s="428">
        <f t="shared" si="96"/>
        <v>2833645.0765629187</v>
      </c>
      <c r="P296" s="428">
        <f t="shared" si="96"/>
        <v>2874926.4196506031</v>
      </c>
      <c r="Q296" s="428">
        <f t="shared" si="96"/>
        <v>2915540.5070811901</v>
      </c>
      <c r="R296" s="428">
        <f t="shared" si="96"/>
        <v>2967045.3177545071</v>
      </c>
      <c r="S296" s="428">
        <f t="shared" si="96"/>
        <v>3047420.8871786501</v>
      </c>
      <c r="T296" s="428">
        <f t="shared" si="96"/>
        <v>3084673.3194000539</v>
      </c>
      <c r="U296" s="428">
        <f t="shared" si="96"/>
        <v>3121307.4874758823</v>
      </c>
      <c r="V296" s="428">
        <f t="shared" si="96"/>
        <v>3157341.8983567646</v>
      </c>
      <c r="W296" s="428">
        <f t="shared" si="96"/>
        <v>3207521.8339653485</v>
      </c>
      <c r="X296" s="428">
        <f t="shared" si="96"/>
        <v>3282766.1975916252</v>
      </c>
      <c r="Y296" s="428">
        <f t="shared" si="96"/>
        <v>3314932.4600716671</v>
      </c>
      <c r="Z296" s="428">
        <f t="shared" si="96"/>
        <v>3346188.0664138836</v>
      </c>
      <c r="AA296" s="428">
        <f t="shared" si="96"/>
        <v>3377192.2096864725</v>
      </c>
      <c r="AB296" s="428">
        <f t="shared" si="96"/>
        <v>3463334.6485167081</v>
      </c>
      <c r="AC296" s="428">
        <f t="shared" si="96"/>
        <v>3533978.6836162289</v>
      </c>
      <c r="AD296" s="428">
        <f t="shared" si="96"/>
        <v>3561855.8842185172</v>
      </c>
      <c r="AE296" s="428">
        <f t="shared" si="96"/>
        <v>3588171.2390815392</v>
      </c>
      <c r="AF296" s="428">
        <f t="shared" si="96"/>
        <v>3613390.493052599</v>
      </c>
      <c r="AG296" s="428">
        <f t="shared" si="96"/>
        <v>3638856.4342803857</v>
      </c>
      <c r="AH296" s="431"/>
      <c r="AI296" s="431"/>
    </row>
    <row r="297" spans="2:35" x14ac:dyDescent="0.25">
      <c r="B297" s="421" t="s">
        <v>99</v>
      </c>
      <c r="D297" s="442"/>
      <c r="E297" s="428">
        <f t="shared" ref="E297:AG297" si="97">(E283/SUM(E$280:E$290)*SUM(E$252:E$256))</f>
        <v>11007145.148484947</v>
      </c>
      <c r="F297" s="428">
        <f t="shared" si="97"/>
        <v>11816002.94612251</v>
      </c>
      <c r="G297" s="428">
        <f t="shared" si="97"/>
        <v>11854755.755360242</v>
      </c>
      <c r="H297" s="428">
        <f t="shared" si="97"/>
        <v>10934500.899071701</v>
      </c>
      <c r="I297" s="428">
        <f t="shared" si="97"/>
        <v>11534241.555106023</v>
      </c>
      <c r="J297" s="428">
        <f t="shared" si="97"/>
        <v>11864127.390738593</v>
      </c>
      <c r="K297" s="428">
        <f t="shared" si="97"/>
        <v>12012569.445434038</v>
      </c>
      <c r="L297" s="428">
        <f t="shared" si="97"/>
        <v>12264126.604614185</v>
      </c>
      <c r="M297" s="428">
        <f t="shared" si="97"/>
        <v>12471258.1635145</v>
      </c>
      <c r="N297" s="428">
        <f t="shared" si="97"/>
        <v>12808932.157444151</v>
      </c>
      <c r="O297" s="428">
        <f t="shared" si="97"/>
        <v>12914645.537189458</v>
      </c>
      <c r="P297" s="428">
        <f t="shared" si="97"/>
        <v>13102789.746810522</v>
      </c>
      <c r="Q297" s="428">
        <f t="shared" si="97"/>
        <v>13287892.866224004</v>
      </c>
      <c r="R297" s="428">
        <f t="shared" si="97"/>
        <v>13522631.640958896</v>
      </c>
      <c r="S297" s="428">
        <f t="shared" si="97"/>
        <v>13888952.037803248</v>
      </c>
      <c r="T297" s="428">
        <f t="shared" si="97"/>
        <v>14058734.048089858</v>
      </c>
      <c r="U297" s="428">
        <f t="shared" si="97"/>
        <v>14225698.252309468</v>
      </c>
      <c r="V297" s="428">
        <f t="shared" si="97"/>
        <v>14389928.997901823</v>
      </c>
      <c r="W297" s="428">
        <f t="shared" si="97"/>
        <v>14618629.510476219</v>
      </c>
      <c r="X297" s="428">
        <f t="shared" si="97"/>
        <v>14961563.878983459</v>
      </c>
      <c r="Y297" s="428">
        <f t="shared" si="97"/>
        <v>15108165.117657226</v>
      </c>
      <c r="Z297" s="428">
        <f t="shared" si="97"/>
        <v>15250615.941967683</v>
      </c>
      <c r="AA297" s="428">
        <f t="shared" si="97"/>
        <v>15391920.695996866</v>
      </c>
      <c r="AB297" s="428">
        <f t="shared" si="97"/>
        <v>15784524.22718819</v>
      </c>
      <c r="AC297" s="428">
        <f t="shared" si="97"/>
        <v>16106492.098243412</v>
      </c>
      <c r="AD297" s="428">
        <f t="shared" si="97"/>
        <v>16233545.47106185</v>
      </c>
      <c r="AE297" s="428">
        <f t="shared" si="97"/>
        <v>16353480.562104912</v>
      </c>
      <c r="AF297" s="428">
        <f t="shared" si="97"/>
        <v>16468420.054154368</v>
      </c>
      <c r="AG297" s="428">
        <f t="shared" si="97"/>
        <v>16584483.850198539</v>
      </c>
      <c r="AH297" s="431"/>
      <c r="AI297" s="431"/>
    </row>
    <row r="298" spans="2:35" x14ac:dyDescent="0.25">
      <c r="B298" s="421" t="s">
        <v>100</v>
      </c>
      <c r="D298" s="442"/>
      <c r="E298" s="428">
        <f t="shared" ref="E298:AG298" si="98">(E284/SUM(E$280:E$290)*SUM(E$252:E$256))</f>
        <v>115305.05269460054</v>
      </c>
      <c r="F298" s="428">
        <f t="shared" si="98"/>
        <v>121624.95940159519</v>
      </c>
      <c r="G298" s="428">
        <f t="shared" si="98"/>
        <v>141248.20129523144</v>
      </c>
      <c r="H298" s="428">
        <f t="shared" si="98"/>
        <v>312424.86177488271</v>
      </c>
      <c r="I298" s="428">
        <f t="shared" si="98"/>
        <v>370789.18439253647</v>
      </c>
      <c r="J298" s="428">
        <f t="shared" si="98"/>
        <v>381393.96489348775</v>
      </c>
      <c r="K298" s="428">
        <f t="shared" si="98"/>
        <v>386165.90487125854</v>
      </c>
      <c r="L298" s="428">
        <f t="shared" si="98"/>
        <v>394252.66752789979</v>
      </c>
      <c r="M298" s="428">
        <f t="shared" si="98"/>
        <v>400911.2884194142</v>
      </c>
      <c r="N298" s="428">
        <f t="shared" si="98"/>
        <v>411766.43344143935</v>
      </c>
      <c r="O298" s="428">
        <f t="shared" si="98"/>
        <v>415164.78240681102</v>
      </c>
      <c r="P298" s="428">
        <f t="shared" si="98"/>
        <v>421213.02040323918</v>
      </c>
      <c r="Q298" s="428">
        <f t="shared" si="98"/>
        <v>427163.4970208765</v>
      </c>
      <c r="R298" s="428">
        <f t="shared" si="98"/>
        <v>434709.60210402554</v>
      </c>
      <c r="S298" s="428">
        <f t="shared" si="98"/>
        <v>446485.63787745172</v>
      </c>
      <c r="T298" s="428">
        <f t="shared" si="98"/>
        <v>451943.58956139482</v>
      </c>
      <c r="U298" s="428">
        <f t="shared" si="98"/>
        <v>457310.9577415706</v>
      </c>
      <c r="V298" s="428">
        <f t="shared" si="98"/>
        <v>462590.45391992229</v>
      </c>
      <c r="W298" s="428">
        <f t="shared" si="98"/>
        <v>469942.44807770697</v>
      </c>
      <c r="X298" s="428">
        <f t="shared" si="98"/>
        <v>480966.69741317176</v>
      </c>
      <c r="Y298" s="428">
        <f t="shared" si="98"/>
        <v>485679.46101007407</v>
      </c>
      <c r="Z298" s="428">
        <f t="shared" si="98"/>
        <v>490258.80198449094</v>
      </c>
      <c r="AA298" s="428">
        <f t="shared" si="98"/>
        <v>494801.30044413818</v>
      </c>
      <c r="AB298" s="428">
        <f t="shared" si="98"/>
        <v>507422.25540026347</v>
      </c>
      <c r="AC298" s="428">
        <f t="shared" si="98"/>
        <v>517772.49852104485</v>
      </c>
      <c r="AD298" s="428">
        <f t="shared" si="98"/>
        <v>521856.86039751471</v>
      </c>
      <c r="AE298" s="428">
        <f t="shared" si="98"/>
        <v>525712.3921527185</v>
      </c>
      <c r="AF298" s="428">
        <f t="shared" si="98"/>
        <v>529407.33128745889</v>
      </c>
      <c r="AG298" s="428">
        <f t="shared" si="98"/>
        <v>533138.41322007787</v>
      </c>
      <c r="AH298" s="431"/>
      <c r="AI298" s="431"/>
    </row>
    <row r="299" spans="2:35" x14ac:dyDescent="0.25">
      <c r="B299" s="421" t="s">
        <v>101</v>
      </c>
      <c r="D299" s="442"/>
      <c r="E299" s="428">
        <f t="shared" ref="E299:AG299" si="99">(E285/SUM(E$280:E$290)*SUM(E$252:E$256))</f>
        <v>5437905.5747314095</v>
      </c>
      <c r="F299" s="428">
        <f t="shared" si="99"/>
        <v>5959174.3101799032</v>
      </c>
      <c r="G299" s="428">
        <f t="shared" si="99"/>
        <v>6355489.1868844377</v>
      </c>
      <c r="H299" s="428">
        <f t="shared" si="99"/>
        <v>5146533.875060319</v>
      </c>
      <c r="I299" s="428">
        <f t="shared" si="99"/>
        <v>5746706.5414907029</v>
      </c>
      <c r="J299" s="428">
        <f t="shared" si="99"/>
        <v>5911065.600603315</v>
      </c>
      <c r="K299" s="428">
        <f t="shared" si="99"/>
        <v>5985023.9031648729</v>
      </c>
      <c r="L299" s="428">
        <f t="shared" si="99"/>
        <v>6110357.2564948481</v>
      </c>
      <c r="M299" s="428">
        <f t="shared" si="99"/>
        <v>6213556.4377149316</v>
      </c>
      <c r="N299" s="428">
        <f t="shared" si="99"/>
        <v>6381795.791861956</v>
      </c>
      <c r="O299" s="428">
        <f t="shared" si="99"/>
        <v>6434465.3816224132</v>
      </c>
      <c r="P299" s="428">
        <f t="shared" si="99"/>
        <v>6528204.493553387</v>
      </c>
      <c r="Q299" s="428">
        <f t="shared" si="99"/>
        <v>6620428.4427486323</v>
      </c>
      <c r="R299" s="428">
        <f t="shared" si="99"/>
        <v>6737382.3703966402</v>
      </c>
      <c r="S299" s="428">
        <f t="shared" si="99"/>
        <v>6919894.2252740851</v>
      </c>
      <c r="T299" s="428">
        <f t="shared" si="99"/>
        <v>7004484.7364472784</v>
      </c>
      <c r="U299" s="428">
        <f t="shared" si="99"/>
        <v>7087671.3317686561</v>
      </c>
      <c r="V299" s="428">
        <f t="shared" si="99"/>
        <v>7169496.0356731527</v>
      </c>
      <c r="W299" s="428">
        <f t="shared" si="99"/>
        <v>7283441.5192469507</v>
      </c>
      <c r="X299" s="428">
        <f t="shared" si="99"/>
        <v>7454301.7504452579</v>
      </c>
      <c r="Y299" s="428">
        <f t="shared" si="99"/>
        <v>7527342.903021452</v>
      </c>
      <c r="Z299" s="428">
        <f t="shared" si="99"/>
        <v>7598316.1941559054</v>
      </c>
      <c r="AA299" s="428">
        <f t="shared" si="99"/>
        <v>7668718.4785578437</v>
      </c>
      <c r="AB299" s="428">
        <f t="shared" si="99"/>
        <v>7864325.3825862026</v>
      </c>
      <c r="AC299" s="428">
        <f t="shared" si="99"/>
        <v>8024739.4732659496</v>
      </c>
      <c r="AD299" s="428">
        <f t="shared" si="99"/>
        <v>8088041.2903126851</v>
      </c>
      <c r="AE299" s="428">
        <f t="shared" si="99"/>
        <v>8147796.5649840692</v>
      </c>
      <c r="AF299" s="428">
        <f t="shared" si="99"/>
        <v>8205062.8817748623</v>
      </c>
      <c r="AG299" s="428">
        <f t="shared" si="99"/>
        <v>8262889.3606786272</v>
      </c>
      <c r="AH299" s="431"/>
      <c r="AI299" s="431"/>
    </row>
    <row r="300" spans="2:35" x14ac:dyDescent="0.25">
      <c r="B300" s="421" t="s">
        <v>102</v>
      </c>
      <c r="D300" s="442"/>
      <c r="E300" s="428">
        <f t="shared" ref="E300:AG300" si="100">(E286/SUM(E$280:E$290)*SUM(E$252:E$256))</f>
        <v>0</v>
      </c>
      <c r="F300" s="428">
        <f t="shared" si="100"/>
        <v>0</v>
      </c>
      <c r="G300" s="428">
        <f t="shared" si="100"/>
        <v>0</v>
      </c>
      <c r="H300" s="428">
        <f t="shared" si="100"/>
        <v>0</v>
      </c>
      <c r="I300" s="428">
        <f t="shared" si="100"/>
        <v>0</v>
      </c>
      <c r="J300" s="428">
        <f t="shared" si="100"/>
        <v>0</v>
      </c>
      <c r="K300" s="428">
        <f t="shared" si="100"/>
        <v>0</v>
      </c>
      <c r="L300" s="428">
        <f t="shared" si="100"/>
        <v>0</v>
      </c>
      <c r="M300" s="428">
        <f t="shared" si="100"/>
        <v>0</v>
      </c>
      <c r="N300" s="428">
        <f t="shared" si="100"/>
        <v>0</v>
      </c>
      <c r="O300" s="428">
        <f t="shared" si="100"/>
        <v>0</v>
      </c>
      <c r="P300" s="428">
        <f t="shared" si="100"/>
        <v>0</v>
      </c>
      <c r="Q300" s="428">
        <f t="shared" si="100"/>
        <v>0</v>
      </c>
      <c r="R300" s="428">
        <f t="shared" si="100"/>
        <v>0</v>
      </c>
      <c r="S300" s="428">
        <f t="shared" si="100"/>
        <v>0</v>
      </c>
      <c r="T300" s="428">
        <f t="shared" si="100"/>
        <v>0</v>
      </c>
      <c r="U300" s="428">
        <f t="shared" si="100"/>
        <v>0</v>
      </c>
      <c r="V300" s="428">
        <f t="shared" si="100"/>
        <v>0</v>
      </c>
      <c r="W300" s="428">
        <f t="shared" si="100"/>
        <v>0</v>
      </c>
      <c r="X300" s="428">
        <f t="shared" si="100"/>
        <v>0</v>
      </c>
      <c r="Y300" s="428">
        <f t="shared" si="100"/>
        <v>0</v>
      </c>
      <c r="Z300" s="428">
        <f t="shared" si="100"/>
        <v>0</v>
      </c>
      <c r="AA300" s="428">
        <f t="shared" si="100"/>
        <v>0</v>
      </c>
      <c r="AB300" s="428">
        <f t="shared" si="100"/>
        <v>0</v>
      </c>
      <c r="AC300" s="428">
        <f t="shared" si="100"/>
        <v>0</v>
      </c>
      <c r="AD300" s="428">
        <f t="shared" si="100"/>
        <v>0</v>
      </c>
      <c r="AE300" s="428">
        <f t="shared" si="100"/>
        <v>0</v>
      </c>
      <c r="AF300" s="428">
        <f t="shared" si="100"/>
        <v>0</v>
      </c>
      <c r="AG300" s="428">
        <f t="shared" si="100"/>
        <v>0</v>
      </c>
      <c r="AH300" s="431"/>
      <c r="AI300" s="431"/>
    </row>
    <row r="301" spans="2:35" x14ac:dyDescent="0.25">
      <c r="B301" s="421" t="s">
        <v>103</v>
      </c>
      <c r="D301" s="442"/>
      <c r="E301" s="428">
        <f t="shared" ref="E301:AG301" si="101">(E287/SUM(E$280:E$290)*SUM(E$252:E$256))</f>
        <v>1560.829165009915</v>
      </c>
      <c r="F301" s="428">
        <f t="shared" si="101"/>
        <v>-6886.7576091188503</v>
      </c>
      <c r="G301" s="428">
        <f t="shared" si="101"/>
        <v>547.0579113082548</v>
      </c>
      <c r="H301" s="428">
        <f t="shared" si="101"/>
        <v>2126.7287615611649</v>
      </c>
      <c r="I301" s="428">
        <f t="shared" si="101"/>
        <v>1750.5372656989684</v>
      </c>
      <c r="J301" s="428">
        <f t="shared" si="101"/>
        <v>1800.6036221162585</v>
      </c>
      <c r="K301" s="428">
        <f t="shared" si="101"/>
        <v>1823.132485180191</v>
      </c>
      <c r="L301" s="428">
        <f t="shared" si="101"/>
        <v>1861.3109973514813</v>
      </c>
      <c r="M301" s="428">
        <f t="shared" si="101"/>
        <v>1892.7470923062297</v>
      </c>
      <c r="N301" s="428">
        <f t="shared" si="101"/>
        <v>1943.9954476668458</v>
      </c>
      <c r="O301" s="428">
        <f t="shared" si="101"/>
        <v>1960.0394337272235</v>
      </c>
      <c r="P301" s="428">
        <f t="shared" si="101"/>
        <v>1988.593842675019</v>
      </c>
      <c r="Q301" s="428">
        <f t="shared" si="101"/>
        <v>2016.6867092048499</v>
      </c>
      <c r="R301" s="428">
        <f t="shared" si="101"/>
        <v>2052.3127164212528</v>
      </c>
      <c r="S301" s="428">
        <f t="shared" si="101"/>
        <v>2107.9087001535167</v>
      </c>
      <c r="T301" s="428">
        <f t="shared" si="101"/>
        <v>2133.6763013115165</v>
      </c>
      <c r="U301" s="428">
        <f t="shared" si="101"/>
        <v>2159.0162476034175</v>
      </c>
      <c r="V301" s="428">
        <f t="shared" si="101"/>
        <v>2183.9413403335652</v>
      </c>
      <c r="W301" s="428">
        <f t="shared" si="101"/>
        <v>2218.6509281320546</v>
      </c>
      <c r="X301" s="428">
        <f t="shared" si="101"/>
        <v>2270.6976438950965</v>
      </c>
      <c r="Y301" s="428">
        <f t="shared" si="101"/>
        <v>2292.9471286375456</v>
      </c>
      <c r="Z301" s="428">
        <f t="shared" si="101"/>
        <v>2314.5667102367015</v>
      </c>
      <c r="AA301" s="428">
        <f t="shared" si="101"/>
        <v>2336.0123541974881</v>
      </c>
      <c r="AB301" s="428">
        <f t="shared" si="101"/>
        <v>2395.5972960171939</v>
      </c>
      <c r="AC301" s="428">
        <f t="shared" si="101"/>
        <v>2444.4619529560296</v>
      </c>
      <c r="AD301" s="428">
        <f t="shared" si="101"/>
        <v>2463.7446827990648</v>
      </c>
      <c r="AE301" s="428">
        <f t="shared" si="101"/>
        <v>2481.9470800119907</v>
      </c>
      <c r="AF301" s="428">
        <f t="shared" si="101"/>
        <v>2499.3913014782925</v>
      </c>
      <c r="AG301" s="428">
        <f t="shared" si="101"/>
        <v>2517.0061571411566</v>
      </c>
      <c r="AH301" s="431"/>
      <c r="AI301" s="431"/>
    </row>
    <row r="302" spans="2:35" x14ac:dyDescent="0.25">
      <c r="B302" s="421" t="s">
        <v>104</v>
      </c>
      <c r="D302" s="442"/>
      <c r="E302" s="428">
        <f t="shared" ref="E302:AG302" si="102">(E288/SUM(E$280:E$290)*SUM(E$252:E$256))</f>
        <v>23857.930809720343</v>
      </c>
      <c r="F302" s="428">
        <f t="shared" si="102"/>
        <v>27389.992386842325</v>
      </c>
      <c r="G302" s="428">
        <f t="shared" si="102"/>
        <v>24150.833899436919</v>
      </c>
      <c r="H302" s="428">
        <f t="shared" si="102"/>
        <v>67291.993185721964</v>
      </c>
      <c r="I302" s="428">
        <f t="shared" si="102"/>
        <v>51169.287566159976</v>
      </c>
      <c r="J302" s="428">
        <f t="shared" si="102"/>
        <v>52632.758146938082</v>
      </c>
      <c r="K302" s="428">
        <f t="shared" si="102"/>
        <v>53291.290755894952</v>
      </c>
      <c r="L302" s="428">
        <f t="shared" si="102"/>
        <v>54407.272292775211</v>
      </c>
      <c r="M302" s="428">
        <f t="shared" si="102"/>
        <v>55326.168801987413</v>
      </c>
      <c r="N302" s="428">
        <f t="shared" si="102"/>
        <v>56824.189943338584</v>
      </c>
      <c r="O302" s="428">
        <f t="shared" si="102"/>
        <v>57293.165584427326</v>
      </c>
      <c r="P302" s="428">
        <f t="shared" si="102"/>
        <v>58127.828628374627</v>
      </c>
      <c r="Q302" s="428">
        <f t="shared" si="102"/>
        <v>58949.000501827257</v>
      </c>
      <c r="R302" s="428">
        <f t="shared" si="102"/>
        <v>59990.370739302518</v>
      </c>
      <c r="S302" s="428">
        <f t="shared" si="102"/>
        <v>61615.475748411736</v>
      </c>
      <c r="T302" s="428">
        <f t="shared" si="102"/>
        <v>62368.678676095376</v>
      </c>
      <c r="U302" s="428">
        <f t="shared" si="102"/>
        <v>63109.380987396144</v>
      </c>
      <c r="V302" s="428">
        <f t="shared" si="102"/>
        <v>63837.956872361887</v>
      </c>
      <c r="W302" s="428">
        <f t="shared" si="102"/>
        <v>64852.53960314118</v>
      </c>
      <c r="X302" s="428">
        <f t="shared" si="102"/>
        <v>66373.897313106805</v>
      </c>
      <c r="Y302" s="428">
        <f t="shared" si="102"/>
        <v>67024.263520838285</v>
      </c>
      <c r="Z302" s="428">
        <f t="shared" si="102"/>
        <v>67656.21726988662</v>
      </c>
      <c r="AA302" s="428">
        <f t="shared" si="102"/>
        <v>68283.086714127101</v>
      </c>
      <c r="AB302" s="428">
        <f t="shared" si="102"/>
        <v>70024.791436630127</v>
      </c>
      <c r="AC302" s="428">
        <f t="shared" si="102"/>
        <v>71453.135598002031</v>
      </c>
      <c r="AD302" s="428">
        <f t="shared" si="102"/>
        <v>72016.781724098575</v>
      </c>
      <c r="AE302" s="428">
        <f t="shared" si="102"/>
        <v>72548.849058871812</v>
      </c>
      <c r="AF302" s="428">
        <f t="shared" si="102"/>
        <v>73058.754447387226</v>
      </c>
      <c r="AG302" s="428">
        <f t="shared" si="102"/>
        <v>73573.647579062206</v>
      </c>
      <c r="AH302" s="431"/>
      <c r="AI302" s="431"/>
    </row>
    <row r="303" spans="2:35" x14ac:dyDescent="0.25">
      <c r="B303" s="421" t="s">
        <v>105</v>
      </c>
      <c r="D303" s="442"/>
      <c r="E303" s="428">
        <f t="shared" ref="E303:AG303" si="103">(E289/SUM(E$280:E$290)*SUM(E$252:E$256))</f>
        <v>4408158.1480801739</v>
      </c>
      <c r="F303" s="428">
        <f t="shared" si="103"/>
        <v>4748348.0484682694</v>
      </c>
      <c r="G303" s="428">
        <f t="shared" si="103"/>
        <v>4738961.204645494</v>
      </c>
      <c r="H303" s="428">
        <f t="shared" si="103"/>
        <v>2975075.1650148705</v>
      </c>
      <c r="I303" s="428">
        <f t="shared" si="103"/>
        <v>3475206.9706256143</v>
      </c>
      <c r="J303" s="428">
        <f t="shared" si="103"/>
        <v>3574599.8565838123</v>
      </c>
      <c r="K303" s="428">
        <f t="shared" si="103"/>
        <v>3619324.6753546856</v>
      </c>
      <c r="L303" s="428">
        <f t="shared" si="103"/>
        <v>3695117.5386233269</v>
      </c>
      <c r="M303" s="428">
        <f t="shared" si="103"/>
        <v>3757525.1996635338</v>
      </c>
      <c r="N303" s="428">
        <f t="shared" si="103"/>
        <v>3859264.6171966982</v>
      </c>
      <c r="O303" s="428">
        <f t="shared" si="103"/>
        <v>3891115.5085122748</v>
      </c>
      <c r="P303" s="428">
        <f t="shared" si="103"/>
        <v>3947802.3800013261</v>
      </c>
      <c r="Q303" s="428">
        <f t="shared" si="103"/>
        <v>4003572.9868329042</v>
      </c>
      <c r="R303" s="428">
        <f t="shared" si="103"/>
        <v>4074298.5583702624</v>
      </c>
      <c r="S303" s="428">
        <f t="shared" si="103"/>
        <v>4184668.9880611748</v>
      </c>
      <c r="T303" s="428">
        <f t="shared" si="103"/>
        <v>4235823.4244249305</v>
      </c>
      <c r="U303" s="428">
        <f t="shared" si="103"/>
        <v>4286128.8704810767</v>
      </c>
      <c r="V303" s="428">
        <f t="shared" si="103"/>
        <v>4335610.7396743689</v>
      </c>
      <c r="W303" s="428">
        <f t="shared" si="103"/>
        <v>4404517.0142384181</v>
      </c>
      <c r="X303" s="428">
        <f t="shared" si="103"/>
        <v>4507841.3552633263</v>
      </c>
      <c r="Y303" s="428">
        <f t="shared" si="103"/>
        <v>4552011.5457441984</v>
      </c>
      <c r="Z303" s="428">
        <f t="shared" si="103"/>
        <v>4594931.2379710292</v>
      </c>
      <c r="AA303" s="428">
        <f t="shared" si="103"/>
        <v>4637505.6251848433</v>
      </c>
      <c r="AB303" s="428">
        <f t="shared" si="103"/>
        <v>4755795.0265095746</v>
      </c>
      <c r="AC303" s="428">
        <f t="shared" si="103"/>
        <v>4852802.2709359126</v>
      </c>
      <c r="AD303" s="428">
        <f t="shared" si="103"/>
        <v>4891082.7911374914</v>
      </c>
      <c r="AE303" s="428">
        <f t="shared" si="103"/>
        <v>4927218.6100748843</v>
      </c>
      <c r="AF303" s="428">
        <f t="shared" si="103"/>
        <v>4961849.2810264239</v>
      </c>
      <c r="AG303" s="428">
        <f t="shared" si="103"/>
        <v>4996818.6989220809</v>
      </c>
      <c r="AH303" s="431"/>
      <c r="AI303" s="431"/>
    </row>
    <row r="304" spans="2:35" x14ac:dyDescent="0.25">
      <c r="B304" s="421" t="s">
        <v>106</v>
      </c>
      <c r="D304" s="442"/>
      <c r="E304" s="428">
        <f t="shared" ref="E304:AG304" si="104">(E290/SUM(E$280:E$290)*SUM(E$252:E$256))</f>
        <v>76790.711676275794</v>
      </c>
      <c r="F304" s="428">
        <f t="shared" si="104"/>
        <v>105278.13245058688</v>
      </c>
      <c r="G304" s="428">
        <f t="shared" si="104"/>
        <v>118641.71931201236</v>
      </c>
      <c r="H304" s="428">
        <f t="shared" si="104"/>
        <v>182133.81063907407</v>
      </c>
      <c r="I304" s="428">
        <f t="shared" si="104"/>
        <v>194072.21205336443</v>
      </c>
      <c r="J304" s="428">
        <f t="shared" si="104"/>
        <v>199622.78714236489</v>
      </c>
      <c r="K304" s="428">
        <f t="shared" si="104"/>
        <v>202120.43536473441</v>
      </c>
      <c r="L304" s="428">
        <f t="shared" si="104"/>
        <v>206353.07208442752</v>
      </c>
      <c r="M304" s="428">
        <f t="shared" si="104"/>
        <v>209838.21496354908</v>
      </c>
      <c r="N304" s="428">
        <f t="shared" si="104"/>
        <v>215519.83162137007</v>
      </c>
      <c r="O304" s="428">
        <f t="shared" si="104"/>
        <v>217298.53803676736</v>
      </c>
      <c r="P304" s="428">
        <f t="shared" si="104"/>
        <v>220464.2046106591</v>
      </c>
      <c r="Q304" s="428">
        <f t="shared" si="104"/>
        <v>223578.70257490969</v>
      </c>
      <c r="R304" s="428">
        <f t="shared" si="104"/>
        <v>227528.35743950115</v>
      </c>
      <c r="S304" s="428">
        <f t="shared" si="104"/>
        <v>233691.97118004897</v>
      </c>
      <c r="T304" s="428">
        <f t="shared" si="104"/>
        <v>236548.68006253315</v>
      </c>
      <c r="U304" s="428">
        <f t="shared" si="104"/>
        <v>239357.97725748265</v>
      </c>
      <c r="V304" s="428">
        <f t="shared" si="104"/>
        <v>242121.2819734457</v>
      </c>
      <c r="W304" s="428">
        <f t="shared" si="104"/>
        <v>245969.33857612743</v>
      </c>
      <c r="X304" s="428">
        <f t="shared" si="104"/>
        <v>251739.46495742045</v>
      </c>
      <c r="Y304" s="428">
        <f t="shared" si="104"/>
        <v>254206.14007803868</v>
      </c>
      <c r="Z304" s="428">
        <f t="shared" si="104"/>
        <v>256602.98138318001</v>
      </c>
      <c r="AA304" s="428">
        <f t="shared" si="104"/>
        <v>258980.53920153176</v>
      </c>
      <c r="AB304" s="428">
        <f t="shared" si="104"/>
        <v>265586.38626951975</v>
      </c>
      <c r="AC304" s="428">
        <f t="shared" si="104"/>
        <v>271003.73570227361</v>
      </c>
      <c r="AD304" s="428">
        <f t="shared" si="104"/>
        <v>273141.50340844755</v>
      </c>
      <c r="AE304" s="428">
        <f t="shared" si="104"/>
        <v>275159.50071761996</v>
      </c>
      <c r="AF304" s="428">
        <f t="shared" si="104"/>
        <v>277093.4433498907</v>
      </c>
      <c r="AG304" s="428">
        <f t="shared" si="104"/>
        <v>279046.30323495448</v>
      </c>
      <c r="AH304" s="431"/>
      <c r="AI304" s="431"/>
    </row>
    <row r="305" spans="2:35" x14ac:dyDescent="0.25">
      <c r="D305" s="442"/>
      <c r="E305" s="431"/>
      <c r="F305" s="431"/>
      <c r="G305" s="431"/>
      <c r="H305" s="431"/>
      <c r="I305" s="431"/>
      <c r="J305" s="431"/>
      <c r="K305" s="431"/>
      <c r="L305" s="431"/>
      <c r="M305" s="431"/>
      <c r="N305" s="431"/>
      <c r="O305" s="431"/>
      <c r="P305" s="431"/>
      <c r="Q305" s="431"/>
      <c r="R305" s="431"/>
      <c r="S305" s="431"/>
      <c r="T305" s="431"/>
      <c r="U305" s="431"/>
      <c r="V305" s="431"/>
      <c r="W305" s="431"/>
      <c r="X305" s="431"/>
      <c r="Y305" s="431"/>
      <c r="Z305" s="431"/>
      <c r="AA305" s="431"/>
      <c r="AB305" s="431"/>
      <c r="AC305" s="431"/>
      <c r="AD305" s="431"/>
      <c r="AE305" s="431"/>
      <c r="AF305" s="431"/>
      <c r="AG305" s="431"/>
      <c r="AH305" s="431"/>
      <c r="AI305" s="431"/>
    </row>
    <row r="306" spans="2:35" x14ac:dyDescent="0.25">
      <c r="D306" s="442"/>
      <c r="E306" s="431"/>
      <c r="F306" s="431"/>
      <c r="G306" s="431"/>
      <c r="H306" s="431"/>
      <c r="I306" s="431"/>
      <c r="J306" s="431"/>
      <c r="K306" s="431"/>
      <c r="L306" s="431"/>
      <c r="M306" s="431"/>
      <c r="N306" s="431"/>
      <c r="O306" s="431"/>
      <c r="P306" s="431"/>
      <c r="Q306" s="431"/>
      <c r="R306" s="431"/>
      <c r="S306" s="431"/>
      <c r="T306" s="431"/>
      <c r="U306" s="431"/>
      <c r="V306" s="431"/>
      <c r="W306" s="431"/>
      <c r="X306" s="431"/>
      <c r="Y306" s="431"/>
      <c r="Z306" s="431"/>
      <c r="AA306" s="431"/>
      <c r="AB306" s="431"/>
      <c r="AC306" s="431"/>
      <c r="AD306" s="431"/>
      <c r="AE306" s="431"/>
      <c r="AF306" s="431"/>
      <c r="AG306" s="431"/>
      <c r="AH306" s="431"/>
      <c r="AI306" s="431"/>
    </row>
    <row r="307" spans="2:35" x14ac:dyDescent="0.25">
      <c r="B307" s="422" t="s">
        <v>109</v>
      </c>
      <c r="C307" s="423" t="s">
        <v>87</v>
      </c>
      <c r="D307" s="442"/>
      <c r="E307" s="423">
        <v>2017</v>
      </c>
      <c r="F307" s="423">
        <v>2018</v>
      </c>
      <c r="G307" s="423">
        <v>2019</v>
      </c>
      <c r="H307" s="423">
        <v>2020</v>
      </c>
      <c r="I307" s="423">
        <v>2021</v>
      </c>
      <c r="J307" s="423">
        <v>2022</v>
      </c>
      <c r="K307" s="423">
        <v>2023</v>
      </c>
      <c r="L307" s="423">
        <v>2024</v>
      </c>
      <c r="M307" s="423">
        <v>2025</v>
      </c>
      <c r="N307" s="423">
        <v>2026</v>
      </c>
      <c r="O307" s="423">
        <v>2027</v>
      </c>
      <c r="P307" s="423">
        <v>2028</v>
      </c>
      <c r="Q307" s="423">
        <v>2029</v>
      </c>
      <c r="R307" s="423">
        <v>2030</v>
      </c>
      <c r="S307" s="423">
        <v>2031</v>
      </c>
      <c r="T307" s="423">
        <v>2032</v>
      </c>
      <c r="U307" s="423">
        <v>2033</v>
      </c>
      <c r="V307" s="423">
        <v>2034</v>
      </c>
      <c r="W307" s="423">
        <v>2035</v>
      </c>
      <c r="X307" s="423">
        <v>2036</v>
      </c>
      <c r="Y307" s="423">
        <v>2037</v>
      </c>
      <c r="Z307" s="423">
        <v>2038</v>
      </c>
      <c r="AA307" s="423">
        <v>2039</v>
      </c>
      <c r="AB307" s="423">
        <v>2040</v>
      </c>
      <c r="AC307" s="423">
        <v>2041</v>
      </c>
      <c r="AD307" s="423">
        <v>2042</v>
      </c>
      <c r="AE307" s="423">
        <v>2043</v>
      </c>
      <c r="AF307" s="423">
        <v>2044</v>
      </c>
      <c r="AG307" s="423">
        <v>2045</v>
      </c>
      <c r="AH307" s="431"/>
      <c r="AI307" s="431"/>
    </row>
    <row r="308" spans="2:35" x14ac:dyDescent="0.25">
      <c r="B308" s="421" t="s">
        <v>98</v>
      </c>
      <c r="C308" s="442">
        <v>2.994562094926825E-2</v>
      </c>
      <c r="D308" s="442"/>
      <c r="E308" s="428">
        <f t="shared" ref="E308:E318" si="105">$C308*E$257</f>
        <v>193306.92117947596</v>
      </c>
      <c r="F308" s="428">
        <f t="shared" ref="F308:AG317" si="106">$C308*F$257</f>
        <v>204262.13761265809</v>
      </c>
      <c r="G308" s="428">
        <f t="shared" si="106"/>
        <v>205441.52551893683</v>
      </c>
      <c r="H308" s="428">
        <f t="shared" si="106"/>
        <v>176876.3210876449</v>
      </c>
      <c r="I308" s="428">
        <f t="shared" si="106"/>
        <v>190493.79838660965</v>
      </c>
      <c r="J308" s="428">
        <f t="shared" si="106"/>
        <v>197347.31798032363</v>
      </c>
      <c r="K308" s="428">
        <f t="shared" si="106"/>
        <v>199986.22152099098</v>
      </c>
      <c r="L308" s="428">
        <f t="shared" si="106"/>
        <v>202861.45576126745</v>
      </c>
      <c r="M308" s="428">
        <f t="shared" si="106"/>
        <v>206445.84912549614</v>
      </c>
      <c r="N308" s="428">
        <f t="shared" si="106"/>
        <v>210282.96437516308</v>
      </c>
      <c r="O308" s="428">
        <f t="shared" si="106"/>
        <v>212111.81131294466</v>
      </c>
      <c r="P308" s="428">
        <f t="shared" si="106"/>
        <v>214705.16898110372</v>
      </c>
      <c r="Q308" s="428">
        <f t="shared" si="106"/>
        <v>217319.39949237759</v>
      </c>
      <c r="R308" s="428">
        <f t="shared" si="106"/>
        <v>221664.72605173523</v>
      </c>
      <c r="S308" s="428">
        <f t="shared" si="106"/>
        <v>225855.58305123413</v>
      </c>
      <c r="T308" s="428">
        <f t="shared" si="106"/>
        <v>228413.91930777245</v>
      </c>
      <c r="U308" s="428">
        <f t="shared" si="106"/>
        <v>230999.05552077087</v>
      </c>
      <c r="V308" s="428">
        <f t="shared" si="106"/>
        <v>233613.11114283817</v>
      </c>
      <c r="W308" s="428">
        <f t="shared" si="106"/>
        <v>238438.23703958656</v>
      </c>
      <c r="X308" s="428">
        <f t="shared" si="106"/>
        <v>242546.46332446352</v>
      </c>
      <c r="Y308" s="428">
        <f t="shared" si="106"/>
        <v>245027.40948819031</v>
      </c>
      <c r="Z308" s="428">
        <f t="shared" si="106"/>
        <v>247491.93263795899</v>
      </c>
      <c r="AA308" s="428">
        <f t="shared" si="106"/>
        <v>250036.12327794221</v>
      </c>
      <c r="AB308" s="428">
        <f t="shared" si="106"/>
        <v>260850.71785221135</v>
      </c>
      <c r="AC308" s="428">
        <f t="shared" si="106"/>
        <v>264952.12755090254</v>
      </c>
      <c r="AD308" s="428">
        <f t="shared" si="106"/>
        <v>267460.62062409398</v>
      </c>
      <c r="AE308" s="428">
        <f t="shared" si="106"/>
        <v>269856.51181961893</v>
      </c>
      <c r="AF308" s="428">
        <f t="shared" si="106"/>
        <v>272216.82641701447</v>
      </c>
      <c r="AG308" s="428">
        <f t="shared" si="106"/>
        <v>274725.65524780832</v>
      </c>
      <c r="AH308" s="431"/>
      <c r="AI308" s="431"/>
    </row>
    <row r="309" spans="2:35" x14ac:dyDescent="0.25">
      <c r="B309" s="421" t="s">
        <v>38</v>
      </c>
      <c r="C309" s="442">
        <v>0.74001186501416316</v>
      </c>
      <c r="D309" s="442"/>
      <c r="E309" s="428">
        <f t="shared" si="105"/>
        <v>4776972.7501898874</v>
      </c>
      <c r="F309" s="428">
        <f t="shared" ref="F309:T309" si="107">$C309*F$257</f>
        <v>5047696.4783131806</v>
      </c>
      <c r="G309" s="428">
        <f t="shared" si="107"/>
        <v>5076841.3421174427</v>
      </c>
      <c r="H309" s="428">
        <f t="shared" si="107"/>
        <v>4370942.1309599029</v>
      </c>
      <c r="I309" s="428">
        <f t="shared" si="107"/>
        <v>4707455.2655469878</v>
      </c>
      <c r="J309" s="428">
        <f t="shared" si="107"/>
        <v>4876818.4530743882</v>
      </c>
      <c r="K309" s="428">
        <f t="shared" si="107"/>
        <v>4942030.6566894026</v>
      </c>
      <c r="L309" s="428">
        <f t="shared" si="107"/>
        <v>5013083.0304606529</v>
      </c>
      <c r="M309" s="428">
        <f t="shared" si="107"/>
        <v>5101660.0422013979</v>
      </c>
      <c r="N309" s="428">
        <f t="shared" si="107"/>
        <v>5196482.280718036</v>
      </c>
      <c r="O309" s="428">
        <f t="shared" si="107"/>
        <v>5241676.4824193791</v>
      </c>
      <c r="P309" s="428">
        <f t="shared" si="107"/>
        <v>5305763.1630033078</v>
      </c>
      <c r="Q309" s="428">
        <f t="shared" si="107"/>
        <v>5370365.650275223</v>
      </c>
      <c r="R309" s="428">
        <f t="shared" si="107"/>
        <v>5477746.73336358</v>
      </c>
      <c r="S309" s="428">
        <f t="shared" si="107"/>
        <v>5581310.5869721202</v>
      </c>
      <c r="T309" s="428">
        <f t="shared" si="107"/>
        <v>5644531.8234841824</v>
      </c>
      <c r="U309" s="428">
        <f t="shared" si="106"/>
        <v>5708415.33665419</v>
      </c>
      <c r="V309" s="428">
        <f t="shared" si="106"/>
        <v>5773013.502089262</v>
      </c>
      <c r="W309" s="428">
        <f t="shared" si="106"/>
        <v>5892251.317188506</v>
      </c>
      <c r="X309" s="428">
        <f t="shared" si="106"/>
        <v>5993773.2124974187</v>
      </c>
      <c r="Y309" s="428">
        <f t="shared" si="106"/>
        <v>6055081.9962000353</v>
      </c>
      <c r="Z309" s="428">
        <f t="shared" si="106"/>
        <v>6115984.9367508618</v>
      </c>
      <c r="AA309" s="428">
        <f t="shared" si="106"/>
        <v>6178856.6088272287</v>
      </c>
      <c r="AB309" s="428">
        <f t="shared" si="106"/>
        <v>6446105.30985884</v>
      </c>
      <c r="AC309" s="428">
        <f t="shared" si="106"/>
        <v>6547458.7546732761</v>
      </c>
      <c r="AD309" s="428">
        <f t="shared" si="106"/>
        <v>6609448.2736287294</v>
      </c>
      <c r="AE309" s="428">
        <f t="shared" si="106"/>
        <v>6668655.1912269676</v>
      </c>
      <c r="AF309" s="428">
        <f t="shared" si="106"/>
        <v>6726982.9450644292</v>
      </c>
      <c r="AG309" s="428">
        <f t="shared" si="106"/>
        <v>6788980.7612133184</v>
      </c>
      <c r="AH309" s="431"/>
      <c r="AI309" s="431"/>
    </row>
    <row r="310" spans="2:35" x14ac:dyDescent="0.25">
      <c r="B310" s="421" t="s">
        <v>39</v>
      </c>
      <c r="C310" s="442">
        <v>4.3402913681153059E-2</v>
      </c>
      <c r="D310" s="442"/>
      <c r="E310" s="428">
        <f t="shared" si="105"/>
        <v>280177.31300800672</v>
      </c>
      <c r="F310" s="428">
        <f t="shared" si="106"/>
        <v>296055.70517804357</v>
      </c>
      <c r="G310" s="428">
        <f t="shared" si="106"/>
        <v>297765.09940231207</v>
      </c>
      <c r="H310" s="428">
        <f t="shared" si="106"/>
        <v>256362.94900722563</v>
      </c>
      <c r="I310" s="428">
        <f t="shared" si="106"/>
        <v>276099.99813248252</v>
      </c>
      <c r="J310" s="428">
        <f t="shared" si="106"/>
        <v>286033.42779293266</v>
      </c>
      <c r="K310" s="428">
        <f t="shared" si="106"/>
        <v>289858.23085119994</v>
      </c>
      <c r="L310" s="428">
        <f t="shared" si="106"/>
        <v>294025.56949998706</v>
      </c>
      <c r="M310" s="428">
        <f t="shared" si="106"/>
        <v>299220.75700504752</v>
      </c>
      <c r="N310" s="428">
        <f t="shared" si="106"/>
        <v>304782.23733795079</v>
      </c>
      <c r="O310" s="428">
        <f t="shared" si="106"/>
        <v>307432.95164142275</v>
      </c>
      <c r="P310" s="428">
        <f t="shared" si="106"/>
        <v>311191.74092170363</v>
      </c>
      <c r="Q310" s="428">
        <f t="shared" si="106"/>
        <v>314980.78311307047</v>
      </c>
      <c r="R310" s="428">
        <f t="shared" si="106"/>
        <v>321278.86034752603</v>
      </c>
      <c r="S310" s="428">
        <f t="shared" si="106"/>
        <v>327353.05079117924</v>
      </c>
      <c r="T310" s="428">
        <f t="shared" si="106"/>
        <v>331061.08035243</v>
      </c>
      <c r="U310" s="428">
        <f t="shared" si="106"/>
        <v>334807.9535295426</v>
      </c>
      <c r="V310" s="428">
        <f t="shared" si="106"/>
        <v>338596.74223806633</v>
      </c>
      <c r="W310" s="428">
        <f t="shared" si="106"/>
        <v>345590.23631695216</v>
      </c>
      <c r="X310" s="428">
        <f t="shared" si="106"/>
        <v>351544.66254599037</v>
      </c>
      <c r="Y310" s="428">
        <f t="shared" si="106"/>
        <v>355140.52360274544</v>
      </c>
      <c r="Z310" s="428">
        <f t="shared" si="106"/>
        <v>358712.58129077364</v>
      </c>
      <c r="AA310" s="428">
        <f t="shared" si="106"/>
        <v>362400.10832261125</v>
      </c>
      <c r="AB310" s="428">
        <f t="shared" si="106"/>
        <v>378074.68443505414</v>
      </c>
      <c r="AC310" s="428">
        <f t="shared" si="106"/>
        <v>384019.23076538125</v>
      </c>
      <c r="AD310" s="428">
        <f t="shared" si="106"/>
        <v>387655.01806496497</v>
      </c>
      <c r="AE310" s="428">
        <f t="shared" si="106"/>
        <v>391127.60121576936</v>
      </c>
      <c r="AF310" s="428">
        <f t="shared" si="106"/>
        <v>394548.61996521114</v>
      </c>
      <c r="AG310" s="428">
        <f t="shared" si="106"/>
        <v>398184.8939088441</v>
      </c>
      <c r="AH310" s="431"/>
      <c r="AI310" s="431"/>
    </row>
    <row r="311" spans="2:35" x14ac:dyDescent="0.25">
      <c r="B311" s="421" t="s">
        <v>99</v>
      </c>
      <c r="C311" s="442">
        <v>0.16606117427722922</v>
      </c>
      <c r="D311" s="442"/>
      <c r="E311" s="428">
        <f t="shared" si="105"/>
        <v>1071968.8992711967</v>
      </c>
      <c r="F311" s="428">
        <f t="shared" si="106"/>
        <v>1132720.2227597774</v>
      </c>
      <c r="G311" s="428">
        <f t="shared" si="106"/>
        <v>1139260.4291217297</v>
      </c>
      <c r="H311" s="428">
        <f t="shared" si="106"/>
        <v>980854.25015600794</v>
      </c>
      <c r="I311" s="428">
        <f t="shared" si="106"/>
        <v>1056368.9397592256</v>
      </c>
      <c r="J311" s="428">
        <f t="shared" si="106"/>
        <v>1094374.6138974319</v>
      </c>
      <c r="K311" s="428">
        <f t="shared" si="106"/>
        <v>1109008.4537336458</v>
      </c>
      <c r="L311" s="428">
        <f t="shared" si="106"/>
        <v>1124952.8475757802</v>
      </c>
      <c r="M311" s="428">
        <f t="shared" si="106"/>
        <v>1144829.8296608643</v>
      </c>
      <c r="N311" s="428">
        <f t="shared" si="106"/>
        <v>1166108.2618321741</v>
      </c>
      <c r="O311" s="428">
        <f t="shared" si="106"/>
        <v>1176249.9940933229</v>
      </c>
      <c r="P311" s="428">
        <f t="shared" si="106"/>
        <v>1190631.2627410805</v>
      </c>
      <c r="Q311" s="428">
        <f t="shared" si="106"/>
        <v>1205128.2801603875</v>
      </c>
      <c r="R311" s="428">
        <f t="shared" si="106"/>
        <v>1229224.959681157</v>
      </c>
      <c r="S311" s="428">
        <f t="shared" si="106"/>
        <v>1252465.0399501133</v>
      </c>
      <c r="T311" s="428">
        <f t="shared" si="106"/>
        <v>1266652.1000106309</v>
      </c>
      <c r="U311" s="428">
        <f t="shared" si="106"/>
        <v>1280987.7772011084</v>
      </c>
      <c r="V311" s="428">
        <f t="shared" si="106"/>
        <v>1295483.8247855583</v>
      </c>
      <c r="W311" s="428">
        <f t="shared" si="106"/>
        <v>1322241.1952140075</v>
      </c>
      <c r="X311" s="428">
        <f t="shared" si="106"/>
        <v>1345023.0531096582</v>
      </c>
      <c r="Y311" s="428">
        <f t="shared" si="106"/>
        <v>1358780.9522684375</v>
      </c>
      <c r="Z311" s="428">
        <f t="shared" si="106"/>
        <v>1372447.7788464318</v>
      </c>
      <c r="AA311" s="428">
        <f t="shared" si="106"/>
        <v>1386556.395461078</v>
      </c>
      <c r="AB311" s="428">
        <f t="shared" si="106"/>
        <v>1446527.9110752556</v>
      </c>
      <c r="AC311" s="428">
        <f t="shared" si="106"/>
        <v>1469271.9681081863</v>
      </c>
      <c r="AD311" s="428">
        <f t="shared" si="106"/>
        <v>1483182.6265682722</v>
      </c>
      <c r="AE311" s="428">
        <f t="shared" si="106"/>
        <v>1496468.8598390191</v>
      </c>
      <c r="AF311" s="428">
        <f t="shared" si="106"/>
        <v>1509557.8057777663</v>
      </c>
      <c r="AG311" s="428">
        <f t="shared" si="106"/>
        <v>1523470.3261562218</v>
      </c>
      <c r="AH311" s="431"/>
      <c r="AI311" s="431"/>
    </row>
    <row r="312" spans="2:35" x14ac:dyDescent="0.25">
      <c r="B312" s="421" t="s">
        <v>100</v>
      </c>
      <c r="C312" s="442">
        <v>2.6234330534753166E-4</v>
      </c>
      <c r="D312" s="442"/>
      <c r="E312" s="428">
        <f t="shared" si="105"/>
        <v>1693.4955776903907</v>
      </c>
      <c r="F312" s="428">
        <f t="shared" si="106"/>
        <v>1789.4704681342243</v>
      </c>
      <c r="G312" s="428">
        <f t="shared" si="106"/>
        <v>1799.8026807186368</v>
      </c>
      <c r="H312" s="428">
        <f t="shared" si="106"/>
        <v>1549.5527306131205</v>
      </c>
      <c r="I312" s="428">
        <f t="shared" si="106"/>
        <v>1668.8507745961654</v>
      </c>
      <c r="J312" s="428">
        <f t="shared" si="106"/>
        <v>1728.8921070676138</v>
      </c>
      <c r="K312" s="428">
        <f t="shared" si="106"/>
        <v>1752.0106350996364</v>
      </c>
      <c r="L312" s="428">
        <f t="shared" si="106"/>
        <v>1777.1995752628879</v>
      </c>
      <c r="M312" s="428">
        <f t="shared" si="106"/>
        <v>1808.6012150696085</v>
      </c>
      <c r="N312" s="428">
        <f t="shared" si="106"/>
        <v>1842.2168645598106</v>
      </c>
      <c r="O312" s="428">
        <f t="shared" si="106"/>
        <v>1858.238764771703</v>
      </c>
      <c r="P312" s="428">
        <f t="shared" si="106"/>
        <v>1880.9582810497527</v>
      </c>
      <c r="Q312" s="428">
        <f t="shared" si="106"/>
        <v>1903.860657141063</v>
      </c>
      <c r="R312" s="428">
        <f t="shared" si="106"/>
        <v>1941.9285714557318</v>
      </c>
      <c r="S312" s="428">
        <f t="shared" si="106"/>
        <v>1978.6432309830791</v>
      </c>
      <c r="T312" s="428">
        <f t="shared" si="106"/>
        <v>2001.0559366961356</v>
      </c>
      <c r="U312" s="428">
        <f t="shared" si="106"/>
        <v>2023.7034276278</v>
      </c>
      <c r="V312" s="428">
        <f t="shared" si="106"/>
        <v>2046.6042715748076</v>
      </c>
      <c r="W312" s="428">
        <f t="shared" si="106"/>
        <v>2088.8755431779391</v>
      </c>
      <c r="X312" s="428">
        <f t="shared" si="106"/>
        <v>2124.8663033801104</v>
      </c>
      <c r="Y312" s="428">
        <f t="shared" si="106"/>
        <v>2146.6010210566619</v>
      </c>
      <c r="Z312" s="428">
        <f t="shared" si="106"/>
        <v>2168.191862345649</v>
      </c>
      <c r="AA312" s="428">
        <f t="shared" si="106"/>
        <v>2190.4806431680004</v>
      </c>
      <c r="AB312" s="428">
        <f t="shared" si="106"/>
        <v>2285.2235937788332</v>
      </c>
      <c r="AC312" s="428">
        <f t="shared" si="106"/>
        <v>2321.1546362094418</v>
      </c>
      <c r="AD312" s="428">
        <f t="shared" si="106"/>
        <v>2343.1306829034584</v>
      </c>
      <c r="AE312" s="428">
        <f t="shared" si="106"/>
        <v>2364.1202632014219</v>
      </c>
      <c r="AF312" s="428">
        <f t="shared" si="106"/>
        <v>2384.798169135976</v>
      </c>
      <c r="AG312" s="428">
        <f t="shared" si="106"/>
        <v>2406.7771572870874</v>
      </c>
      <c r="AH312" s="431"/>
      <c r="AI312" s="431"/>
    </row>
    <row r="313" spans="2:35" x14ac:dyDescent="0.25">
      <c r="B313" s="421" t="s">
        <v>101</v>
      </c>
      <c r="C313" s="442">
        <v>8.8137132746513667E-3</v>
      </c>
      <c r="D313" s="442"/>
      <c r="E313" s="428">
        <f t="shared" si="105"/>
        <v>56894.85551720261</v>
      </c>
      <c r="F313" s="428">
        <f t="shared" si="106"/>
        <v>60119.238029336673</v>
      </c>
      <c r="G313" s="428">
        <f t="shared" si="106"/>
        <v>60466.360129864908</v>
      </c>
      <c r="H313" s="428">
        <f t="shared" si="106"/>
        <v>52058.936489669533</v>
      </c>
      <c r="I313" s="428">
        <f t="shared" si="106"/>
        <v>56066.886120785202</v>
      </c>
      <c r="J313" s="428">
        <f t="shared" si="106"/>
        <v>58084.041040482269</v>
      </c>
      <c r="K313" s="428">
        <f t="shared" si="106"/>
        <v>58860.73353940581</v>
      </c>
      <c r="L313" s="428">
        <f t="shared" si="106"/>
        <v>59706.983822016038</v>
      </c>
      <c r="M313" s="428">
        <f t="shared" si="106"/>
        <v>60761.956615179857</v>
      </c>
      <c r="N313" s="428">
        <f t="shared" si="106"/>
        <v>61891.311510496642</v>
      </c>
      <c r="O313" s="428">
        <f t="shared" si="106"/>
        <v>62429.584954889011</v>
      </c>
      <c r="P313" s="428">
        <f t="shared" si="106"/>
        <v>63192.872212965747</v>
      </c>
      <c r="Q313" s="428">
        <f t="shared" si="106"/>
        <v>63962.302848558444</v>
      </c>
      <c r="R313" s="428">
        <f t="shared" si="106"/>
        <v>65241.23650112113</v>
      </c>
      <c r="S313" s="428">
        <f t="shared" si="106"/>
        <v>66474.706063539794</v>
      </c>
      <c r="T313" s="428">
        <f t="shared" si="106"/>
        <v>67227.685681610616</v>
      </c>
      <c r="U313" s="428">
        <f t="shared" si="106"/>
        <v>67988.553168575949</v>
      </c>
      <c r="V313" s="428">
        <f t="shared" si="106"/>
        <v>68757.93233008754</v>
      </c>
      <c r="W313" s="428">
        <f t="shared" si="106"/>
        <v>70178.08241614126</v>
      </c>
      <c r="X313" s="428">
        <f t="shared" si="106"/>
        <v>71387.231780705566</v>
      </c>
      <c r="Y313" s="428">
        <f t="shared" si="106"/>
        <v>72117.433641404292</v>
      </c>
      <c r="Z313" s="428">
        <f t="shared" si="106"/>
        <v>72842.801815856277</v>
      </c>
      <c r="AA313" s="428">
        <f t="shared" si="106"/>
        <v>73591.618040266942</v>
      </c>
      <c r="AB313" s="428">
        <f t="shared" si="106"/>
        <v>76774.612172219902</v>
      </c>
      <c r="AC313" s="428">
        <f t="shared" si="106"/>
        <v>77981.755252250834</v>
      </c>
      <c r="AD313" s="428">
        <f t="shared" si="106"/>
        <v>78720.06482799862</v>
      </c>
      <c r="AE313" s="428">
        <f t="shared" si="106"/>
        <v>79425.232974967177</v>
      </c>
      <c r="AF313" s="428">
        <f t="shared" si="106"/>
        <v>80119.93007724674</v>
      </c>
      <c r="AG313" s="428">
        <f t="shared" si="106"/>
        <v>80858.338474496428</v>
      </c>
      <c r="AH313" s="431"/>
      <c r="AI313" s="431"/>
    </row>
    <row r="314" spans="2:35" x14ac:dyDescent="0.25">
      <c r="B314" s="421" t="s">
        <v>102</v>
      </c>
      <c r="C314" s="442">
        <v>0</v>
      </c>
      <c r="D314" s="442"/>
      <c r="E314" s="428">
        <f t="shared" si="105"/>
        <v>0</v>
      </c>
      <c r="F314" s="428">
        <f t="shared" si="106"/>
        <v>0</v>
      </c>
      <c r="G314" s="428">
        <f t="shared" si="106"/>
        <v>0</v>
      </c>
      <c r="H314" s="428">
        <f t="shared" si="106"/>
        <v>0</v>
      </c>
      <c r="I314" s="428">
        <f t="shared" si="106"/>
        <v>0</v>
      </c>
      <c r="J314" s="428">
        <f t="shared" si="106"/>
        <v>0</v>
      </c>
      <c r="K314" s="428">
        <f t="shared" si="106"/>
        <v>0</v>
      </c>
      <c r="L314" s="428">
        <f t="shared" si="106"/>
        <v>0</v>
      </c>
      <c r="M314" s="428">
        <f t="shared" si="106"/>
        <v>0</v>
      </c>
      <c r="N314" s="428">
        <f t="shared" si="106"/>
        <v>0</v>
      </c>
      <c r="O314" s="428">
        <f t="shared" si="106"/>
        <v>0</v>
      </c>
      <c r="P314" s="428">
        <f t="shared" si="106"/>
        <v>0</v>
      </c>
      <c r="Q314" s="428">
        <f t="shared" si="106"/>
        <v>0</v>
      </c>
      <c r="R314" s="428">
        <f t="shared" si="106"/>
        <v>0</v>
      </c>
      <c r="S314" s="428">
        <f t="shared" si="106"/>
        <v>0</v>
      </c>
      <c r="T314" s="428">
        <f t="shared" si="106"/>
        <v>0</v>
      </c>
      <c r="U314" s="428">
        <f t="shared" si="106"/>
        <v>0</v>
      </c>
      <c r="V314" s="428">
        <f t="shared" si="106"/>
        <v>0</v>
      </c>
      <c r="W314" s="428">
        <f t="shared" si="106"/>
        <v>0</v>
      </c>
      <c r="X314" s="428">
        <f t="shared" si="106"/>
        <v>0</v>
      </c>
      <c r="Y314" s="428">
        <f t="shared" si="106"/>
        <v>0</v>
      </c>
      <c r="Z314" s="428">
        <f t="shared" si="106"/>
        <v>0</v>
      </c>
      <c r="AA314" s="428">
        <f t="shared" si="106"/>
        <v>0</v>
      </c>
      <c r="AB314" s="428">
        <f t="shared" si="106"/>
        <v>0</v>
      </c>
      <c r="AC314" s="428">
        <f t="shared" si="106"/>
        <v>0</v>
      </c>
      <c r="AD314" s="428">
        <f t="shared" si="106"/>
        <v>0</v>
      </c>
      <c r="AE314" s="428">
        <f t="shared" si="106"/>
        <v>0</v>
      </c>
      <c r="AF314" s="428">
        <f t="shared" si="106"/>
        <v>0</v>
      </c>
      <c r="AG314" s="428">
        <f t="shared" si="106"/>
        <v>0</v>
      </c>
      <c r="AH314" s="431"/>
      <c r="AI314" s="431"/>
    </row>
    <row r="315" spans="2:35" x14ac:dyDescent="0.25">
      <c r="B315" s="421" t="s">
        <v>103</v>
      </c>
      <c r="C315" s="442">
        <v>2.6666715898126998E-3</v>
      </c>
      <c r="D315" s="442"/>
      <c r="E315" s="428">
        <f t="shared" si="105"/>
        <v>17214.071990584915</v>
      </c>
      <c r="F315" s="428">
        <f t="shared" si="106"/>
        <v>18189.639151877316</v>
      </c>
      <c r="G315" s="428">
        <f t="shared" si="106"/>
        <v>18294.664198055867</v>
      </c>
      <c r="H315" s="428">
        <f t="shared" si="106"/>
        <v>15750.919346574356</v>
      </c>
      <c r="I315" s="428">
        <f t="shared" si="106"/>
        <v>16963.562086545859</v>
      </c>
      <c r="J315" s="428">
        <f t="shared" si="106"/>
        <v>17573.871220617373</v>
      </c>
      <c r="K315" s="428">
        <f t="shared" si="106"/>
        <v>17808.866818540537</v>
      </c>
      <c r="L315" s="428">
        <f t="shared" si="106"/>
        <v>18064.907776101292</v>
      </c>
      <c r="M315" s="428">
        <f t="shared" si="106"/>
        <v>18384.099686240505</v>
      </c>
      <c r="N315" s="428">
        <f t="shared" si="106"/>
        <v>18725.796598802739</v>
      </c>
      <c r="O315" s="428">
        <f t="shared" si="106"/>
        <v>18888.65627632822</v>
      </c>
      <c r="P315" s="428">
        <f t="shared" si="106"/>
        <v>19119.595992943836</v>
      </c>
      <c r="Q315" s="428">
        <f t="shared" si="106"/>
        <v>19352.39444602804</v>
      </c>
      <c r="R315" s="428">
        <f t="shared" si="106"/>
        <v>19739.34781406567</v>
      </c>
      <c r="S315" s="428">
        <f t="shared" si="106"/>
        <v>20112.545595352771</v>
      </c>
      <c r="T315" s="428">
        <f t="shared" si="106"/>
        <v>20340.366638838768</v>
      </c>
      <c r="U315" s="428">
        <f t="shared" si="106"/>
        <v>20570.57423101653</v>
      </c>
      <c r="V315" s="428">
        <f t="shared" si="106"/>
        <v>20803.357110134864</v>
      </c>
      <c r="W315" s="428">
        <f t="shared" si="106"/>
        <v>21233.036834189574</v>
      </c>
      <c r="X315" s="428">
        <f t="shared" si="106"/>
        <v>21598.876311586377</v>
      </c>
      <c r="Y315" s="428">
        <f t="shared" si="106"/>
        <v>21819.805731012118</v>
      </c>
      <c r="Z315" s="428">
        <f t="shared" si="106"/>
        <v>22039.27267334261</v>
      </c>
      <c r="AA315" s="428">
        <f t="shared" si="106"/>
        <v>22265.834043040188</v>
      </c>
      <c r="AB315" s="428">
        <f t="shared" si="106"/>
        <v>23228.87876184575</v>
      </c>
      <c r="AC315" s="428">
        <f t="shared" si="106"/>
        <v>23594.111219045786</v>
      </c>
      <c r="AD315" s="428">
        <f t="shared" si="106"/>
        <v>23817.493703678654</v>
      </c>
      <c r="AE315" s="428">
        <f t="shared" si="106"/>
        <v>24030.848938295847</v>
      </c>
      <c r="AF315" s="428">
        <f t="shared" si="106"/>
        <v>24241.036060164453</v>
      </c>
      <c r="AG315" s="428">
        <f t="shared" si="106"/>
        <v>24464.44844416928</v>
      </c>
      <c r="AH315" s="431"/>
      <c r="AI315" s="431"/>
    </row>
    <row r="316" spans="2:35" x14ac:dyDescent="0.25">
      <c r="B316" s="421" t="s">
        <v>104</v>
      </c>
      <c r="C316" s="442">
        <v>2.9347152170763123E-3</v>
      </c>
      <c r="D316" s="442"/>
      <c r="E316" s="428">
        <f t="shared" si="105"/>
        <v>18944.364657278613</v>
      </c>
      <c r="F316" s="428">
        <f t="shared" si="106"/>
        <v>20017.992097741142</v>
      </c>
      <c r="G316" s="428">
        <f t="shared" si="106"/>
        <v>20133.573859804306</v>
      </c>
      <c r="H316" s="428">
        <f t="shared" si="106"/>
        <v>17334.141506558793</v>
      </c>
      <c r="I316" s="428">
        <f t="shared" si="106"/>
        <v>18668.674455972876</v>
      </c>
      <c r="J316" s="428">
        <f t="shared" si="106"/>
        <v>19340.329529556999</v>
      </c>
      <c r="K316" s="428">
        <f t="shared" si="106"/>
        <v>19598.94598604368</v>
      </c>
      <c r="L316" s="428">
        <f t="shared" si="106"/>
        <v>19880.723201212913</v>
      </c>
      <c r="M316" s="428">
        <f t="shared" si="106"/>
        <v>20231.999061139479</v>
      </c>
      <c r="N316" s="428">
        <f t="shared" si="106"/>
        <v>20608.042040243188</v>
      </c>
      <c r="O316" s="428">
        <f t="shared" si="106"/>
        <v>20787.271749558739</v>
      </c>
      <c r="P316" s="428">
        <f t="shared" si="106"/>
        <v>21041.424643063987</v>
      </c>
      <c r="Q316" s="428">
        <f t="shared" si="106"/>
        <v>21297.623106117335</v>
      </c>
      <c r="R316" s="428">
        <f t="shared" si="106"/>
        <v>21723.47154647917</v>
      </c>
      <c r="S316" s="428">
        <f t="shared" si="106"/>
        <v>22134.181741130211</v>
      </c>
      <c r="T316" s="428">
        <f t="shared" si="106"/>
        <v>22384.902484412862</v>
      </c>
      <c r="U316" s="428">
        <f t="shared" si="106"/>
        <v>22638.249663132392</v>
      </c>
      <c r="V316" s="428">
        <f t="shared" si="106"/>
        <v>22894.430986784399</v>
      </c>
      <c r="W316" s="428">
        <f t="shared" si="106"/>
        <v>23367.300473027011</v>
      </c>
      <c r="X316" s="428">
        <f t="shared" si="106"/>
        <v>23769.912735228769</v>
      </c>
      <c r="Y316" s="428">
        <f t="shared" si="106"/>
        <v>24013.049134763474</v>
      </c>
      <c r="Z316" s="428">
        <f t="shared" si="106"/>
        <v>24254.576054599802</v>
      </c>
      <c r="AA316" s="428">
        <f t="shared" si="106"/>
        <v>24503.910506503507</v>
      </c>
      <c r="AB316" s="428">
        <f t="shared" si="106"/>
        <v>25563.756796463109</v>
      </c>
      <c r="AC316" s="428">
        <f t="shared" si="106"/>
        <v>25965.701023119982</v>
      </c>
      <c r="AD316" s="428">
        <f t="shared" si="106"/>
        <v>26211.537060592611</v>
      </c>
      <c r="AE316" s="428">
        <f t="shared" si="106"/>
        <v>26446.337947235705</v>
      </c>
      <c r="AF316" s="428">
        <f t="shared" si="106"/>
        <v>26677.65227455585</v>
      </c>
      <c r="AG316" s="428">
        <f t="shared" si="106"/>
        <v>26923.521216770932</v>
      </c>
      <c r="AH316" s="431"/>
      <c r="AI316" s="431"/>
    </row>
    <row r="317" spans="2:35" x14ac:dyDescent="0.25">
      <c r="B317" s="421" t="s">
        <v>105</v>
      </c>
      <c r="C317" s="442">
        <v>5.3451409262743671E-3</v>
      </c>
      <c r="D317" s="442"/>
      <c r="E317" s="428">
        <f t="shared" si="105"/>
        <v>34504.301563122499</v>
      </c>
      <c r="F317" s="428">
        <f t="shared" si="106"/>
        <v>36459.751938067086</v>
      </c>
      <c r="G317" s="428">
        <f t="shared" si="106"/>
        <v>36670.266676648847</v>
      </c>
      <c r="H317" s="428">
        <f t="shared" si="106"/>
        <v>31571.523072976022</v>
      </c>
      <c r="I317" s="428">
        <f t="shared" si="106"/>
        <v>34002.173462447652</v>
      </c>
      <c r="J317" s="428">
        <f t="shared" si="106"/>
        <v>35225.491827808808</v>
      </c>
      <c r="K317" s="428">
        <f t="shared" si="106"/>
        <v>35696.522678683723</v>
      </c>
      <c r="L317" s="428">
        <f t="shared" si="106"/>
        <v>36209.737356594844</v>
      </c>
      <c r="M317" s="428">
        <f t="shared" si="106"/>
        <v>36849.533328749269</v>
      </c>
      <c r="N317" s="428">
        <f t="shared" si="106"/>
        <v>37534.438871184764</v>
      </c>
      <c r="O317" s="428">
        <f t="shared" si="106"/>
        <v>37860.878741361063</v>
      </c>
      <c r="P317" s="428">
        <f t="shared" si="106"/>
        <v>38323.779885806463</v>
      </c>
      <c r="Q317" s="428">
        <f t="shared" si="106"/>
        <v>38790.40672651209</v>
      </c>
      <c r="R317" s="428">
        <f t="shared" si="106"/>
        <v>39566.025401102204</v>
      </c>
      <c r="S317" s="428">
        <f t="shared" si="106"/>
        <v>40314.072045455803</v>
      </c>
      <c r="T317" s="428">
        <f t="shared" si="106"/>
        <v>40770.722046174145</v>
      </c>
      <c r="U317" s="428">
        <f t="shared" si="106"/>
        <v>41232.155702717821</v>
      </c>
      <c r="V317" s="428">
        <f t="shared" si="106"/>
        <v>41698.751326590202</v>
      </c>
      <c r="W317" s="428">
        <f t="shared" si="106"/>
        <v>42560.011740886817</v>
      </c>
      <c r="X317" s="428">
        <f t="shared" ref="F317:AG318" si="108">$C317*X$257</f>
        <v>43293.309223243028</v>
      </c>
      <c r="Y317" s="428">
        <f t="shared" si="108"/>
        <v>43736.145486284135</v>
      </c>
      <c r="Z317" s="428">
        <f t="shared" si="108"/>
        <v>44176.050324921351</v>
      </c>
      <c r="AA317" s="428">
        <f t="shared" si="108"/>
        <v>44630.175405081056</v>
      </c>
      <c r="AB317" s="428">
        <f t="shared" si="108"/>
        <v>46560.525493927795</v>
      </c>
      <c r="AC317" s="428">
        <f t="shared" si="108"/>
        <v>47292.60625034399</v>
      </c>
      <c r="AD317" s="428">
        <f t="shared" si="108"/>
        <v>47740.359496520003</v>
      </c>
      <c r="AE317" s="428">
        <f t="shared" si="108"/>
        <v>48168.013880638347</v>
      </c>
      <c r="AF317" s="428">
        <f t="shared" si="108"/>
        <v>48589.318023063555</v>
      </c>
      <c r="AG317" s="428">
        <f t="shared" si="108"/>
        <v>49037.131200262702</v>
      </c>
      <c r="AH317" s="431"/>
      <c r="AI317" s="431"/>
    </row>
    <row r="318" spans="2:35" x14ac:dyDescent="0.25">
      <c r="B318" s="421" t="s">
        <v>106</v>
      </c>
      <c r="C318" s="442">
        <v>5.5584176502402227E-4</v>
      </c>
      <c r="D318" s="442"/>
      <c r="E318" s="428">
        <f t="shared" si="105"/>
        <v>3588.1059351479262</v>
      </c>
      <c r="F318" s="428">
        <f t="shared" si="108"/>
        <v>3791.4534245439977</v>
      </c>
      <c r="G318" s="428">
        <f t="shared" si="108"/>
        <v>3813.3448742683022</v>
      </c>
      <c r="H318" s="428">
        <f t="shared" si="108"/>
        <v>3283.1259926408261</v>
      </c>
      <c r="I318" s="428">
        <f t="shared" si="108"/>
        <v>3535.8895813423014</v>
      </c>
      <c r="J318" s="428">
        <f t="shared" si="108"/>
        <v>3663.1025863439481</v>
      </c>
      <c r="K318" s="428">
        <f t="shared" si="108"/>
        <v>3712.0851338842931</v>
      </c>
      <c r="L318" s="428">
        <f t="shared" si="108"/>
        <v>3765.4543820184463</v>
      </c>
      <c r="M318" s="428">
        <f t="shared" si="108"/>
        <v>3831.9868322050215</v>
      </c>
      <c r="N318" s="428">
        <f t="shared" si="108"/>
        <v>3903.2102313320179</v>
      </c>
      <c r="O318" s="428">
        <f t="shared" si="108"/>
        <v>3937.1567476382738</v>
      </c>
      <c r="P318" s="428">
        <f t="shared" si="108"/>
        <v>3985.293886155127</v>
      </c>
      <c r="Q318" s="428">
        <f t="shared" si="108"/>
        <v>4033.8184602164852</v>
      </c>
      <c r="R318" s="428">
        <f t="shared" si="108"/>
        <v>4114.4751274617884</v>
      </c>
      <c r="S318" s="428">
        <f t="shared" si="108"/>
        <v>4192.2645763936089</v>
      </c>
      <c r="T318" s="428">
        <f t="shared" si="108"/>
        <v>4239.7516578192472</v>
      </c>
      <c r="U318" s="428">
        <f t="shared" si="108"/>
        <v>4287.736192115427</v>
      </c>
      <c r="V318" s="428">
        <f t="shared" si="108"/>
        <v>4336.2575199350249</v>
      </c>
      <c r="W318" s="428">
        <f t="shared" si="108"/>
        <v>4425.8200806665391</v>
      </c>
      <c r="X318" s="428">
        <f t="shared" si="108"/>
        <v>4502.0757626967315</v>
      </c>
      <c r="Y318" s="428">
        <f t="shared" si="108"/>
        <v>4548.1263520938164</v>
      </c>
      <c r="Z318" s="428">
        <f t="shared" si="108"/>
        <v>4593.8721023599655</v>
      </c>
      <c r="AA318" s="428">
        <f t="shared" si="108"/>
        <v>4641.0966170321326</v>
      </c>
      <c r="AB318" s="428">
        <f t="shared" si="108"/>
        <v>4841.833925046707</v>
      </c>
      <c r="AC318" s="428">
        <f t="shared" si="108"/>
        <v>4917.9630796189012</v>
      </c>
      <c r="AD318" s="428">
        <f t="shared" si="108"/>
        <v>4964.52498660742</v>
      </c>
      <c r="AE318" s="428">
        <f t="shared" si="108"/>
        <v>5008.9968108244639</v>
      </c>
      <c r="AF318" s="428">
        <f t="shared" si="108"/>
        <v>5052.8082727424162</v>
      </c>
      <c r="AG318" s="428">
        <f t="shared" si="108"/>
        <v>5099.3764119643101</v>
      </c>
      <c r="AH318" s="431"/>
      <c r="AI318" s="431"/>
    </row>
    <row r="319" spans="2:35" x14ac:dyDescent="0.25">
      <c r="D319" s="442"/>
      <c r="E319" s="431"/>
      <c r="F319" s="431"/>
      <c r="G319" s="431"/>
      <c r="H319" s="431"/>
      <c r="I319" s="431"/>
      <c r="J319" s="431"/>
      <c r="K319" s="431"/>
      <c r="L319" s="431"/>
      <c r="M319" s="431"/>
      <c r="N319" s="431"/>
      <c r="O319" s="431"/>
      <c r="P319" s="431"/>
      <c r="Q319" s="431"/>
      <c r="R319" s="431"/>
      <c r="S319" s="431"/>
      <c r="T319" s="431"/>
      <c r="U319" s="431"/>
      <c r="V319" s="431"/>
      <c r="W319" s="431"/>
      <c r="X319" s="431"/>
      <c r="Y319" s="431"/>
      <c r="Z319" s="431"/>
      <c r="AA319" s="431"/>
      <c r="AB319" s="431"/>
      <c r="AC319" s="431"/>
      <c r="AD319" s="431"/>
      <c r="AE319" s="431"/>
      <c r="AF319" s="431"/>
      <c r="AG319" s="431"/>
      <c r="AH319" s="431"/>
      <c r="AI319" s="431"/>
    </row>
    <row r="320" spans="2:35" x14ac:dyDescent="0.25">
      <c r="D320" s="442"/>
      <c r="E320" s="431"/>
      <c r="F320" s="431"/>
      <c r="G320" s="431"/>
      <c r="H320" s="431"/>
      <c r="I320" s="431"/>
      <c r="J320" s="431"/>
      <c r="K320" s="431"/>
      <c r="L320" s="431"/>
      <c r="M320" s="431"/>
      <c r="N320" s="431"/>
      <c r="O320" s="431"/>
      <c r="P320" s="431"/>
      <c r="Q320" s="431"/>
      <c r="R320" s="431"/>
      <c r="S320" s="431"/>
      <c r="T320" s="431"/>
      <c r="U320" s="431"/>
      <c r="V320" s="431"/>
      <c r="W320" s="431"/>
      <c r="X320" s="431"/>
      <c r="Y320" s="431"/>
      <c r="Z320" s="431"/>
      <c r="AA320" s="431"/>
      <c r="AB320" s="431"/>
      <c r="AC320" s="431"/>
      <c r="AD320" s="431"/>
      <c r="AE320" s="431"/>
      <c r="AF320" s="431"/>
      <c r="AG320" s="431"/>
      <c r="AH320" s="431"/>
      <c r="AI320" s="431"/>
    </row>
    <row r="321" spans="2:35" x14ac:dyDescent="0.25">
      <c r="B321" s="422" t="s">
        <v>96</v>
      </c>
      <c r="C321" s="425" t="s">
        <v>110</v>
      </c>
      <c r="D321" s="442"/>
      <c r="E321" s="423">
        <v>2017</v>
      </c>
      <c r="F321" s="423">
        <v>2018</v>
      </c>
      <c r="G321" s="423">
        <v>2019</v>
      </c>
      <c r="H321" s="423">
        <v>2020</v>
      </c>
      <c r="I321" s="423">
        <v>2021</v>
      </c>
      <c r="J321" s="423">
        <v>2022</v>
      </c>
      <c r="K321" s="423">
        <v>2023</v>
      </c>
      <c r="L321" s="423">
        <v>2024</v>
      </c>
      <c r="M321" s="423">
        <v>2025</v>
      </c>
      <c r="N321" s="423">
        <v>2026</v>
      </c>
      <c r="O321" s="423">
        <v>2027</v>
      </c>
      <c r="P321" s="423">
        <v>2028</v>
      </c>
      <c r="Q321" s="423">
        <v>2029</v>
      </c>
      <c r="R321" s="423">
        <v>2030</v>
      </c>
      <c r="S321" s="423">
        <v>2031</v>
      </c>
      <c r="T321" s="423">
        <v>2032</v>
      </c>
      <c r="U321" s="423">
        <v>2033</v>
      </c>
      <c r="V321" s="423">
        <v>2034</v>
      </c>
      <c r="W321" s="423">
        <v>2035</v>
      </c>
      <c r="X321" s="423">
        <v>2036</v>
      </c>
      <c r="Y321" s="423">
        <v>2037</v>
      </c>
      <c r="Z321" s="423">
        <v>2038</v>
      </c>
      <c r="AA321" s="423">
        <v>2039</v>
      </c>
      <c r="AB321" s="423">
        <v>2040</v>
      </c>
      <c r="AC321" s="423">
        <v>2041</v>
      </c>
      <c r="AD321" s="423">
        <v>2042</v>
      </c>
      <c r="AE321" s="423">
        <v>2043</v>
      </c>
      <c r="AF321" s="423">
        <v>2044</v>
      </c>
      <c r="AG321" s="423">
        <v>2045</v>
      </c>
      <c r="AH321" s="431"/>
      <c r="AI321" s="431"/>
    </row>
    <row r="322" spans="2:35" x14ac:dyDescent="0.25">
      <c r="B322" s="421" t="s">
        <v>98</v>
      </c>
      <c r="C322" s="439">
        <v>1</v>
      </c>
      <c r="D322" s="442"/>
      <c r="E322" s="440">
        <f t="shared" ref="E322:E332" si="109">$C322*E336</f>
        <v>8388</v>
      </c>
      <c r="F322" s="440">
        <f t="shared" ref="F322:AG331" si="110">$C322*F336</f>
        <v>7087.7500130346461</v>
      </c>
      <c r="G322" s="440">
        <f t="shared" si="110"/>
        <v>7118.7172802075593</v>
      </c>
      <c r="H322" s="440">
        <f t="shared" si="110"/>
        <v>6386.7484155283382</v>
      </c>
      <c r="I322" s="440">
        <f t="shared" si="110"/>
        <v>6902.8967600038577</v>
      </c>
      <c r="J322" s="440">
        <f t="shared" si="110"/>
        <v>7247.0904549741508</v>
      </c>
      <c r="K322" s="440">
        <f t="shared" si="110"/>
        <v>7326.9656754804009</v>
      </c>
      <c r="L322" s="440">
        <f t="shared" si="110"/>
        <v>7338.344891820112</v>
      </c>
      <c r="M322" s="440">
        <f t="shared" si="110"/>
        <v>7373.5389254296742</v>
      </c>
      <c r="N322" s="440">
        <f t="shared" si="110"/>
        <v>7406.7144905656814</v>
      </c>
      <c r="O322" s="440">
        <f t="shared" si="110"/>
        <v>7436.9314993690487</v>
      </c>
      <c r="P322" s="440">
        <f t="shared" si="110"/>
        <v>7470.9450800864315</v>
      </c>
      <c r="Q322" s="440">
        <f t="shared" si="110"/>
        <v>7508.3315198912733</v>
      </c>
      <c r="R322" s="440">
        <f t="shared" si="110"/>
        <v>7546.8393183278949</v>
      </c>
      <c r="S322" s="440">
        <f t="shared" si="110"/>
        <v>7583.938160968929</v>
      </c>
      <c r="T322" s="440">
        <f t="shared" si="110"/>
        <v>7624.5331977444475</v>
      </c>
      <c r="U322" s="440">
        <f t="shared" si="110"/>
        <v>7668.8393701982659</v>
      </c>
      <c r="V322" s="440">
        <f t="shared" si="110"/>
        <v>7716.9795036744472</v>
      </c>
      <c r="W322" s="440">
        <f t="shared" si="110"/>
        <v>7764.5174607415674</v>
      </c>
      <c r="X322" s="440">
        <f t="shared" si="110"/>
        <v>7809.9544894305336</v>
      </c>
      <c r="Y322" s="440">
        <f t="shared" si="110"/>
        <v>7858.9961805537068</v>
      </c>
      <c r="Z322" s="440">
        <f t="shared" si="110"/>
        <v>7908.3282914911833</v>
      </c>
      <c r="AA322" s="440">
        <f t="shared" si="110"/>
        <v>7964.9846017245418</v>
      </c>
      <c r="AB322" s="440">
        <f t="shared" si="110"/>
        <v>8013.3564307250363</v>
      </c>
      <c r="AC322" s="440">
        <f t="shared" si="110"/>
        <v>8067.6431301893726</v>
      </c>
      <c r="AD322" s="440">
        <f t="shared" si="110"/>
        <v>8127.6876603165838</v>
      </c>
      <c r="AE322" s="440">
        <f t="shared" si="110"/>
        <v>8180.8683932996564</v>
      </c>
      <c r="AF322" s="440">
        <f t="shared" si="110"/>
        <v>8233.0695415717819</v>
      </c>
      <c r="AG322" s="440">
        <f t="shared" si="110"/>
        <v>8297.4542188076794</v>
      </c>
      <c r="AH322" s="431"/>
      <c r="AI322" s="431"/>
    </row>
    <row r="323" spans="2:35" x14ac:dyDescent="0.25">
      <c r="B323" s="421" t="s">
        <v>38</v>
      </c>
      <c r="C323" s="439">
        <v>1</v>
      </c>
      <c r="D323" s="442"/>
      <c r="E323" s="440">
        <f>$C323*E337</f>
        <v>339264</v>
      </c>
      <c r="F323" s="440">
        <f t="shared" ref="F323:T323" si="111">$C323*F337</f>
        <v>356489.25865766336</v>
      </c>
      <c r="G323" s="440">
        <f t="shared" si="111"/>
        <v>340745.33634839125</v>
      </c>
      <c r="H323" s="440">
        <f t="shared" si="111"/>
        <v>359175.657424326</v>
      </c>
      <c r="I323" s="440">
        <f t="shared" si="111"/>
        <v>356272.64566492639</v>
      </c>
      <c r="J323" s="440">
        <f t="shared" si="111"/>
        <v>374037.18750752881</v>
      </c>
      <c r="K323" s="440">
        <f t="shared" si="111"/>
        <v>378159.71130039729</v>
      </c>
      <c r="L323" s="440">
        <f t="shared" si="111"/>
        <v>378747.01597144973</v>
      </c>
      <c r="M323" s="440">
        <f t="shared" si="111"/>
        <v>380563.45215782715</v>
      </c>
      <c r="N323" s="440">
        <f t="shared" si="111"/>
        <v>382275.71105048776</v>
      </c>
      <c r="O323" s="440">
        <f t="shared" si="111"/>
        <v>383835.27278880496</v>
      </c>
      <c r="P323" s="440">
        <f t="shared" si="111"/>
        <v>385590.78338269558</v>
      </c>
      <c r="Q323" s="440">
        <f t="shared" si="111"/>
        <v>387520.37414500269</v>
      </c>
      <c r="R323" s="440">
        <f t="shared" si="111"/>
        <v>389507.84052393481</v>
      </c>
      <c r="S323" s="440">
        <f t="shared" si="111"/>
        <v>391422.5878073377</v>
      </c>
      <c r="T323" s="440">
        <f t="shared" si="111"/>
        <v>393517.78083364491</v>
      </c>
      <c r="U323" s="440">
        <f t="shared" si="110"/>
        <v>395804.51317634317</v>
      </c>
      <c r="V323" s="440">
        <f t="shared" si="110"/>
        <v>398289.12410310615</v>
      </c>
      <c r="W323" s="440">
        <f t="shared" si="110"/>
        <v>400742.65547155141</v>
      </c>
      <c r="X323" s="440">
        <f t="shared" si="110"/>
        <v>403087.75362164486</v>
      </c>
      <c r="Y323" s="440">
        <f t="shared" si="110"/>
        <v>405618.89578584052</v>
      </c>
      <c r="Z323" s="440">
        <f t="shared" si="110"/>
        <v>408165.02711171599</v>
      </c>
      <c r="AA323" s="440">
        <f t="shared" si="110"/>
        <v>411089.1753703726</v>
      </c>
      <c r="AB323" s="440">
        <f t="shared" si="110"/>
        <v>413585.74457788427</v>
      </c>
      <c r="AC323" s="440">
        <f t="shared" si="110"/>
        <v>416387.59236947214</v>
      </c>
      <c r="AD323" s="440">
        <f t="shared" si="110"/>
        <v>419486.61359923729</v>
      </c>
      <c r="AE323" s="440">
        <f t="shared" si="110"/>
        <v>422231.38019462652</v>
      </c>
      <c r="AF323" s="440">
        <f t="shared" si="110"/>
        <v>424925.58841593663</v>
      </c>
      <c r="AG323" s="440">
        <f t="shared" si="110"/>
        <v>428248.61353084544</v>
      </c>
      <c r="AH323" s="431"/>
      <c r="AI323" s="431"/>
    </row>
    <row r="324" spans="2:35" x14ac:dyDescent="0.25">
      <c r="B324" s="421" t="s">
        <v>39</v>
      </c>
      <c r="C324" s="439">
        <v>1.0499999999999998</v>
      </c>
      <c r="D324" s="442"/>
      <c r="E324" s="440">
        <f t="shared" si="109"/>
        <v>5569.1999999999989</v>
      </c>
      <c r="F324" s="440">
        <f t="shared" si="110"/>
        <v>5840.8328604432718</v>
      </c>
      <c r="G324" s="440">
        <f t="shared" si="110"/>
        <v>5764.6398275384863</v>
      </c>
      <c r="H324" s="440">
        <f t="shared" si="110"/>
        <v>5701.8352362705509</v>
      </c>
      <c r="I324" s="440">
        <f t="shared" si="110"/>
        <v>5922.9003448656631</v>
      </c>
      <c r="J324" s="440">
        <f t="shared" si="110"/>
        <v>6218.2292517750284</v>
      </c>
      <c r="K324" s="440">
        <f t="shared" si="110"/>
        <v>6286.7646779201559</v>
      </c>
      <c r="L324" s="440">
        <f t="shared" si="110"/>
        <v>6296.5283998366258</v>
      </c>
      <c r="M324" s="440">
        <f t="shared" si="110"/>
        <v>6326.7259764556293</v>
      </c>
      <c r="N324" s="440">
        <f t="shared" si="110"/>
        <v>6355.1916442784041</v>
      </c>
      <c r="O324" s="440">
        <f t="shared" si="110"/>
        <v>6381.1187786517949</v>
      </c>
      <c r="P324" s="440">
        <f t="shared" si="110"/>
        <v>6410.3034899353806</v>
      </c>
      <c r="Q324" s="440">
        <f t="shared" si="110"/>
        <v>6442.3822193314818</v>
      </c>
      <c r="R324" s="440">
        <f t="shared" si="110"/>
        <v>6475.4231093476556</v>
      </c>
      <c r="S324" s="440">
        <f t="shared" si="110"/>
        <v>6507.2550714227436</v>
      </c>
      <c r="T324" s="440">
        <f t="shared" si="110"/>
        <v>6542.0868769207909</v>
      </c>
      <c r="U324" s="440">
        <f t="shared" si="110"/>
        <v>6580.1029523786901</v>
      </c>
      <c r="V324" s="440">
        <f t="shared" si="110"/>
        <v>6621.4086857658731</v>
      </c>
      <c r="W324" s="440">
        <f t="shared" si="110"/>
        <v>6662.1977330450454</v>
      </c>
      <c r="X324" s="440">
        <f t="shared" si="110"/>
        <v>6701.1841183624183</v>
      </c>
      <c r="Y324" s="440">
        <f t="shared" si="110"/>
        <v>6743.2634162811191</v>
      </c>
      <c r="Z324" s="440">
        <f t="shared" si="110"/>
        <v>6785.5919034428425</v>
      </c>
      <c r="AA324" s="440">
        <f t="shared" si="110"/>
        <v>6834.2047816426593</v>
      </c>
      <c r="AB324" s="440">
        <f t="shared" si="110"/>
        <v>6875.7093170036451</v>
      </c>
      <c r="AC324" s="440">
        <f t="shared" si="110"/>
        <v>6922.2889953847489</v>
      </c>
      <c r="AD324" s="440">
        <f t="shared" si="110"/>
        <v>6973.8090717472342</v>
      </c>
      <c r="AE324" s="440">
        <f t="shared" si="110"/>
        <v>7019.4397964526506</v>
      </c>
      <c r="AF324" s="440">
        <f t="shared" si="110"/>
        <v>7064.230006976265</v>
      </c>
      <c r="AG324" s="440">
        <f t="shared" si="110"/>
        <v>7119.4740646904293</v>
      </c>
      <c r="AH324" s="431"/>
      <c r="AI324" s="431"/>
    </row>
    <row r="325" spans="2:35" x14ac:dyDescent="0.25">
      <c r="B325" s="421" t="s">
        <v>99</v>
      </c>
      <c r="C325" s="439">
        <v>1.0699999999999998</v>
      </c>
      <c r="D325" s="442"/>
      <c r="E325" s="440">
        <f t="shared" si="109"/>
        <v>26180.759999999995</v>
      </c>
      <c r="F325" s="440">
        <f t="shared" si="110"/>
        <v>26865.403653105601</v>
      </c>
      <c r="G325" s="440">
        <f t="shared" si="110"/>
        <v>26232.33409524876</v>
      </c>
      <c r="H325" s="440">
        <f t="shared" si="110"/>
        <v>18997.77790614502</v>
      </c>
      <c r="I325" s="440">
        <f t="shared" si="110"/>
        <v>21900.828727877331</v>
      </c>
      <c r="J325" s="440">
        <f t="shared" si="110"/>
        <v>22992.852471653481</v>
      </c>
      <c r="K325" s="440">
        <f t="shared" si="110"/>
        <v>23246.272678376645</v>
      </c>
      <c r="L325" s="440">
        <f t="shared" si="110"/>
        <v>23282.375531537858</v>
      </c>
      <c r="M325" s="440">
        <f t="shared" si="110"/>
        <v>23394.035683663002</v>
      </c>
      <c r="N325" s="440">
        <f t="shared" si="110"/>
        <v>23499.291838470945</v>
      </c>
      <c r="O325" s="440">
        <f t="shared" si="110"/>
        <v>23595.161378097517</v>
      </c>
      <c r="P325" s="440">
        <f t="shared" si="110"/>
        <v>23703.076305933238</v>
      </c>
      <c r="Q325" s="440">
        <f t="shared" si="110"/>
        <v>23821.692307791345</v>
      </c>
      <c r="R325" s="440">
        <f t="shared" si="110"/>
        <v>23943.866045508898</v>
      </c>
      <c r="S325" s="440">
        <f t="shared" si="110"/>
        <v>24061.569587504691</v>
      </c>
      <c r="T325" s="440">
        <f t="shared" si="110"/>
        <v>24190.36550877268</v>
      </c>
      <c r="U325" s="440">
        <f t="shared" si="110"/>
        <v>24330.93575460355</v>
      </c>
      <c r="V325" s="440">
        <f t="shared" si="110"/>
        <v>24483.670013111921</v>
      </c>
      <c r="W325" s="440">
        <f t="shared" si="110"/>
        <v>24634.493745813899</v>
      </c>
      <c r="X325" s="440">
        <f t="shared" si="110"/>
        <v>24778.651860561684</v>
      </c>
      <c r="Y325" s="440">
        <f t="shared" si="110"/>
        <v>24934.246492084676</v>
      </c>
      <c r="Z325" s="440">
        <f t="shared" si="110"/>
        <v>25090.76253889655</v>
      </c>
      <c r="AA325" s="440">
        <f t="shared" si="110"/>
        <v>25270.516081490976</v>
      </c>
      <c r="AB325" s="440">
        <f t="shared" si="110"/>
        <v>25423.985440663808</v>
      </c>
      <c r="AC325" s="440">
        <f t="shared" si="110"/>
        <v>25596.220916364233</v>
      </c>
      <c r="AD325" s="440">
        <f t="shared" si="110"/>
        <v>25786.724268229686</v>
      </c>
      <c r="AE325" s="440">
        <f t="shared" si="110"/>
        <v>25955.45084276484</v>
      </c>
      <c r="AF325" s="440">
        <f t="shared" si="110"/>
        <v>26121.069487727116</v>
      </c>
      <c r="AG325" s="440">
        <f t="shared" si="110"/>
        <v>26325.342829465793</v>
      </c>
      <c r="AH325" s="431"/>
      <c r="AI325" s="431"/>
    </row>
    <row r="326" spans="2:35" x14ac:dyDescent="0.25">
      <c r="B326" s="421" t="s">
        <v>100</v>
      </c>
      <c r="C326" s="439">
        <v>1.1599999999999999</v>
      </c>
      <c r="D326" s="442"/>
      <c r="E326" s="440">
        <f t="shared" si="109"/>
        <v>13.919999999999998</v>
      </c>
      <c r="F326" s="440">
        <f t="shared" si="110"/>
        <v>14.035530380037109</v>
      </c>
      <c r="G326" s="440">
        <f t="shared" si="110"/>
        <v>15.863922916883819</v>
      </c>
      <c r="H326" s="440">
        <f t="shared" si="110"/>
        <v>27.550708299109839</v>
      </c>
      <c r="I326" s="440">
        <f t="shared" si="110"/>
        <v>35.734022356104987</v>
      </c>
      <c r="J326" s="440">
        <f t="shared" si="110"/>
        <v>37.51579971980005</v>
      </c>
      <c r="K326" s="440">
        <f t="shared" si="110"/>
        <v>37.929287421341087</v>
      </c>
      <c r="L326" s="440">
        <f t="shared" si="110"/>
        <v>37.98819387543066</v>
      </c>
      <c r="M326" s="440">
        <f t="shared" si="110"/>
        <v>38.170381792696404</v>
      </c>
      <c r="N326" s="440">
        <f t="shared" si="110"/>
        <v>38.342120763662251</v>
      </c>
      <c r="O326" s="440">
        <f t="shared" si="110"/>
        <v>38.498544263195157</v>
      </c>
      <c r="P326" s="440">
        <f t="shared" si="110"/>
        <v>38.674621364740197</v>
      </c>
      <c r="Q326" s="440">
        <f t="shared" si="110"/>
        <v>38.868158646587169</v>
      </c>
      <c r="R326" s="440">
        <f t="shared" si="110"/>
        <v>39.067500832637464</v>
      </c>
      <c r="S326" s="440">
        <f t="shared" si="110"/>
        <v>39.259549318716736</v>
      </c>
      <c r="T326" s="440">
        <f t="shared" si="110"/>
        <v>39.469696450003468</v>
      </c>
      <c r="U326" s="440">
        <f t="shared" si="110"/>
        <v>39.699054908057136</v>
      </c>
      <c r="V326" s="440">
        <f t="shared" si="110"/>
        <v>39.948260519218969</v>
      </c>
      <c r="W326" s="440">
        <f t="shared" si="110"/>
        <v>40.194348861499066</v>
      </c>
      <c r="X326" s="440">
        <f t="shared" si="110"/>
        <v>40.429561389719701</v>
      </c>
      <c r="Y326" s="440">
        <f t="shared" si="110"/>
        <v>40.683434067800391</v>
      </c>
      <c r="Z326" s="440">
        <f t="shared" si="110"/>
        <v>40.938810153580441</v>
      </c>
      <c r="AA326" s="440">
        <f t="shared" si="110"/>
        <v>41.232101206146055</v>
      </c>
      <c r="AB326" s="440">
        <f t="shared" si="110"/>
        <v>41.482506228704786</v>
      </c>
      <c r="AC326" s="440">
        <f t="shared" si="110"/>
        <v>41.763530586991244</v>
      </c>
      <c r="AD326" s="440">
        <f t="shared" si="110"/>
        <v>42.074361337692835</v>
      </c>
      <c r="AE326" s="440">
        <f t="shared" si="110"/>
        <v>42.349660471868219</v>
      </c>
      <c r="AF326" s="440">
        <f t="shared" si="110"/>
        <v>42.619888618720793</v>
      </c>
      <c r="AG326" s="440">
        <f t="shared" si="110"/>
        <v>42.953186881135622</v>
      </c>
      <c r="AH326" s="431"/>
      <c r="AI326" s="431"/>
    </row>
    <row r="327" spans="2:35" x14ac:dyDescent="0.25">
      <c r="B327" s="421" t="s">
        <v>101</v>
      </c>
      <c r="C327" s="439">
        <v>1.1599999999999999</v>
      </c>
      <c r="D327" s="442"/>
      <c r="E327" s="440">
        <f t="shared" si="109"/>
        <v>946.56</v>
      </c>
      <c r="F327" s="440">
        <f t="shared" si="110"/>
        <v>991.55725951367663</v>
      </c>
      <c r="G327" s="440">
        <f t="shared" si="110"/>
        <v>1029.205831441991</v>
      </c>
      <c r="H327" s="440">
        <f t="shared" si="110"/>
        <v>654.37636827354504</v>
      </c>
      <c r="I327" s="440">
        <f t="shared" si="110"/>
        <v>798.54511364599807</v>
      </c>
      <c r="J327" s="440">
        <f t="shared" si="110"/>
        <v>838.36233862013137</v>
      </c>
      <c r="K327" s="440">
        <f t="shared" si="110"/>
        <v>847.60251260132634</v>
      </c>
      <c r="L327" s="440">
        <f t="shared" si="110"/>
        <v>848.91889004707446</v>
      </c>
      <c r="M327" s="440">
        <f t="shared" si="110"/>
        <v>852.99022771088619</v>
      </c>
      <c r="N327" s="440">
        <f t="shared" si="110"/>
        <v>856.82806367350724</v>
      </c>
      <c r="O327" s="440">
        <f t="shared" si="110"/>
        <v>860.32364611778439</v>
      </c>
      <c r="P327" s="440">
        <f t="shared" si="110"/>
        <v>864.25842591006619</v>
      </c>
      <c r="Q327" s="440">
        <f t="shared" si="110"/>
        <v>868.58338684469265</v>
      </c>
      <c r="R327" s="440">
        <f t="shared" si="110"/>
        <v>873.03806947257135</v>
      </c>
      <c r="S327" s="440">
        <f t="shared" si="110"/>
        <v>877.32976041666461</v>
      </c>
      <c r="T327" s="440">
        <f t="shared" si="110"/>
        <v>882.02590022324512</v>
      </c>
      <c r="U327" s="440">
        <f t="shared" si="110"/>
        <v>887.15135389109537</v>
      </c>
      <c r="V327" s="440">
        <f t="shared" si="110"/>
        <v>892.72033017658896</v>
      </c>
      <c r="W327" s="440">
        <f t="shared" si="110"/>
        <v>898.2196451234114</v>
      </c>
      <c r="X327" s="440">
        <f t="shared" si="110"/>
        <v>903.47591919206002</v>
      </c>
      <c r="Y327" s="440">
        <f t="shared" si="110"/>
        <v>909.14919001920828</v>
      </c>
      <c r="Z327" s="440">
        <f t="shared" si="110"/>
        <v>914.85605736846605</v>
      </c>
      <c r="AA327" s="440">
        <f t="shared" si="110"/>
        <v>921.4102072083133</v>
      </c>
      <c r="AB327" s="440">
        <f t="shared" si="110"/>
        <v>927.0059866367809</v>
      </c>
      <c r="AC327" s="440">
        <f t="shared" si="110"/>
        <v>933.28601371822162</v>
      </c>
      <c r="AD327" s="440">
        <f t="shared" si="110"/>
        <v>940.23212167858867</v>
      </c>
      <c r="AE327" s="440">
        <f t="shared" si="110"/>
        <v>946.38420767092236</v>
      </c>
      <c r="AF327" s="440">
        <f t="shared" si="110"/>
        <v>952.42297274719328</v>
      </c>
      <c r="AG327" s="440">
        <f t="shared" si="110"/>
        <v>959.87116025280704</v>
      </c>
      <c r="AH327" s="431"/>
      <c r="AI327" s="431"/>
    </row>
    <row r="328" spans="2:35" x14ac:dyDescent="0.25">
      <c r="B328" s="421" t="s">
        <v>102</v>
      </c>
      <c r="C328" s="439">
        <v>1.0499999999999998</v>
      </c>
      <c r="E328" s="440">
        <f t="shared" si="109"/>
        <v>0</v>
      </c>
      <c r="F328" s="440">
        <f t="shared" si="110"/>
        <v>0</v>
      </c>
      <c r="G328" s="440">
        <f t="shared" si="110"/>
        <v>1.0499999999999998</v>
      </c>
      <c r="H328" s="440">
        <f t="shared" si="110"/>
        <v>2.0999999999999996</v>
      </c>
      <c r="I328" s="440">
        <f t="shared" si="110"/>
        <v>3.1499999999999995</v>
      </c>
      <c r="J328" s="440">
        <f t="shared" si="110"/>
        <v>4.1999999999999993</v>
      </c>
      <c r="K328" s="440">
        <f t="shared" si="110"/>
        <v>5.2499999999999991</v>
      </c>
      <c r="L328" s="440">
        <f t="shared" si="110"/>
        <v>6.2999999999999989</v>
      </c>
      <c r="M328" s="440">
        <f t="shared" si="110"/>
        <v>7.3499999999999988</v>
      </c>
      <c r="N328" s="440">
        <f t="shared" si="110"/>
        <v>8.3999999999999986</v>
      </c>
      <c r="O328" s="440">
        <f t="shared" si="110"/>
        <v>9.4499999999999993</v>
      </c>
      <c r="P328" s="440">
        <f t="shared" si="110"/>
        <v>10.499999999999998</v>
      </c>
      <c r="Q328" s="440">
        <f t="shared" si="110"/>
        <v>11.549999999999997</v>
      </c>
      <c r="R328" s="440">
        <f t="shared" si="110"/>
        <v>12.599999999999998</v>
      </c>
      <c r="S328" s="440">
        <f t="shared" si="110"/>
        <v>13.649999999999999</v>
      </c>
      <c r="T328" s="440">
        <f t="shared" si="110"/>
        <v>14.699999999999998</v>
      </c>
      <c r="U328" s="440">
        <f t="shared" si="110"/>
        <v>15.749999999999996</v>
      </c>
      <c r="V328" s="440">
        <f t="shared" si="110"/>
        <v>16.799999999999997</v>
      </c>
      <c r="W328" s="440">
        <f t="shared" si="110"/>
        <v>17.849999999999998</v>
      </c>
      <c r="X328" s="440">
        <f t="shared" si="110"/>
        <v>18.899999999999999</v>
      </c>
      <c r="Y328" s="440">
        <f t="shared" si="110"/>
        <v>19.949999999999996</v>
      </c>
      <c r="Z328" s="440">
        <f t="shared" si="110"/>
        <v>20.999999999999996</v>
      </c>
      <c r="AA328" s="440">
        <f t="shared" si="110"/>
        <v>22.049999999999997</v>
      </c>
      <c r="AB328" s="440">
        <f t="shared" si="110"/>
        <v>23.099999999999994</v>
      </c>
      <c r="AC328" s="440">
        <f t="shared" si="110"/>
        <v>24.149999999999995</v>
      </c>
      <c r="AD328" s="440">
        <f t="shared" si="110"/>
        <v>25.199999999999996</v>
      </c>
      <c r="AE328" s="440">
        <f t="shared" si="110"/>
        <v>26.249999999999996</v>
      </c>
      <c r="AF328" s="440">
        <f t="shared" si="110"/>
        <v>27.299999999999997</v>
      </c>
      <c r="AG328" s="440">
        <f t="shared" si="110"/>
        <v>28.349999999999994</v>
      </c>
    </row>
    <row r="329" spans="2:35" x14ac:dyDescent="0.25">
      <c r="B329" s="421" t="s">
        <v>103</v>
      </c>
      <c r="C329" s="439">
        <v>1.0499999999999998</v>
      </c>
      <c r="E329" s="440">
        <f t="shared" si="109"/>
        <v>277.19999999999993</v>
      </c>
      <c r="F329" s="440">
        <f t="shared" si="110"/>
        <v>-1169.1436509240241</v>
      </c>
      <c r="G329" s="440">
        <f t="shared" si="110"/>
        <v>90.387406570841847</v>
      </c>
      <c r="H329" s="440">
        <f t="shared" si="110"/>
        <v>275.89653388090346</v>
      </c>
      <c r="I329" s="440">
        <f t="shared" si="110"/>
        <v>248.18364887063649</v>
      </c>
      <c r="J329" s="440">
        <f t="shared" si="110"/>
        <v>260.55863434498775</v>
      </c>
      <c r="K329" s="440">
        <f t="shared" si="110"/>
        <v>263.43043213782869</v>
      </c>
      <c r="L329" s="440">
        <f t="shared" si="110"/>
        <v>263.83955536980881</v>
      </c>
      <c r="M329" s="440">
        <f t="shared" si="110"/>
        <v>265.10490584271548</v>
      </c>
      <c r="N329" s="440">
        <f t="shared" si="110"/>
        <v>266.29768520695376</v>
      </c>
      <c r="O329" s="440">
        <f t="shared" si="110"/>
        <v>267.3840939659878</v>
      </c>
      <c r="P329" s="440">
        <f t="shared" si="110"/>
        <v>268.60700296594672</v>
      </c>
      <c r="Q329" s="440">
        <f t="shared" si="110"/>
        <v>269.95117822622439</v>
      </c>
      <c r="R329" s="440">
        <f t="shared" si="110"/>
        <v>271.33567031096044</v>
      </c>
      <c r="S329" s="440">
        <f t="shared" si="110"/>
        <v>272.66950543201824</v>
      </c>
      <c r="T329" s="440">
        <f t="shared" si="110"/>
        <v>274.12904114626537</v>
      </c>
      <c r="U329" s="440">
        <f t="shared" si="110"/>
        <v>275.72200536540197</v>
      </c>
      <c r="V329" s="440">
        <f t="shared" si="110"/>
        <v>277.45281409666734</v>
      </c>
      <c r="W329" s="440">
        <f t="shared" si="110"/>
        <v>279.16197244785889</v>
      </c>
      <c r="X329" s="440">
        <f t="shared" si="110"/>
        <v>280.79559496401851</v>
      </c>
      <c r="Y329" s="440">
        <f t="shared" si="110"/>
        <v>282.55881789388434</v>
      </c>
      <c r="Z329" s="440">
        <f t="shared" si="110"/>
        <v>284.33248244727787</v>
      </c>
      <c r="AA329" s="440">
        <f t="shared" si="110"/>
        <v>286.36947797164009</v>
      </c>
      <c r="AB329" s="440">
        <f t="shared" si="110"/>
        <v>288.10861697969358</v>
      </c>
      <c r="AC329" s="440">
        <f t="shared" si="110"/>
        <v>290.06041658305247</v>
      </c>
      <c r="AD329" s="440">
        <f t="shared" si="110"/>
        <v>292.21923064326529</v>
      </c>
      <c r="AE329" s="440">
        <f t="shared" si="110"/>
        <v>294.13126682463019</v>
      </c>
      <c r="AF329" s="440">
        <f t="shared" si="110"/>
        <v>296.00808345739205</v>
      </c>
      <c r="AG329" s="440">
        <f t="shared" si="110"/>
        <v>298.32294121686908</v>
      </c>
      <c r="AH329" s="431"/>
      <c r="AI329" s="431"/>
    </row>
    <row r="330" spans="2:35" x14ac:dyDescent="0.25">
      <c r="B330" s="421" t="s">
        <v>104</v>
      </c>
      <c r="C330" s="439">
        <v>1.0499999999999998</v>
      </c>
      <c r="D330" s="442"/>
      <c r="E330" s="440">
        <f t="shared" si="109"/>
        <v>226.79999999999995</v>
      </c>
      <c r="F330" s="440">
        <f t="shared" si="110"/>
        <v>248.8957096990865</v>
      </c>
      <c r="G330" s="440">
        <f t="shared" si="110"/>
        <v>213.58914373992476</v>
      </c>
      <c r="H330" s="440">
        <f t="shared" si="110"/>
        <v>467.27221023643199</v>
      </c>
      <c r="I330" s="440">
        <f t="shared" si="110"/>
        <v>388.31448965609883</v>
      </c>
      <c r="J330" s="440">
        <f t="shared" si="110"/>
        <v>407.67670868560117</v>
      </c>
      <c r="K330" s="440">
        <f t="shared" si="110"/>
        <v>412.16999702025606</v>
      </c>
      <c r="L330" s="440">
        <f t="shared" si="110"/>
        <v>412.81012170113559</v>
      </c>
      <c r="M330" s="440">
        <f t="shared" si="110"/>
        <v>414.78992143959039</v>
      </c>
      <c r="N330" s="440">
        <f t="shared" si="110"/>
        <v>416.65617456385615</v>
      </c>
      <c r="O330" s="440">
        <f t="shared" si="110"/>
        <v>418.35599751650409</v>
      </c>
      <c r="P330" s="440">
        <f t="shared" si="110"/>
        <v>420.26939224003172</v>
      </c>
      <c r="Q330" s="440">
        <f t="shared" si="110"/>
        <v>422.37252325844599</v>
      </c>
      <c r="R330" s="440">
        <f t="shared" si="110"/>
        <v>424.53873501237757</v>
      </c>
      <c r="S330" s="440">
        <f t="shared" si="110"/>
        <v>426.62568758429705</v>
      </c>
      <c r="T330" s="440">
        <f t="shared" si="110"/>
        <v>428.90931452181587</v>
      </c>
      <c r="U330" s="440">
        <f t="shared" si="110"/>
        <v>431.40170711338783</v>
      </c>
      <c r="V330" s="440">
        <f t="shared" si="110"/>
        <v>434.10977475697365</v>
      </c>
      <c r="W330" s="440">
        <f t="shared" si="110"/>
        <v>436.78396766172193</v>
      </c>
      <c r="X330" s="440">
        <f t="shared" si="110"/>
        <v>439.33997526552622</v>
      </c>
      <c r="Y330" s="440">
        <f t="shared" si="110"/>
        <v>442.09875899393251</v>
      </c>
      <c r="Z330" s="440">
        <f t="shared" si="110"/>
        <v>444.87387995377907</v>
      </c>
      <c r="AA330" s="440">
        <f t="shared" si="110"/>
        <v>448.06101529115483</v>
      </c>
      <c r="AB330" s="440">
        <f t="shared" si="110"/>
        <v>450.78211669902936</v>
      </c>
      <c r="AC330" s="440">
        <f t="shared" si="110"/>
        <v>453.83595231768572</v>
      </c>
      <c r="AD330" s="440">
        <f t="shared" si="110"/>
        <v>457.21368805438175</v>
      </c>
      <c r="AE330" s="440">
        <f t="shared" si="110"/>
        <v>460.20530880518203</v>
      </c>
      <c r="AF330" s="440">
        <f t="shared" si="110"/>
        <v>463.14182414874062</v>
      </c>
      <c r="AG330" s="440">
        <f t="shared" si="110"/>
        <v>466.7637098514781</v>
      </c>
      <c r="AH330" s="431"/>
      <c r="AI330" s="431"/>
    </row>
    <row r="331" spans="2:35" x14ac:dyDescent="0.25">
      <c r="B331" s="421" t="s">
        <v>105</v>
      </c>
      <c r="C331" s="439">
        <v>1.1599999999999999</v>
      </c>
      <c r="D331" s="442"/>
      <c r="E331" s="440">
        <f t="shared" si="109"/>
        <v>292.32</v>
      </c>
      <c r="F331" s="440">
        <f t="shared" si="110"/>
        <v>300.99489605240063</v>
      </c>
      <c r="G331" s="440">
        <f t="shared" si="110"/>
        <v>292.36224266399984</v>
      </c>
      <c r="H331" s="440">
        <f t="shared" si="110"/>
        <v>144.11048878777933</v>
      </c>
      <c r="I331" s="440">
        <f t="shared" si="110"/>
        <v>183.96956784511912</v>
      </c>
      <c r="J331" s="440">
        <f t="shared" si="110"/>
        <v>193.14269726023502</v>
      </c>
      <c r="K331" s="440">
        <f t="shared" si="110"/>
        <v>195.27145715755967</v>
      </c>
      <c r="L331" s="440">
        <f t="shared" si="110"/>
        <v>195.5747254209013</v>
      </c>
      <c r="M331" s="440">
        <f t="shared" si="110"/>
        <v>196.51268398800491</v>
      </c>
      <c r="N331" s="440">
        <f t="shared" si="110"/>
        <v>197.39684821547127</v>
      </c>
      <c r="O331" s="440">
        <f t="shared" si="110"/>
        <v>198.20216375826445</v>
      </c>
      <c r="P331" s="440">
        <f t="shared" si="110"/>
        <v>199.10866199559848</v>
      </c>
      <c r="Q331" s="440">
        <f t="shared" si="110"/>
        <v>200.1050505283107</v>
      </c>
      <c r="R331" s="440">
        <f t="shared" si="110"/>
        <v>201.13132446566686</v>
      </c>
      <c r="S331" s="440">
        <f t="shared" si="110"/>
        <v>202.12004822693908</v>
      </c>
      <c r="T331" s="440">
        <f t="shared" si="110"/>
        <v>203.20194929425921</v>
      </c>
      <c r="U331" s="440">
        <f t="shared" si="110"/>
        <v>204.38275608923087</v>
      </c>
      <c r="V331" s="440">
        <f t="shared" si="110"/>
        <v>205.66574203839556</v>
      </c>
      <c r="W331" s="440">
        <f t="shared" si="110"/>
        <v>206.93267934340506</v>
      </c>
      <c r="X331" s="440">
        <f t="shared" ref="F331:AG332" si="112">$C331*X345</f>
        <v>208.14362466428952</v>
      </c>
      <c r="Y331" s="440">
        <f t="shared" si="112"/>
        <v>209.45063808720491</v>
      </c>
      <c r="Z331" s="440">
        <f t="shared" si="112"/>
        <v>210.76539150820923</v>
      </c>
      <c r="AA331" s="440">
        <f t="shared" si="112"/>
        <v>212.27534265940167</v>
      </c>
      <c r="AB331" s="440">
        <f t="shared" si="112"/>
        <v>213.56450354163599</v>
      </c>
      <c r="AC331" s="440">
        <f t="shared" si="112"/>
        <v>215.01130203615472</v>
      </c>
      <c r="AD331" s="440">
        <f t="shared" si="112"/>
        <v>216.61155286461414</v>
      </c>
      <c r="AE331" s="440">
        <f t="shared" si="112"/>
        <v>218.02887617173212</v>
      </c>
      <c r="AF331" s="440">
        <f t="shared" si="112"/>
        <v>219.42009250054716</v>
      </c>
      <c r="AG331" s="440">
        <f t="shared" si="112"/>
        <v>221.13601288277943</v>
      </c>
      <c r="AH331" s="431"/>
      <c r="AI331" s="431"/>
    </row>
    <row r="332" spans="2:35" x14ac:dyDescent="0.25">
      <c r="B332" s="421" t="s">
        <v>106</v>
      </c>
      <c r="C332" s="439">
        <v>1.1599999999999999</v>
      </c>
      <c r="D332" s="442"/>
      <c r="E332" s="440">
        <f t="shared" si="109"/>
        <v>27.839999999999996</v>
      </c>
      <c r="F332" s="440">
        <f t="shared" si="112"/>
        <v>36.484965026763639</v>
      </c>
      <c r="G332" s="440">
        <f t="shared" si="112"/>
        <v>40.016098031072943</v>
      </c>
      <c r="H332" s="440">
        <f t="shared" si="112"/>
        <v>48.23334684209977</v>
      </c>
      <c r="I332" s="440">
        <f t="shared" si="112"/>
        <v>56.167855774788968</v>
      </c>
      <c r="J332" s="440">
        <f t="shared" si="112"/>
        <v>58.968509252572169</v>
      </c>
      <c r="K332" s="440">
        <f t="shared" si="112"/>
        <v>59.618442175134369</v>
      </c>
      <c r="L332" s="440">
        <f t="shared" si="112"/>
        <v>59.711033185027823</v>
      </c>
      <c r="M332" s="440">
        <f t="shared" si="112"/>
        <v>59.997401860765322</v>
      </c>
      <c r="N332" s="440">
        <f t="shared" si="112"/>
        <v>60.267346555375724</v>
      </c>
      <c r="O332" s="440">
        <f t="shared" si="112"/>
        <v>60.513217912201874</v>
      </c>
      <c r="P332" s="440">
        <f t="shared" si="112"/>
        <v>60.789981416356781</v>
      </c>
      <c r="Q332" s="440">
        <f t="shared" si="112"/>
        <v>61.094189378883222</v>
      </c>
      <c r="R332" s="440">
        <f t="shared" si="112"/>
        <v>61.407521671685998</v>
      </c>
      <c r="S332" s="440">
        <f t="shared" si="112"/>
        <v>61.709389498385455</v>
      </c>
      <c r="T332" s="440">
        <f t="shared" si="112"/>
        <v>62.039705342596108</v>
      </c>
      <c r="U332" s="440">
        <f t="shared" si="112"/>
        <v>62.400218152049966</v>
      </c>
      <c r="V332" s="440">
        <f t="shared" si="112"/>
        <v>62.791927338508643</v>
      </c>
      <c r="W332" s="440">
        <f t="shared" si="112"/>
        <v>63.178736704084692</v>
      </c>
      <c r="X332" s="440">
        <f t="shared" si="112"/>
        <v>63.548451124416736</v>
      </c>
      <c r="Y332" s="440">
        <f t="shared" si="112"/>
        <v>63.947496152863124</v>
      </c>
      <c r="Z332" s="440">
        <f t="shared" si="112"/>
        <v>64.348904284628432</v>
      </c>
      <c r="AA332" s="440">
        <f t="shared" si="112"/>
        <v>64.809908348944944</v>
      </c>
      <c r="AB332" s="440">
        <f t="shared" si="112"/>
        <v>65.203502807811091</v>
      </c>
      <c r="AC332" s="440">
        <f t="shared" si="112"/>
        <v>65.645225697782337</v>
      </c>
      <c r="AD332" s="440">
        <f t="shared" si="112"/>
        <v>66.133799209093013</v>
      </c>
      <c r="AE332" s="440">
        <f t="shared" si="112"/>
        <v>66.566523012453089</v>
      </c>
      <c r="AF332" s="440">
        <f t="shared" si="112"/>
        <v>66.991276079080933</v>
      </c>
      <c r="AG332" s="440">
        <f t="shared" si="112"/>
        <v>67.515164729139542</v>
      </c>
      <c r="AH332" s="431"/>
      <c r="AI332" s="431"/>
    </row>
    <row r="333" spans="2:35" x14ac:dyDescent="0.25">
      <c r="D333" s="442"/>
      <c r="E333" s="431"/>
      <c r="F333" s="431"/>
      <c r="G333" s="431"/>
      <c r="H333" s="431"/>
      <c r="I333" s="431"/>
      <c r="J333" s="431"/>
      <c r="K333" s="431"/>
      <c r="L333" s="431"/>
      <c r="M333" s="431"/>
      <c r="N333" s="431"/>
      <c r="O333" s="431"/>
      <c r="P333" s="431"/>
      <c r="Q333" s="431"/>
      <c r="R333" s="431"/>
      <c r="S333" s="431"/>
      <c r="T333" s="431"/>
      <c r="U333" s="431"/>
      <c r="V333" s="431"/>
      <c r="W333" s="431"/>
      <c r="X333" s="431"/>
      <c r="Y333" s="431"/>
      <c r="Z333" s="431"/>
      <c r="AA333" s="431"/>
      <c r="AB333" s="431"/>
      <c r="AC333" s="431"/>
      <c r="AD333" s="431"/>
      <c r="AE333" s="431"/>
      <c r="AF333" s="431"/>
      <c r="AG333" s="431"/>
      <c r="AH333" s="431"/>
      <c r="AI333" s="431"/>
    </row>
    <row r="334" spans="2:35" x14ac:dyDescent="0.25">
      <c r="D334" s="442"/>
      <c r="E334" s="431"/>
      <c r="F334" s="431"/>
      <c r="G334" s="431"/>
      <c r="H334" s="431"/>
      <c r="I334" s="431"/>
      <c r="J334" s="431"/>
      <c r="K334" s="431"/>
      <c r="L334" s="431"/>
      <c r="M334" s="431"/>
      <c r="N334" s="431"/>
      <c r="O334" s="431"/>
      <c r="P334" s="431"/>
      <c r="Q334" s="431"/>
      <c r="R334" s="431"/>
      <c r="S334" s="431"/>
      <c r="T334" s="431"/>
      <c r="U334" s="431"/>
      <c r="V334" s="431"/>
      <c r="W334" s="431"/>
      <c r="X334" s="431"/>
      <c r="Y334" s="431"/>
      <c r="Z334" s="431"/>
      <c r="AA334" s="431"/>
      <c r="AB334" s="431"/>
      <c r="AC334" s="431"/>
      <c r="AD334" s="431"/>
      <c r="AE334" s="431"/>
      <c r="AF334" s="431"/>
      <c r="AG334" s="431"/>
      <c r="AH334" s="431"/>
      <c r="AI334" s="431"/>
    </row>
    <row r="335" spans="2:35" x14ac:dyDescent="0.25">
      <c r="B335" s="422" t="s">
        <v>111</v>
      </c>
      <c r="C335" s="425"/>
      <c r="D335" s="442"/>
      <c r="E335" s="423">
        <v>2017</v>
      </c>
      <c r="F335" s="423">
        <v>2018</v>
      </c>
      <c r="G335" s="423">
        <v>2019</v>
      </c>
      <c r="H335" s="423">
        <v>2020</v>
      </c>
      <c r="I335" s="423">
        <v>2021</v>
      </c>
      <c r="J335" s="423">
        <v>2022</v>
      </c>
      <c r="K335" s="423">
        <v>2023</v>
      </c>
      <c r="L335" s="423">
        <v>2024</v>
      </c>
      <c r="M335" s="423">
        <v>2025</v>
      </c>
      <c r="N335" s="423">
        <v>2026</v>
      </c>
      <c r="O335" s="423">
        <v>2027</v>
      </c>
      <c r="P335" s="423">
        <v>2028</v>
      </c>
      <c r="Q335" s="423">
        <v>2029</v>
      </c>
      <c r="R335" s="423">
        <v>2030</v>
      </c>
      <c r="S335" s="423">
        <v>2031</v>
      </c>
      <c r="T335" s="423">
        <v>2032</v>
      </c>
      <c r="U335" s="423">
        <v>2033</v>
      </c>
      <c r="V335" s="423">
        <v>2034</v>
      </c>
      <c r="W335" s="423">
        <v>2035</v>
      </c>
      <c r="X335" s="423">
        <v>2036</v>
      </c>
      <c r="Y335" s="423">
        <v>2037</v>
      </c>
      <c r="Z335" s="423">
        <v>2038</v>
      </c>
      <c r="AA335" s="423">
        <v>2039</v>
      </c>
      <c r="AB335" s="423">
        <v>2040</v>
      </c>
      <c r="AC335" s="423">
        <v>2041</v>
      </c>
      <c r="AD335" s="423">
        <v>2042</v>
      </c>
      <c r="AE335" s="423">
        <v>2043</v>
      </c>
      <c r="AF335" s="423">
        <v>2044</v>
      </c>
      <c r="AG335" s="423">
        <v>2045</v>
      </c>
      <c r="AH335" s="431"/>
      <c r="AI335" s="431"/>
    </row>
    <row r="336" spans="2:35" x14ac:dyDescent="0.25">
      <c r="B336" s="421" t="s">
        <v>98</v>
      </c>
      <c r="C336" s="439"/>
      <c r="D336" s="442" t="s">
        <v>0</v>
      </c>
      <c r="E336" s="440">
        <v>8388</v>
      </c>
      <c r="F336" s="440">
        <f t="shared" ref="F336:F341" si="113">F280/($E280/$E336)</f>
        <v>7087.7500130346461</v>
      </c>
      <c r="G336" s="440">
        <f t="shared" ref="G336:AG346" si="114">G280/($E280/$E336)</f>
        <v>7118.7172802075593</v>
      </c>
      <c r="H336" s="440">
        <f t="shared" si="114"/>
        <v>6386.7484155283382</v>
      </c>
      <c r="I336" s="440">
        <f t="shared" si="114"/>
        <v>6902.8967600038577</v>
      </c>
      <c r="J336" s="440">
        <f t="shared" si="114"/>
        <v>7247.0904549741508</v>
      </c>
      <c r="K336" s="440">
        <f t="shared" si="114"/>
        <v>7326.9656754804009</v>
      </c>
      <c r="L336" s="440">
        <f t="shared" si="114"/>
        <v>7338.344891820112</v>
      </c>
      <c r="M336" s="440">
        <f t="shared" si="114"/>
        <v>7373.5389254296742</v>
      </c>
      <c r="N336" s="440">
        <f t="shared" si="114"/>
        <v>7406.7144905656814</v>
      </c>
      <c r="O336" s="440">
        <f t="shared" si="114"/>
        <v>7436.9314993690487</v>
      </c>
      <c r="P336" s="440">
        <f t="shared" si="114"/>
        <v>7470.9450800864315</v>
      </c>
      <c r="Q336" s="440">
        <f t="shared" si="114"/>
        <v>7508.3315198912733</v>
      </c>
      <c r="R336" s="440">
        <f t="shared" si="114"/>
        <v>7546.8393183278949</v>
      </c>
      <c r="S336" s="440">
        <f t="shared" si="114"/>
        <v>7583.938160968929</v>
      </c>
      <c r="T336" s="440">
        <f t="shared" si="114"/>
        <v>7624.5331977444475</v>
      </c>
      <c r="U336" s="440">
        <f t="shared" si="114"/>
        <v>7668.8393701982659</v>
      </c>
      <c r="V336" s="440">
        <f t="shared" si="114"/>
        <v>7716.9795036744472</v>
      </c>
      <c r="W336" s="440">
        <f t="shared" si="114"/>
        <v>7764.5174607415674</v>
      </c>
      <c r="X336" s="440">
        <f t="shared" si="114"/>
        <v>7809.9544894305336</v>
      </c>
      <c r="Y336" s="440">
        <f t="shared" si="114"/>
        <v>7858.9961805537068</v>
      </c>
      <c r="Z336" s="440">
        <f t="shared" si="114"/>
        <v>7908.3282914911833</v>
      </c>
      <c r="AA336" s="440">
        <f t="shared" si="114"/>
        <v>7964.9846017245418</v>
      </c>
      <c r="AB336" s="440">
        <f t="shared" si="114"/>
        <v>8013.3564307250363</v>
      </c>
      <c r="AC336" s="440">
        <f t="shared" si="114"/>
        <v>8067.6431301893726</v>
      </c>
      <c r="AD336" s="440">
        <f t="shared" si="114"/>
        <v>8127.6876603165838</v>
      </c>
      <c r="AE336" s="440">
        <f t="shared" si="114"/>
        <v>8180.8683932996564</v>
      </c>
      <c r="AF336" s="440">
        <f t="shared" si="114"/>
        <v>8233.0695415717819</v>
      </c>
      <c r="AG336" s="440">
        <f t="shared" si="114"/>
        <v>8297.4542188076794</v>
      </c>
      <c r="AH336" s="431"/>
      <c r="AI336" s="431"/>
    </row>
    <row r="337" spans="2:35" x14ac:dyDescent="0.25">
      <c r="B337" s="421" t="s">
        <v>38</v>
      </c>
      <c r="C337" s="439"/>
      <c r="D337" s="442"/>
      <c r="E337" s="440">
        <v>339264</v>
      </c>
      <c r="F337" s="440">
        <f t="shared" si="113"/>
        <v>356489.25865766336</v>
      </c>
      <c r="G337" s="440">
        <f t="shared" ref="G337:U337" si="115">G281/($E281/$E337)</f>
        <v>340745.33634839125</v>
      </c>
      <c r="H337" s="440">
        <f t="shared" si="115"/>
        <v>359175.657424326</v>
      </c>
      <c r="I337" s="440">
        <f>I281/($E281/$E337)</f>
        <v>356272.64566492639</v>
      </c>
      <c r="J337" s="440">
        <f t="shared" si="115"/>
        <v>374037.18750752881</v>
      </c>
      <c r="K337" s="440">
        <f t="shared" si="115"/>
        <v>378159.71130039729</v>
      </c>
      <c r="L337" s="440">
        <f t="shared" si="115"/>
        <v>378747.01597144973</v>
      </c>
      <c r="M337" s="440">
        <f t="shared" si="115"/>
        <v>380563.45215782715</v>
      </c>
      <c r="N337" s="440">
        <f t="shared" si="115"/>
        <v>382275.71105048776</v>
      </c>
      <c r="O337" s="440">
        <f t="shared" si="115"/>
        <v>383835.27278880496</v>
      </c>
      <c r="P337" s="440">
        <f t="shared" si="115"/>
        <v>385590.78338269558</v>
      </c>
      <c r="Q337" s="440">
        <f t="shared" si="115"/>
        <v>387520.37414500269</v>
      </c>
      <c r="R337" s="440">
        <f t="shared" si="115"/>
        <v>389507.84052393481</v>
      </c>
      <c r="S337" s="440">
        <f t="shared" si="115"/>
        <v>391422.5878073377</v>
      </c>
      <c r="T337" s="440">
        <f t="shared" si="115"/>
        <v>393517.78083364491</v>
      </c>
      <c r="U337" s="440">
        <f t="shared" si="115"/>
        <v>395804.51317634317</v>
      </c>
      <c r="V337" s="440">
        <f t="shared" si="114"/>
        <v>398289.12410310615</v>
      </c>
      <c r="W337" s="440">
        <f t="shared" si="114"/>
        <v>400742.65547155141</v>
      </c>
      <c r="X337" s="440">
        <f t="shared" si="114"/>
        <v>403087.75362164486</v>
      </c>
      <c r="Y337" s="440">
        <f t="shared" si="114"/>
        <v>405618.89578584052</v>
      </c>
      <c r="Z337" s="440">
        <f t="shared" si="114"/>
        <v>408165.02711171599</v>
      </c>
      <c r="AA337" s="440">
        <f t="shared" si="114"/>
        <v>411089.1753703726</v>
      </c>
      <c r="AB337" s="440">
        <f t="shared" si="114"/>
        <v>413585.74457788427</v>
      </c>
      <c r="AC337" s="440">
        <f t="shared" si="114"/>
        <v>416387.59236947214</v>
      </c>
      <c r="AD337" s="440">
        <f t="shared" si="114"/>
        <v>419486.61359923729</v>
      </c>
      <c r="AE337" s="440">
        <f t="shared" si="114"/>
        <v>422231.38019462652</v>
      </c>
      <c r="AF337" s="440">
        <f t="shared" si="114"/>
        <v>424925.58841593663</v>
      </c>
      <c r="AG337" s="440">
        <f t="shared" si="114"/>
        <v>428248.61353084544</v>
      </c>
      <c r="AH337" s="431"/>
      <c r="AI337" s="431"/>
    </row>
    <row r="338" spans="2:35" x14ac:dyDescent="0.25">
      <c r="B338" s="421" t="s">
        <v>39</v>
      </c>
      <c r="C338" s="439"/>
      <c r="D338" s="442"/>
      <c r="E338" s="440">
        <v>5304</v>
      </c>
      <c r="F338" s="440">
        <f t="shared" si="113"/>
        <v>5562.6979623269262</v>
      </c>
      <c r="G338" s="440">
        <f t="shared" si="114"/>
        <v>5490.1331690842735</v>
      </c>
      <c r="H338" s="440">
        <f t="shared" si="114"/>
        <v>5430.3192726386205</v>
      </c>
      <c r="I338" s="440">
        <f t="shared" si="114"/>
        <v>5640.8574713006328</v>
      </c>
      <c r="J338" s="440">
        <f t="shared" si="114"/>
        <v>5922.1230969285998</v>
      </c>
      <c r="K338" s="440">
        <f t="shared" si="114"/>
        <v>5987.3949313525309</v>
      </c>
      <c r="L338" s="440">
        <f t="shared" si="114"/>
        <v>5996.6937141301205</v>
      </c>
      <c r="M338" s="440">
        <f t="shared" si="114"/>
        <v>6025.4533109101239</v>
      </c>
      <c r="N338" s="440">
        <f t="shared" si="114"/>
        <v>6052.5634707413383</v>
      </c>
      <c r="O338" s="440">
        <f t="shared" si="114"/>
        <v>6077.2559796683772</v>
      </c>
      <c r="P338" s="440">
        <f t="shared" si="114"/>
        <v>6105.0509427956013</v>
      </c>
      <c r="Q338" s="440">
        <f t="shared" si="114"/>
        <v>6135.6021136490317</v>
      </c>
      <c r="R338" s="440">
        <f t="shared" si="114"/>
        <v>6167.069627950149</v>
      </c>
      <c r="S338" s="440">
        <f t="shared" si="114"/>
        <v>6197.3857823073758</v>
      </c>
      <c r="T338" s="440">
        <f t="shared" si="114"/>
        <v>6230.5589304007544</v>
      </c>
      <c r="U338" s="440">
        <f t="shared" si="114"/>
        <v>6266.7647165511344</v>
      </c>
      <c r="V338" s="440">
        <f t="shared" si="114"/>
        <v>6306.1035102532132</v>
      </c>
      <c r="W338" s="440">
        <f t="shared" si="114"/>
        <v>6344.9502219476635</v>
      </c>
      <c r="X338" s="440">
        <f t="shared" si="114"/>
        <v>6382.0801127261138</v>
      </c>
      <c r="Y338" s="440">
        <f t="shared" si="114"/>
        <v>6422.1556345534482</v>
      </c>
      <c r="Z338" s="440">
        <f t="shared" si="114"/>
        <v>6462.4684794693749</v>
      </c>
      <c r="AA338" s="440">
        <f t="shared" si="114"/>
        <v>6508.7664587072959</v>
      </c>
      <c r="AB338" s="440">
        <f t="shared" si="114"/>
        <v>6548.2945876225203</v>
      </c>
      <c r="AC338" s="440">
        <f t="shared" si="114"/>
        <v>6592.6561860807142</v>
      </c>
      <c r="AD338" s="440">
        <f t="shared" si="114"/>
        <v>6641.7229254735576</v>
      </c>
      <c r="AE338" s="440">
        <f t="shared" si="114"/>
        <v>6685.180758526335</v>
      </c>
      <c r="AF338" s="440">
        <f t="shared" si="114"/>
        <v>6727.8381018821583</v>
      </c>
      <c r="AG338" s="440">
        <f t="shared" si="114"/>
        <v>6780.4514901813627</v>
      </c>
      <c r="AH338" s="431"/>
      <c r="AI338" s="431"/>
    </row>
    <row r="339" spans="2:35" x14ac:dyDescent="0.25">
      <c r="B339" s="421" t="s">
        <v>99</v>
      </c>
      <c r="C339" s="439"/>
      <c r="D339" s="442"/>
      <c r="E339" s="440">
        <v>24468</v>
      </c>
      <c r="F339" s="440">
        <f t="shared" si="113"/>
        <v>25107.853881407107</v>
      </c>
      <c r="G339" s="440">
        <f t="shared" si="114"/>
        <v>24516.200089017537</v>
      </c>
      <c r="H339" s="440">
        <f t="shared" si="114"/>
        <v>17754.93262256544</v>
      </c>
      <c r="I339" s="440">
        <f t="shared" si="114"/>
        <v>20468.064231661061</v>
      </c>
      <c r="J339" s="440">
        <f t="shared" si="114"/>
        <v>21488.647169769611</v>
      </c>
      <c r="K339" s="440">
        <f t="shared" si="114"/>
        <v>21725.488484464156</v>
      </c>
      <c r="L339" s="440">
        <f t="shared" si="114"/>
        <v>21759.229468726975</v>
      </c>
      <c r="M339" s="440">
        <f t="shared" si="114"/>
        <v>21863.584751086921</v>
      </c>
      <c r="N339" s="440">
        <f t="shared" si="114"/>
        <v>21961.954989225185</v>
      </c>
      <c r="O339" s="440">
        <f t="shared" si="114"/>
        <v>22051.552689810767</v>
      </c>
      <c r="P339" s="440">
        <f t="shared" si="114"/>
        <v>22152.407762554431</v>
      </c>
      <c r="Q339" s="440">
        <f t="shared" si="114"/>
        <v>22263.263839057334</v>
      </c>
      <c r="R339" s="440">
        <f t="shared" si="114"/>
        <v>22377.444902344767</v>
      </c>
      <c r="S339" s="440">
        <f t="shared" si="114"/>
        <v>22487.44821262121</v>
      </c>
      <c r="T339" s="440">
        <f t="shared" si="114"/>
        <v>22607.818232497837</v>
      </c>
      <c r="U339" s="440">
        <f t="shared" si="114"/>
        <v>22739.192294022014</v>
      </c>
      <c r="V339" s="440">
        <f t="shared" si="114"/>
        <v>22881.934591693389</v>
      </c>
      <c r="W339" s="440">
        <f t="shared" si="114"/>
        <v>23022.891351227947</v>
      </c>
      <c r="X339" s="440">
        <f t="shared" si="114"/>
        <v>23157.618561272604</v>
      </c>
      <c r="Y339" s="440">
        <f t="shared" si="114"/>
        <v>23303.034104752038</v>
      </c>
      <c r="Z339" s="440">
        <f t="shared" si="114"/>
        <v>23449.31078401547</v>
      </c>
      <c r="AA339" s="440">
        <f t="shared" si="114"/>
        <v>23617.304749056992</v>
      </c>
      <c r="AB339" s="440">
        <f t="shared" si="114"/>
        <v>23760.73405669515</v>
      </c>
      <c r="AC339" s="440">
        <f t="shared" si="114"/>
        <v>23921.701790994615</v>
      </c>
      <c r="AD339" s="440">
        <f t="shared" si="114"/>
        <v>24099.742306756718</v>
      </c>
      <c r="AE339" s="440">
        <f t="shared" si="114"/>
        <v>24257.430694172752</v>
      </c>
      <c r="AF339" s="440">
        <f t="shared" si="114"/>
        <v>24412.214474511326</v>
      </c>
      <c r="AG339" s="440">
        <f t="shared" si="114"/>
        <v>24603.124139687661</v>
      </c>
      <c r="AH339" s="431"/>
      <c r="AI339" s="431"/>
    </row>
    <row r="340" spans="2:35" x14ac:dyDescent="0.25">
      <c r="B340" s="421" t="s">
        <v>100</v>
      </c>
      <c r="C340" s="439"/>
      <c r="D340" s="442"/>
      <c r="E340" s="440">
        <v>12</v>
      </c>
      <c r="F340" s="440">
        <f t="shared" si="113"/>
        <v>12.099595155204405</v>
      </c>
      <c r="G340" s="440">
        <f t="shared" si="114"/>
        <v>13.675795618003294</v>
      </c>
      <c r="H340" s="440">
        <f t="shared" si="114"/>
        <v>23.750610602680897</v>
      </c>
      <c r="I340" s="440">
        <f t="shared" si="114"/>
        <v>30.805191686297402</v>
      </c>
      <c r="J340" s="440">
        <f t="shared" si="114"/>
        <v>32.341206655000043</v>
      </c>
      <c r="K340" s="440">
        <f t="shared" si="114"/>
        <v>32.697661570121632</v>
      </c>
      <c r="L340" s="440">
        <f t="shared" si="114"/>
        <v>32.748442996060916</v>
      </c>
      <c r="M340" s="440">
        <f t="shared" si="114"/>
        <v>32.905501545427938</v>
      </c>
      <c r="N340" s="440">
        <f t="shared" si="114"/>
        <v>33.053552382467458</v>
      </c>
      <c r="O340" s="440">
        <f t="shared" si="114"/>
        <v>33.188400226892377</v>
      </c>
      <c r="P340" s="440">
        <f t="shared" si="114"/>
        <v>33.340190831672587</v>
      </c>
      <c r="Q340" s="440">
        <f t="shared" si="114"/>
        <v>33.507033316023424</v>
      </c>
      <c r="R340" s="440">
        <f t="shared" si="114"/>
        <v>33.678880028135744</v>
      </c>
      <c r="S340" s="440">
        <f t="shared" si="114"/>
        <v>33.844439067859255</v>
      </c>
      <c r="T340" s="440">
        <f t="shared" si="114"/>
        <v>34.025600387934027</v>
      </c>
      <c r="U340" s="440">
        <f t="shared" si="114"/>
        <v>34.22332319660098</v>
      </c>
      <c r="V340" s="440">
        <f t="shared" si="114"/>
        <v>34.438155620016353</v>
      </c>
      <c r="W340" s="440">
        <f t="shared" si="114"/>
        <v>34.650300742671611</v>
      </c>
      <c r="X340" s="440">
        <f t="shared" si="114"/>
        <v>34.853070163551472</v>
      </c>
      <c r="Y340" s="440">
        <f t="shared" si="114"/>
        <v>35.071925920517579</v>
      </c>
      <c r="Z340" s="440">
        <f t="shared" si="114"/>
        <v>35.292077718603828</v>
      </c>
      <c r="AA340" s="440">
        <f t="shared" si="114"/>
        <v>35.54491483288453</v>
      </c>
      <c r="AB340" s="440">
        <f t="shared" si="114"/>
        <v>35.760781231642056</v>
      </c>
      <c r="AC340" s="440">
        <f t="shared" si="114"/>
        <v>36.003043609475213</v>
      </c>
      <c r="AD340" s="440">
        <f t="shared" si="114"/>
        <v>36.271001153183484</v>
      </c>
      <c r="AE340" s="440">
        <f t="shared" si="114"/>
        <v>36.508327992989848</v>
      </c>
      <c r="AF340" s="440">
        <f t="shared" si="114"/>
        <v>36.741283292000688</v>
      </c>
      <c r="AG340" s="440">
        <f t="shared" si="114"/>
        <v>37.028609380289332</v>
      </c>
      <c r="AH340" s="431"/>
      <c r="AI340" s="431"/>
    </row>
    <row r="341" spans="2:35" x14ac:dyDescent="0.25">
      <c r="B341" s="421" t="s">
        <v>101</v>
      </c>
      <c r="C341" s="439"/>
      <c r="D341" s="442" t="s">
        <v>0</v>
      </c>
      <c r="E341" s="440">
        <v>816</v>
      </c>
      <c r="F341" s="440">
        <f t="shared" si="113"/>
        <v>854.79074096006616</v>
      </c>
      <c r="G341" s="440">
        <f t="shared" si="114"/>
        <v>887.24640641550945</v>
      </c>
      <c r="H341" s="440">
        <f t="shared" si="114"/>
        <v>564.11755885650439</v>
      </c>
      <c r="I341" s="440">
        <f t="shared" si="114"/>
        <v>688.40096003965357</v>
      </c>
      <c r="J341" s="440">
        <f t="shared" si="114"/>
        <v>722.72615398287189</v>
      </c>
      <c r="K341" s="440">
        <f t="shared" si="114"/>
        <v>730.69182120803998</v>
      </c>
      <c r="L341" s="440">
        <f t="shared" si="114"/>
        <v>731.82662935092628</v>
      </c>
      <c r="M341" s="440">
        <f t="shared" si="114"/>
        <v>735.33640319903986</v>
      </c>
      <c r="N341" s="440">
        <f t="shared" si="114"/>
        <v>738.64488247716145</v>
      </c>
      <c r="O341" s="440">
        <f t="shared" si="114"/>
        <v>741.65831561877974</v>
      </c>
      <c r="P341" s="440">
        <f t="shared" si="114"/>
        <v>745.05036716385018</v>
      </c>
      <c r="Q341" s="440">
        <f t="shared" si="114"/>
        <v>748.77878176266609</v>
      </c>
      <c r="R341" s="440">
        <f t="shared" si="114"/>
        <v>752.61902540738913</v>
      </c>
      <c r="S341" s="440">
        <f t="shared" si="114"/>
        <v>756.31875897988334</v>
      </c>
      <c r="T341" s="440">
        <f t="shared" si="114"/>
        <v>760.36715536486656</v>
      </c>
      <c r="U341" s="440">
        <f t="shared" si="114"/>
        <v>764.78564990611676</v>
      </c>
      <c r="V341" s="440">
        <f t="shared" si="114"/>
        <v>769.58649153154226</v>
      </c>
      <c r="W341" s="440">
        <f t="shared" si="114"/>
        <v>774.32728027880296</v>
      </c>
      <c r="X341" s="440">
        <f t="shared" si="114"/>
        <v>778.85855102763799</v>
      </c>
      <c r="Y341" s="440">
        <f t="shared" si="114"/>
        <v>783.74930174069686</v>
      </c>
      <c r="Z341" s="440">
        <f t="shared" si="114"/>
        <v>788.6690149728156</v>
      </c>
      <c r="AA341" s="440">
        <f t="shared" si="114"/>
        <v>794.31914414509777</v>
      </c>
      <c r="AB341" s="440">
        <f t="shared" si="114"/>
        <v>799.14309192825942</v>
      </c>
      <c r="AC341" s="440">
        <f t="shared" si="114"/>
        <v>804.55690837777729</v>
      </c>
      <c r="AD341" s="440">
        <f t="shared" si="114"/>
        <v>810.54493248154199</v>
      </c>
      <c r="AE341" s="440">
        <f t="shared" si="114"/>
        <v>815.84845488872622</v>
      </c>
      <c r="AF341" s="440">
        <f t="shared" si="114"/>
        <v>821.05428685102879</v>
      </c>
      <c r="AG341" s="440">
        <f t="shared" si="114"/>
        <v>827.47513814897161</v>
      </c>
      <c r="AH341" s="431"/>
      <c r="AI341" s="431"/>
    </row>
    <row r="342" spans="2:35" x14ac:dyDescent="0.25">
      <c r="B342" s="421" t="s">
        <v>102</v>
      </c>
      <c r="C342" s="439"/>
      <c r="E342" s="440">
        <v>0</v>
      </c>
      <c r="F342" s="440">
        <v>0</v>
      </c>
      <c r="G342" s="440">
        <v>1</v>
      </c>
      <c r="H342" s="440">
        <v>2</v>
      </c>
      <c r="I342" s="440">
        <v>3</v>
      </c>
      <c r="J342" s="440">
        <v>4</v>
      </c>
      <c r="K342" s="440">
        <v>5</v>
      </c>
      <c r="L342" s="440">
        <v>6</v>
      </c>
      <c r="M342" s="440">
        <v>7</v>
      </c>
      <c r="N342" s="440">
        <v>8</v>
      </c>
      <c r="O342" s="440">
        <v>9</v>
      </c>
      <c r="P342" s="440">
        <v>10</v>
      </c>
      <c r="Q342" s="440">
        <v>11</v>
      </c>
      <c r="R342" s="440">
        <v>12</v>
      </c>
      <c r="S342" s="440">
        <v>13</v>
      </c>
      <c r="T342" s="440">
        <v>14</v>
      </c>
      <c r="U342" s="440">
        <v>15</v>
      </c>
      <c r="V342" s="440">
        <v>16</v>
      </c>
      <c r="W342" s="440">
        <v>17</v>
      </c>
      <c r="X342" s="440">
        <v>18</v>
      </c>
      <c r="Y342" s="440">
        <v>19</v>
      </c>
      <c r="Z342" s="440">
        <v>20</v>
      </c>
      <c r="AA342" s="440">
        <v>21</v>
      </c>
      <c r="AB342" s="440">
        <v>22</v>
      </c>
      <c r="AC342" s="440">
        <v>23</v>
      </c>
      <c r="AD342" s="440">
        <v>24</v>
      </c>
      <c r="AE342" s="440">
        <v>25</v>
      </c>
      <c r="AF342" s="440">
        <v>26</v>
      </c>
      <c r="AG342" s="440">
        <v>27</v>
      </c>
    </row>
    <row r="343" spans="2:35" x14ac:dyDescent="0.25">
      <c r="B343" s="421" t="s">
        <v>103</v>
      </c>
      <c r="C343" s="439"/>
      <c r="E343" s="440">
        <v>264</v>
      </c>
      <c r="F343" s="440">
        <f>F287/($E287/$E343)</f>
        <v>-1113.4701437371659</v>
      </c>
      <c r="G343" s="440">
        <f t="shared" si="114"/>
        <v>86.083244353182721</v>
      </c>
      <c r="H343" s="440">
        <f t="shared" si="114"/>
        <v>262.75860369609859</v>
      </c>
      <c r="I343" s="440">
        <f t="shared" si="114"/>
        <v>236.36537987679671</v>
      </c>
      <c r="J343" s="440">
        <f t="shared" si="114"/>
        <v>248.15108032855983</v>
      </c>
      <c r="K343" s="440">
        <f t="shared" si="114"/>
        <v>250.88612584555119</v>
      </c>
      <c r="L343" s="440">
        <f t="shared" si="114"/>
        <v>251.27576701886559</v>
      </c>
      <c r="M343" s="440">
        <f t="shared" si="114"/>
        <v>252.48086270734814</v>
      </c>
      <c r="N343" s="440">
        <f t="shared" si="114"/>
        <v>253.61684305424171</v>
      </c>
      <c r="O343" s="440">
        <f t="shared" si="114"/>
        <v>254.65151806284555</v>
      </c>
      <c r="P343" s="440">
        <f t="shared" si="114"/>
        <v>255.81619330090169</v>
      </c>
      <c r="Q343" s="440">
        <f t="shared" si="114"/>
        <v>257.09636021545185</v>
      </c>
      <c r="R343" s="440">
        <f t="shared" si="114"/>
        <v>258.41492410567668</v>
      </c>
      <c r="S343" s="440">
        <f t="shared" si="114"/>
        <v>259.68524326858886</v>
      </c>
      <c r="T343" s="440">
        <f t="shared" si="114"/>
        <v>261.07527728215751</v>
      </c>
      <c r="U343" s="440">
        <f t="shared" si="114"/>
        <v>262.59238606228763</v>
      </c>
      <c r="V343" s="440">
        <f t="shared" si="114"/>
        <v>264.24077533015941</v>
      </c>
      <c r="W343" s="440">
        <f t="shared" si="114"/>
        <v>265.86854518843705</v>
      </c>
      <c r="X343" s="440">
        <f t="shared" si="114"/>
        <v>267.42437615620815</v>
      </c>
      <c r="Y343" s="440">
        <f t="shared" si="114"/>
        <v>269.10363608941373</v>
      </c>
      <c r="Z343" s="440">
        <f t="shared" si="114"/>
        <v>270.79284042597897</v>
      </c>
      <c r="AA343" s="440">
        <f t="shared" si="114"/>
        <v>272.7328361634668</v>
      </c>
      <c r="AB343" s="440">
        <f t="shared" si="114"/>
        <v>274.38915902827966</v>
      </c>
      <c r="AC343" s="440">
        <f t="shared" si="114"/>
        <v>276.24801579338333</v>
      </c>
      <c r="AD343" s="440">
        <f t="shared" si="114"/>
        <v>278.30402918406224</v>
      </c>
      <c r="AE343" s="440">
        <f t="shared" si="114"/>
        <v>280.12501602345736</v>
      </c>
      <c r="AF343" s="440">
        <f t="shared" si="114"/>
        <v>281.91246043561154</v>
      </c>
      <c r="AG343" s="440">
        <f t="shared" si="114"/>
        <v>284.11708687320868</v>
      </c>
      <c r="AH343" s="431"/>
      <c r="AI343" s="431"/>
    </row>
    <row r="344" spans="2:35" x14ac:dyDescent="0.25">
      <c r="B344" s="421" t="s">
        <v>104</v>
      </c>
      <c r="C344" s="439"/>
      <c r="D344" s="442"/>
      <c r="E344" s="440">
        <v>216</v>
      </c>
      <c r="F344" s="440">
        <f>F288/($E288/$E344)</f>
        <v>237.04353304674908</v>
      </c>
      <c r="G344" s="440">
        <f t="shared" si="114"/>
        <v>203.41823213326171</v>
      </c>
      <c r="H344" s="440">
        <f t="shared" si="114"/>
        <v>445.02115260612578</v>
      </c>
      <c r="I344" s="440">
        <f t="shared" si="114"/>
        <v>369.82332348199895</v>
      </c>
      <c r="J344" s="440">
        <f t="shared" si="114"/>
        <v>388.263532081525</v>
      </c>
      <c r="K344" s="440">
        <f t="shared" si="114"/>
        <v>392.54285430500585</v>
      </c>
      <c r="L344" s="440">
        <f t="shared" si="114"/>
        <v>393.15249685822442</v>
      </c>
      <c r="M344" s="440">
        <f t="shared" si="114"/>
        <v>395.0380204186576</v>
      </c>
      <c r="N344" s="440">
        <f t="shared" si="114"/>
        <v>396.81540434652976</v>
      </c>
      <c r="O344" s="440">
        <f t="shared" si="114"/>
        <v>398.43428334905155</v>
      </c>
      <c r="P344" s="440">
        <f t="shared" si="114"/>
        <v>400.25656403812553</v>
      </c>
      <c r="Q344" s="440">
        <f t="shared" si="114"/>
        <v>402.25954596042482</v>
      </c>
      <c r="R344" s="440">
        <f t="shared" si="114"/>
        <v>404.322604773693</v>
      </c>
      <c r="S344" s="440">
        <f t="shared" si="114"/>
        <v>406.31017865171157</v>
      </c>
      <c r="T344" s="440">
        <f t="shared" si="114"/>
        <v>408.48506144934851</v>
      </c>
      <c r="U344" s="440">
        <f t="shared" si="114"/>
        <v>410.85876867941704</v>
      </c>
      <c r="V344" s="440">
        <f t="shared" si="114"/>
        <v>413.43788072092735</v>
      </c>
      <c r="W344" s="440">
        <f t="shared" si="114"/>
        <v>415.98473110640191</v>
      </c>
      <c r="X344" s="440">
        <f t="shared" si="114"/>
        <v>418.41902406240598</v>
      </c>
      <c r="Y344" s="440">
        <f t="shared" si="114"/>
        <v>421.04643713707867</v>
      </c>
      <c r="Z344" s="440">
        <f t="shared" si="114"/>
        <v>423.68940947978967</v>
      </c>
      <c r="AA344" s="440">
        <f t="shared" si="114"/>
        <v>426.72477646776656</v>
      </c>
      <c r="AB344" s="440">
        <f t="shared" si="114"/>
        <v>429.31630161812325</v>
      </c>
      <c r="AC344" s="440">
        <f t="shared" si="114"/>
        <v>432.22471649303412</v>
      </c>
      <c r="AD344" s="440">
        <f t="shared" si="114"/>
        <v>435.44160767083986</v>
      </c>
      <c r="AE344" s="440">
        <f t="shared" si="114"/>
        <v>438.29077029064962</v>
      </c>
      <c r="AF344" s="440">
        <f t="shared" si="114"/>
        <v>441.08745157022923</v>
      </c>
      <c r="AG344" s="440">
        <f t="shared" si="114"/>
        <v>444.53686652521731</v>
      </c>
      <c r="AH344" s="431"/>
      <c r="AI344" s="431"/>
    </row>
    <row r="345" spans="2:35" x14ac:dyDescent="0.25">
      <c r="B345" s="421" t="s">
        <v>105</v>
      </c>
      <c r="C345" s="439"/>
      <c r="D345" s="442"/>
      <c r="E345" s="440">
        <v>252</v>
      </c>
      <c r="F345" s="440">
        <f>F289/($E289/$E345)</f>
        <v>259.47835866586263</v>
      </c>
      <c r="G345" s="440">
        <f t="shared" si="114"/>
        <v>252.03641608965503</v>
      </c>
      <c r="H345" s="440">
        <f t="shared" si="114"/>
        <v>124.23317998946496</v>
      </c>
      <c r="I345" s="440">
        <f t="shared" si="114"/>
        <v>158.5944550388958</v>
      </c>
      <c r="J345" s="440">
        <f t="shared" si="114"/>
        <v>166.50232522434055</v>
      </c>
      <c r="K345" s="440">
        <f t="shared" si="114"/>
        <v>168.3374630668618</v>
      </c>
      <c r="L345" s="440">
        <f t="shared" si="114"/>
        <v>168.59890122491493</v>
      </c>
      <c r="M345" s="440">
        <f t="shared" si="114"/>
        <v>169.40748619655596</v>
      </c>
      <c r="N345" s="440">
        <f t="shared" si="114"/>
        <v>170.16969673747525</v>
      </c>
      <c r="O345" s="440">
        <f t="shared" si="114"/>
        <v>170.8639342743659</v>
      </c>
      <c r="P345" s="440">
        <f t="shared" si="114"/>
        <v>171.64539827206767</v>
      </c>
      <c r="Q345" s="440">
        <f t="shared" si="114"/>
        <v>172.50435390371612</v>
      </c>
      <c r="R345" s="440">
        <f t="shared" si="114"/>
        <v>173.38907281523007</v>
      </c>
      <c r="S345" s="440">
        <f t="shared" si="114"/>
        <v>174.24142088529231</v>
      </c>
      <c r="T345" s="440">
        <f t="shared" si="114"/>
        <v>175.17409421918899</v>
      </c>
      <c r="U345" s="440">
        <f t="shared" si="114"/>
        <v>176.19203111140592</v>
      </c>
      <c r="V345" s="440">
        <f t="shared" si="114"/>
        <v>177.29805348137549</v>
      </c>
      <c r="W345" s="440">
        <f t="shared" si="114"/>
        <v>178.39024081328023</v>
      </c>
      <c r="X345" s="440">
        <f t="shared" si="114"/>
        <v>179.43415919335305</v>
      </c>
      <c r="Y345" s="440">
        <f t="shared" si="114"/>
        <v>180.56089490276287</v>
      </c>
      <c r="Z345" s="440">
        <f t="shared" si="114"/>
        <v>181.69430302431832</v>
      </c>
      <c r="AA345" s="440">
        <f t="shared" si="114"/>
        <v>182.99598505120835</v>
      </c>
      <c r="AB345" s="440">
        <f t="shared" si="114"/>
        <v>184.10733063934137</v>
      </c>
      <c r="AC345" s="440">
        <f t="shared" si="114"/>
        <v>185.35457072082303</v>
      </c>
      <c r="AD345" s="440">
        <f t="shared" si="114"/>
        <v>186.73409729708118</v>
      </c>
      <c r="AE345" s="440">
        <f t="shared" si="114"/>
        <v>187.95592773425184</v>
      </c>
      <c r="AF345" s="440">
        <f t="shared" si="114"/>
        <v>189.15525215564412</v>
      </c>
      <c r="AG345" s="440">
        <f t="shared" si="114"/>
        <v>190.63449386446504</v>
      </c>
      <c r="AH345" s="431"/>
      <c r="AI345" s="431"/>
    </row>
    <row r="346" spans="2:35" x14ac:dyDescent="0.25">
      <c r="B346" s="421" t="s">
        <v>106</v>
      </c>
      <c r="C346" s="439"/>
      <c r="D346" s="442"/>
      <c r="E346" s="440">
        <v>24</v>
      </c>
      <c r="F346" s="440">
        <f>F290/($E290/$E346)</f>
        <v>31.452556057554862</v>
      </c>
      <c r="G346" s="440">
        <f t="shared" si="114"/>
        <v>34.496636233683574</v>
      </c>
      <c r="H346" s="440">
        <f t="shared" si="114"/>
        <v>41.580471415603256</v>
      </c>
      <c r="I346" s="440">
        <f t="shared" si="114"/>
        <v>48.420565323093939</v>
      </c>
      <c r="J346" s="440">
        <f t="shared" si="114"/>
        <v>50.834921769458767</v>
      </c>
      <c r="K346" s="440">
        <f t="shared" si="114"/>
        <v>51.395208771667562</v>
      </c>
      <c r="L346" s="440">
        <f t="shared" si="114"/>
        <v>51.475028607782612</v>
      </c>
      <c r="M346" s="440">
        <f t="shared" si="114"/>
        <v>51.721898155832179</v>
      </c>
      <c r="N346" s="440">
        <f t="shared" si="114"/>
        <v>51.954609099461834</v>
      </c>
      <c r="O346" s="440">
        <f t="shared" si="114"/>
        <v>52.166567165691276</v>
      </c>
      <c r="P346" s="440">
        <f t="shared" si="114"/>
        <v>52.405156393411019</v>
      </c>
      <c r="Q346" s="440">
        <f t="shared" si="114"/>
        <v>52.6674046369683</v>
      </c>
      <c r="R346" s="440">
        <f t="shared" si="114"/>
        <v>52.937518682487934</v>
      </c>
      <c r="S346" s="440">
        <f t="shared" si="114"/>
        <v>53.197749567573673</v>
      </c>
      <c r="T346" s="440">
        <f t="shared" si="114"/>
        <v>53.482504605686302</v>
      </c>
      <c r="U346" s="440">
        <f t="shared" si="114"/>
        <v>53.793291510387903</v>
      </c>
      <c r="V346" s="440">
        <f t="shared" si="114"/>
        <v>54.130971843541936</v>
      </c>
      <c r="W346" s="440">
        <f t="shared" si="114"/>
        <v>54.46442819317646</v>
      </c>
      <c r="X346" s="440">
        <f t="shared" si="114"/>
        <v>54.783147521048917</v>
      </c>
      <c r="Y346" s="440">
        <f t="shared" si="114"/>
        <v>55.127151855916487</v>
      </c>
      <c r="Z346" s="440">
        <f t="shared" si="114"/>
        <v>55.473193348817617</v>
      </c>
      <c r="AA346" s="440">
        <f t="shared" si="114"/>
        <v>55.870610645642202</v>
      </c>
      <c r="AB346" s="440">
        <f t="shared" si="114"/>
        <v>56.209916213630251</v>
      </c>
      <c r="AC346" s="440">
        <f t="shared" si="114"/>
        <v>56.590711808433056</v>
      </c>
      <c r="AD346" s="440">
        <f t="shared" si="114"/>
        <v>57.011895869907775</v>
      </c>
      <c r="AE346" s="440">
        <f t="shared" si="114"/>
        <v>57.384933631425085</v>
      </c>
      <c r="AF346" s="440">
        <f t="shared" si="114"/>
        <v>57.751100068173223</v>
      </c>
      <c r="AG346" s="440">
        <f t="shared" si="114"/>
        <v>58.202728214775469</v>
      </c>
      <c r="AH346" s="431"/>
      <c r="AI346" s="431"/>
    </row>
    <row r="347" spans="2:35" x14ac:dyDescent="0.25">
      <c r="D347" s="442"/>
      <c r="E347" s="431"/>
      <c r="F347" s="431"/>
      <c r="G347" s="431"/>
      <c r="H347" s="431"/>
      <c r="I347" s="431"/>
      <c r="J347" s="431"/>
      <c r="K347" s="431"/>
      <c r="L347" s="431"/>
      <c r="M347" s="431"/>
      <c r="N347" s="431"/>
      <c r="O347" s="431"/>
      <c r="P347" s="431"/>
      <c r="Q347" s="431"/>
      <c r="R347" s="431"/>
      <c r="S347" s="431"/>
      <c r="T347" s="431"/>
      <c r="U347" s="431"/>
      <c r="V347" s="431"/>
      <c r="W347" s="431"/>
      <c r="X347" s="431"/>
      <c r="Y347" s="431"/>
      <c r="Z347" s="431"/>
      <c r="AA347" s="431"/>
      <c r="AB347" s="431"/>
      <c r="AC347" s="431"/>
      <c r="AD347" s="431"/>
      <c r="AE347" s="431"/>
      <c r="AF347" s="431"/>
      <c r="AG347" s="431"/>
      <c r="AH347" s="431"/>
      <c r="AI347" s="431"/>
    </row>
    <row r="348" spans="2:35" x14ac:dyDescent="0.25">
      <c r="D348" s="442"/>
      <c r="E348" s="431">
        <f>E337/12</f>
        <v>28272</v>
      </c>
      <c r="F348" s="431">
        <f t="shared" ref="F348:AG348" si="116">F337/12</f>
        <v>29707.438221471948</v>
      </c>
      <c r="G348" s="431">
        <f t="shared" si="116"/>
        <v>28395.444695699272</v>
      </c>
      <c r="H348" s="431">
        <f t="shared" si="116"/>
        <v>29931.304785360498</v>
      </c>
      <c r="I348" s="431">
        <f t="shared" si="116"/>
        <v>29689.387138743867</v>
      </c>
      <c r="J348" s="431">
        <f t="shared" si="116"/>
        <v>31169.765625627402</v>
      </c>
      <c r="K348" s="431">
        <f t="shared" si="116"/>
        <v>31513.309275033109</v>
      </c>
      <c r="L348" s="431">
        <f t="shared" si="116"/>
        <v>31562.251330954143</v>
      </c>
      <c r="M348" s="431">
        <f t="shared" si="116"/>
        <v>31713.621013152264</v>
      </c>
      <c r="N348" s="431">
        <f t="shared" si="116"/>
        <v>31856.309254207314</v>
      </c>
      <c r="O348" s="431">
        <f t="shared" si="116"/>
        <v>31986.272732400412</v>
      </c>
      <c r="P348" s="431">
        <f t="shared" si="116"/>
        <v>32132.565281891297</v>
      </c>
      <c r="Q348" s="431">
        <f t="shared" si="116"/>
        <v>32293.364512083557</v>
      </c>
      <c r="R348" s="431">
        <f t="shared" si="116"/>
        <v>32458.986710327899</v>
      </c>
      <c r="S348" s="431">
        <f t="shared" si="116"/>
        <v>32618.548983944809</v>
      </c>
      <c r="T348" s="431">
        <f t="shared" si="116"/>
        <v>32793.148402803745</v>
      </c>
      <c r="U348" s="431">
        <f t="shared" si="116"/>
        <v>32983.709431361931</v>
      </c>
      <c r="V348" s="431">
        <f t="shared" si="116"/>
        <v>33190.76034192551</v>
      </c>
      <c r="W348" s="431">
        <f t="shared" si="116"/>
        <v>33395.221289295951</v>
      </c>
      <c r="X348" s="431">
        <f t="shared" si="116"/>
        <v>33590.646135137074</v>
      </c>
      <c r="Y348" s="431">
        <f t="shared" si="116"/>
        <v>33801.574648820046</v>
      </c>
      <c r="Z348" s="431">
        <f t="shared" si="116"/>
        <v>34013.752259309666</v>
      </c>
      <c r="AA348" s="431">
        <f t="shared" si="116"/>
        <v>34257.431280864381</v>
      </c>
      <c r="AB348" s="431">
        <f t="shared" si="116"/>
        <v>34465.478714823686</v>
      </c>
      <c r="AC348" s="431">
        <f t="shared" si="116"/>
        <v>34698.966030789343</v>
      </c>
      <c r="AD348" s="431">
        <f t="shared" si="116"/>
        <v>34957.217799936443</v>
      </c>
      <c r="AE348" s="431">
        <f t="shared" si="116"/>
        <v>35185.948349552207</v>
      </c>
      <c r="AF348" s="431">
        <f t="shared" si="116"/>
        <v>35410.465701328052</v>
      </c>
      <c r="AG348" s="431">
        <f t="shared" si="116"/>
        <v>35687.384460903784</v>
      </c>
      <c r="AH348" s="431"/>
      <c r="AI348" s="431"/>
    </row>
    <row r="349" spans="2:35" x14ac:dyDescent="0.25">
      <c r="B349" s="422" t="s">
        <v>112</v>
      </c>
      <c r="D349" s="442"/>
      <c r="E349" s="423">
        <v>2017</v>
      </c>
      <c r="F349" s="423">
        <v>2018</v>
      </c>
      <c r="G349" s="423">
        <v>2019</v>
      </c>
      <c r="H349" s="423">
        <v>2020</v>
      </c>
      <c r="I349" s="423">
        <v>2021</v>
      </c>
      <c r="J349" s="423">
        <v>2022</v>
      </c>
      <c r="K349" s="423">
        <v>2023</v>
      </c>
      <c r="L349" s="423">
        <v>2024</v>
      </c>
      <c r="M349" s="423">
        <v>2025</v>
      </c>
      <c r="N349" s="423">
        <v>2026</v>
      </c>
      <c r="O349" s="423">
        <v>2027</v>
      </c>
      <c r="P349" s="423">
        <v>2028</v>
      </c>
      <c r="Q349" s="423">
        <v>2029</v>
      </c>
      <c r="R349" s="423">
        <v>2030</v>
      </c>
      <c r="S349" s="423">
        <v>2031</v>
      </c>
      <c r="T349" s="423">
        <v>2032</v>
      </c>
      <c r="U349" s="423">
        <v>2033</v>
      </c>
      <c r="V349" s="423">
        <v>2034</v>
      </c>
      <c r="W349" s="423">
        <v>2035</v>
      </c>
      <c r="X349" s="423">
        <v>2036</v>
      </c>
      <c r="Y349" s="423">
        <v>2037</v>
      </c>
      <c r="Z349" s="423">
        <v>2038</v>
      </c>
      <c r="AA349" s="423">
        <v>2039</v>
      </c>
      <c r="AB349" s="423">
        <v>2040</v>
      </c>
      <c r="AC349" s="423">
        <v>2041</v>
      </c>
      <c r="AD349" s="423">
        <v>2042</v>
      </c>
      <c r="AE349" s="423">
        <v>2043</v>
      </c>
      <c r="AF349" s="423">
        <v>2044</v>
      </c>
      <c r="AG349" s="423">
        <v>2045</v>
      </c>
      <c r="AH349" s="431"/>
      <c r="AI349" s="431"/>
    </row>
    <row r="350" spans="2:35" x14ac:dyDescent="0.25">
      <c r="B350" s="421" t="s">
        <v>98</v>
      </c>
      <c r="E350" s="428">
        <f t="shared" ref="E350:AG350" si="117">(E336/SUM(E$336:E$346)*SUM(E$258:E$262))</f>
        <v>115314.89542195098</v>
      </c>
      <c r="F350" s="428">
        <f t="shared" si="117"/>
        <v>97427.910037947906</v>
      </c>
      <c r="G350" s="428">
        <f t="shared" si="117"/>
        <v>100684.97932899784</v>
      </c>
      <c r="H350" s="428">
        <f t="shared" si="117"/>
        <v>79330.118812437518</v>
      </c>
      <c r="I350" s="428">
        <f t="shared" si="117"/>
        <v>90377.166667716112</v>
      </c>
      <c r="J350" s="428">
        <f t="shared" si="117"/>
        <v>94197.184671695592</v>
      </c>
      <c r="K350" s="428">
        <f t="shared" si="117"/>
        <v>95486.877187660968</v>
      </c>
      <c r="L350" s="428">
        <f t="shared" si="117"/>
        <v>96291.181080373979</v>
      </c>
      <c r="M350" s="428">
        <f t="shared" si="117"/>
        <v>97237.456450563739</v>
      </c>
      <c r="N350" s="428">
        <f t="shared" si="117"/>
        <v>98323.505379696639</v>
      </c>
      <c r="O350" s="428">
        <f t="shared" si="117"/>
        <v>99171.522281631551</v>
      </c>
      <c r="P350" s="428">
        <f t="shared" si="117"/>
        <v>100145.82161259187</v>
      </c>
      <c r="Q350" s="428">
        <f t="shared" si="117"/>
        <v>101157.36679076827</v>
      </c>
      <c r="R350" s="428">
        <f t="shared" si="117"/>
        <v>102194.86797810117</v>
      </c>
      <c r="S350" s="428">
        <f t="shared" si="117"/>
        <v>103395.51252471577</v>
      </c>
      <c r="T350" s="428">
        <f t="shared" si="117"/>
        <v>104454.12661029116</v>
      </c>
      <c r="U350" s="428">
        <f t="shared" si="117"/>
        <v>105553.74047693278</v>
      </c>
      <c r="V350" s="428">
        <f t="shared" si="117"/>
        <v>106695.66818090552</v>
      </c>
      <c r="W350" s="428">
        <f t="shared" si="117"/>
        <v>107851.08818539052</v>
      </c>
      <c r="X350" s="428">
        <f t="shared" si="117"/>
        <v>109160.92762846578</v>
      </c>
      <c r="Y350" s="428">
        <f t="shared" si="117"/>
        <v>110330.56732241545</v>
      </c>
      <c r="Z350" s="428">
        <f t="shared" si="117"/>
        <v>111510.26391913609</v>
      </c>
      <c r="AA350" s="428">
        <f t="shared" si="117"/>
        <v>112765.45759240267</v>
      </c>
      <c r="AB350" s="428">
        <f t="shared" si="117"/>
        <v>113997.42462747672</v>
      </c>
      <c r="AC350" s="428">
        <f t="shared" si="117"/>
        <v>115425.54887384303</v>
      </c>
      <c r="AD350" s="428">
        <f t="shared" si="117"/>
        <v>116734.77573779943</v>
      </c>
      <c r="AE350" s="428">
        <f t="shared" si="117"/>
        <v>117988.56091690996</v>
      </c>
      <c r="AF350" s="428">
        <f t="shared" si="117"/>
        <v>119241.28046458075</v>
      </c>
      <c r="AG350" s="428">
        <f t="shared" si="117"/>
        <v>120615.80106489424</v>
      </c>
    </row>
    <row r="351" spans="2:35" x14ac:dyDescent="0.25">
      <c r="B351" s="421" t="s">
        <v>38</v>
      </c>
      <c r="E351" s="428">
        <f>(E337/SUM(E$336:E$346)*SUM(E$258:E$262))</f>
        <v>4664066.8431607988</v>
      </c>
      <c r="F351" s="428">
        <f t="shared" ref="F351:AG351" si="118">(F337/SUM(F$336:F$346)*SUM(F$258:F$262))</f>
        <v>4900286.1780000813</v>
      </c>
      <c r="G351" s="428">
        <f t="shared" si="118"/>
        <v>4819398.7478724364</v>
      </c>
      <c r="H351" s="428">
        <f t="shared" si="118"/>
        <v>4461338.6537553221</v>
      </c>
      <c r="I351" s="428">
        <f t="shared" si="118"/>
        <v>4664550.7525146911</v>
      </c>
      <c r="J351" s="428">
        <f t="shared" si="118"/>
        <v>4861709.7088315552</v>
      </c>
      <c r="K351" s="428">
        <f t="shared" si="118"/>
        <v>4928273.3821316585</v>
      </c>
      <c r="L351" s="428">
        <f t="shared" si="118"/>
        <v>4969785.1540352711</v>
      </c>
      <c r="M351" s="428">
        <f t="shared" si="118"/>
        <v>5018624.3647878403</v>
      </c>
      <c r="N351" s="428">
        <f t="shared" si="118"/>
        <v>5074677.5753103634</v>
      </c>
      <c r="O351" s="428">
        <f t="shared" si="118"/>
        <v>5118445.4651868977</v>
      </c>
      <c r="P351" s="428">
        <f t="shared" si="118"/>
        <v>5168731.0499753058</v>
      </c>
      <c r="Q351" s="428">
        <f t="shared" si="118"/>
        <v>5220938.9692544425</v>
      </c>
      <c r="R351" s="428">
        <f t="shared" si="118"/>
        <v>5274486.5313494317</v>
      </c>
      <c r="S351" s="428">
        <f t="shared" si="118"/>
        <v>5336454.2564940434</v>
      </c>
      <c r="T351" s="428">
        <f t="shared" si="118"/>
        <v>5391091.4985271813</v>
      </c>
      <c r="U351" s="428">
        <f t="shared" si="118"/>
        <v>5447844.8232687823</v>
      </c>
      <c r="V351" s="428">
        <f t="shared" si="118"/>
        <v>5506782.0518551497</v>
      </c>
      <c r="W351" s="428">
        <f t="shared" si="118"/>
        <v>5566415.6457163766</v>
      </c>
      <c r="X351" s="428">
        <f t="shared" si="118"/>
        <v>5634019.1432052264</v>
      </c>
      <c r="Y351" s="428">
        <f t="shared" si="118"/>
        <v>5694386.6443755515</v>
      </c>
      <c r="Z351" s="428">
        <f t="shared" si="118"/>
        <v>5755273.2029042542</v>
      </c>
      <c r="AA351" s="428">
        <f t="shared" si="118"/>
        <v>5820056.3202453153</v>
      </c>
      <c r="AB351" s="428">
        <f t="shared" si="118"/>
        <v>5883640.6631983975</v>
      </c>
      <c r="AC351" s="428">
        <f t="shared" si="118"/>
        <v>5957349.0817480152</v>
      </c>
      <c r="AD351" s="428">
        <f t="shared" si="118"/>
        <v>6024920.9627733761</v>
      </c>
      <c r="AE351" s="428">
        <f t="shared" si="118"/>
        <v>6089631.3848450715</v>
      </c>
      <c r="AF351" s="428">
        <f t="shared" si="118"/>
        <v>6154286.8074947046</v>
      </c>
      <c r="AG351" s="428">
        <f t="shared" si="118"/>
        <v>6225228.6320388643</v>
      </c>
      <c r="AH351" s="431"/>
      <c r="AI351" s="431"/>
    </row>
    <row r="352" spans="2:35" x14ac:dyDescent="0.25">
      <c r="B352" s="421" t="s">
        <v>39</v>
      </c>
      <c r="D352" s="442"/>
      <c r="E352" s="428">
        <f t="shared" ref="E352:AG352" si="119">(E338/SUM(E$336:E$346)*SUM(E$258:E$262))</f>
        <v>72917.287233908923</v>
      </c>
      <c r="F352" s="428">
        <f t="shared" si="119"/>
        <v>76464.60945224858</v>
      </c>
      <c r="G352" s="428">
        <f t="shared" si="119"/>
        <v>77650.779330651872</v>
      </c>
      <c r="H352" s="428">
        <f t="shared" si="119"/>
        <v>67450.264995643243</v>
      </c>
      <c r="I352" s="428">
        <f t="shared" si="119"/>
        <v>73853.73612806054</v>
      </c>
      <c r="J352" s="428">
        <f t="shared" si="119"/>
        <v>76975.349828428065</v>
      </c>
      <c r="K352" s="428">
        <f t="shared" si="119"/>
        <v>78029.251098763692</v>
      </c>
      <c r="L352" s="428">
        <f t="shared" si="119"/>
        <v>78686.506129534828</v>
      </c>
      <c r="M352" s="428">
        <f t="shared" si="119"/>
        <v>79459.776348896994</v>
      </c>
      <c r="N352" s="428">
        <f t="shared" si="119"/>
        <v>80347.265678245458</v>
      </c>
      <c r="O352" s="428">
        <f t="shared" si="119"/>
        <v>81040.241778479947</v>
      </c>
      <c r="P352" s="428">
        <f t="shared" si="119"/>
        <v>81836.41240820376</v>
      </c>
      <c r="Q352" s="428">
        <f t="shared" si="119"/>
        <v>82663.019320382358</v>
      </c>
      <c r="R352" s="428">
        <f t="shared" si="119"/>
        <v>83510.836769711677</v>
      </c>
      <c r="S352" s="428">
        <f t="shared" si="119"/>
        <v>84491.970487426952</v>
      </c>
      <c r="T352" s="428">
        <f t="shared" si="119"/>
        <v>85357.040816805413</v>
      </c>
      <c r="U352" s="428">
        <f t="shared" si="119"/>
        <v>86255.615040185163</v>
      </c>
      <c r="V352" s="428">
        <f t="shared" si="119"/>
        <v>87188.766968222451</v>
      </c>
      <c r="W352" s="428">
        <f t="shared" si="119"/>
        <v>88132.944433334298</v>
      </c>
      <c r="X352" s="428">
        <f t="shared" si="119"/>
        <v>89203.309218664144</v>
      </c>
      <c r="Y352" s="428">
        <f t="shared" si="119"/>
        <v>90159.106623106578</v>
      </c>
      <c r="Z352" s="428">
        <f t="shared" si="119"/>
        <v>91123.122252028683</v>
      </c>
      <c r="AA352" s="428">
        <f t="shared" si="119"/>
        <v>92148.832016485758</v>
      </c>
      <c r="AB352" s="428">
        <f t="shared" si="119"/>
        <v>93155.561610713339</v>
      </c>
      <c r="AC352" s="428">
        <f t="shared" si="119"/>
        <v>94322.585485637479</v>
      </c>
      <c r="AD352" s="428">
        <f t="shared" si="119"/>
        <v>95392.449688151173</v>
      </c>
      <c r="AE352" s="428">
        <f t="shared" si="119"/>
        <v>96417.008469903507</v>
      </c>
      <c r="AF352" s="428">
        <f t="shared" si="119"/>
        <v>97440.696446937509</v>
      </c>
      <c r="AG352" s="428">
        <f t="shared" si="119"/>
        <v>98563.916895874208</v>
      </c>
      <c r="AH352" s="431"/>
      <c r="AI352" s="431"/>
    </row>
    <row r="353" spans="2:36" x14ac:dyDescent="0.25">
      <c r="B353" s="421" t="s">
        <v>99</v>
      </c>
      <c r="D353" s="442"/>
      <c r="E353" s="428">
        <f t="shared" ref="E353:AG353" si="120">(E339/SUM(E$336:E$346)*SUM(E$258:E$262))</f>
        <v>336376.35445687844</v>
      </c>
      <c r="F353" s="428">
        <f t="shared" si="120"/>
        <v>345131.49091107986</v>
      </c>
      <c r="G353" s="428">
        <f t="shared" si="120"/>
        <v>346749.70251330646</v>
      </c>
      <c r="H353" s="428">
        <f t="shared" si="120"/>
        <v>220534.89863956417</v>
      </c>
      <c r="I353" s="428">
        <f t="shared" si="120"/>
        <v>267981.06892581092</v>
      </c>
      <c r="J353" s="428">
        <f t="shared" si="120"/>
        <v>279307.96205343027</v>
      </c>
      <c r="K353" s="428">
        <f t="shared" si="120"/>
        <v>283132.08258914831</v>
      </c>
      <c r="L353" s="428">
        <f t="shared" si="120"/>
        <v>285516.95727439789</v>
      </c>
      <c r="M353" s="428">
        <f t="shared" si="120"/>
        <v>288322.79745009128</v>
      </c>
      <c r="N353" s="428">
        <f t="shared" si="120"/>
        <v>291543.08597722353</v>
      </c>
      <c r="O353" s="428">
        <f t="shared" si="120"/>
        <v>294057.57591120439</v>
      </c>
      <c r="P353" s="428">
        <f t="shared" si="120"/>
        <v>296946.51109020144</v>
      </c>
      <c r="Q353" s="428">
        <f t="shared" si="120"/>
        <v>299945.88546881085</v>
      </c>
      <c r="R353" s="428">
        <f t="shared" si="120"/>
        <v>303022.22308199899</v>
      </c>
      <c r="S353" s="428">
        <f t="shared" si="120"/>
        <v>306582.30380664358</v>
      </c>
      <c r="T353" s="428">
        <f t="shared" si="120"/>
        <v>309721.24414624757</v>
      </c>
      <c r="U353" s="428">
        <f t="shared" si="120"/>
        <v>312981.75462973816</v>
      </c>
      <c r="V353" s="428">
        <f t="shared" si="120"/>
        <v>316367.73161960911</v>
      </c>
      <c r="W353" s="428">
        <f t="shared" si="120"/>
        <v>319793.71518688055</v>
      </c>
      <c r="X353" s="428">
        <f t="shared" si="120"/>
        <v>323677.57420812047</v>
      </c>
      <c r="Y353" s="428">
        <f t="shared" si="120"/>
        <v>327145.72116381221</v>
      </c>
      <c r="Z353" s="428">
        <f t="shared" si="120"/>
        <v>330643.68825720047</v>
      </c>
      <c r="AA353" s="428">
        <f t="shared" si="120"/>
        <v>334365.51484983525</v>
      </c>
      <c r="AB353" s="428">
        <f t="shared" si="120"/>
        <v>338018.4711784434</v>
      </c>
      <c r="AC353" s="428">
        <f t="shared" si="120"/>
        <v>342253.06135438022</v>
      </c>
      <c r="AD353" s="428">
        <f t="shared" si="120"/>
        <v>346135.10399197869</v>
      </c>
      <c r="AE353" s="428">
        <f t="shared" si="120"/>
        <v>349852.75420042902</v>
      </c>
      <c r="AF353" s="428">
        <f t="shared" si="120"/>
        <v>353567.24466109293</v>
      </c>
      <c r="AG353" s="428">
        <f t="shared" si="120"/>
        <v>357642.89245260693</v>
      </c>
      <c r="AH353" s="431"/>
      <c r="AI353" s="431"/>
    </row>
    <row r="354" spans="2:36" x14ac:dyDescent="0.25">
      <c r="B354" s="421" t="s">
        <v>100</v>
      </c>
      <c r="D354" s="442"/>
      <c r="E354" s="428">
        <f t="shared" ref="E354:AG354" si="121">(E340/SUM(E$336:E$346)*SUM(E$258:E$262))</f>
        <v>164.9712380857668</v>
      </c>
      <c r="F354" s="428">
        <f t="shared" si="121"/>
        <v>166.32052006756956</v>
      </c>
      <c r="G354" s="428">
        <f t="shared" si="121"/>
        <v>193.42630770499056</v>
      </c>
      <c r="H354" s="428">
        <f t="shared" si="121"/>
        <v>295.00751217906708</v>
      </c>
      <c r="I354" s="428">
        <f t="shared" si="121"/>
        <v>403.3213939102701</v>
      </c>
      <c r="J354" s="428">
        <f t="shared" si="121"/>
        <v>420.3687858891746</v>
      </c>
      <c r="K354" s="428">
        <f t="shared" si="121"/>
        <v>426.12422835803659</v>
      </c>
      <c r="L354" s="428">
        <f t="shared" si="121"/>
        <v>429.71355273162692</v>
      </c>
      <c r="M354" s="428">
        <f t="shared" si="121"/>
        <v>433.93644569673921</v>
      </c>
      <c r="N354" s="428">
        <f t="shared" si="121"/>
        <v>438.78309871876968</v>
      </c>
      <c r="O354" s="428">
        <f t="shared" si="121"/>
        <v>442.56749882289512</v>
      </c>
      <c r="P354" s="428">
        <f t="shared" si="121"/>
        <v>446.91545283315429</v>
      </c>
      <c r="Q354" s="428">
        <f t="shared" si="121"/>
        <v>451.42962191266645</v>
      </c>
      <c r="R354" s="428">
        <f t="shared" si="121"/>
        <v>456.05962349920821</v>
      </c>
      <c r="S354" s="428">
        <f t="shared" si="121"/>
        <v>461.41767631261126</v>
      </c>
      <c r="T354" s="428">
        <f t="shared" si="121"/>
        <v>466.14189731167284</v>
      </c>
      <c r="U354" s="428">
        <f t="shared" si="121"/>
        <v>471.04908586171371</v>
      </c>
      <c r="V354" s="428">
        <f t="shared" si="121"/>
        <v>476.14510613201463</v>
      </c>
      <c r="W354" s="428">
        <f t="shared" si="121"/>
        <v>481.30133777704975</v>
      </c>
      <c r="X354" s="428">
        <f t="shared" si="121"/>
        <v>487.14668887023134</v>
      </c>
      <c r="Y354" s="428">
        <f t="shared" si="121"/>
        <v>492.36637797014504</v>
      </c>
      <c r="Z354" s="428">
        <f t="shared" si="121"/>
        <v>497.63094747728496</v>
      </c>
      <c r="AA354" s="428">
        <f t="shared" si="121"/>
        <v>503.23243378842938</v>
      </c>
      <c r="AB354" s="428">
        <f t="shared" si="121"/>
        <v>508.73026781175537</v>
      </c>
      <c r="AC354" s="428">
        <f t="shared" si="121"/>
        <v>515.10348223038432</v>
      </c>
      <c r="AD354" s="428">
        <f t="shared" si="121"/>
        <v>520.94609959918353</v>
      </c>
      <c r="AE354" s="428">
        <f t="shared" si="121"/>
        <v>526.54130029807345</v>
      </c>
      <c r="AF354" s="428">
        <f t="shared" si="121"/>
        <v>532.13174545998947</v>
      </c>
      <c r="AG354" s="428">
        <f t="shared" si="121"/>
        <v>538.26574572705988</v>
      </c>
      <c r="AH354" s="431"/>
      <c r="AI354" s="431"/>
    </row>
    <row r="355" spans="2:36" x14ac:dyDescent="0.25">
      <c r="B355" s="421" t="s">
        <v>101</v>
      </c>
      <c r="D355" s="442"/>
      <c r="E355" s="428">
        <f t="shared" ref="E355:AG355" si="122">(E341/SUM(E$336:E$346)*SUM(E$258:E$262))</f>
        <v>11218.044189832141</v>
      </c>
      <c r="F355" s="428">
        <f t="shared" si="122"/>
        <v>11749.917146960905</v>
      </c>
      <c r="G355" s="428">
        <f t="shared" si="122"/>
        <v>12548.944223146411</v>
      </c>
      <c r="H355" s="428">
        <f t="shared" si="122"/>
        <v>7006.932175293251</v>
      </c>
      <c r="I355" s="428">
        <f t="shared" si="122"/>
        <v>9012.9883819506504</v>
      </c>
      <c r="J355" s="428">
        <f t="shared" si="122"/>
        <v>9393.9449792657124</v>
      </c>
      <c r="K355" s="428">
        <f t="shared" si="122"/>
        <v>9522.5613554066222</v>
      </c>
      <c r="L355" s="428">
        <f t="shared" si="122"/>
        <v>9602.771677414532</v>
      </c>
      <c r="M355" s="428">
        <f t="shared" si="122"/>
        <v>9697.1403020584457</v>
      </c>
      <c r="N355" s="428">
        <f t="shared" si="122"/>
        <v>9805.4480388620759</v>
      </c>
      <c r="O355" s="428">
        <f t="shared" si="122"/>
        <v>9890.0177013846733</v>
      </c>
      <c r="P355" s="428">
        <f t="shared" si="122"/>
        <v>9987.1810544113669</v>
      </c>
      <c r="Q355" s="428">
        <f t="shared" si="122"/>
        <v>10088.05880124583</v>
      </c>
      <c r="R355" s="428">
        <f t="shared" si="122"/>
        <v>10191.525047118215</v>
      </c>
      <c r="S355" s="428">
        <f t="shared" si="122"/>
        <v>10311.260990924422</v>
      </c>
      <c r="T355" s="428">
        <f t="shared" si="122"/>
        <v>10416.832749876992</v>
      </c>
      <c r="U355" s="428">
        <f t="shared" si="122"/>
        <v>10526.493268900686</v>
      </c>
      <c r="V355" s="428">
        <f t="shared" si="122"/>
        <v>10640.373594080325</v>
      </c>
      <c r="W355" s="428">
        <f t="shared" si="122"/>
        <v>10755.599457654742</v>
      </c>
      <c r="X355" s="428">
        <f t="shared" si="122"/>
        <v>10886.225014063952</v>
      </c>
      <c r="Y355" s="428">
        <f t="shared" si="122"/>
        <v>11002.86895590598</v>
      </c>
      <c r="Z355" s="428">
        <f t="shared" si="122"/>
        <v>11120.515836334995</v>
      </c>
      <c r="AA355" s="428">
        <f t="shared" si="122"/>
        <v>11245.691767506234</v>
      </c>
      <c r="AB355" s="428">
        <f t="shared" si="122"/>
        <v>11368.551389947077</v>
      </c>
      <c r="AC355" s="428">
        <f t="shared" si="122"/>
        <v>11510.97306253398</v>
      </c>
      <c r="AD355" s="428">
        <f t="shared" si="122"/>
        <v>11641.537528640349</v>
      </c>
      <c r="AE355" s="428">
        <f t="shared" si="122"/>
        <v>11766.572995777004</v>
      </c>
      <c r="AF355" s="428">
        <f t="shared" si="122"/>
        <v>11891.502191339319</v>
      </c>
      <c r="AG355" s="428">
        <f t="shared" si="122"/>
        <v>12028.578165926196</v>
      </c>
      <c r="AH355" s="431"/>
      <c r="AI355" s="431"/>
    </row>
    <row r="356" spans="2:36" x14ac:dyDescent="0.25">
      <c r="B356" s="421" t="s">
        <v>102</v>
      </c>
      <c r="D356" s="442"/>
      <c r="E356" s="428">
        <f t="shared" ref="E356:AG356" si="123">(E342/SUM(E$336:E$346)*SUM(E$258:E$262))</f>
        <v>0</v>
      </c>
      <c r="F356" s="428">
        <f t="shared" si="123"/>
        <v>0</v>
      </c>
      <c r="G356" s="428">
        <f t="shared" si="123"/>
        <v>14.143696872038467</v>
      </c>
      <c r="H356" s="428">
        <f t="shared" si="123"/>
        <v>24.842099187611417</v>
      </c>
      <c r="I356" s="428">
        <f t="shared" si="123"/>
        <v>39.277930618072411</v>
      </c>
      <c r="J356" s="428">
        <f t="shared" si="123"/>
        <v>51.991725648762632</v>
      </c>
      <c r="K356" s="428">
        <f t="shared" si="123"/>
        <v>65.161269628440195</v>
      </c>
      <c r="L356" s="428">
        <f t="shared" si="123"/>
        <v>78.729890050036431</v>
      </c>
      <c r="M356" s="428">
        <f t="shared" si="123"/>
        <v>92.31146699537932</v>
      </c>
      <c r="N356" s="428">
        <f t="shared" si="123"/>
        <v>106.19932009523133</v>
      </c>
      <c r="O356" s="428">
        <f t="shared" si="123"/>
        <v>120.01504929962145</v>
      </c>
      <c r="P356" s="428">
        <f t="shared" si="123"/>
        <v>134.04705902540684</v>
      </c>
      <c r="Q356" s="428">
        <f t="shared" si="123"/>
        <v>148.19950767365214</v>
      </c>
      <c r="R356" s="428">
        <f t="shared" si="123"/>
        <v>162.49695587913035</v>
      </c>
      <c r="S356" s="428">
        <f t="shared" si="123"/>
        <v>177.23531419849772</v>
      </c>
      <c r="T356" s="428">
        <f t="shared" si="123"/>
        <v>191.79636767490018</v>
      </c>
      <c r="U356" s="428">
        <f t="shared" si="123"/>
        <v>206.45967801944687</v>
      </c>
      <c r="V356" s="428">
        <f t="shared" si="123"/>
        <v>221.217471172709</v>
      </c>
      <c r="W356" s="428">
        <f t="shared" si="123"/>
        <v>236.13424896291355</v>
      </c>
      <c r="X356" s="428">
        <f t="shared" si="123"/>
        <v>251.5887512496447</v>
      </c>
      <c r="Y356" s="428">
        <f t="shared" si="123"/>
        <v>266.73645475397086</v>
      </c>
      <c r="Z356" s="428">
        <f t="shared" si="123"/>
        <v>282.00716967987654</v>
      </c>
      <c r="AA356" s="428">
        <f t="shared" si="123"/>
        <v>297.31063245592861</v>
      </c>
      <c r="AB356" s="428">
        <f t="shared" si="123"/>
        <v>312.97039679758421</v>
      </c>
      <c r="AC356" s="428">
        <f t="shared" si="123"/>
        <v>329.06607063023046</v>
      </c>
      <c r="AD356" s="428">
        <f t="shared" si="123"/>
        <v>344.70254453627206</v>
      </c>
      <c r="AE356" s="428">
        <f t="shared" si="123"/>
        <v>360.56245878966121</v>
      </c>
      <c r="AF356" s="428">
        <f t="shared" si="123"/>
        <v>376.56347689336087</v>
      </c>
      <c r="AG356" s="428">
        <f t="shared" si="123"/>
        <v>392.48503732270217</v>
      </c>
      <c r="AH356" s="431"/>
      <c r="AI356" s="431"/>
    </row>
    <row r="357" spans="2:36" x14ac:dyDescent="0.25">
      <c r="B357" s="421" t="s">
        <v>103</v>
      </c>
      <c r="D357" s="442"/>
      <c r="E357" s="428">
        <f t="shared" ref="E357:AG357" si="124">(E343/SUM(E$336:E$346)*SUM(E$258:E$262))</f>
        <v>3629.3672378868691</v>
      </c>
      <c r="F357" s="428">
        <f t="shared" si="124"/>
        <v>-15305.713208629111</v>
      </c>
      <c r="G357" s="428">
        <f t="shared" si="124"/>
        <v>1217.5353138930334</v>
      </c>
      <c r="H357" s="428">
        <f t="shared" si="124"/>
        <v>3263.7376477083803</v>
      </c>
      <c r="I357" s="428">
        <f t="shared" si="124"/>
        <v>3094.6476637717165</v>
      </c>
      <c r="J357" s="428">
        <f t="shared" si="124"/>
        <v>3225.4507219716352</v>
      </c>
      <c r="K357" s="428">
        <f t="shared" si="124"/>
        <v>3269.6116984513478</v>
      </c>
      <c r="L357" s="428">
        <f t="shared" si="124"/>
        <v>3297.152251605643</v>
      </c>
      <c r="M357" s="428">
        <f t="shared" si="124"/>
        <v>3329.554117824895</v>
      </c>
      <c r="N357" s="428">
        <f t="shared" si="124"/>
        <v>3366.7420371324329</v>
      </c>
      <c r="O357" s="428">
        <f t="shared" si="124"/>
        <v>3395.7793882817614</v>
      </c>
      <c r="P357" s="428">
        <f t="shared" si="124"/>
        <v>3429.1408363060855</v>
      </c>
      <c r="Q357" s="428">
        <f t="shared" si="124"/>
        <v>3463.7776371470804</v>
      </c>
      <c r="R357" s="428">
        <f t="shared" si="124"/>
        <v>3499.3032100757464</v>
      </c>
      <c r="S357" s="428">
        <f t="shared" si="124"/>
        <v>3540.4150525708974</v>
      </c>
      <c r="T357" s="428">
        <f t="shared" si="124"/>
        <v>3576.663562316799</v>
      </c>
      <c r="U357" s="428">
        <f t="shared" si="124"/>
        <v>3614.315965118546</v>
      </c>
      <c r="V357" s="428">
        <f t="shared" si="124"/>
        <v>3653.4172562033636</v>
      </c>
      <c r="W357" s="428">
        <f t="shared" si="124"/>
        <v>3692.9805435843546</v>
      </c>
      <c r="X357" s="428">
        <f t="shared" si="124"/>
        <v>3737.8313806030928</v>
      </c>
      <c r="Y357" s="428">
        <f t="shared" si="124"/>
        <v>3777.8815711522602</v>
      </c>
      <c r="Z357" s="428">
        <f t="shared" si="124"/>
        <v>3818.2761249052387</v>
      </c>
      <c r="AA357" s="428">
        <f t="shared" si="124"/>
        <v>3861.2558100599745</v>
      </c>
      <c r="AB357" s="428">
        <f t="shared" si="124"/>
        <v>3903.440180819824</v>
      </c>
      <c r="AC357" s="428">
        <f t="shared" si="124"/>
        <v>3952.3412641968048</v>
      </c>
      <c r="AD357" s="428">
        <f t="shared" si="124"/>
        <v>3997.1711256017988</v>
      </c>
      <c r="AE357" s="428">
        <f t="shared" si="124"/>
        <v>4040.102581836441</v>
      </c>
      <c r="AF357" s="428">
        <f t="shared" si="124"/>
        <v>4082.9975492767662</v>
      </c>
      <c r="AG357" s="428">
        <f t="shared" si="124"/>
        <v>4130.0631646462489</v>
      </c>
      <c r="AH357" s="431"/>
      <c r="AI357" s="431"/>
    </row>
    <row r="358" spans="2:36" x14ac:dyDescent="0.25">
      <c r="B358" s="421" t="s">
        <v>104</v>
      </c>
      <c r="D358" s="442"/>
      <c r="E358" s="428">
        <f t="shared" ref="E358:AG358" si="125">(E344/SUM(E$336:E$346)*SUM(E$258:E$262))</f>
        <v>2969.4822855438019</v>
      </c>
      <c r="F358" s="428">
        <f t="shared" si="125"/>
        <v>3258.3903171364732</v>
      </c>
      <c r="G358" s="428">
        <f t="shared" si="125"/>
        <v>2877.0858135388085</v>
      </c>
      <c r="H358" s="428">
        <f t="shared" si="125"/>
        <v>5527.6298068132664</v>
      </c>
      <c r="I358" s="428">
        <f t="shared" si="125"/>
        <v>4841.9649468903008</v>
      </c>
      <c r="J358" s="428">
        <f t="shared" si="125"/>
        <v>5046.6227598505493</v>
      </c>
      <c r="K358" s="428">
        <f t="shared" si="125"/>
        <v>5115.7181540172005</v>
      </c>
      <c r="L358" s="428">
        <f t="shared" si="125"/>
        <v>5158.8088084242172</v>
      </c>
      <c r="M358" s="428">
        <f t="shared" si="125"/>
        <v>5209.5055976852709</v>
      </c>
      <c r="N358" s="428">
        <f t="shared" si="125"/>
        <v>5267.6907681144703</v>
      </c>
      <c r="O358" s="428">
        <f t="shared" si="125"/>
        <v>5313.1233509773065</v>
      </c>
      <c r="P358" s="428">
        <f t="shared" si="125"/>
        <v>5365.3215264925147</v>
      </c>
      <c r="Q358" s="428">
        <f t="shared" si="125"/>
        <v>5419.5151516692549</v>
      </c>
      <c r="R358" s="428">
        <f t="shared" si="125"/>
        <v>5475.0993724038208</v>
      </c>
      <c r="S358" s="428">
        <f t="shared" si="125"/>
        <v>5539.4240134910642</v>
      </c>
      <c r="T358" s="428">
        <f t="shared" si="125"/>
        <v>5596.1393596745302</v>
      </c>
      <c r="U358" s="428">
        <f t="shared" si="125"/>
        <v>5655.0512728679223</v>
      </c>
      <c r="V358" s="428">
        <f t="shared" si="125"/>
        <v>5716.2301537554786</v>
      </c>
      <c r="W358" s="428">
        <f t="shared" si="125"/>
        <v>5778.1318858735149</v>
      </c>
      <c r="X358" s="428">
        <f t="shared" si="125"/>
        <v>5848.3066534975414</v>
      </c>
      <c r="Y358" s="428">
        <f t="shared" si="125"/>
        <v>5910.970206775527</v>
      </c>
      <c r="Z358" s="428">
        <f t="shared" si="125"/>
        <v>5974.1725595366861</v>
      </c>
      <c r="AA358" s="428">
        <f t="shared" si="125"/>
        <v>6041.4196750593537</v>
      </c>
      <c r="AB358" s="428">
        <f t="shared" si="125"/>
        <v>6107.4224213225179</v>
      </c>
      <c r="AC358" s="428">
        <f t="shared" si="125"/>
        <v>6183.9343080707877</v>
      </c>
      <c r="AD358" s="428">
        <f t="shared" si="125"/>
        <v>6254.0762567126494</v>
      </c>
      <c r="AE358" s="428">
        <f t="shared" si="125"/>
        <v>6321.2479120324488</v>
      </c>
      <c r="AF358" s="428">
        <f t="shared" si="125"/>
        <v>6388.3624760506718</v>
      </c>
      <c r="AG358" s="428">
        <f t="shared" si="125"/>
        <v>6462.0025425728509</v>
      </c>
      <c r="AH358" s="431"/>
      <c r="AI358" s="431"/>
    </row>
    <row r="359" spans="2:36" x14ac:dyDescent="0.25">
      <c r="B359" s="421" t="s">
        <v>105</v>
      </c>
      <c r="D359" s="442"/>
      <c r="E359" s="428">
        <f t="shared" ref="E359:AG359" si="126">(E345/SUM(E$336:E$346)*SUM(E$258:E$262))</f>
        <v>3464.3959998011023</v>
      </c>
      <c r="F359" s="428">
        <f t="shared" si="126"/>
        <v>3566.7784753130895</v>
      </c>
      <c r="G359" s="428">
        <f t="shared" si="126"/>
        <v>3564.726669887039</v>
      </c>
      <c r="H359" s="428">
        <f t="shared" si="126"/>
        <v>1543.1064898453351</v>
      </c>
      <c r="I359" s="428">
        <f t="shared" si="126"/>
        <v>2076.4206671429179</v>
      </c>
      <c r="J359" s="428">
        <f t="shared" si="126"/>
        <v>2164.1858032362406</v>
      </c>
      <c r="K359" s="428">
        <f t="shared" si="126"/>
        <v>2193.8165638934752</v>
      </c>
      <c r="L359" s="428">
        <f t="shared" si="126"/>
        <v>2212.2954926657508</v>
      </c>
      <c r="M359" s="428">
        <f t="shared" si="126"/>
        <v>2234.0362244005078</v>
      </c>
      <c r="N359" s="428">
        <f t="shared" si="126"/>
        <v>2258.9882617914473</v>
      </c>
      <c r="O359" s="428">
        <f t="shared" si="126"/>
        <v>2278.471499496145</v>
      </c>
      <c r="P359" s="428">
        <f t="shared" si="126"/>
        <v>2300.856083361532</v>
      </c>
      <c r="Q359" s="428">
        <f t="shared" si="126"/>
        <v>2324.0963927356529</v>
      </c>
      <c r="R359" s="428">
        <f t="shared" si="126"/>
        <v>2347.9330429316465</v>
      </c>
      <c r="S359" s="428">
        <f t="shared" si="126"/>
        <v>2375.5179213074975</v>
      </c>
      <c r="T359" s="428">
        <f t="shared" si="126"/>
        <v>2399.8396415700836</v>
      </c>
      <c r="U359" s="428">
        <f t="shared" si="126"/>
        <v>2425.1033341902157</v>
      </c>
      <c r="V359" s="428">
        <f t="shared" si="126"/>
        <v>2451.3391896871003</v>
      </c>
      <c r="W359" s="428">
        <f t="shared" si="126"/>
        <v>2477.8850315739537</v>
      </c>
      <c r="X359" s="428">
        <f t="shared" si="126"/>
        <v>2507.978669054758</v>
      </c>
      <c r="Y359" s="428">
        <f t="shared" si="126"/>
        <v>2534.8512091351208</v>
      </c>
      <c r="Z359" s="428">
        <f t="shared" si="126"/>
        <v>2561.9548071422919</v>
      </c>
      <c r="AA359" s="428">
        <f t="shared" si="126"/>
        <v>2590.7929548795432</v>
      </c>
      <c r="AB359" s="428">
        <f t="shared" si="126"/>
        <v>2619.0974692517593</v>
      </c>
      <c r="AC359" s="428">
        <f t="shared" si="126"/>
        <v>2651.9087069762786</v>
      </c>
      <c r="AD359" s="428">
        <f t="shared" si="126"/>
        <v>2681.9882704161532</v>
      </c>
      <c r="AE359" s="428">
        <f t="shared" si="126"/>
        <v>2710.7940579181491</v>
      </c>
      <c r="AF359" s="428">
        <f t="shared" si="126"/>
        <v>2739.5753624757594</v>
      </c>
      <c r="AG359" s="428">
        <f t="shared" si="126"/>
        <v>2771.1550533107038</v>
      </c>
      <c r="AH359" s="431"/>
      <c r="AI359" s="431"/>
    </row>
    <row r="360" spans="2:36" x14ac:dyDescent="0.25">
      <c r="B360" s="421" t="s">
        <v>106</v>
      </c>
      <c r="D360" s="442"/>
      <c r="E360" s="428">
        <f t="shared" ref="E360:AG360" si="127">(E346/SUM(E$336:E$346)*SUM(E$258:E$262))</f>
        <v>329.9424761715336</v>
      </c>
      <c r="F360" s="428">
        <f t="shared" si="127"/>
        <v>432.34549700589019</v>
      </c>
      <c r="G360" s="428">
        <f t="shared" si="127"/>
        <v>487.90996599419918</v>
      </c>
      <c r="H360" s="428">
        <f t="shared" si="127"/>
        <v>516.47309758702863</v>
      </c>
      <c r="I360" s="428">
        <f t="shared" si="127"/>
        <v>633.95320174944209</v>
      </c>
      <c r="J360" s="428">
        <f t="shared" si="127"/>
        <v>660.74882650350276</v>
      </c>
      <c r="K360" s="428">
        <f t="shared" si="127"/>
        <v>669.79541127612094</v>
      </c>
      <c r="L360" s="428">
        <f t="shared" si="127"/>
        <v>675.4372237688674</v>
      </c>
      <c r="M360" s="428">
        <f t="shared" si="127"/>
        <v>682.07489922149614</v>
      </c>
      <c r="N360" s="428">
        <f t="shared" si="127"/>
        <v>689.6930202720456</v>
      </c>
      <c r="O360" s="428">
        <f t="shared" si="127"/>
        <v>695.64145890916132</v>
      </c>
      <c r="P360" s="428">
        <f t="shared" si="127"/>
        <v>702.47570923032436</v>
      </c>
      <c r="Q360" s="428">
        <f t="shared" si="127"/>
        <v>709.57122160433869</v>
      </c>
      <c r="R360" s="428">
        <f t="shared" si="127"/>
        <v>716.8488031415734</v>
      </c>
      <c r="S360" s="428">
        <f t="shared" si="127"/>
        <v>725.27075840476277</v>
      </c>
      <c r="T360" s="428">
        <f t="shared" si="127"/>
        <v>732.69643696619653</v>
      </c>
      <c r="U360" s="428">
        <f t="shared" si="127"/>
        <v>740.40970965606209</v>
      </c>
      <c r="V360" s="428">
        <f t="shared" si="127"/>
        <v>748.4197939593414</v>
      </c>
      <c r="W360" s="428">
        <f t="shared" si="127"/>
        <v>756.52452038766216</v>
      </c>
      <c r="X360" s="428">
        <f t="shared" si="127"/>
        <v>765.71242635254248</v>
      </c>
      <c r="Y360" s="428">
        <f t="shared" si="127"/>
        <v>773.91689719636577</v>
      </c>
      <c r="Z360" s="428">
        <f t="shared" si="127"/>
        <v>782.19191247023036</v>
      </c>
      <c r="AA360" s="428">
        <f t="shared" si="127"/>
        <v>790.99650413118184</v>
      </c>
      <c r="AB360" s="428">
        <f t="shared" si="127"/>
        <v>799.63817187903749</v>
      </c>
      <c r="AC360" s="428">
        <f t="shared" si="127"/>
        <v>809.65578995516739</v>
      </c>
      <c r="AD360" s="428">
        <f t="shared" si="127"/>
        <v>818.8393989664246</v>
      </c>
      <c r="AE360" s="428">
        <f t="shared" si="127"/>
        <v>827.63411070512598</v>
      </c>
      <c r="AF360" s="428">
        <f t="shared" si="127"/>
        <v>836.42134754183542</v>
      </c>
      <c r="AG360" s="428">
        <f t="shared" si="127"/>
        <v>846.0629613207127</v>
      </c>
      <c r="AH360" s="431"/>
      <c r="AI360" s="431"/>
    </row>
    <row r="363" spans="2:36" x14ac:dyDescent="0.25">
      <c r="B363" s="422" t="s">
        <v>113</v>
      </c>
      <c r="E363" s="423">
        <v>2017</v>
      </c>
      <c r="F363" s="423">
        <v>2018</v>
      </c>
      <c r="G363" s="423">
        <v>2019</v>
      </c>
      <c r="H363" s="423">
        <v>2020</v>
      </c>
      <c r="I363" s="423">
        <v>2021</v>
      </c>
      <c r="J363" s="423">
        <v>2022</v>
      </c>
      <c r="K363" s="423">
        <v>2023</v>
      </c>
      <c r="L363" s="423">
        <v>2024</v>
      </c>
      <c r="M363" s="423">
        <v>2025</v>
      </c>
      <c r="N363" s="423">
        <v>2026</v>
      </c>
      <c r="O363" s="423">
        <v>2027</v>
      </c>
      <c r="P363" s="423">
        <v>2028</v>
      </c>
      <c r="Q363" s="423">
        <v>2029</v>
      </c>
      <c r="R363" s="423">
        <v>2030</v>
      </c>
      <c r="S363" s="423">
        <v>2031</v>
      </c>
      <c r="T363" s="423">
        <v>2032</v>
      </c>
      <c r="U363" s="423">
        <v>2033</v>
      </c>
      <c r="V363" s="423">
        <v>2034</v>
      </c>
      <c r="W363" s="423">
        <v>2035</v>
      </c>
      <c r="X363" s="423">
        <v>2036</v>
      </c>
      <c r="Y363" s="423">
        <v>2037</v>
      </c>
      <c r="Z363" s="423">
        <v>2038</v>
      </c>
      <c r="AA363" s="423">
        <v>2039</v>
      </c>
      <c r="AB363" s="423">
        <v>2040</v>
      </c>
      <c r="AC363" s="423">
        <v>2041</v>
      </c>
      <c r="AD363" s="423">
        <v>2042</v>
      </c>
      <c r="AE363" s="423">
        <v>2043</v>
      </c>
      <c r="AF363" s="423">
        <v>2044</v>
      </c>
      <c r="AG363" s="423">
        <v>2045</v>
      </c>
      <c r="AH363" s="423"/>
      <c r="AI363" s="423"/>
    </row>
    <row r="364" spans="2:36" x14ac:dyDescent="0.25">
      <c r="B364" s="421" t="s">
        <v>98</v>
      </c>
      <c r="E364" s="428">
        <f t="shared" ref="E364:E374" si="128">SUM(E350,E308,E294)</f>
        <v>566183.46748520632</v>
      </c>
      <c r="F364" s="428">
        <f t="shared" ref="F364:AG373" si="129">SUM(F350,F308,F294)</f>
        <v>529365.36269129068</v>
      </c>
      <c r="G364" s="428">
        <f t="shared" si="129"/>
        <v>541083.16240656527</v>
      </c>
      <c r="H364" s="428">
        <f t="shared" si="129"/>
        <v>524682.95485923078</v>
      </c>
      <c r="I364" s="428">
        <f t="shared" si="129"/>
        <v>546386.66498152027</v>
      </c>
      <c r="J364" s="428">
        <f t="shared" si="129"/>
        <v>564654.10185083724</v>
      </c>
      <c r="K364" s="428">
        <f t="shared" si="129"/>
        <v>571999.80130891921</v>
      </c>
      <c r="L364" s="428">
        <f t="shared" si="129"/>
        <v>581470.12983521796</v>
      </c>
      <c r="M364" s="428">
        <f t="shared" si="129"/>
        <v>590768.92143022281</v>
      </c>
      <c r="N364" s="428">
        <f t="shared" si="129"/>
        <v>603465.26656913105</v>
      </c>
      <c r="O364" s="428">
        <f t="shared" si="129"/>
        <v>608575.62912487891</v>
      </c>
      <c r="P364" s="428">
        <f t="shared" si="129"/>
        <v>616474.32438655919</v>
      </c>
      <c r="Q364" s="428">
        <f t="shared" si="129"/>
        <v>624361.13311185921</v>
      </c>
      <c r="R364" s="428">
        <f t="shared" si="129"/>
        <v>635147.59574654954</v>
      </c>
      <c r="S364" s="428">
        <f t="shared" si="129"/>
        <v>648971.71213786537</v>
      </c>
      <c r="T364" s="428">
        <f t="shared" si="129"/>
        <v>656497.00695854076</v>
      </c>
      <c r="U364" s="428">
        <f t="shared" si="129"/>
        <v>664025.23624176416</v>
      </c>
      <c r="V364" s="428">
        <f t="shared" si="129"/>
        <v>671561.7751558926</v>
      </c>
      <c r="W364" s="428">
        <f t="shared" si="129"/>
        <v>682806.95648025174</v>
      </c>
      <c r="X364" s="428">
        <f t="shared" si="129"/>
        <v>696119.29583237483</v>
      </c>
      <c r="Y364" s="428">
        <f t="shared" si="129"/>
        <v>703144.60991216195</v>
      </c>
      <c r="Z364" s="428">
        <f t="shared" si="129"/>
        <v>710068.01625633915</v>
      </c>
      <c r="AA364" s="428">
        <f t="shared" si="129"/>
        <v>717120.204881849</v>
      </c>
      <c r="AB364" s="428">
        <f t="shared" si="129"/>
        <v>738204.41329962108</v>
      </c>
      <c r="AC364" s="428">
        <f t="shared" si="129"/>
        <v>751145.57671583816</v>
      </c>
      <c r="AD364" s="428">
        <f t="shared" si="129"/>
        <v>757888.03730895603</v>
      </c>
      <c r="AE364" s="428">
        <f t="shared" si="129"/>
        <v>764298.5930610511</v>
      </c>
      <c r="AF364" s="428">
        <f t="shared" si="129"/>
        <v>770557.50899513543</v>
      </c>
      <c r="AG364" s="428">
        <f t="shared" si="129"/>
        <v>777112.62144556607</v>
      </c>
      <c r="AH364" s="431"/>
      <c r="AI364" s="431"/>
      <c r="AJ364" s="431"/>
    </row>
    <row r="365" spans="2:36" x14ac:dyDescent="0.25">
      <c r="B365" s="421" t="s">
        <v>38</v>
      </c>
      <c r="E365" s="428">
        <f t="shared" si="128"/>
        <v>12284774.9836052</v>
      </c>
      <c r="F365" s="428">
        <f t="shared" ref="F365:T365" si="130">SUM(F351,F309,F295)</f>
        <v>13073936.993546166</v>
      </c>
      <c r="G365" s="428">
        <f t="shared" si="130"/>
        <v>12966283.786458429</v>
      </c>
      <c r="H365" s="428">
        <f t="shared" si="130"/>
        <v>12953844.46596135</v>
      </c>
      <c r="I365" s="428">
        <f t="shared" si="130"/>
        <v>13112852.906110145</v>
      </c>
      <c r="J365" s="428">
        <f t="shared" si="130"/>
        <v>13586365.387874903</v>
      </c>
      <c r="K365" s="428">
        <f t="shared" si="130"/>
        <v>13766284.785602372</v>
      </c>
      <c r="L365" s="428">
        <f t="shared" si="130"/>
        <v>13960435.294072699</v>
      </c>
      <c r="M365" s="428">
        <f t="shared" si="130"/>
        <v>14165029.531160813</v>
      </c>
      <c r="N365" s="428">
        <f t="shared" si="130"/>
        <v>14425421.21525814</v>
      </c>
      <c r="O365" s="428">
        <f t="shared" si="130"/>
        <v>14548668.835343111</v>
      </c>
      <c r="P365" s="428">
        <f t="shared" si="130"/>
        <v>14724061.036677662</v>
      </c>
      <c r="Q365" s="428">
        <f t="shared" si="130"/>
        <v>14900905.076555863</v>
      </c>
      <c r="R365" s="428">
        <f t="shared" si="130"/>
        <v>15137965.456173245</v>
      </c>
      <c r="S365" s="428">
        <f t="shared" si="130"/>
        <v>15422304.024533547</v>
      </c>
      <c r="T365" s="428">
        <f t="shared" si="130"/>
        <v>15595227.112380788</v>
      </c>
      <c r="U365" s="428">
        <f t="shared" si="129"/>
        <v>15770014.673665615</v>
      </c>
      <c r="V365" s="428">
        <f t="shared" si="129"/>
        <v>15946814.261144064</v>
      </c>
      <c r="W365" s="428">
        <f t="shared" si="129"/>
        <v>16199859.043071594</v>
      </c>
      <c r="X365" s="428">
        <f t="shared" si="129"/>
        <v>16480206.743734695</v>
      </c>
      <c r="Y365" s="428">
        <f t="shared" si="129"/>
        <v>16649429.526126064</v>
      </c>
      <c r="Z365" s="428">
        <f t="shared" si="129"/>
        <v>16817419.438147858</v>
      </c>
      <c r="AA365" s="428">
        <f t="shared" si="129"/>
        <v>16990902.940866552</v>
      </c>
      <c r="AB365" s="428">
        <f t="shared" si="129"/>
        <v>17449067.261110477</v>
      </c>
      <c r="AC365" s="428">
        <f t="shared" si="129"/>
        <v>17728551.465790536</v>
      </c>
      <c r="AD365" s="428">
        <f t="shared" si="129"/>
        <v>17899319.494924482</v>
      </c>
      <c r="AE365" s="428">
        <f t="shared" si="129"/>
        <v>18062134.824544836</v>
      </c>
      <c r="AF365" s="428">
        <f t="shared" si="129"/>
        <v>18222395.791608177</v>
      </c>
      <c r="AG365" s="428">
        <f t="shared" si="129"/>
        <v>18392977.86316004</v>
      </c>
      <c r="AH365" s="431"/>
      <c r="AI365" s="431"/>
      <c r="AJ365" s="431"/>
    </row>
    <row r="366" spans="2:36" x14ac:dyDescent="0.25">
      <c r="B366" s="421" t="s">
        <v>39</v>
      </c>
      <c r="E366" s="428">
        <f t="shared" si="128"/>
        <v>2252747.8873446989</v>
      </c>
      <c r="F366" s="428">
        <f t="shared" si="129"/>
        <v>2456728.4376255134</v>
      </c>
      <c r="G366" s="428">
        <f t="shared" si="129"/>
        <v>2488987.3521913276</v>
      </c>
      <c r="H366" s="428">
        <f t="shared" si="129"/>
        <v>2986376.3021019306</v>
      </c>
      <c r="I366" s="428">
        <f t="shared" si="129"/>
        <v>2880719.809132346</v>
      </c>
      <c r="J366" s="428">
        <f t="shared" si="129"/>
        <v>2966156.1943794936</v>
      </c>
      <c r="K366" s="428">
        <f t="shared" si="129"/>
        <v>3003605.060717681</v>
      </c>
      <c r="L366" s="428">
        <f t="shared" si="129"/>
        <v>3063624.6424077358</v>
      </c>
      <c r="M366" s="428">
        <f t="shared" si="129"/>
        <v>3115040.5203024233</v>
      </c>
      <c r="N366" s="428">
        <f t="shared" si="129"/>
        <v>3195579.6574126873</v>
      </c>
      <c r="O366" s="428">
        <f t="shared" si="129"/>
        <v>3222118.2699828213</v>
      </c>
      <c r="P366" s="428">
        <f t="shared" si="129"/>
        <v>3267954.5729805105</v>
      </c>
      <c r="Q366" s="428">
        <f t="shared" si="129"/>
        <v>3313184.3095146427</v>
      </c>
      <c r="R366" s="428">
        <f t="shared" si="129"/>
        <v>3371835.0148717449</v>
      </c>
      <c r="S366" s="428">
        <f t="shared" si="129"/>
        <v>3459265.9084572564</v>
      </c>
      <c r="T366" s="428">
        <f t="shared" si="129"/>
        <v>3501091.4405692895</v>
      </c>
      <c r="U366" s="428">
        <f t="shared" si="129"/>
        <v>3542371.05604561</v>
      </c>
      <c r="V366" s="428">
        <f t="shared" si="129"/>
        <v>3583127.4075630535</v>
      </c>
      <c r="W366" s="428">
        <f t="shared" si="129"/>
        <v>3641245.0147156352</v>
      </c>
      <c r="X366" s="428">
        <f t="shared" si="129"/>
        <v>3723514.1693562795</v>
      </c>
      <c r="Y366" s="428">
        <f t="shared" si="129"/>
        <v>3760232.0902975192</v>
      </c>
      <c r="Z366" s="428">
        <f t="shared" si="129"/>
        <v>3796023.7699566861</v>
      </c>
      <c r="AA366" s="428">
        <f t="shared" si="129"/>
        <v>3831741.1500255694</v>
      </c>
      <c r="AB366" s="428">
        <f t="shared" si="129"/>
        <v>3934564.8945624754</v>
      </c>
      <c r="AC366" s="428">
        <f t="shared" si="129"/>
        <v>4012320.4998672474</v>
      </c>
      <c r="AD366" s="428">
        <f t="shared" si="129"/>
        <v>4044903.3519716333</v>
      </c>
      <c r="AE366" s="428">
        <f t="shared" si="129"/>
        <v>4075715.8487672121</v>
      </c>
      <c r="AF366" s="428">
        <f t="shared" si="129"/>
        <v>4105379.8094647476</v>
      </c>
      <c r="AG366" s="428">
        <f t="shared" si="129"/>
        <v>4135605.2450851039</v>
      </c>
      <c r="AH366" s="431"/>
      <c r="AI366" s="431"/>
      <c r="AJ366" s="431"/>
    </row>
    <row r="367" spans="2:36" x14ac:dyDescent="0.25">
      <c r="B367" s="421" t="s">
        <v>99</v>
      </c>
      <c r="E367" s="428">
        <f t="shared" si="128"/>
        <v>12415490.402213022</v>
      </c>
      <c r="F367" s="428">
        <f t="shared" si="129"/>
        <v>13293854.659793368</v>
      </c>
      <c r="G367" s="428">
        <f t="shared" si="129"/>
        <v>13340765.886995278</v>
      </c>
      <c r="H367" s="428">
        <f t="shared" si="129"/>
        <v>12135890.047867272</v>
      </c>
      <c r="I367" s="428">
        <f t="shared" si="129"/>
        <v>12858591.563791059</v>
      </c>
      <c r="J367" s="428">
        <f t="shared" si="129"/>
        <v>13237809.966689456</v>
      </c>
      <c r="K367" s="428">
        <f t="shared" si="129"/>
        <v>13404709.981756832</v>
      </c>
      <c r="L367" s="428">
        <f t="shared" si="129"/>
        <v>13674596.409464363</v>
      </c>
      <c r="M367" s="428">
        <f t="shared" si="129"/>
        <v>13904410.790625457</v>
      </c>
      <c r="N367" s="428">
        <f t="shared" si="129"/>
        <v>14266583.50525355</v>
      </c>
      <c r="O367" s="428">
        <f t="shared" si="129"/>
        <v>14384953.107193984</v>
      </c>
      <c r="P367" s="428">
        <f t="shared" si="129"/>
        <v>14590367.520641804</v>
      </c>
      <c r="Q367" s="428">
        <f t="shared" si="129"/>
        <v>14792967.031853203</v>
      </c>
      <c r="R367" s="428">
        <f t="shared" si="129"/>
        <v>15054878.823722051</v>
      </c>
      <c r="S367" s="428">
        <f t="shared" si="129"/>
        <v>15447999.381560005</v>
      </c>
      <c r="T367" s="428">
        <f t="shared" si="129"/>
        <v>15635107.392246736</v>
      </c>
      <c r="U367" s="428">
        <f t="shared" si="129"/>
        <v>15819667.784140315</v>
      </c>
      <c r="V367" s="428">
        <f t="shared" si="129"/>
        <v>16001780.554306991</v>
      </c>
      <c r="W367" s="428">
        <f t="shared" si="129"/>
        <v>16260664.420877106</v>
      </c>
      <c r="X367" s="428">
        <f t="shared" si="129"/>
        <v>16630264.506301237</v>
      </c>
      <c r="Y367" s="428">
        <f t="shared" si="129"/>
        <v>16794091.791089475</v>
      </c>
      <c r="Z367" s="428">
        <f t="shared" si="129"/>
        <v>16953707.409071315</v>
      </c>
      <c r="AA367" s="428">
        <f t="shared" si="129"/>
        <v>17112842.606307779</v>
      </c>
      <c r="AB367" s="428">
        <f t="shared" si="129"/>
        <v>17569070.609441891</v>
      </c>
      <c r="AC367" s="428">
        <f t="shared" si="129"/>
        <v>17918017.127705976</v>
      </c>
      <c r="AD367" s="428">
        <f t="shared" si="129"/>
        <v>18062863.201622102</v>
      </c>
      <c r="AE367" s="428">
        <f t="shared" si="129"/>
        <v>18199802.176144361</v>
      </c>
      <c r="AF367" s="428">
        <f t="shared" si="129"/>
        <v>18331545.104593229</v>
      </c>
      <c r="AG367" s="428">
        <f t="shared" si="129"/>
        <v>18465597.068807367</v>
      </c>
      <c r="AH367" s="431"/>
      <c r="AI367" s="431"/>
      <c r="AJ367" s="431"/>
    </row>
    <row r="368" spans="2:36" x14ac:dyDescent="0.25">
      <c r="B368" s="421" t="s">
        <v>100</v>
      </c>
      <c r="E368" s="428">
        <f t="shared" si="128"/>
        <v>117163.5195103767</v>
      </c>
      <c r="F368" s="428">
        <f t="shared" si="129"/>
        <v>123580.75038979699</v>
      </c>
      <c r="G368" s="428">
        <f t="shared" si="129"/>
        <v>143241.43028365506</v>
      </c>
      <c r="H368" s="428">
        <f t="shared" si="129"/>
        <v>314269.42201767489</v>
      </c>
      <c r="I368" s="428">
        <f t="shared" si="129"/>
        <v>372861.35656104289</v>
      </c>
      <c r="J368" s="428">
        <f t="shared" si="129"/>
        <v>383543.22578644456</v>
      </c>
      <c r="K368" s="428">
        <f t="shared" si="129"/>
        <v>388344.03973471624</v>
      </c>
      <c r="L368" s="428">
        <f t="shared" si="129"/>
        <v>396459.5806558943</v>
      </c>
      <c r="M368" s="428">
        <f t="shared" si="129"/>
        <v>403153.82608018053</v>
      </c>
      <c r="N368" s="428">
        <f t="shared" si="129"/>
        <v>414047.43340471794</v>
      </c>
      <c r="O368" s="428">
        <f t="shared" si="129"/>
        <v>417465.58867040562</v>
      </c>
      <c r="P368" s="428">
        <f t="shared" si="129"/>
        <v>423540.89413712209</v>
      </c>
      <c r="Q368" s="428">
        <f t="shared" si="129"/>
        <v>429518.78729993023</v>
      </c>
      <c r="R368" s="428">
        <f t="shared" si="129"/>
        <v>437107.59029898047</v>
      </c>
      <c r="S368" s="428">
        <f t="shared" si="129"/>
        <v>448925.69878474739</v>
      </c>
      <c r="T368" s="428">
        <f t="shared" si="129"/>
        <v>454410.78739540261</v>
      </c>
      <c r="U368" s="428">
        <f t="shared" si="129"/>
        <v>459805.71025506011</v>
      </c>
      <c r="V368" s="428">
        <f t="shared" si="129"/>
        <v>465113.20329762914</v>
      </c>
      <c r="W368" s="428">
        <f t="shared" si="129"/>
        <v>472512.62495866197</v>
      </c>
      <c r="X368" s="428">
        <f t="shared" si="129"/>
        <v>483578.71040542208</v>
      </c>
      <c r="Y368" s="428">
        <f t="shared" si="129"/>
        <v>488318.42840910086</v>
      </c>
      <c r="Z368" s="428">
        <f t="shared" si="129"/>
        <v>492924.62479431386</v>
      </c>
      <c r="AA368" s="428">
        <f t="shared" si="129"/>
        <v>497495.01352109463</v>
      </c>
      <c r="AB368" s="428">
        <f t="shared" si="129"/>
        <v>510216.20926185406</v>
      </c>
      <c r="AC368" s="428">
        <f t="shared" si="129"/>
        <v>520608.75663948467</v>
      </c>
      <c r="AD368" s="428">
        <f t="shared" si="129"/>
        <v>524720.93718001735</v>
      </c>
      <c r="AE368" s="428">
        <f t="shared" si="129"/>
        <v>528603.05371621798</v>
      </c>
      <c r="AF368" s="428">
        <f t="shared" si="129"/>
        <v>532324.2612020548</v>
      </c>
      <c r="AG368" s="428">
        <f t="shared" si="129"/>
        <v>536083.45612309198</v>
      </c>
      <c r="AH368" s="431"/>
      <c r="AI368" s="431"/>
      <c r="AJ368" s="431"/>
    </row>
    <row r="369" spans="2:36" x14ac:dyDescent="0.25">
      <c r="B369" s="421" t="s">
        <v>101</v>
      </c>
      <c r="E369" s="428">
        <f t="shared" si="128"/>
        <v>5506018.4744384447</v>
      </c>
      <c r="F369" s="428">
        <f t="shared" si="129"/>
        <v>6031043.4653562009</v>
      </c>
      <c r="G369" s="428">
        <f t="shared" si="129"/>
        <v>6428504.4912374495</v>
      </c>
      <c r="H369" s="428">
        <f t="shared" si="129"/>
        <v>5205599.7437252821</v>
      </c>
      <c r="I369" s="428">
        <f t="shared" si="129"/>
        <v>5811786.415993439</v>
      </c>
      <c r="J369" s="428">
        <f t="shared" si="129"/>
        <v>5978543.5866230633</v>
      </c>
      <c r="K369" s="428">
        <f t="shared" si="129"/>
        <v>6053407.1980596855</v>
      </c>
      <c r="L369" s="428">
        <f t="shared" si="129"/>
        <v>6179667.011994279</v>
      </c>
      <c r="M369" s="428">
        <f t="shared" si="129"/>
        <v>6284015.5346321696</v>
      </c>
      <c r="N369" s="428">
        <f t="shared" si="129"/>
        <v>6453492.5514113149</v>
      </c>
      <c r="O369" s="428">
        <f t="shared" si="129"/>
        <v>6506784.9842786873</v>
      </c>
      <c r="P369" s="428">
        <f t="shared" si="129"/>
        <v>6601384.5468207644</v>
      </c>
      <c r="Q369" s="428">
        <f t="shared" si="129"/>
        <v>6694478.8043984361</v>
      </c>
      <c r="R369" s="428">
        <f t="shared" si="129"/>
        <v>6812815.1319448799</v>
      </c>
      <c r="S369" s="428">
        <f t="shared" si="129"/>
        <v>6996680.192328549</v>
      </c>
      <c r="T369" s="428">
        <f t="shared" si="129"/>
        <v>7082129.2548787659</v>
      </c>
      <c r="U369" s="428">
        <f t="shared" si="129"/>
        <v>7166186.3782061329</v>
      </c>
      <c r="V369" s="428">
        <f t="shared" si="129"/>
        <v>7248894.3415973205</v>
      </c>
      <c r="W369" s="428">
        <f t="shared" si="129"/>
        <v>7364375.2011207463</v>
      </c>
      <c r="X369" s="428">
        <f t="shared" si="129"/>
        <v>7536575.2072400274</v>
      </c>
      <c r="Y369" s="428">
        <f t="shared" si="129"/>
        <v>7610463.2056187624</v>
      </c>
      <c r="Z369" s="428">
        <f t="shared" si="129"/>
        <v>7682279.5118080964</v>
      </c>
      <c r="AA369" s="428">
        <f t="shared" si="129"/>
        <v>7753555.7883656165</v>
      </c>
      <c r="AB369" s="428">
        <f t="shared" si="129"/>
        <v>7952468.54614837</v>
      </c>
      <c r="AC369" s="428">
        <f t="shared" si="129"/>
        <v>8114232.2015807349</v>
      </c>
      <c r="AD369" s="428">
        <f t="shared" si="129"/>
        <v>8178402.8926693238</v>
      </c>
      <c r="AE369" s="428">
        <f t="shared" si="129"/>
        <v>8238988.3709548134</v>
      </c>
      <c r="AF369" s="428">
        <f t="shared" si="129"/>
        <v>8297074.3140434483</v>
      </c>
      <c r="AG369" s="428">
        <f t="shared" si="129"/>
        <v>8355776.2773190495</v>
      </c>
      <c r="AH369" s="431"/>
      <c r="AI369" s="431"/>
      <c r="AJ369" s="431"/>
    </row>
    <row r="370" spans="2:36" x14ac:dyDescent="0.25">
      <c r="B370" s="421" t="s">
        <v>102</v>
      </c>
      <c r="E370" s="428">
        <f t="shared" si="128"/>
        <v>0</v>
      </c>
      <c r="F370" s="428">
        <f t="shared" si="129"/>
        <v>0</v>
      </c>
      <c r="G370" s="428">
        <f t="shared" si="129"/>
        <v>14.143696872038467</v>
      </c>
      <c r="H370" s="428">
        <f t="shared" si="129"/>
        <v>24.842099187611417</v>
      </c>
      <c r="I370" s="428">
        <f t="shared" si="129"/>
        <v>39.277930618072411</v>
      </c>
      <c r="J370" s="428">
        <f t="shared" si="129"/>
        <v>51.991725648762632</v>
      </c>
      <c r="K370" s="428">
        <f t="shared" si="129"/>
        <v>65.161269628440195</v>
      </c>
      <c r="L370" s="428">
        <f t="shared" si="129"/>
        <v>78.729890050036431</v>
      </c>
      <c r="M370" s="428">
        <f t="shared" si="129"/>
        <v>92.31146699537932</v>
      </c>
      <c r="N370" s="428">
        <f t="shared" si="129"/>
        <v>106.19932009523133</v>
      </c>
      <c r="O370" s="428">
        <f t="shared" si="129"/>
        <v>120.01504929962145</v>
      </c>
      <c r="P370" s="428">
        <f t="shared" si="129"/>
        <v>134.04705902540684</v>
      </c>
      <c r="Q370" s="428">
        <f t="shared" si="129"/>
        <v>148.19950767365214</v>
      </c>
      <c r="R370" s="428">
        <f t="shared" si="129"/>
        <v>162.49695587913035</v>
      </c>
      <c r="S370" s="428">
        <f t="shared" si="129"/>
        <v>177.23531419849772</v>
      </c>
      <c r="T370" s="428">
        <f t="shared" si="129"/>
        <v>191.79636767490018</v>
      </c>
      <c r="U370" s="428">
        <f t="shared" si="129"/>
        <v>206.45967801944687</v>
      </c>
      <c r="V370" s="428">
        <f t="shared" si="129"/>
        <v>221.217471172709</v>
      </c>
      <c r="W370" s="428">
        <f t="shared" si="129"/>
        <v>236.13424896291355</v>
      </c>
      <c r="X370" s="428">
        <f t="shared" si="129"/>
        <v>251.5887512496447</v>
      </c>
      <c r="Y370" s="428">
        <f t="shared" si="129"/>
        <v>266.73645475397086</v>
      </c>
      <c r="Z370" s="428">
        <f t="shared" si="129"/>
        <v>282.00716967987654</v>
      </c>
      <c r="AA370" s="428">
        <f t="shared" si="129"/>
        <v>297.31063245592861</v>
      </c>
      <c r="AB370" s="428">
        <f t="shared" si="129"/>
        <v>312.97039679758421</v>
      </c>
      <c r="AC370" s="428">
        <f t="shared" si="129"/>
        <v>329.06607063023046</v>
      </c>
      <c r="AD370" s="428">
        <f t="shared" si="129"/>
        <v>344.70254453627206</v>
      </c>
      <c r="AE370" s="428">
        <f t="shared" si="129"/>
        <v>360.56245878966121</v>
      </c>
      <c r="AF370" s="428">
        <f t="shared" si="129"/>
        <v>376.56347689336087</v>
      </c>
      <c r="AG370" s="428">
        <f t="shared" si="129"/>
        <v>392.48503732270217</v>
      </c>
      <c r="AH370" s="431"/>
      <c r="AI370" s="431"/>
      <c r="AJ370" s="431"/>
    </row>
    <row r="371" spans="2:36" x14ac:dyDescent="0.25">
      <c r="B371" s="421" t="s">
        <v>103</v>
      </c>
      <c r="E371" s="428">
        <f t="shared" si="128"/>
        <v>22404.2683934817</v>
      </c>
      <c r="F371" s="428">
        <f t="shared" si="129"/>
        <v>-4002.8316658706453</v>
      </c>
      <c r="G371" s="428">
        <f t="shared" si="129"/>
        <v>20059.257423257153</v>
      </c>
      <c r="H371" s="428">
        <f t="shared" si="129"/>
        <v>21141.385755843901</v>
      </c>
      <c r="I371" s="428">
        <f t="shared" si="129"/>
        <v>21808.747016016543</v>
      </c>
      <c r="J371" s="428">
        <f t="shared" si="129"/>
        <v>22599.925564705267</v>
      </c>
      <c r="K371" s="428">
        <f t="shared" si="129"/>
        <v>22901.611002172074</v>
      </c>
      <c r="L371" s="428">
        <f t="shared" si="129"/>
        <v>23223.371025058415</v>
      </c>
      <c r="M371" s="428">
        <f t="shared" si="129"/>
        <v>23606.400896371626</v>
      </c>
      <c r="N371" s="428">
        <f t="shared" si="129"/>
        <v>24036.534083602019</v>
      </c>
      <c r="O371" s="428">
        <f t="shared" si="129"/>
        <v>24244.475098337203</v>
      </c>
      <c r="P371" s="428">
        <f t="shared" si="129"/>
        <v>24537.330671924941</v>
      </c>
      <c r="Q371" s="428">
        <f t="shared" si="129"/>
        <v>24832.858792379968</v>
      </c>
      <c r="R371" s="428">
        <f t="shared" si="129"/>
        <v>25290.963740562667</v>
      </c>
      <c r="S371" s="428">
        <f t="shared" si="129"/>
        <v>25760.869348077184</v>
      </c>
      <c r="T371" s="428">
        <f t="shared" si="129"/>
        <v>26050.706502467085</v>
      </c>
      <c r="U371" s="428">
        <f t="shared" si="129"/>
        <v>26343.906443738491</v>
      </c>
      <c r="V371" s="428">
        <f t="shared" si="129"/>
        <v>26640.715706671792</v>
      </c>
      <c r="W371" s="428">
        <f t="shared" si="129"/>
        <v>27144.668305905983</v>
      </c>
      <c r="X371" s="428">
        <f t="shared" si="129"/>
        <v>27607.405336084565</v>
      </c>
      <c r="Y371" s="428">
        <f t="shared" si="129"/>
        <v>27890.634430801922</v>
      </c>
      <c r="Z371" s="428">
        <f t="shared" si="129"/>
        <v>28172.115508484549</v>
      </c>
      <c r="AA371" s="428">
        <f t="shared" si="129"/>
        <v>28463.102207297648</v>
      </c>
      <c r="AB371" s="428">
        <f t="shared" si="129"/>
        <v>29527.916238682767</v>
      </c>
      <c r="AC371" s="428">
        <f t="shared" si="129"/>
        <v>29990.914436198622</v>
      </c>
      <c r="AD371" s="428">
        <f t="shared" si="129"/>
        <v>30278.409512079517</v>
      </c>
      <c r="AE371" s="428">
        <f t="shared" si="129"/>
        <v>30552.898600144275</v>
      </c>
      <c r="AF371" s="428">
        <f t="shared" si="129"/>
        <v>30823.424910919512</v>
      </c>
      <c r="AG371" s="428">
        <f t="shared" si="129"/>
        <v>31111.517765956687</v>
      </c>
      <c r="AH371" s="431"/>
      <c r="AI371" s="431"/>
      <c r="AJ371" s="431"/>
    </row>
    <row r="372" spans="2:36" x14ac:dyDescent="0.25">
      <c r="B372" s="421" t="s">
        <v>104</v>
      </c>
      <c r="E372" s="428">
        <f t="shared" si="128"/>
        <v>45771.777752542759</v>
      </c>
      <c r="F372" s="428">
        <f t="shared" si="129"/>
        <v>50666.37480171994</v>
      </c>
      <c r="G372" s="428">
        <f t="shared" si="129"/>
        <v>47161.493572780033</v>
      </c>
      <c r="H372" s="428">
        <f t="shared" si="129"/>
        <v>90153.764499094017</v>
      </c>
      <c r="I372" s="428">
        <f t="shared" si="129"/>
        <v>74679.926969023159</v>
      </c>
      <c r="J372" s="428">
        <f t="shared" si="129"/>
        <v>77019.710436345631</v>
      </c>
      <c r="K372" s="428">
        <f t="shared" si="129"/>
        <v>78005.954895955831</v>
      </c>
      <c r="L372" s="428">
        <f t="shared" si="129"/>
        <v>79446.804302412347</v>
      </c>
      <c r="M372" s="428">
        <f t="shared" si="129"/>
        <v>80767.673460812162</v>
      </c>
      <c r="N372" s="428">
        <f t="shared" si="129"/>
        <v>82699.922751696242</v>
      </c>
      <c r="O372" s="428">
        <f t="shared" si="129"/>
        <v>83393.560684963362</v>
      </c>
      <c r="P372" s="428">
        <f t="shared" si="129"/>
        <v>84534.574797931127</v>
      </c>
      <c r="Q372" s="428">
        <f t="shared" si="129"/>
        <v>85666.138759613852</v>
      </c>
      <c r="R372" s="428">
        <f t="shared" si="129"/>
        <v>87188.941658185504</v>
      </c>
      <c r="S372" s="428">
        <f t="shared" si="129"/>
        <v>89289.081503033012</v>
      </c>
      <c r="T372" s="428">
        <f t="shared" si="129"/>
        <v>90349.720520182775</v>
      </c>
      <c r="U372" s="428">
        <f t="shared" si="129"/>
        <v>91402.681923396449</v>
      </c>
      <c r="V372" s="428">
        <f t="shared" si="129"/>
        <v>92448.618012901759</v>
      </c>
      <c r="W372" s="428">
        <f t="shared" si="129"/>
        <v>93997.971962041702</v>
      </c>
      <c r="X372" s="428">
        <f t="shared" si="129"/>
        <v>95992.116701833118</v>
      </c>
      <c r="Y372" s="428">
        <f t="shared" si="129"/>
        <v>96948.282862377295</v>
      </c>
      <c r="Z372" s="428">
        <f t="shared" si="129"/>
        <v>97884.965884023113</v>
      </c>
      <c r="AA372" s="428">
        <f t="shared" si="129"/>
        <v>98828.416895689967</v>
      </c>
      <c r="AB372" s="428">
        <f t="shared" si="129"/>
        <v>101695.97065441575</v>
      </c>
      <c r="AC372" s="428">
        <f t="shared" si="129"/>
        <v>103602.7709291928</v>
      </c>
      <c r="AD372" s="428">
        <f t="shared" si="129"/>
        <v>104482.39504140383</v>
      </c>
      <c r="AE372" s="428">
        <f t="shared" si="129"/>
        <v>105316.43491813997</v>
      </c>
      <c r="AF372" s="428">
        <f t="shared" si="129"/>
        <v>106124.76919799375</v>
      </c>
      <c r="AG372" s="428">
        <f t="shared" si="129"/>
        <v>106959.17133840598</v>
      </c>
      <c r="AH372" s="431"/>
      <c r="AI372" s="431"/>
      <c r="AJ372" s="431"/>
    </row>
    <row r="373" spans="2:36" x14ac:dyDescent="0.25">
      <c r="B373" s="421" t="s">
        <v>105</v>
      </c>
      <c r="E373" s="428">
        <f t="shared" si="128"/>
        <v>4446126.8456430975</v>
      </c>
      <c r="F373" s="428">
        <f t="shared" si="129"/>
        <v>4788374.5788816493</v>
      </c>
      <c r="G373" s="428">
        <f t="shared" si="129"/>
        <v>4779196.1979920296</v>
      </c>
      <c r="H373" s="428">
        <f t="shared" si="129"/>
        <v>3008189.7945776917</v>
      </c>
      <c r="I373" s="428">
        <f t="shared" si="129"/>
        <v>3511285.5647552051</v>
      </c>
      <c r="J373" s="428">
        <f t="shared" si="129"/>
        <v>3611989.5342148575</v>
      </c>
      <c r="K373" s="428">
        <f t="shared" si="129"/>
        <v>3657215.0145972627</v>
      </c>
      <c r="L373" s="428">
        <f t="shared" si="129"/>
        <v>3733539.5714725875</v>
      </c>
      <c r="M373" s="428">
        <f t="shared" si="129"/>
        <v>3796608.7692166837</v>
      </c>
      <c r="N373" s="428">
        <f t="shared" si="129"/>
        <v>3899058.0443296744</v>
      </c>
      <c r="O373" s="428">
        <f t="shared" si="129"/>
        <v>3931254.8587531322</v>
      </c>
      <c r="P373" s="428">
        <f t="shared" si="129"/>
        <v>3988427.0159704941</v>
      </c>
      <c r="Q373" s="428">
        <f t="shared" si="129"/>
        <v>4044687.4899521521</v>
      </c>
      <c r="R373" s="428">
        <f t="shared" si="129"/>
        <v>4116212.5168142961</v>
      </c>
      <c r="S373" s="428">
        <f t="shared" si="129"/>
        <v>4227358.5780279385</v>
      </c>
      <c r="T373" s="428">
        <f t="shared" si="129"/>
        <v>4278993.9861126747</v>
      </c>
      <c r="U373" s="428">
        <f t="shared" si="129"/>
        <v>4329786.1295179846</v>
      </c>
      <c r="V373" s="428">
        <f t="shared" si="129"/>
        <v>4379760.8301906465</v>
      </c>
      <c r="W373" s="428">
        <f t="shared" si="129"/>
        <v>4449554.9110108791</v>
      </c>
      <c r="X373" s="428">
        <f t="shared" ref="F373:AG374" si="131">SUM(X359,X317,X303)</f>
        <v>4553642.6431556242</v>
      </c>
      <c r="Y373" s="428">
        <f t="shared" si="131"/>
        <v>4598282.5424396172</v>
      </c>
      <c r="Z373" s="428">
        <f t="shared" si="131"/>
        <v>4641669.2431030925</v>
      </c>
      <c r="AA373" s="428">
        <f t="shared" si="131"/>
        <v>4684726.5935448036</v>
      </c>
      <c r="AB373" s="428">
        <f t="shared" si="131"/>
        <v>4804974.6494727544</v>
      </c>
      <c r="AC373" s="428">
        <f t="shared" si="131"/>
        <v>4902746.7858932326</v>
      </c>
      <c r="AD373" s="428">
        <f t="shared" si="131"/>
        <v>4941505.1389044272</v>
      </c>
      <c r="AE373" s="428">
        <f t="shared" si="131"/>
        <v>4978097.4180134404</v>
      </c>
      <c r="AF373" s="428">
        <f t="shared" si="131"/>
        <v>5013178.1744119637</v>
      </c>
      <c r="AG373" s="428">
        <f t="shared" si="131"/>
        <v>5048626.9851756543</v>
      </c>
    </row>
    <row r="374" spans="2:36" x14ac:dyDescent="0.25">
      <c r="B374" s="421" t="s">
        <v>106</v>
      </c>
      <c r="E374" s="428">
        <f t="shared" si="128"/>
        <v>80708.760087595248</v>
      </c>
      <c r="F374" s="428">
        <f t="shared" si="131"/>
        <v>109501.93137213677</v>
      </c>
      <c r="G374" s="428">
        <f t="shared" si="131"/>
        <v>122942.97415227485</v>
      </c>
      <c r="H374" s="428">
        <f t="shared" si="131"/>
        <v>185933.40972930193</v>
      </c>
      <c r="I374" s="428">
        <f t="shared" si="131"/>
        <v>198242.05483645617</v>
      </c>
      <c r="J374" s="428">
        <f t="shared" si="131"/>
        <v>203946.63855521235</v>
      </c>
      <c r="K374" s="428">
        <f t="shared" si="131"/>
        <v>206502.31590989482</v>
      </c>
      <c r="L374" s="428">
        <f t="shared" si="131"/>
        <v>210793.96369021485</v>
      </c>
      <c r="M374" s="428">
        <f t="shared" si="131"/>
        <v>214352.27669497559</v>
      </c>
      <c r="N374" s="428">
        <f t="shared" si="131"/>
        <v>220112.73487297414</v>
      </c>
      <c r="O374" s="428">
        <f t="shared" si="131"/>
        <v>221931.33624331478</v>
      </c>
      <c r="P374" s="428">
        <f t="shared" si="131"/>
        <v>225151.97420604454</v>
      </c>
      <c r="Q374" s="428">
        <f t="shared" si="131"/>
        <v>228322.09225673051</v>
      </c>
      <c r="R374" s="428">
        <f t="shared" si="131"/>
        <v>232359.68137010452</v>
      </c>
      <c r="S374" s="428">
        <f t="shared" si="131"/>
        <v>238609.50651484734</v>
      </c>
      <c r="T374" s="428">
        <f t="shared" si="131"/>
        <v>241521.1281573186</v>
      </c>
      <c r="U374" s="428">
        <f t="shared" si="131"/>
        <v>244386.12315925414</v>
      </c>
      <c r="V374" s="428">
        <f t="shared" si="131"/>
        <v>247205.95928734005</v>
      </c>
      <c r="W374" s="428">
        <f t="shared" si="131"/>
        <v>251151.68317718164</v>
      </c>
      <c r="X374" s="428">
        <f t="shared" si="131"/>
        <v>257007.25314646974</v>
      </c>
      <c r="Y374" s="428">
        <f t="shared" si="131"/>
        <v>259528.18332732885</v>
      </c>
      <c r="Z374" s="428">
        <f t="shared" si="131"/>
        <v>261979.0453980102</v>
      </c>
      <c r="AA374" s="428">
        <f t="shared" si="131"/>
        <v>264412.63232269511</v>
      </c>
      <c r="AB374" s="428">
        <f t="shared" si="131"/>
        <v>271227.85836644546</v>
      </c>
      <c r="AC374" s="428">
        <f t="shared" si="131"/>
        <v>276731.35457184765</v>
      </c>
      <c r="AD374" s="428">
        <f t="shared" si="131"/>
        <v>278924.86779402138</v>
      </c>
      <c r="AE374" s="428">
        <f t="shared" si="131"/>
        <v>280996.13163914956</v>
      </c>
      <c r="AF374" s="428">
        <f t="shared" si="131"/>
        <v>282982.67297017493</v>
      </c>
      <c r="AG374" s="428">
        <f t="shared" si="131"/>
        <v>284991.74260823952</v>
      </c>
    </row>
    <row r="375" spans="2:36" x14ac:dyDescent="0.25">
      <c r="B375" s="422"/>
      <c r="C375" s="423"/>
      <c r="E375" s="443">
        <f>SUM(E364:E374)</f>
        <v>37737390.386473663</v>
      </c>
      <c r="F375" s="443">
        <f t="shared" ref="F375:AG375" si="132">SUM(F364:F374)</f>
        <v>40453049.722791962</v>
      </c>
      <c r="G375" s="443">
        <f t="shared" si="132"/>
        <v>40878240.176409915</v>
      </c>
      <c r="H375" s="443">
        <f t="shared" si="132"/>
        <v>37426106.133193865</v>
      </c>
      <c r="I375" s="443">
        <f t="shared" si="132"/>
        <v>39389254.28807687</v>
      </c>
      <c r="J375" s="443">
        <f t="shared" si="132"/>
        <v>40632680.263700962</v>
      </c>
      <c r="K375" s="443">
        <f t="shared" si="132"/>
        <v>41153040.924855113</v>
      </c>
      <c r="L375" s="443">
        <f t="shared" si="132"/>
        <v>41903335.508810498</v>
      </c>
      <c r="M375" s="443">
        <f t="shared" si="132"/>
        <v>42577846.5559671</v>
      </c>
      <c r="N375" s="443">
        <f t="shared" si="132"/>
        <v>43584603.064667583</v>
      </c>
      <c r="O375" s="443">
        <f t="shared" si="132"/>
        <v>43949510.660422936</v>
      </c>
      <c r="P375" s="443">
        <f t="shared" si="132"/>
        <v>44546567.838349834</v>
      </c>
      <c r="Q375" s="443">
        <f t="shared" si="132"/>
        <v>45139071.922002487</v>
      </c>
      <c r="R375" s="443">
        <f t="shared" si="132"/>
        <v>45910964.21329648</v>
      </c>
      <c r="S375" s="443">
        <f t="shared" si="132"/>
        <v>47005342.188510068</v>
      </c>
      <c r="T375" s="443">
        <f t="shared" si="132"/>
        <v>47561570.332089841</v>
      </c>
      <c r="U375" s="443">
        <f t="shared" si="132"/>
        <v>48114196.139276884</v>
      </c>
      <c r="V375" s="443">
        <f t="shared" si="132"/>
        <v>48663568.883733682</v>
      </c>
      <c r="W375" s="443">
        <f t="shared" si="132"/>
        <v>49443548.629928969</v>
      </c>
      <c r="X375" s="443">
        <f t="shared" si="132"/>
        <v>50484759.639961302</v>
      </c>
      <c r="Y375" s="443">
        <f t="shared" si="132"/>
        <v>50988596.030967973</v>
      </c>
      <c r="Z375" s="443">
        <f t="shared" si="132"/>
        <v>51482410.147097893</v>
      </c>
      <c r="AA375" s="443">
        <f t="shared" si="132"/>
        <v>51980385.759571403</v>
      </c>
      <c r="AB375" s="443">
        <f t="shared" si="132"/>
        <v>53361331.298953772</v>
      </c>
      <c r="AC375" s="443">
        <f t="shared" si="132"/>
        <v>54358276.520200923</v>
      </c>
      <c r="AD375" s="443">
        <f t="shared" si="132"/>
        <v>54823633.42947299</v>
      </c>
      <c r="AE375" s="443">
        <f t="shared" si="132"/>
        <v>55264866.312818162</v>
      </c>
      <c r="AF375" s="443">
        <f t="shared" si="132"/>
        <v>55692762.394874722</v>
      </c>
      <c r="AG375" s="443">
        <f t="shared" si="132"/>
        <v>56135234.4338658</v>
      </c>
      <c r="AH375" s="423"/>
      <c r="AI375" s="423"/>
    </row>
    <row r="376" spans="2:36" x14ac:dyDescent="0.25">
      <c r="E376" s="423"/>
      <c r="F376" s="423"/>
      <c r="G376" s="423"/>
      <c r="H376" s="423"/>
      <c r="I376" s="423"/>
      <c r="J376" s="423"/>
      <c r="K376" s="423"/>
      <c r="L376" s="423"/>
      <c r="M376" s="423"/>
      <c r="N376" s="423"/>
      <c r="O376" s="423"/>
      <c r="P376" s="423"/>
      <c r="Q376" s="423"/>
      <c r="R376" s="423"/>
      <c r="S376" s="423"/>
      <c r="T376" s="423"/>
      <c r="U376" s="423"/>
      <c r="V376" s="423"/>
      <c r="W376" s="423"/>
      <c r="X376" s="423"/>
      <c r="Y376" s="423"/>
      <c r="Z376" s="423"/>
      <c r="AA376" s="423"/>
      <c r="AB376" s="423"/>
      <c r="AC376" s="423"/>
      <c r="AD376" s="423"/>
      <c r="AE376" s="423"/>
      <c r="AF376" s="423"/>
      <c r="AG376" s="423"/>
      <c r="AH376" s="423"/>
      <c r="AI376" s="423"/>
    </row>
    <row r="377" spans="2:36" x14ac:dyDescent="0.25">
      <c r="B377" s="422" t="s">
        <v>114</v>
      </c>
      <c r="E377" s="423">
        <v>2017</v>
      </c>
      <c r="F377" s="423">
        <v>2018</v>
      </c>
      <c r="G377" s="423">
        <v>2019</v>
      </c>
      <c r="H377" s="423">
        <v>2020</v>
      </c>
      <c r="I377" s="423">
        <v>2021</v>
      </c>
      <c r="J377" s="423">
        <v>2022</v>
      </c>
      <c r="K377" s="423">
        <v>2023</v>
      </c>
      <c r="L377" s="423">
        <v>2024</v>
      </c>
      <c r="M377" s="423">
        <v>2025</v>
      </c>
      <c r="N377" s="423">
        <v>2026</v>
      </c>
      <c r="O377" s="423">
        <v>2027</v>
      </c>
      <c r="P377" s="423">
        <v>2028</v>
      </c>
      <c r="Q377" s="423">
        <v>2029</v>
      </c>
      <c r="R377" s="423">
        <v>2030</v>
      </c>
      <c r="S377" s="423">
        <v>2031</v>
      </c>
      <c r="T377" s="423">
        <v>2032</v>
      </c>
      <c r="U377" s="423">
        <v>2033</v>
      </c>
      <c r="V377" s="423">
        <v>2034</v>
      </c>
      <c r="W377" s="423">
        <v>2035</v>
      </c>
      <c r="X377" s="423">
        <v>2036</v>
      </c>
      <c r="Y377" s="423">
        <v>2037</v>
      </c>
      <c r="Z377" s="423">
        <v>2038</v>
      </c>
      <c r="AA377" s="423">
        <v>2039</v>
      </c>
      <c r="AB377" s="423">
        <v>2040</v>
      </c>
      <c r="AC377" s="423">
        <v>2041</v>
      </c>
      <c r="AD377" s="423">
        <v>2042</v>
      </c>
      <c r="AE377" s="423">
        <v>2043</v>
      </c>
      <c r="AF377" s="423">
        <v>2044</v>
      </c>
      <c r="AG377" s="423">
        <v>2045</v>
      </c>
      <c r="AH377" s="423"/>
      <c r="AI377" s="423"/>
    </row>
    <row r="378" spans="2:36" x14ac:dyDescent="0.25">
      <c r="B378" s="421" t="s">
        <v>98</v>
      </c>
      <c r="E378" s="428">
        <f>'SNG Plant'!E281</f>
        <v>182885.19117599219</v>
      </c>
      <c r="F378" s="428">
        <f>'SNG Plant'!F281</f>
        <v>152552.48386229269</v>
      </c>
      <c r="G378" s="428">
        <f>'SNG Plant'!G281</f>
        <v>158301.8238760072</v>
      </c>
      <c r="H378" s="428">
        <f>'SNG Plant'!H281</f>
        <v>153879.83725671007</v>
      </c>
      <c r="I378" s="428">
        <f>'SNG Plant'!I281</f>
        <v>159540.85469421098</v>
      </c>
      <c r="J378" s="428">
        <f>'SNG Plant'!J281</f>
        <v>164178.83924186937</v>
      </c>
      <c r="K378" s="428">
        <f>'SNG Plant'!K281</f>
        <v>173355.81485150842</v>
      </c>
      <c r="L378" s="428">
        <f>'SNG Plant'!L281</f>
        <v>177110.52859565496</v>
      </c>
      <c r="M378" s="428">
        <f>'SNG Plant'!M281</f>
        <v>177506.54611718864</v>
      </c>
      <c r="N378" s="428">
        <f>'SNG Plant'!N281</f>
        <v>177518.23581879732</v>
      </c>
      <c r="O378" s="428">
        <f>'SNG Plant'!O281</f>
        <v>178280.53611101533</v>
      </c>
      <c r="P378" s="428">
        <f>'SNG Plant'!P281</f>
        <v>180915.58744961707</v>
      </c>
      <c r="Q378" s="428">
        <f>'SNG Plant'!Q281</f>
        <v>183522.54894642427</v>
      </c>
      <c r="R378" s="428">
        <f>'SNG Plant'!R281</f>
        <v>186069.80891319399</v>
      </c>
      <c r="S378" s="428">
        <f>'SNG Plant'!S281</f>
        <v>188521.81088750146</v>
      </c>
      <c r="T378" s="428">
        <f>'SNG Plant'!T281</f>
        <v>190948.35918826208</v>
      </c>
      <c r="U378" s="428">
        <f>'SNG Plant'!U281</f>
        <v>193352.80750102788</v>
      </c>
      <c r="V378" s="428">
        <f>'SNG Plant'!V281</f>
        <v>195737.21045762455</v>
      </c>
      <c r="W378" s="428">
        <f>'SNG Plant'!W281</f>
        <v>198039.03195078913</v>
      </c>
      <c r="X378" s="428">
        <f>'SNG Plant'!X281</f>
        <v>200237.36279611051</v>
      </c>
      <c r="Y378" s="428">
        <f>'SNG Plant'!Y281</f>
        <v>202413.38039058528</v>
      </c>
      <c r="Z378" s="428">
        <f>'SNG Plant'!Z281</f>
        <v>204520.46464246287</v>
      </c>
      <c r="AA378" s="428">
        <f>'SNG Plant'!AA281</f>
        <v>206658.6258435343</v>
      </c>
      <c r="AB378" s="428">
        <f>'SNG Plant'!AB281</f>
        <v>208607.05483922761</v>
      </c>
      <c r="AC378" s="428">
        <f>'SNG Plant'!AC281</f>
        <v>210567.30663251699</v>
      </c>
      <c r="AD378" s="428">
        <f>'SNG Plant'!AD281</f>
        <v>212537.52433050214</v>
      </c>
      <c r="AE378" s="428">
        <f>'SNG Plant'!AE281</f>
        <v>214339.24470120145</v>
      </c>
      <c r="AF378" s="428">
        <f>'SNG Plant'!AF281</f>
        <v>216056.22566447963</v>
      </c>
      <c r="AG378" s="428">
        <f>'SNG Plant'!AG281</f>
        <v>217875.36928072484</v>
      </c>
      <c r="AH378" s="431"/>
      <c r="AI378" s="431"/>
      <c r="AJ378" s="431"/>
    </row>
    <row r="379" spans="2:36" x14ac:dyDescent="0.25">
      <c r="B379" s="421" t="s">
        <v>38</v>
      </c>
      <c r="E379" s="428">
        <f>'SNG Plant'!E282</f>
        <v>2019233.4096169788</v>
      </c>
      <c r="F379" s="428">
        <f>'SNG Plant'!F282</f>
        <v>2094527.0175634585</v>
      </c>
      <c r="G379" s="428">
        <f>'SNG Plant'!G282</f>
        <v>2068439.0116025417</v>
      </c>
      <c r="H379" s="428">
        <f>'SNG Plant'!H282</f>
        <v>2362312.9516927213</v>
      </c>
      <c r="I379" s="428">
        <f>'SNG Plant'!I282</f>
        <v>2247768.8135318616</v>
      </c>
      <c r="J379" s="428">
        <f>'SNG Plant'!J282</f>
        <v>2313113.3113023601</v>
      </c>
      <c r="K379" s="428">
        <f>'SNG Plant'!K282</f>
        <v>2442407.5890434813</v>
      </c>
      <c r="L379" s="428">
        <f>'SNG Plant'!L282</f>
        <v>2495307.6971318345</v>
      </c>
      <c r="M379" s="428">
        <f>'SNG Plant'!M282</f>
        <v>2500887.1823127414</v>
      </c>
      <c r="N379" s="428">
        <f>'SNG Plant'!N282</f>
        <v>2501051.8783510434</v>
      </c>
      <c r="O379" s="428">
        <f>'SNG Plant'!O282</f>
        <v>2511791.9162346185</v>
      </c>
      <c r="P379" s="428">
        <f>'SNG Plant'!P282</f>
        <v>2548917.116750292</v>
      </c>
      <c r="Q379" s="428">
        <f>'SNG Plant'!Q282</f>
        <v>2585646.5598878074</v>
      </c>
      <c r="R379" s="428">
        <f>'SNG Plant'!R282</f>
        <v>2621534.8690249082</v>
      </c>
      <c r="S379" s="428">
        <f>'SNG Plant'!S282</f>
        <v>2656081.0896724705</v>
      </c>
      <c r="T379" s="428">
        <f>'SNG Plant'!T282</f>
        <v>2690268.6938785063</v>
      </c>
      <c r="U379" s="428">
        <f>'SNG Plant'!U282</f>
        <v>2724144.9316706588</v>
      </c>
      <c r="V379" s="428">
        <f>'SNG Plant'!V282</f>
        <v>2757738.7507272493</v>
      </c>
      <c r="W379" s="428">
        <f>'SNG Plant'!W282</f>
        <v>2790169.0807299907</v>
      </c>
      <c r="X379" s="428">
        <f>'SNG Plant'!X282</f>
        <v>2821141.3324796096</v>
      </c>
      <c r="Y379" s="428">
        <f>'SNG Plant'!Y282</f>
        <v>2851799.2131580855</v>
      </c>
      <c r="Z379" s="428">
        <f>'SNG Plant'!Z282</f>
        <v>2881485.892961402</v>
      </c>
      <c r="AA379" s="428">
        <f>'SNG Plant'!AA282</f>
        <v>2911610.4154561823</v>
      </c>
      <c r="AB379" s="428">
        <f>'SNG Plant'!AB282</f>
        <v>2939061.8036306715</v>
      </c>
      <c r="AC379" s="428">
        <f>'SNG Plant'!AC282</f>
        <v>2966679.7630309216</v>
      </c>
      <c r="AD379" s="428">
        <f>'SNG Plant'!AD282</f>
        <v>2994438.1319194906</v>
      </c>
      <c r="AE379" s="428">
        <f>'SNG Plant'!AE282</f>
        <v>3019822.5443806443</v>
      </c>
      <c r="AF379" s="428">
        <f>'SNG Plant'!AF282</f>
        <v>3044013.0645460389</v>
      </c>
      <c r="AG379" s="428">
        <f>'SNG Plant'!AG282</f>
        <v>3069642.9528637924</v>
      </c>
      <c r="AH379" s="431"/>
      <c r="AI379" s="431"/>
      <c r="AJ379" s="431"/>
    </row>
    <row r="380" spans="2:36" x14ac:dyDescent="0.25">
      <c r="B380" s="421" t="s">
        <v>39</v>
      </c>
      <c r="E380" s="428">
        <f>'SNG Plant'!E283</f>
        <v>1348874.9330025907</v>
      </c>
      <c r="F380" s="428">
        <f>'SNG Plant'!F283</f>
        <v>1396511.193987241</v>
      </c>
      <c r="G380" s="428">
        <f>'SNG Plant'!G283</f>
        <v>1424016.7638461916</v>
      </c>
      <c r="H380" s="428">
        <f>'SNG Plant'!H283</f>
        <v>1526073.0524036696</v>
      </c>
      <c r="I380" s="428">
        <f>'SNG Plant'!I283</f>
        <v>1520665.5679000292</v>
      </c>
      <c r="J380" s="428">
        <f>'SNG Plant'!J283</f>
        <v>1564872.5731814948</v>
      </c>
      <c r="K380" s="428">
        <f>'SNG Plant'!K283</f>
        <v>1652343.0261496953</v>
      </c>
      <c r="L380" s="428">
        <f>'SNG Plant'!L283</f>
        <v>1688131.1251854454</v>
      </c>
      <c r="M380" s="428">
        <f>'SNG Plant'!M283</f>
        <v>1691905.7709364386</v>
      </c>
      <c r="N380" s="428">
        <f>'SNG Plant'!N283</f>
        <v>1692017.1914673708</v>
      </c>
      <c r="O380" s="428">
        <f>'SNG Plant'!O283</f>
        <v>1699283.0658353993</v>
      </c>
      <c r="P380" s="428">
        <f>'SNG Plant'!P283</f>
        <v>1724399.0892385631</v>
      </c>
      <c r="Q380" s="428">
        <f>'SNG Plant'!Q283</f>
        <v>1749247.3739781315</v>
      </c>
      <c r="R380" s="428">
        <f>'SNG Plant'!R283</f>
        <v>1773526.612868892</v>
      </c>
      <c r="S380" s="428">
        <f>'SNG Plant'!S283</f>
        <v>1796897.8990632584</v>
      </c>
      <c r="T380" s="428">
        <f>'SNG Plant'!T283</f>
        <v>1820026.573263265</v>
      </c>
      <c r="U380" s="428">
        <f>'SNG Plant'!U283</f>
        <v>1842944.6011629296</v>
      </c>
      <c r="V380" s="428">
        <f>'SNG Plant'!V283</f>
        <v>1865671.5665101148</v>
      </c>
      <c r="W380" s="428">
        <f>'SNG Plant'!W283</f>
        <v>1887611.4056492278</v>
      </c>
      <c r="X380" s="428">
        <f>'SNG Plant'!X283</f>
        <v>1908564.8224385516</v>
      </c>
      <c r="Y380" s="428">
        <f>'SNG Plant'!Y283</f>
        <v>1929305.5602101071</v>
      </c>
      <c r="Z380" s="428">
        <f>'SNG Plant'!Z283</f>
        <v>1949389.2590008399</v>
      </c>
      <c r="AA380" s="428">
        <f>'SNG Plant'!AA283</f>
        <v>1969769.1681051322</v>
      </c>
      <c r="AB380" s="428">
        <f>'SNG Plant'!AB283</f>
        <v>1988340.6424207722</v>
      </c>
      <c r="AC380" s="428">
        <f>'SNG Plant'!AC283</f>
        <v>2007024.8058733435</v>
      </c>
      <c r="AD380" s="428">
        <f>'SNG Plant'!AD283</f>
        <v>2025803.9594659184</v>
      </c>
      <c r="AE380" s="428">
        <f>'SNG Plant'!AE283</f>
        <v>2042977.0787647825</v>
      </c>
      <c r="AF380" s="428">
        <f>'SNG Plant'!AF283</f>
        <v>2059342.5033865904</v>
      </c>
      <c r="AG380" s="428">
        <f>'SNG Plant'!AG283</f>
        <v>2076681.6925591158</v>
      </c>
      <c r="AH380" s="431"/>
      <c r="AI380" s="431"/>
      <c r="AJ380" s="431"/>
    </row>
    <row r="381" spans="2:36" x14ac:dyDescent="0.25">
      <c r="B381" s="421" t="s">
        <v>99</v>
      </c>
      <c r="E381" s="428">
        <f>'SNG Plant'!E284</f>
        <v>7815774.7392717209</v>
      </c>
      <c r="F381" s="428">
        <f>'SNG Plant'!F284</f>
        <v>7917242.1412178427</v>
      </c>
      <c r="G381" s="428">
        <f>'SNG Plant'!G284</f>
        <v>7987130.3804610418</v>
      </c>
      <c r="H381" s="428">
        <f>'SNG Plant'!H284</f>
        <v>6267211.9350496233</v>
      </c>
      <c r="I381" s="428">
        <f>'SNG Plant'!I284</f>
        <v>6930598.66687991</v>
      </c>
      <c r="J381" s="428">
        <f>'SNG Plant'!J284</f>
        <v>7132076.9000548599</v>
      </c>
      <c r="K381" s="428">
        <f>'SNG Plant'!K284</f>
        <v>7530733.0000742469</v>
      </c>
      <c r="L381" s="428">
        <f>'SNG Plant'!L284</f>
        <v>7693841.1526510539</v>
      </c>
      <c r="M381" s="428">
        <f>'SNG Plant'!M284</f>
        <v>7711044.5110764727</v>
      </c>
      <c r="N381" s="428">
        <f>'SNG Plant'!N284</f>
        <v>7711552.3222608911</v>
      </c>
      <c r="O381" s="428">
        <f>'SNG Plant'!O284</f>
        <v>7744667.3347079186</v>
      </c>
      <c r="P381" s="428">
        <f>'SNG Plant'!P284</f>
        <v>7859136.3422199879</v>
      </c>
      <c r="Q381" s="428">
        <f>'SNG Plant'!Q284</f>
        <v>7972385.1016616356</v>
      </c>
      <c r="R381" s="428">
        <f>'SNG Plant'!R284</f>
        <v>8083040.3727752799</v>
      </c>
      <c r="S381" s="428">
        <f>'SNG Plant'!S284</f>
        <v>8189557.550753884</v>
      </c>
      <c r="T381" s="428">
        <f>'SNG Plant'!T284</f>
        <v>8294968.9981891187</v>
      </c>
      <c r="U381" s="428">
        <f>'SNG Plant'!U284</f>
        <v>8399420.402207084</v>
      </c>
      <c r="V381" s="428">
        <f>'SNG Plant'!V284</f>
        <v>8503001.0178679898</v>
      </c>
      <c r="W381" s="428">
        <f>'SNG Plant'!W284</f>
        <v>8602994.2202517837</v>
      </c>
      <c r="X381" s="428">
        <f>'SNG Plant'!X284</f>
        <v>8698491.6955232285</v>
      </c>
      <c r="Y381" s="428">
        <f>'SNG Plant'!Y284</f>
        <v>8793019.8630467132</v>
      </c>
      <c r="Z381" s="428">
        <f>'SNG Plant'!Z284</f>
        <v>8884553.5039755907</v>
      </c>
      <c r="AA381" s="428">
        <f>'SNG Plant'!AA284</f>
        <v>8977437.1556153111</v>
      </c>
      <c r="AB381" s="428">
        <f>'SNG Plant'!AB284</f>
        <v>9062078.6690755747</v>
      </c>
      <c r="AC381" s="428">
        <f>'SNG Plant'!AC284</f>
        <v>9147233.775530031</v>
      </c>
      <c r="AD381" s="428">
        <f>'SNG Plant'!AD284</f>
        <v>9232821.8098757844</v>
      </c>
      <c r="AE381" s="428">
        <f>'SNG Plant'!AE284</f>
        <v>9311090.1683046799</v>
      </c>
      <c r="AF381" s="428">
        <f>'SNG Plant'!AF284</f>
        <v>9385677.3704226688</v>
      </c>
      <c r="AG381" s="428">
        <f>'SNG Plant'!AG284</f>
        <v>9464702.6103574652</v>
      </c>
      <c r="AH381" s="431"/>
      <c r="AI381" s="431"/>
      <c r="AJ381" s="431"/>
    </row>
    <row r="382" spans="2:36" x14ac:dyDescent="0.25">
      <c r="B382" s="421" t="s">
        <v>100</v>
      </c>
      <c r="E382" s="428">
        <f>'SNG Plant'!E285</f>
        <v>81873.937883420818</v>
      </c>
      <c r="F382" s="428">
        <f>'SNG Plant'!F285</f>
        <v>81494.077006320556</v>
      </c>
      <c r="G382" s="428">
        <f>'SNG Plant'!G285</f>
        <v>95165.840868590472</v>
      </c>
      <c r="H382" s="428">
        <f>'SNG Plant'!H285</f>
        <v>179069.24518960016</v>
      </c>
      <c r="I382" s="428">
        <f>'SNG Plant'!I285</f>
        <v>222796.7062044749</v>
      </c>
      <c r="J382" s="428">
        <f>'SNG Plant'!J285</f>
        <v>229273.59065282578</v>
      </c>
      <c r="K382" s="428">
        <f>'SNG Plant'!K285</f>
        <v>242089.11644817915</v>
      </c>
      <c r="L382" s="428">
        <f>'SNG Plant'!L285</f>
        <v>247332.52483119111</v>
      </c>
      <c r="M382" s="428">
        <f>'SNG Plant'!M285</f>
        <v>247885.55809383761</v>
      </c>
      <c r="N382" s="428">
        <f>'SNG Plant'!N285</f>
        <v>247901.88260845756</v>
      </c>
      <c r="O382" s="428">
        <f>'SNG Plant'!O285</f>
        <v>248966.42494509229</v>
      </c>
      <c r="P382" s="428">
        <f>'SNG Plant'!P285</f>
        <v>252646.23949820732</v>
      </c>
      <c r="Q382" s="428">
        <f>'SNG Plant'!Q285</f>
        <v>256286.82695653444</v>
      </c>
      <c r="R382" s="428">
        <f>'SNG Plant'!R285</f>
        <v>259844.04201301991</v>
      </c>
      <c r="S382" s="428">
        <f>'SNG Plant'!S285</f>
        <v>263268.23053532443</v>
      </c>
      <c r="T382" s="428">
        <f>'SNG Plant'!T285</f>
        <v>266656.87333714304</v>
      </c>
      <c r="U382" s="428">
        <f>'SNG Plant'!U285</f>
        <v>270014.65379626059</v>
      </c>
      <c r="V382" s="428">
        <f>'SNG Plant'!V285</f>
        <v>273344.44117901067</v>
      </c>
      <c r="W382" s="428">
        <f>'SNG Plant'!W285</f>
        <v>276558.90463372064</v>
      </c>
      <c r="X382" s="428">
        <f>'SNG Plant'!X285</f>
        <v>279628.84475923935</v>
      </c>
      <c r="Y382" s="428">
        <f>'SNG Plant'!Y285</f>
        <v>282667.624723288</v>
      </c>
      <c r="Z382" s="428">
        <f>'SNG Plant'!Z285</f>
        <v>285610.14018061972</v>
      </c>
      <c r="AA382" s="428">
        <f>'SNG Plant'!AA285</f>
        <v>288596.05418895319</v>
      </c>
      <c r="AB382" s="428">
        <f>'SNG Plant'!AB285</f>
        <v>291317.00966675725</v>
      </c>
      <c r="AC382" s="428">
        <f>'SNG Plant'!AC285</f>
        <v>294054.47552597796</v>
      </c>
      <c r="AD382" s="428">
        <f>'SNG Plant'!AD285</f>
        <v>296805.85864009126</v>
      </c>
      <c r="AE382" s="428">
        <f>'SNG Plant'!AE285</f>
        <v>299321.93745177047</v>
      </c>
      <c r="AF382" s="428">
        <f>'SNG Plant'!AF285</f>
        <v>301719.67879499804</v>
      </c>
      <c r="AG382" s="428">
        <f>'SNG Plant'!AG285</f>
        <v>304260.08894003055</v>
      </c>
      <c r="AH382" s="431"/>
      <c r="AI382" s="431"/>
      <c r="AJ382" s="431"/>
    </row>
    <row r="383" spans="2:36" x14ac:dyDescent="0.25">
      <c r="B383" s="421" t="s">
        <v>101</v>
      </c>
      <c r="E383" s="428">
        <f>'SNG Plant'!E286</f>
        <v>3861259.6138409814</v>
      </c>
      <c r="F383" s="428">
        <f>'SNG Plant'!F286</f>
        <v>3992909.1242230567</v>
      </c>
      <c r="G383" s="428">
        <f>'SNG Plant'!G286</f>
        <v>4282004.776378775</v>
      </c>
      <c r="H383" s="428">
        <f>'SNG Plant'!H286</f>
        <v>2949784.2492887354</v>
      </c>
      <c r="I383" s="428">
        <f>'SNG Plant'!I286</f>
        <v>3453032.9978891644</v>
      </c>
      <c r="J383" s="428">
        <f>'SNG Plant'!J286</f>
        <v>3553415.5219608848</v>
      </c>
      <c r="K383" s="428">
        <f>'SNG Plant'!K286</f>
        <v>3752037.9980761362</v>
      </c>
      <c r="L383" s="428">
        <f>'SNG Plant'!L286</f>
        <v>3833303.392329013</v>
      </c>
      <c r="M383" s="428">
        <f>'SNG Plant'!M286</f>
        <v>3841874.6236428907</v>
      </c>
      <c r="N383" s="428">
        <f>'SNG Plant'!N286</f>
        <v>3842127.6304696859</v>
      </c>
      <c r="O383" s="428">
        <f>'SNG Plant'!O286</f>
        <v>3858626.5270587411</v>
      </c>
      <c r="P383" s="428">
        <f>'SNG Plant'!P286</f>
        <v>3915658.4342825278</v>
      </c>
      <c r="Q383" s="428">
        <f>'SNG Plant'!Q286</f>
        <v>3972082.3771650931</v>
      </c>
      <c r="R383" s="428">
        <f>'SNG Plant'!R286</f>
        <v>4027214.1660496183</v>
      </c>
      <c r="S383" s="428">
        <f>'SNG Plant'!S286</f>
        <v>4080284.2322994275</v>
      </c>
      <c r="T383" s="428">
        <f>'SNG Plant'!T286</f>
        <v>4132803.3902891353</v>
      </c>
      <c r="U383" s="428">
        <f>'SNG Plant'!U286</f>
        <v>4184844.2257329021</v>
      </c>
      <c r="V383" s="428">
        <f>'SNG Plant'!V286</f>
        <v>4236451.2081899894</v>
      </c>
      <c r="W383" s="428">
        <f>'SNG Plant'!W286</f>
        <v>4286270.8333034553</v>
      </c>
      <c r="X383" s="428">
        <f>'SNG Plant'!X286</f>
        <v>4333850.5517631667</v>
      </c>
      <c r="Y383" s="428">
        <f>'SNG Plant'!Y286</f>
        <v>4380947.3319083573</v>
      </c>
      <c r="Z383" s="428">
        <f>'SNG Plant'!Z286</f>
        <v>4426552.1487122485</v>
      </c>
      <c r="AA383" s="428">
        <f>'SNG Plant'!AA286</f>
        <v>4472829.5815131273</v>
      </c>
      <c r="AB383" s="428">
        <f>'SNG Plant'!AB286</f>
        <v>4515000.5328288162</v>
      </c>
      <c r="AC383" s="428">
        <f>'SNG Plant'!AC286</f>
        <v>4557427.3716430711</v>
      </c>
      <c r="AD383" s="428">
        <f>'SNG Plant'!AD286</f>
        <v>4600069.9081720849</v>
      </c>
      <c r="AE383" s="428">
        <f>'SNG Plant'!AE286</f>
        <v>4639065.5616986882</v>
      </c>
      <c r="AF383" s="428">
        <f>'SNG Plant'!AF286</f>
        <v>4676227.1522787977</v>
      </c>
      <c r="AG383" s="428">
        <f>'SNG Plant'!AG286</f>
        <v>4715599.9069680842</v>
      </c>
      <c r="AH383" s="431"/>
      <c r="AI383" s="431"/>
      <c r="AJ383" s="431"/>
    </row>
    <row r="384" spans="2:36" x14ac:dyDescent="0.25">
      <c r="B384" s="421" t="s">
        <v>102</v>
      </c>
      <c r="E384" s="428">
        <f>'SNG Plant'!E287</f>
        <v>0</v>
      </c>
      <c r="F384" s="428">
        <f>'SNG Plant'!F287</f>
        <v>0</v>
      </c>
      <c r="G384" s="428">
        <f>'SNG Plant'!G287</f>
        <v>0</v>
      </c>
      <c r="H384" s="428">
        <f>'SNG Plant'!H287</f>
        <v>0</v>
      </c>
      <c r="I384" s="428">
        <f>'SNG Plant'!I287</f>
        <v>0</v>
      </c>
      <c r="J384" s="428">
        <f>'SNG Plant'!J287</f>
        <v>0</v>
      </c>
      <c r="K384" s="428">
        <f>'SNG Plant'!K287</f>
        <v>0</v>
      </c>
      <c r="L384" s="428">
        <f>'SNG Plant'!L287</f>
        <v>0</v>
      </c>
      <c r="M384" s="428">
        <f>'SNG Plant'!M287</f>
        <v>0</v>
      </c>
      <c r="N384" s="428">
        <f>'SNG Plant'!N287</f>
        <v>0</v>
      </c>
      <c r="O384" s="428">
        <f>'SNG Plant'!O287</f>
        <v>0</v>
      </c>
      <c r="P384" s="428">
        <f>'SNG Plant'!P287</f>
        <v>0</v>
      </c>
      <c r="Q384" s="428">
        <f>'SNG Plant'!Q287</f>
        <v>0</v>
      </c>
      <c r="R384" s="428">
        <f>'SNG Plant'!R287</f>
        <v>0</v>
      </c>
      <c r="S384" s="428">
        <f>'SNG Plant'!S287</f>
        <v>0</v>
      </c>
      <c r="T384" s="428">
        <f>'SNG Plant'!T287</f>
        <v>0</v>
      </c>
      <c r="U384" s="428">
        <f>'SNG Plant'!U287</f>
        <v>0</v>
      </c>
      <c r="V384" s="428">
        <f>'SNG Plant'!V287</f>
        <v>0</v>
      </c>
      <c r="W384" s="428">
        <f>'SNG Plant'!W287</f>
        <v>0</v>
      </c>
      <c r="X384" s="428">
        <f>'SNG Plant'!X287</f>
        <v>0</v>
      </c>
      <c r="Y384" s="428">
        <f>'SNG Plant'!Y287</f>
        <v>0</v>
      </c>
      <c r="Z384" s="428">
        <f>'SNG Plant'!Z287</f>
        <v>0</v>
      </c>
      <c r="AA384" s="428">
        <f>'SNG Plant'!AA287</f>
        <v>0</v>
      </c>
      <c r="AB384" s="428">
        <f>'SNG Plant'!AB287</f>
        <v>0</v>
      </c>
      <c r="AC384" s="428">
        <f>'SNG Plant'!AC287</f>
        <v>0</v>
      </c>
      <c r="AD384" s="428">
        <f>'SNG Plant'!AD287</f>
        <v>0</v>
      </c>
      <c r="AE384" s="428">
        <f>'SNG Plant'!AE287</f>
        <v>0</v>
      </c>
      <c r="AF384" s="428">
        <f>'SNG Plant'!AF287</f>
        <v>0</v>
      </c>
      <c r="AG384" s="428">
        <f>'SNG Plant'!AG287</f>
        <v>0</v>
      </c>
      <c r="AH384" s="431"/>
      <c r="AI384" s="431"/>
      <c r="AJ384" s="431"/>
    </row>
    <row r="385" spans="2:36" x14ac:dyDescent="0.25">
      <c r="B385" s="421" t="s">
        <v>103</v>
      </c>
      <c r="E385" s="428">
        <f>'SNG Plant'!E288</f>
        <v>3879.0087243091948</v>
      </c>
      <c r="F385" s="428">
        <f>'SNG Plant'!F288</f>
        <v>-16150.507690933064</v>
      </c>
      <c r="G385" s="428">
        <f>'SNG Plant'!G288</f>
        <v>1290.0291104328462</v>
      </c>
      <c r="H385" s="428">
        <f>'SNG Plant'!H288</f>
        <v>4266.3410063557139</v>
      </c>
      <c r="I385" s="428">
        <f>'SNG Plant'!I288</f>
        <v>3681.4687066373594</v>
      </c>
      <c r="J385" s="428">
        <f>'SNG Plant'!J288</f>
        <v>3788.4920456234681</v>
      </c>
      <c r="K385" s="428">
        <f>'SNG Plant'!K288</f>
        <v>4000.2544095221388</v>
      </c>
      <c r="L385" s="428">
        <f>'SNG Plant'!L288</f>
        <v>4086.8959232456973</v>
      </c>
      <c r="M385" s="428">
        <f>'SNG Plant'!M288</f>
        <v>4096.0341851385565</v>
      </c>
      <c r="N385" s="428">
        <f>'SNG Plant'!N288</f>
        <v>4096.3039296547468</v>
      </c>
      <c r="O385" s="428">
        <f>'SNG Plant'!O288</f>
        <v>4113.8943122325518</v>
      </c>
      <c r="P385" s="428">
        <f>'SNG Plant'!P288</f>
        <v>4174.6991704115981</v>
      </c>
      <c r="Q385" s="428">
        <f>'SNG Plant'!Q288</f>
        <v>4234.8558443137126</v>
      </c>
      <c r="R385" s="428">
        <f>'SNG Plant'!R288</f>
        <v>4293.6348816537511</v>
      </c>
      <c r="S385" s="428">
        <f>'SNG Plant'!S288</f>
        <v>4350.2158029126213</v>
      </c>
      <c r="T385" s="428">
        <f>'SNG Plant'!T288</f>
        <v>4406.2093705258603</v>
      </c>
      <c r="U385" s="428">
        <f>'SNG Plant'!U288</f>
        <v>4461.6929721220822</v>
      </c>
      <c r="V385" s="428">
        <f>'SNG Plant'!V288</f>
        <v>4516.714019148244</v>
      </c>
      <c r="W385" s="428">
        <f>'SNG Plant'!W288</f>
        <v>4569.8294660448564</v>
      </c>
      <c r="X385" s="428">
        <f>'SNG Plant'!X288</f>
        <v>4620.5568250614442</v>
      </c>
      <c r="Y385" s="428">
        <f>'SNG Plant'!Y288</f>
        <v>4670.7692969358468</v>
      </c>
      <c r="Z385" s="428">
        <f>'SNG Plant'!Z288</f>
        <v>4719.3911044998322</v>
      </c>
      <c r="AA385" s="428">
        <f>'SNG Plant'!AA288</f>
        <v>4768.7300250326198</v>
      </c>
      <c r="AB385" s="428">
        <f>'SNG Plant'!AB288</f>
        <v>4813.6907994279818</v>
      </c>
      <c r="AC385" s="428">
        <f>'SNG Plant'!AC288</f>
        <v>4858.9243895824075</v>
      </c>
      <c r="AD385" s="428">
        <f>'SNG Plant'!AD288</f>
        <v>4904.3879469533249</v>
      </c>
      <c r="AE385" s="428">
        <f>'SNG Plant'!AE288</f>
        <v>4945.9633614485874</v>
      </c>
      <c r="AF385" s="428">
        <f>'SNG Plant'!AF288</f>
        <v>4985.5833803980668</v>
      </c>
      <c r="AG385" s="428">
        <f>'SNG Plant'!AG288</f>
        <v>5027.5608432173694</v>
      </c>
      <c r="AH385" s="431"/>
      <c r="AI385" s="431"/>
      <c r="AJ385" s="431"/>
    </row>
    <row r="386" spans="2:36" x14ac:dyDescent="0.25">
      <c r="B386" s="421" t="s">
        <v>104</v>
      </c>
      <c r="E386" s="428">
        <f>'SNG Plant'!E289</f>
        <v>33881.303542103422</v>
      </c>
      <c r="F386" s="428">
        <f>'SNG Plant'!F289</f>
        <v>36705.00133785182</v>
      </c>
      <c r="G386" s="428">
        <f>'SNG Plant'!G289</f>
        <v>32543.202598575903</v>
      </c>
      <c r="H386" s="428">
        <f>'SNG Plant'!H289</f>
        <v>77138.076391330891</v>
      </c>
      <c r="I386" s="428">
        <f>'SNG Plant'!I289</f>
        <v>61492.34771908039</v>
      </c>
      <c r="J386" s="428">
        <f>'SNG Plant'!J289</f>
        <v>63279.981106572086</v>
      </c>
      <c r="K386" s="428">
        <f>'SNG Plant'!K289</f>
        <v>66817.092502139407</v>
      </c>
      <c r="L386" s="428">
        <f>'SNG Plant'!L289</f>
        <v>68264.283966565272</v>
      </c>
      <c r="M386" s="428">
        <f>'SNG Plant'!M289</f>
        <v>68416.922280956103</v>
      </c>
      <c r="N386" s="428">
        <f>'SNG Plant'!N289</f>
        <v>68421.427880461822</v>
      </c>
      <c r="O386" s="428">
        <f>'SNG Plant'!O289</f>
        <v>68715.2437480355</v>
      </c>
      <c r="P386" s="428">
        <f>'SNG Plant'!P289</f>
        <v>69730.880109527352</v>
      </c>
      <c r="Q386" s="428">
        <f>'SNG Plant'!Q289</f>
        <v>70735.689712429274</v>
      </c>
      <c r="R386" s="428">
        <f>'SNG Plant'!R289</f>
        <v>71717.488361482014</v>
      </c>
      <c r="S386" s="428">
        <f>'SNG Plant'!S289</f>
        <v>72662.571414352584</v>
      </c>
      <c r="T386" s="428">
        <f>'SNG Plant'!T289</f>
        <v>73597.843775488611</v>
      </c>
      <c r="U386" s="428">
        <f>'SNG Plant'!U289</f>
        <v>74524.598066761173</v>
      </c>
      <c r="V386" s="428">
        <f>'SNG Plant'!V289</f>
        <v>75443.626211561292</v>
      </c>
      <c r="W386" s="428">
        <f>'SNG Plant'!W289</f>
        <v>76330.824715770286</v>
      </c>
      <c r="X386" s="428">
        <f>'SNG Plant'!X289</f>
        <v>77178.134484802053</v>
      </c>
      <c r="Y386" s="428">
        <f>'SNG Plant'!Y289</f>
        <v>78016.843985379499</v>
      </c>
      <c r="Z386" s="428">
        <f>'SNG Plant'!Z289</f>
        <v>78828.984284729144</v>
      </c>
      <c r="AA386" s="428">
        <f>'SNG Plant'!AA289</f>
        <v>79653.102673136542</v>
      </c>
      <c r="AB386" s="428">
        <f>'SNG Plant'!AB289</f>
        <v>80404.091963865591</v>
      </c>
      <c r="AC386" s="428">
        <f>'SNG Plant'!AC289</f>
        <v>81159.638153717344</v>
      </c>
      <c r="AD386" s="428">
        <f>'SNG Plant'!AD289</f>
        <v>81919.025534454398</v>
      </c>
      <c r="AE386" s="428">
        <f>'SNG Plant'!AE289</f>
        <v>82613.468445268343</v>
      </c>
      <c r="AF386" s="428">
        <f>'SNG Plant'!AF289</f>
        <v>83275.249972158796</v>
      </c>
      <c r="AG386" s="428">
        <f>'SNG Plant'!AG289</f>
        <v>83976.408380865469</v>
      </c>
      <c r="AH386" s="431"/>
      <c r="AI386" s="431"/>
      <c r="AJ386" s="431"/>
    </row>
    <row r="387" spans="2:36" x14ac:dyDescent="0.25">
      <c r="B387" s="421" t="s">
        <v>105</v>
      </c>
      <c r="E387" s="428">
        <f>'SNG Plant'!E290</f>
        <v>939021.98896383378</v>
      </c>
      <c r="F387" s="428">
        <f>'SNG Plant'!F290</f>
        <v>954480.66766534909</v>
      </c>
      <c r="G387" s="428">
        <f>'SNG Plant'!G290</f>
        <v>957861.17716518266</v>
      </c>
      <c r="H387" s="428">
        <f>'SNG Plant'!H290</f>
        <v>511557.68573123956</v>
      </c>
      <c r="I387" s="428">
        <f>'SNG Plant'!I290</f>
        <v>626445.9960201066</v>
      </c>
      <c r="J387" s="428">
        <f>'SNG Plant'!J290</f>
        <v>644657.29904372722</v>
      </c>
      <c r="K387" s="428">
        <f>'SNG Plant'!K290</f>
        <v>680691.20169049036</v>
      </c>
      <c r="L387" s="428">
        <f>'SNG Plant'!L290</f>
        <v>695434.29301797843</v>
      </c>
      <c r="M387" s="428">
        <f>'SNG Plant'!M290</f>
        <v>696989.27773455193</v>
      </c>
      <c r="N387" s="428">
        <f>'SNG Plant'!N290</f>
        <v>697035.17799490504</v>
      </c>
      <c r="O387" s="428">
        <f>'SNG Plant'!O290</f>
        <v>700028.39228312112</v>
      </c>
      <c r="P387" s="428">
        <f>'SNG Plant'!P290</f>
        <v>710375.06720559404</v>
      </c>
      <c r="Q387" s="428">
        <f>'SNG Plant'!Q290</f>
        <v>720611.44580958015</v>
      </c>
      <c r="R387" s="428">
        <f>'SNG Plant'!R290</f>
        <v>730613.40305159008</v>
      </c>
      <c r="S387" s="428">
        <f>'SNG Plant'!S290</f>
        <v>740241.32451397902</v>
      </c>
      <c r="T387" s="428">
        <f>'SNG Plant'!T290</f>
        <v>749769.30071840913</v>
      </c>
      <c r="U387" s="428">
        <f>'SNG Plant'!U290</f>
        <v>759210.50009681575</v>
      </c>
      <c r="V387" s="428">
        <f>'SNG Plant'!V290</f>
        <v>768572.99027477938</v>
      </c>
      <c r="W387" s="428">
        <f>'SNG Plant'!W290</f>
        <v>777611.21976596373</v>
      </c>
      <c r="X387" s="428">
        <f>'SNG Plant'!X290</f>
        <v>786243.08750052354</v>
      </c>
      <c r="Y387" s="428">
        <f>'SNG Plant'!Y290</f>
        <v>794787.34102066921</v>
      </c>
      <c r="Z387" s="428">
        <f>'SNG Plant'!Z290</f>
        <v>803060.92395587207</v>
      </c>
      <c r="AA387" s="428">
        <f>'SNG Plant'!AA290</f>
        <v>811456.53225209226</v>
      </c>
      <c r="AB387" s="428">
        <f>'SNG Plant'!AB290</f>
        <v>819107.14654283936</v>
      </c>
      <c r="AC387" s="428">
        <f>'SNG Plant'!AC290</f>
        <v>826804.18370270065</v>
      </c>
      <c r="AD387" s="428">
        <f>'SNG Plant'!AD290</f>
        <v>834540.35253893002</v>
      </c>
      <c r="AE387" s="428">
        <f>'SNG Plant'!AE290</f>
        <v>841614.90729379677</v>
      </c>
      <c r="AF387" s="428">
        <f>'SNG Plant'!AF290</f>
        <v>848356.72807537601</v>
      </c>
      <c r="AG387" s="428">
        <f>'SNG Plant'!AG290</f>
        <v>855499.69616819848</v>
      </c>
    </row>
    <row r="388" spans="2:36" x14ac:dyDescent="0.25">
      <c r="B388" s="421" t="s">
        <v>106</v>
      </c>
      <c r="E388" s="428">
        <f>'SNG Plant'!E291</f>
        <v>16357.890164083405</v>
      </c>
      <c r="F388" s="428">
        <f>'SNG Plant'!F291</f>
        <v>21162.294997396439</v>
      </c>
      <c r="G388" s="428">
        <f>'SNG Plant'!G291</f>
        <v>23980.423559851984</v>
      </c>
      <c r="H388" s="428">
        <f>'SNG Plant'!H291</f>
        <v>31317.511489989811</v>
      </c>
      <c r="I388" s="428">
        <f>'SNG Plant'!I291</f>
        <v>34983.746639328616</v>
      </c>
      <c r="J388" s="428">
        <f>'SNG Plant'!J291</f>
        <v>36000.753077230627</v>
      </c>
      <c r="K388" s="428">
        <f>'SNG Plant'!K291</f>
        <v>38013.058892303845</v>
      </c>
      <c r="L388" s="428">
        <f>'SNG Plant'!L291</f>
        <v>38836.383767804793</v>
      </c>
      <c r="M388" s="428">
        <f>'SNG Plant'!M291</f>
        <v>38923.221566590706</v>
      </c>
      <c r="N388" s="428">
        <f>'SNG Plant'!N291</f>
        <v>38925.7848571043</v>
      </c>
      <c r="O388" s="428">
        <f>'SNG Plant'!O291</f>
        <v>39092.940287838042</v>
      </c>
      <c r="P388" s="428">
        <f>'SNG Plant'!P291</f>
        <v>39670.748201603805</v>
      </c>
      <c r="Q388" s="428">
        <f>'SNG Plant'!Q291</f>
        <v>40242.396640353807</v>
      </c>
      <c r="R388" s="428">
        <f>'SNG Plant'!R291</f>
        <v>40800.953866794509</v>
      </c>
      <c r="S388" s="428">
        <f>'SNG Plant'!S291</f>
        <v>41338.623142747172</v>
      </c>
      <c r="T388" s="428">
        <f>'SNG Plant'!T291</f>
        <v>41870.710996511079</v>
      </c>
      <c r="U388" s="428">
        <f>'SNG Plant'!U291</f>
        <v>42397.952816434794</v>
      </c>
      <c r="V388" s="428">
        <f>'SNG Plant'!V291</f>
        <v>42920.799137394555</v>
      </c>
      <c r="W388" s="428">
        <f>'SNG Plant'!W291</f>
        <v>43425.537187596012</v>
      </c>
      <c r="X388" s="428">
        <f>'SNG Plant'!X291</f>
        <v>43907.582049832381</v>
      </c>
      <c r="Y388" s="428">
        <f>'SNG Plant'!Y291</f>
        <v>44384.73411444766</v>
      </c>
      <c r="Z388" s="428">
        <f>'SNG Plant'!Z291</f>
        <v>44846.770636419969</v>
      </c>
      <c r="AA388" s="428">
        <f>'SNG Plant'!AA291</f>
        <v>45315.621639353965</v>
      </c>
      <c r="AB388" s="428">
        <f>'SNG Plant'!AB291</f>
        <v>45742.868606663382</v>
      </c>
      <c r="AC388" s="428">
        <f>'SNG Plant'!AC291</f>
        <v>46172.7080494642</v>
      </c>
      <c r="AD388" s="428">
        <f>'SNG Plant'!AD291</f>
        <v>46604.732792610666</v>
      </c>
      <c r="AE388" s="428">
        <f>'SNG Plant'!AE291</f>
        <v>46999.809834690393</v>
      </c>
      <c r="AF388" s="428">
        <f>'SNG Plant'!AF291</f>
        <v>47376.305417085285</v>
      </c>
      <c r="AG388" s="428">
        <f>'SNG Plant'!AG291</f>
        <v>47775.202987825098</v>
      </c>
    </row>
    <row r="389" spans="2:36" x14ac:dyDescent="0.25">
      <c r="E389" s="443">
        <f>SUM(E378:E388)</f>
        <v>16303042.016186014</v>
      </c>
      <c r="F389" s="443">
        <f t="shared" ref="F389:AG389" si="133">SUM(F378:F388)</f>
        <v>16631433.494169878</v>
      </c>
      <c r="G389" s="443">
        <f t="shared" si="133"/>
        <v>17030733.42946719</v>
      </c>
      <c r="H389" s="443">
        <f t="shared" si="133"/>
        <v>14062610.885499973</v>
      </c>
      <c r="I389" s="443">
        <f t="shared" si="133"/>
        <v>15261007.166184805</v>
      </c>
      <c r="J389" s="443">
        <f t="shared" si="133"/>
        <v>15704657.261667449</v>
      </c>
      <c r="K389" s="443">
        <f t="shared" si="133"/>
        <v>16582488.152137702</v>
      </c>
      <c r="L389" s="443">
        <f t="shared" si="133"/>
        <v>16941648.27739979</v>
      </c>
      <c r="M389" s="443">
        <f t="shared" si="133"/>
        <v>16979529.647946812</v>
      </c>
      <c r="N389" s="443">
        <f t="shared" si="133"/>
        <v>16980647.835638374</v>
      </c>
      <c r="O389" s="443">
        <f t="shared" si="133"/>
        <v>17053566.275524016</v>
      </c>
      <c r="P389" s="443">
        <f t="shared" si="133"/>
        <v>17305624.204126336</v>
      </c>
      <c r="Q389" s="443">
        <f t="shared" si="133"/>
        <v>17554995.176602304</v>
      </c>
      <c r="R389" s="443">
        <f t="shared" si="133"/>
        <v>17798655.351806428</v>
      </c>
      <c r="S389" s="443">
        <f t="shared" si="133"/>
        <v>18033203.548085853</v>
      </c>
      <c r="T389" s="443">
        <f t="shared" si="133"/>
        <v>18265316.953006364</v>
      </c>
      <c r="U389" s="443">
        <f t="shared" si="133"/>
        <v>18495316.366023</v>
      </c>
      <c r="V389" s="443">
        <f t="shared" si="133"/>
        <v>18723398.324574865</v>
      </c>
      <c r="W389" s="443">
        <f t="shared" si="133"/>
        <v>18943580.887654342</v>
      </c>
      <c r="X389" s="443">
        <f t="shared" si="133"/>
        <v>19153863.970620122</v>
      </c>
      <c r="Y389" s="443">
        <f t="shared" si="133"/>
        <v>19362012.661854573</v>
      </c>
      <c r="Z389" s="443">
        <f t="shared" si="133"/>
        <v>19563567.479454685</v>
      </c>
      <c r="AA389" s="443">
        <f t="shared" si="133"/>
        <v>19768094.987311855</v>
      </c>
      <c r="AB389" s="443">
        <f t="shared" si="133"/>
        <v>19954473.510374617</v>
      </c>
      <c r="AC389" s="443">
        <f t="shared" si="133"/>
        <v>20141982.952531327</v>
      </c>
      <c r="AD389" s="443">
        <f t="shared" si="133"/>
        <v>20330445.691216819</v>
      </c>
      <c r="AE389" s="443">
        <f t="shared" si="133"/>
        <v>20502790.68423697</v>
      </c>
      <c r="AF389" s="443">
        <f t="shared" si="133"/>
        <v>20667029.861938596</v>
      </c>
      <c r="AG389" s="443">
        <f t="shared" si="133"/>
        <v>20841041.489349321</v>
      </c>
      <c r="AH389" s="423"/>
      <c r="AI389" s="423"/>
    </row>
    <row r="390" spans="2:36" x14ac:dyDescent="0.25">
      <c r="C390" s="442"/>
      <c r="E390" s="444"/>
      <c r="F390" s="444"/>
      <c r="G390" s="444"/>
      <c r="H390" s="444"/>
      <c r="I390" s="444"/>
      <c r="J390" s="444"/>
      <c r="K390" s="444"/>
      <c r="L390" s="444"/>
      <c r="M390" s="444"/>
      <c r="N390" s="444"/>
      <c r="O390" s="444"/>
      <c r="P390" s="444"/>
      <c r="Q390" s="444"/>
      <c r="R390" s="444"/>
      <c r="S390" s="444"/>
      <c r="T390" s="444"/>
      <c r="U390" s="444"/>
      <c r="V390" s="444"/>
      <c r="W390" s="444"/>
      <c r="X390" s="444"/>
      <c r="Y390" s="444"/>
      <c r="Z390" s="444"/>
      <c r="AA390" s="444"/>
      <c r="AB390" s="444"/>
      <c r="AC390" s="444"/>
      <c r="AD390" s="444"/>
      <c r="AE390" s="444"/>
      <c r="AF390" s="444"/>
      <c r="AG390" s="444"/>
      <c r="AH390" s="431"/>
      <c r="AI390" s="431"/>
    </row>
    <row r="391" spans="2:36" x14ac:dyDescent="0.25">
      <c r="B391" s="422" t="s">
        <v>115</v>
      </c>
      <c r="C391" s="423">
        <v>2017</v>
      </c>
      <c r="E391" s="423">
        <v>2017</v>
      </c>
      <c r="F391" s="423">
        <v>2018</v>
      </c>
      <c r="G391" s="423">
        <v>2019</v>
      </c>
      <c r="H391" s="423">
        <v>2020</v>
      </c>
      <c r="I391" s="423">
        <v>2021</v>
      </c>
      <c r="J391" s="423">
        <v>2022</v>
      </c>
      <c r="K391" s="423">
        <v>2023</v>
      </c>
      <c r="L391" s="423">
        <v>2024</v>
      </c>
      <c r="M391" s="423">
        <v>2025</v>
      </c>
      <c r="N391" s="423">
        <v>2026</v>
      </c>
      <c r="O391" s="423">
        <v>2027</v>
      </c>
      <c r="P391" s="423">
        <v>2028</v>
      </c>
      <c r="Q391" s="423">
        <v>2029</v>
      </c>
      <c r="R391" s="423">
        <v>2030</v>
      </c>
      <c r="S391" s="423">
        <v>2031</v>
      </c>
      <c r="T391" s="423">
        <v>2032</v>
      </c>
      <c r="U391" s="423">
        <v>2033</v>
      </c>
      <c r="V391" s="423">
        <v>2034</v>
      </c>
      <c r="W391" s="423">
        <v>2035</v>
      </c>
      <c r="X391" s="423">
        <v>2036</v>
      </c>
      <c r="Y391" s="423">
        <v>2037</v>
      </c>
      <c r="Z391" s="423">
        <v>2038</v>
      </c>
      <c r="AA391" s="423">
        <v>2039</v>
      </c>
      <c r="AB391" s="423">
        <v>2040</v>
      </c>
      <c r="AC391" s="423">
        <v>2041</v>
      </c>
      <c r="AD391" s="423">
        <v>2042</v>
      </c>
      <c r="AE391" s="423">
        <v>2043</v>
      </c>
      <c r="AF391" s="423">
        <v>2044</v>
      </c>
      <c r="AG391" s="423">
        <v>2045</v>
      </c>
      <c r="AH391" s="431"/>
      <c r="AI391" s="431"/>
    </row>
    <row r="392" spans="2:36" x14ac:dyDescent="0.25">
      <c r="B392" s="421" t="s">
        <v>98</v>
      </c>
      <c r="C392" s="445">
        <v>13.55</v>
      </c>
      <c r="E392" s="445">
        <f>C392</f>
        <v>13.55</v>
      </c>
      <c r="F392" s="428">
        <f t="shared" ref="F392:F402" si="134">E392</f>
        <v>13.55</v>
      </c>
      <c r="G392" s="428">
        <f t="shared" ref="G392:AG401" si="135">F392</f>
        <v>13.55</v>
      </c>
      <c r="H392" s="428">
        <f t="shared" si="135"/>
        <v>13.55</v>
      </c>
      <c r="I392" s="428">
        <f t="shared" si="135"/>
        <v>13.55</v>
      </c>
      <c r="J392" s="428">
        <f t="shared" si="135"/>
        <v>13.55</v>
      </c>
      <c r="K392" s="428">
        <f t="shared" si="135"/>
        <v>13.55</v>
      </c>
      <c r="L392" s="428">
        <f t="shared" si="135"/>
        <v>13.55</v>
      </c>
      <c r="M392" s="428">
        <f t="shared" si="135"/>
        <v>13.55</v>
      </c>
      <c r="N392" s="428">
        <f t="shared" si="135"/>
        <v>13.55</v>
      </c>
      <c r="O392" s="428">
        <f t="shared" si="135"/>
        <v>13.55</v>
      </c>
      <c r="P392" s="428">
        <f t="shared" si="135"/>
        <v>13.55</v>
      </c>
      <c r="Q392" s="428">
        <f t="shared" si="135"/>
        <v>13.55</v>
      </c>
      <c r="R392" s="428">
        <f t="shared" si="135"/>
        <v>13.55</v>
      </c>
      <c r="S392" s="428">
        <f t="shared" si="135"/>
        <v>13.55</v>
      </c>
      <c r="T392" s="428">
        <f t="shared" si="135"/>
        <v>13.55</v>
      </c>
      <c r="U392" s="428">
        <f t="shared" si="135"/>
        <v>13.55</v>
      </c>
      <c r="V392" s="428">
        <f t="shared" si="135"/>
        <v>13.55</v>
      </c>
      <c r="W392" s="428">
        <f t="shared" si="135"/>
        <v>13.55</v>
      </c>
      <c r="X392" s="428">
        <f t="shared" si="135"/>
        <v>13.55</v>
      </c>
      <c r="Y392" s="428">
        <f t="shared" si="135"/>
        <v>13.55</v>
      </c>
      <c r="Z392" s="428">
        <f t="shared" si="135"/>
        <v>13.55</v>
      </c>
      <c r="AA392" s="428">
        <f t="shared" si="135"/>
        <v>13.55</v>
      </c>
      <c r="AB392" s="428">
        <f t="shared" si="135"/>
        <v>13.55</v>
      </c>
      <c r="AC392" s="428">
        <f t="shared" si="135"/>
        <v>13.55</v>
      </c>
      <c r="AD392" s="428">
        <f t="shared" si="135"/>
        <v>13.55</v>
      </c>
      <c r="AE392" s="428">
        <f t="shared" si="135"/>
        <v>13.55</v>
      </c>
      <c r="AF392" s="428">
        <f t="shared" si="135"/>
        <v>13.55</v>
      </c>
      <c r="AG392" s="428">
        <f t="shared" si="135"/>
        <v>13.55</v>
      </c>
      <c r="AH392" s="431"/>
      <c r="AI392" s="431"/>
    </row>
    <row r="393" spans="2:36" x14ac:dyDescent="0.25">
      <c r="B393" s="421" t="s">
        <v>38</v>
      </c>
      <c r="C393" s="445">
        <v>9.6</v>
      </c>
      <c r="E393" s="445">
        <f t="shared" ref="E393:E402" si="136">C393</f>
        <v>9.6</v>
      </c>
      <c r="F393" s="428">
        <f t="shared" si="134"/>
        <v>9.6</v>
      </c>
      <c r="G393" s="428">
        <f t="shared" ref="G393:U393" si="137">F393</f>
        <v>9.6</v>
      </c>
      <c r="H393" s="428">
        <f t="shared" si="137"/>
        <v>9.6</v>
      </c>
      <c r="I393" s="428">
        <f t="shared" si="137"/>
        <v>9.6</v>
      </c>
      <c r="J393" s="428">
        <f t="shared" si="137"/>
        <v>9.6</v>
      </c>
      <c r="K393" s="428">
        <f t="shared" si="137"/>
        <v>9.6</v>
      </c>
      <c r="L393" s="428">
        <f t="shared" si="137"/>
        <v>9.6</v>
      </c>
      <c r="M393" s="428">
        <f t="shared" si="137"/>
        <v>9.6</v>
      </c>
      <c r="N393" s="428">
        <f t="shared" si="137"/>
        <v>9.6</v>
      </c>
      <c r="O393" s="428">
        <f t="shared" si="137"/>
        <v>9.6</v>
      </c>
      <c r="P393" s="428">
        <f t="shared" si="137"/>
        <v>9.6</v>
      </c>
      <c r="Q393" s="428">
        <f t="shared" si="137"/>
        <v>9.6</v>
      </c>
      <c r="R393" s="428">
        <f t="shared" si="137"/>
        <v>9.6</v>
      </c>
      <c r="S393" s="428">
        <f t="shared" si="137"/>
        <v>9.6</v>
      </c>
      <c r="T393" s="428">
        <f t="shared" si="137"/>
        <v>9.6</v>
      </c>
      <c r="U393" s="428">
        <f t="shared" si="137"/>
        <v>9.6</v>
      </c>
      <c r="V393" s="428">
        <f t="shared" si="135"/>
        <v>9.6</v>
      </c>
      <c r="W393" s="428">
        <f t="shared" si="135"/>
        <v>9.6</v>
      </c>
      <c r="X393" s="428">
        <f t="shared" si="135"/>
        <v>9.6</v>
      </c>
      <c r="Y393" s="428">
        <f t="shared" si="135"/>
        <v>9.6</v>
      </c>
      <c r="Z393" s="428">
        <f t="shared" si="135"/>
        <v>9.6</v>
      </c>
      <c r="AA393" s="428">
        <f t="shared" si="135"/>
        <v>9.6</v>
      </c>
      <c r="AB393" s="428">
        <f t="shared" si="135"/>
        <v>9.6</v>
      </c>
      <c r="AC393" s="428">
        <f t="shared" si="135"/>
        <v>9.6</v>
      </c>
      <c r="AD393" s="428">
        <f t="shared" si="135"/>
        <v>9.6</v>
      </c>
      <c r="AE393" s="428">
        <f t="shared" si="135"/>
        <v>9.6</v>
      </c>
      <c r="AF393" s="428">
        <f t="shared" si="135"/>
        <v>9.6</v>
      </c>
      <c r="AG393" s="428">
        <f t="shared" si="135"/>
        <v>9.6</v>
      </c>
    </row>
    <row r="394" spans="2:36" x14ac:dyDescent="0.25">
      <c r="B394" s="421" t="s">
        <v>39</v>
      </c>
      <c r="C394" s="445">
        <v>62</v>
      </c>
      <c r="E394" s="445">
        <f t="shared" si="136"/>
        <v>62</v>
      </c>
      <c r="F394" s="428">
        <f t="shared" si="134"/>
        <v>62</v>
      </c>
      <c r="G394" s="428">
        <f t="shared" si="135"/>
        <v>62</v>
      </c>
      <c r="H394" s="428">
        <f t="shared" si="135"/>
        <v>62</v>
      </c>
      <c r="I394" s="428">
        <f t="shared" si="135"/>
        <v>62</v>
      </c>
      <c r="J394" s="428">
        <f t="shared" si="135"/>
        <v>62</v>
      </c>
      <c r="K394" s="428">
        <f t="shared" si="135"/>
        <v>62</v>
      </c>
      <c r="L394" s="428">
        <f t="shared" si="135"/>
        <v>62</v>
      </c>
      <c r="M394" s="428">
        <f t="shared" si="135"/>
        <v>62</v>
      </c>
      <c r="N394" s="428">
        <f t="shared" si="135"/>
        <v>62</v>
      </c>
      <c r="O394" s="428">
        <f t="shared" si="135"/>
        <v>62</v>
      </c>
      <c r="P394" s="428">
        <f t="shared" si="135"/>
        <v>62</v>
      </c>
      <c r="Q394" s="428">
        <f t="shared" si="135"/>
        <v>62</v>
      </c>
      <c r="R394" s="428">
        <f t="shared" si="135"/>
        <v>62</v>
      </c>
      <c r="S394" s="428">
        <f t="shared" si="135"/>
        <v>62</v>
      </c>
      <c r="T394" s="428">
        <f t="shared" si="135"/>
        <v>62</v>
      </c>
      <c r="U394" s="428">
        <f t="shared" si="135"/>
        <v>62</v>
      </c>
      <c r="V394" s="428">
        <f t="shared" si="135"/>
        <v>62</v>
      </c>
      <c r="W394" s="428">
        <f t="shared" si="135"/>
        <v>62</v>
      </c>
      <c r="X394" s="428">
        <f t="shared" si="135"/>
        <v>62</v>
      </c>
      <c r="Y394" s="428">
        <f t="shared" si="135"/>
        <v>62</v>
      </c>
      <c r="Z394" s="428">
        <f t="shared" si="135"/>
        <v>62</v>
      </c>
      <c r="AA394" s="428">
        <f t="shared" si="135"/>
        <v>62</v>
      </c>
      <c r="AB394" s="428">
        <f t="shared" si="135"/>
        <v>62</v>
      </c>
      <c r="AC394" s="428">
        <f t="shared" si="135"/>
        <v>62</v>
      </c>
      <c r="AD394" s="428">
        <f t="shared" si="135"/>
        <v>62</v>
      </c>
      <c r="AE394" s="428">
        <f t="shared" si="135"/>
        <v>62</v>
      </c>
      <c r="AF394" s="428">
        <f t="shared" si="135"/>
        <v>62</v>
      </c>
      <c r="AG394" s="428">
        <f t="shared" si="135"/>
        <v>62</v>
      </c>
    </row>
    <row r="395" spans="2:36" x14ac:dyDescent="0.25">
      <c r="B395" s="421" t="s">
        <v>99</v>
      </c>
      <c r="C395" s="445">
        <v>62</v>
      </c>
      <c r="E395" s="445">
        <f t="shared" si="136"/>
        <v>62</v>
      </c>
      <c r="F395" s="428">
        <f t="shared" si="134"/>
        <v>62</v>
      </c>
      <c r="G395" s="428">
        <f t="shared" si="135"/>
        <v>62</v>
      </c>
      <c r="H395" s="428">
        <f t="shared" si="135"/>
        <v>62</v>
      </c>
      <c r="I395" s="428">
        <f t="shared" si="135"/>
        <v>62</v>
      </c>
      <c r="J395" s="428">
        <f t="shared" si="135"/>
        <v>62</v>
      </c>
      <c r="K395" s="428">
        <f t="shared" si="135"/>
        <v>62</v>
      </c>
      <c r="L395" s="428">
        <f t="shared" si="135"/>
        <v>62</v>
      </c>
      <c r="M395" s="428">
        <f t="shared" si="135"/>
        <v>62</v>
      </c>
      <c r="N395" s="428">
        <f t="shared" si="135"/>
        <v>62</v>
      </c>
      <c r="O395" s="428">
        <f t="shared" si="135"/>
        <v>62</v>
      </c>
      <c r="P395" s="428">
        <f t="shared" si="135"/>
        <v>62</v>
      </c>
      <c r="Q395" s="428">
        <f t="shared" si="135"/>
        <v>62</v>
      </c>
      <c r="R395" s="428">
        <f t="shared" si="135"/>
        <v>62</v>
      </c>
      <c r="S395" s="428">
        <f t="shared" si="135"/>
        <v>62</v>
      </c>
      <c r="T395" s="428">
        <f t="shared" si="135"/>
        <v>62</v>
      </c>
      <c r="U395" s="428">
        <f t="shared" si="135"/>
        <v>62</v>
      </c>
      <c r="V395" s="428">
        <f t="shared" si="135"/>
        <v>62</v>
      </c>
      <c r="W395" s="428">
        <f t="shared" si="135"/>
        <v>62</v>
      </c>
      <c r="X395" s="428">
        <f t="shared" si="135"/>
        <v>62</v>
      </c>
      <c r="Y395" s="428">
        <f t="shared" si="135"/>
        <v>62</v>
      </c>
      <c r="Z395" s="428">
        <f t="shared" si="135"/>
        <v>62</v>
      </c>
      <c r="AA395" s="428">
        <f t="shared" si="135"/>
        <v>62</v>
      </c>
      <c r="AB395" s="428">
        <f t="shared" si="135"/>
        <v>62</v>
      </c>
      <c r="AC395" s="428">
        <f t="shared" si="135"/>
        <v>62</v>
      </c>
      <c r="AD395" s="428">
        <f t="shared" si="135"/>
        <v>62</v>
      </c>
      <c r="AE395" s="428">
        <f t="shared" si="135"/>
        <v>62</v>
      </c>
      <c r="AF395" s="428">
        <f t="shared" si="135"/>
        <v>62</v>
      </c>
      <c r="AG395" s="428">
        <f t="shared" si="135"/>
        <v>62</v>
      </c>
      <c r="AH395" s="431"/>
      <c r="AI395" s="431"/>
    </row>
    <row r="396" spans="2:36" x14ac:dyDescent="0.25">
      <c r="B396" s="421" t="s">
        <v>100</v>
      </c>
      <c r="C396" s="445">
        <v>500</v>
      </c>
      <c r="E396" s="445">
        <f t="shared" si="136"/>
        <v>500</v>
      </c>
      <c r="F396" s="428">
        <f t="shared" si="134"/>
        <v>500</v>
      </c>
      <c r="G396" s="428">
        <f t="shared" si="135"/>
        <v>500</v>
      </c>
      <c r="H396" s="428">
        <f t="shared" si="135"/>
        <v>500</v>
      </c>
      <c r="I396" s="428">
        <f t="shared" si="135"/>
        <v>500</v>
      </c>
      <c r="J396" s="428">
        <f t="shared" si="135"/>
        <v>500</v>
      </c>
      <c r="K396" s="428">
        <f t="shared" si="135"/>
        <v>500</v>
      </c>
      <c r="L396" s="428">
        <f t="shared" si="135"/>
        <v>500</v>
      </c>
      <c r="M396" s="428">
        <f t="shared" si="135"/>
        <v>500</v>
      </c>
      <c r="N396" s="428">
        <f t="shared" si="135"/>
        <v>500</v>
      </c>
      <c r="O396" s="428">
        <f t="shared" si="135"/>
        <v>500</v>
      </c>
      <c r="P396" s="428">
        <f t="shared" si="135"/>
        <v>500</v>
      </c>
      <c r="Q396" s="428">
        <f t="shared" si="135"/>
        <v>500</v>
      </c>
      <c r="R396" s="428">
        <f t="shared" si="135"/>
        <v>500</v>
      </c>
      <c r="S396" s="428">
        <f t="shared" si="135"/>
        <v>500</v>
      </c>
      <c r="T396" s="428">
        <f t="shared" si="135"/>
        <v>500</v>
      </c>
      <c r="U396" s="428">
        <f t="shared" si="135"/>
        <v>500</v>
      </c>
      <c r="V396" s="428">
        <f t="shared" si="135"/>
        <v>500</v>
      </c>
      <c r="W396" s="428">
        <f t="shared" si="135"/>
        <v>500</v>
      </c>
      <c r="X396" s="428">
        <f t="shared" si="135"/>
        <v>500</v>
      </c>
      <c r="Y396" s="428">
        <f t="shared" si="135"/>
        <v>500</v>
      </c>
      <c r="Z396" s="428">
        <f t="shared" si="135"/>
        <v>500</v>
      </c>
      <c r="AA396" s="428">
        <f t="shared" si="135"/>
        <v>500</v>
      </c>
      <c r="AB396" s="428">
        <f t="shared" si="135"/>
        <v>500</v>
      </c>
      <c r="AC396" s="428">
        <f t="shared" si="135"/>
        <v>500</v>
      </c>
      <c r="AD396" s="428">
        <f t="shared" si="135"/>
        <v>500</v>
      </c>
      <c r="AE396" s="428">
        <f t="shared" si="135"/>
        <v>500</v>
      </c>
      <c r="AF396" s="428">
        <f t="shared" si="135"/>
        <v>500</v>
      </c>
      <c r="AG396" s="428">
        <f t="shared" si="135"/>
        <v>500</v>
      </c>
      <c r="AH396" s="431"/>
      <c r="AI396" s="431"/>
    </row>
    <row r="397" spans="2:36" x14ac:dyDescent="0.25">
      <c r="B397" s="421" t="s">
        <v>101</v>
      </c>
      <c r="C397" s="445">
        <v>500</v>
      </c>
      <c r="E397" s="445">
        <f t="shared" si="136"/>
        <v>500</v>
      </c>
      <c r="F397" s="428">
        <f t="shared" si="134"/>
        <v>500</v>
      </c>
      <c r="G397" s="428">
        <f t="shared" si="135"/>
        <v>500</v>
      </c>
      <c r="H397" s="428">
        <f t="shared" si="135"/>
        <v>500</v>
      </c>
      <c r="I397" s="428">
        <f t="shared" si="135"/>
        <v>500</v>
      </c>
      <c r="J397" s="428">
        <f t="shared" si="135"/>
        <v>500</v>
      </c>
      <c r="K397" s="428">
        <f t="shared" si="135"/>
        <v>500</v>
      </c>
      <c r="L397" s="428">
        <f t="shared" si="135"/>
        <v>500</v>
      </c>
      <c r="M397" s="428">
        <f t="shared" si="135"/>
        <v>500</v>
      </c>
      <c r="N397" s="428">
        <f t="shared" si="135"/>
        <v>500</v>
      </c>
      <c r="O397" s="428">
        <f t="shared" si="135"/>
        <v>500</v>
      </c>
      <c r="P397" s="428">
        <f t="shared" si="135"/>
        <v>500</v>
      </c>
      <c r="Q397" s="428">
        <f t="shared" si="135"/>
        <v>500</v>
      </c>
      <c r="R397" s="428">
        <f t="shared" si="135"/>
        <v>500</v>
      </c>
      <c r="S397" s="428">
        <f t="shared" si="135"/>
        <v>500</v>
      </c>
      <c r="T397" s="428">
        <f t="shared" si="135"/>
        <v>500</v>
      </c>
      <c r="U397" s="428">
        <f t="shared" si="135"/>
        <v>500</v>
      </c>
      <c r="V397" s="428">
        <f t="shared" si="135"/>
        <v>500</v>
      </c>
      <c r="W397" s="428">
        <f t="shared" si="135"/>
        <v>500</v>
      </c>
      <c r="X397" s="428">
        <f t="shared" si="135"/>
        <v>500</v>
      </c>
      <c r="Y397" s="428">
        <f t="shared" si="135"/>
        <v>500</v>
      </c>
      <c r="Z397" s="428">
        <f t="shared" si="135"/>
        <v>500</v>
      </c>
      <c r="AA397" s="428">
        <f t="shared" si="135"/>
        <v>500</v>
      </c>
      <c r="AB397" s="428">
        <f t="shared" si="135"/>
        <v>500</v>
      </c>
      <c r="AC397" s="428">
        <f t="shared" si="135"/>
        <v>500</v>
      </c>
      <c r="AD397" s="428">
        <f t="shared" si="135"/>
        <v>500</v>
      </c>
      <c r="AE397" s="428">
        <f t="shared" si="135"/>
        <v>500</v>
      </c>
      <c r="AF397" s="428">
        <f t="shared" si="135"/>
        <v>500</v>
      </c>
      <c r="AG397" s="428">
        <f t="shared" si="135"/>
        <v>500</v>
      </c>
      <c r="AH397" s="431"/>
      <c r="AI397" s="431"/>
    </row>
    <row r="398" spans="2:36" x14ac:dyDescent="0.25">
      <c r="B398" s="421" t="s">
        <v>102</v>
      </c>
      <c r="C398" s="445">
        <v>300</v>
      </c>
      <c r="E398" s="445">
        <f t="shared" si="136"/>
        <v>300</v>
      </c>
      <c r="F398" s="428">
        <f t="shared" si="134"/>
        <v>300</v>
      </c>
      <c r="G398" s="428">
        <f t="shared" si="135"/>
        <v>300</v>
      </c>
      <c r="H398" s="428">
        <f t="shared" si="135"/>
        <v>300</v>
      </c>
      <c r="I398" s="428">
        <f t="shared" si="135"/>
        <v>300</v>
      </c>
      <c r="J398" s="428">
        <f t="shared" si="135"/>
        <v>300</v>
      </c>
      <c r="K398" s="428">
        <f t="shared" si="135"/>
        <v>300</v>
      </c>
      <c r="L398" s="428">
        <f t="shared" si="135"/>
        <v>300</v>
      </c>
      <c r="M398" s="428">
        <f t="shared" si="135"/>
        <v>300</v>
      </c>
      <c r="N398" s="428">
        <f t="shared" si="135"/>
        <v>300</v>
      </c>
      <c r="O398" s="428">
        <f t="shared" si="135"/>
        <v>300</v>
      </c>
      <c r="P398" s="428">
        <f t="shared" si="135"/>
        <v>300</v>
      </c>
      <c r="Q398" s="428">
        <f t="shared" si="135"/>
        <v>300</v>
      </c>
      <c r="R398" s="428">
        <f t="shared" si="135"/>
        <v>300</v>
      </c>
      <c r="S398" s="428">
        <f t="shared" si="135"/>
        <v>300</v>
      </c>
      <c r="T398" s="428">
        <f t="shared" si="135"/>
        <v>300</v>
      </c>
      <c r="U398" s="428">
        <f t="shared" si="135"/>
        <v>300</v>
      </c>
      <c r="V398" s="428">
        <f t="shared" si="135"/>
        <v>300</v>
      </c>
      <c r="W398" s="428">
        <f t="shared" si="135"/>
        <v>300</v>
      </c>
      <c r="X398" s="428">
        <f t="shared" si="135"/>
        <v>300</v>
      </c>
      <c r="Y398" s="428">
        <f t="shared" si="135"/>
        <v>300</v>
      </c>
      <c r="Z398" s="428">
        <f t="shared" si="135"/>
        <v>300</v>
      </c>
      <c r="AA398" s="428">
        <f t="shared" si="135"/>
        <v>300</v>
      </c>
      <c r="AB398" s="428">
        <f t="shared" si="135"/>
        <v>300</v>
      </c>
      <c r="AC398" s="428">
        <f t="shared" si="135"/>
        <v>300</v>
      </c>
      <c r="AD398" s="428">
        <f t="shared" si="135"/>
        <v>300</v>
      </c>
      <c r="AE398" s="428">
        <f t="shared" si="135"/>
        <v>300</v>
      </c>
      <c r="AF398" s="428">
        <f t="shared" si="135"/>
        <v>300</v>
      </c>
      <c r="AG398" s="428">
        <f t="shared" si="135"/>
        <v>300</v>
      </c>
      <c r="AH398" s="431"/>
      <c r="AI398" s="431"/>
    </row>
    <row r="399" spans="2:36" x14ac:dyDescent="0.25">
      <c r="B399" s="421" t="s">
        <v>103</v>
      </c>
      <c r="C399" s="445">
        <v>150</v>
      </c>
      <c r="E399" s="445">
        <f t="shared" si="136"/>
        <v>150</v>
      </c>
      <c r="F399" s="428">
        <f t="shared" si="134"/>
        <v>150</v>
      </c>
      <c r="G399" s="428">
        <f t="shared" si="135"/>
        <v>150</v>
      </c>
      <c r="H399" s="428">
        <f t="shared" si="135"/>
        <v>150</v>
      </c>
      <c r="I399" s="428">
        <f t="shared" si="135"/>
        <v>150</v>
      </c>
      <c r="J399" s="428">
        <f t="shared" si="135"/>
        <v>150</v>
      </c>
      <c r="K399" s="428">
        <f t="shared" si="135"/>
        <v>150</v>
      </c>
      <c r="L399" s="428">
        <f t="shared" si="135"/>
        <v>150</v>
      </c>
      <c r="M399" s="428">
        <f t="shared" si="135"/>
        <v>150</v>
      </c>
      <c r="N399" s="428">
        <f t="shared" si="135"/>
        <v>150</v>
      </c>
      <c r="O399" s="428">
        <f t="shared" si="135"/>
        <v>150</v>
      </c>
      <c r="P399" s="428">
        <f t="shared" si="135"/>
        <v>150</v>
      </c>
      <c r="Q399" s="428">
        <f t="shared" si="135"/>
        <v>150</v>
      </c>
      <c r="R399" s="428">
        <f t="shared" si="135"/>
        <v>150</v>
      </c>
      <c r="S399" s="428">
        <f t="shared" si="135"/>
        <v>150</v>
      </c>
      <c r="T399" s="428">
        <f t="shared" si="135"/>
        <v>150</v>
      </c>
      <c r="U399" s="428">
        <f t="shared" si="135"/>
        <v>150</v>
      </c>
      <c r="V399" s="428">
        <f t="shared" si="135"/>
        <v>150</v>
      </c>
      <c r="W399" s="428">
        <f t="shared" si="135"/>
        <v>150</v>
      </c>
      <c r="X399" s="428">
        <f t="shared" si="135"/>
        <v>150</v>
      </c>
      <c r="Y399" s="428">
        <f t="shared" si="135"/>
        <v>150</v>
      </c>
      <c r="Z399" s="428">
        <f t="shared" si="135"/>
        <v>150</v>
      </c>
      <c r="AA399" s="428">
        <f t="shared" si="135"/>
        <v>150</v>
      </c>
      <c r="AB399" s="428">
        <f t="shared" si="135"/>
        <v>150</v>
      </c>
      <c r="AC399" s="428">
        <f t="shared" si="135"/>
        <v>150</v>
      </c>
      <c r="AD399" s="428">
        <f t="shared" si="135"/>
        <v>150</v>
      </c>
      <c r="AE399" s="428">
        <f t="shared" si="135"/>
        <v>150</v>
      </c>
      <c r="AF399" s="428">
        <f t="shared" si="135"/>
        <v>150</v>
      </c>
      <c r="AG399" s="428">
        <f t="shared" si="135"/>
        <v>150</v>
      </c>
    </row>
    <row r="400" spans="2:36" x14ac:dyDescent="0.25">
      <c r="B400" s="421" t="s">
        <v>104</v>
      </c>
      <c r="C400" s="445">
        <v>150</v>
      </c>
      <c r="E400" s="445">
        <f t="shared" si="136"/>
        <v>150</v>
      </c>
      <c r="F400" s="428">
        <f t="shared" si="134"/>
        <v>150</v>
      </c>
      <c r="G400" s="428">
        <f t="shared" si="135"/>
        <v>150</v>
      </c>
      <c r="H400" s="428">
        <f t="shared" si="135"/>
        <v>150</v>
      </c>
      <c r="I400" s="428">
        <f t="shared" si="135"/>
        <v>150</v>
      </c>
      <c r="J400" s="428">
        <f t="shared" si="135"/>
        <v>150</v>
      </c>
      <c r="K400" s="428">
        <f t="shared" si="135"/>
        <v>150</v>
      </c>
      <c r="L400" s="428">
        <f t="shared" si="135"/>
        <v>150</v>
      </c>
      <c r="M400" s="428">
        <f t="shared" si="135"/>
        <v>150</v>
      </c>
      <c r="N400" s="428">
        <f t="shared" si="135"/>
        <v>150</v>
      </c>
      <c r="O400" s="428">
        <f t="shared" si="135"/>
        <v>150</v>
      </c>
      <c r="P400" s="428">
        <f t="shared" si="135"/>
        <v>150</v>
      </c>
      <c r="Q400" s="428">
        <f t="shared" si="135"/>
        <v>150</v>
      </c>
      <c r="R400" s="428">
        <f t="shared" si="135"/>
        <v>150</v>
      </c>
      <c r="S400" s="428">
        <f t="shared" si="135"/>
        <v>150</v>
      </c>
      <c r="T400" s="428">
        <f t="shared" si="135"/>
        <v>150</v>
      </c>
      <c r="U400" s="428">
        <f t="shared" si="135"/>
        <v>150</v>
      </c>
      <c r="V400" s="428">
        <f t="shared" si="135"/>
        <v>150</v>
      </c>
      <c r="W400" s="428">
        <f t="shared" si="135"/>
        <v>150</v>
      </c>
      <c r="X400" s="428">
        <f t="shared" si="135"/>
        <v>150</v>
      </c>
      <c r="Y400" s="428">
        <f t="shared" si="135"/>
        <v>150</v>
      </c>
      <c r="Z400" s="428">
        <f t="shared" si="135"/>
        <v>150</v>
      </c>
      <c r="AA400" s="428">
        <f t="shared" si="135"/>
        <v>150</v>
      </c>
      <c r="AB400" s="428">
        <f t="shared" si="135"/>
        <v>150</v>
      </c>
      <c r="AC400" s="428">
        <f t="shared" si="135"/>
        <v>150</v>
      </c>
      <c r="AD400" s="428">
        <f t="shared" si="135"/>
        <v>150</v>
      </c>
      <c r="AE400" s="428">
        <f t="shared" si="135"/>
        <v>150</v>
      </c>
      <c r="AF400" s="428">
        <f t="shared" si="135"/>
        <v>150</v>
      </c>
      <c r="AG400" s="428">
        <f t="shared" si="135"/>
        <v>150</v>
      </c>
    </row>
    <row r="401" spans="2:35" x14ac:dyDescent="0.25">
      <c r="B401" s="421" t="s">
        <v>105</v>
      </c>
      <c r="C401" s="445">
        <v>1000</v>
      </c>
      <c r="E401" s="445">
        <f t="shared" si="136"/>
        <v>1000</v>
      </c>
      <c r="F401" s="428">
        <f t="shared" si="134"/>
        <v>1000</v>
      </c>
      <c r="G401" s="428">
        <f t="shared" si="135"/>
        <v>1000</v>
      </c>
      <c r="H401" s="428">
        <f t="shared" si="135"/>
        <v>1000</v>
      </c>
      <c r="I401" s="428">
        <f t="shared" si="135"/>
        <v>1000</v>
      </c>
      <c r="J401" s="428">
        <f t="shared" si="135"/>
        <v>1000</v>
      </c>
      <c r="K401" s="428">
        <f t="shared" si="135"/>
        <v>1000</v>
      </c>
      <c r="L401" s="428">
        <f t="shared" si="135"/>
        <v>1000</v>
      </c>
      <c r="M401" s="428">
        <f t="shared" si="135"/>
        <v>1000</v>
      </c>
      <c r="N401" s="428">
        <f t="shared" si="135"/>
        <v>1000</v>
      </c>
      <c r="O401" s="428">
        <f t="shared" si="135"/>
        <v>1000</v>
      </c>
      <c r="P401" s="428">
        <f t="shared" si="135"/>
        <v>1000</v>
      </c>
      <c r="Q401" s="428">
        <f t="shared" si="135"/>
        <v>1000</v>
      </c>
      <c r="R401" s="428">
        <f t="shared" si="135"/>
        <v>1000</v>
      </c>
      <c r="S401" s="428">
        <f t="shared" si="135"/>
        <v>1000</v>
      </c>
      <c r="T401" s="428">
        <f t="shared" si="135"/>
        <v>1000</v>
      </c>
      <c r="U401" s="428">
        <f t="shared" si="135"/>
        <v>1000</v>
      </c>
      <c r="V401" s="428">
        <f t="shared" si="135"/>
        <v>1000</v>
      </c>
      <c r="W401" s="428">
        <f t="shared" si="135"/>
        <v>1000</v>
      </c>
      <c r="X401" s="428">
        <f t="shared" si="135"/>
        <v>1000</v>
      </c>
      <c r="Y401" s="428">
        <f t="shared" si="135"/>
        <v>1000</v>
      </c>
      <c r="Z401" s="428">
        <f t="shared" si="135"/>
        <v>1000</v>
      </c>
      <c r="AA401" s="428">
        <f t="shared" si="135"/>
        <v>1000</v>
      </c>
      <c r="AB401" s="428">
        <f t="shared" si="135"/>
        <v>1000</v>
      </c>
      <c r="AC401" s="428">
        <f t="shared" si="135"/>
        <v>1000</v>
      </c>
      <c r="AD401" s="428">
        <f t="shared" si="135"/>
        <v>1000</v>
      </c>
      <c r="AE401" s="428">
        <f t="shared" si="135"/>
        <v>1000</v>
      </c>
      <c r="AF401" s="428">
        <f t="shared" si="135"/>
        <v>1000</v>
      </c>
      <c r="AG401" s="428">
        <f t="shared" si="135"/>
        <v>1000</v>
      </c>
      <c r="AH401" s="431"/>
      <c r="AI401" s="431"/>
    </row>
    <row r="402" spans="2:35" x14ac:dyDescent="0.25">
      <c r="B402" s="421" t="s">
        <v>106</v>
      </c>
      <c r="C402" s="445">
        <v>1000</v>
      </c>
      <c r="E402" s="445">
        <f t="shared" si="136"/>
        <v>1000</v>
      </c>
      <c r="F402" s="428">
        <f t="shared" si="134"/>
        <v>1000</v>
      </c>
      <c r="G402" s="428">
        <f t="shared" ref="G402:AG402" si="138">F402</f>
        <v>1000</v>
      </c>
      <c r="H402" s="428">
        <f t="shared" si="138"/>
        <v>1000</v>
      </c>
      <c r="I402" s="428">
        <f t="shared" si="138"/>
        <v>1000</v>
      </c>
      <c r="J402" s="428">
        <f t="shared" si="138"/>
        <v>1000</v>
      </c>
      <c r="K402" s="428">
        <f t="shared" si="138"/>
        <v>1000</v>
      </c>
      <c r="L402" s="428">
        <f t="shared" si="138"/>
        <v>1000</v>
      </c>
      <c r="M402" s="428">
        <f t="shared" si="138"/>
        <v>1000</v>
      </c>
      <c r="N402" s="428">
        <f t="shared" si="138"/>
        <v>1000</v>
      </c>
      <c r="O402" s="428">
        <f t="shared" si="138"/>
        <v>1000</v>
      </c>
      <c r="P402" s="428">
        <f t="shared" si="138"/>
        <v>1000</v>
      </c>
      <c r="Q402" s="428">
        <f t="shared" si="138"/>
        <v>1000</v>
      </c>
      <c r="R402" s="428">
        <f t="shared" si="138"/>
        <v>1000</v>
      </c>
      <c r="S402" s="428">
        <f t="shared" si="138"/>
        <v>1000</v>
      </c>
      <c r="T402" s="428">
        <f t="shared" si="138"/>
        <v>1000</v>
      </c>
      <c r="U402" s="428">
        <f t="shared" si="138"/>
        <v>1000</v>
      </c>
      <c r="V402" s="428">
        <f t="shared" si="138"/>
        <v>1000</v>
      </c>
      <c r="W402" s="428">
        <f t="shared" si="138"/>
        <v>1000</v>
      </c>
      <c r="X402" s="428">
        <f t="shared" si="138"/>
        <v>1000</v>
      </c>
      <c r="Y402" s="428">
        <f t="shared" si="138"/>
        <v>1000</v>
      </c>
      <c r="Z402" s="428">
        <f t="shared" si="138"/>
        <v>1000</v>
      </c>
      <c r="AA402" s="428">
        <f t="shared" si="138"/>
        <v>1000</v>
      </c>
      <c r="AB402" s="428">
        <f t="shared" si="138"/>
        <v>1000</v>
      </c>
      <c r="AC402" s="428">
        <f t="shared" si="138"/>
        <v>1000</v>
      </c>
      <c r="AD402" s="428">
        <f t="shared" si="138"/>
        <v>1000</v>
      </c>
      <c r="AE402" s="428">
        <f t="shared" si="138"/>
        <v>1000</v>
      </c>
      <c r="AF402" s="428">
        <f t="shared" si="138"/>
        <v>1000</v>
      </c>
      <c r="AG402" s="428">
        <f t="shared" si="138"/>
        <v>1000</v>
      </c>
      <c r="AH402" s="431"/>
      <c r="AI402" s="431"/>
    </row>
    <row r="403" spans="2:35" x14ac:dyDescent="0.25">
      <c r="C403" s="442"/>
      <c r="E403" s="431"/>
      <c r="F403" s="431"/>
      <c r="G403" s="431"/>
      <c r="H403" s="431"/>
      <c r="I403" s="431"/>
      <c r="J403" s="431"/>
      <c r="K403" s="431"/>
      <c r="L403" s="431"/>
      <c r="M403" s="431"/>
      <c r="N403" s="431"/>
      <c r="O403" s="431"/>
      <c r="P403" s="431"/>
      <c r="Q403" s="431"/>
      <c r="R403" s="431"/>
      <c r="S403" s="431"/>
      <c r="T403" s="431"/>
      <c r="U403" s="431"/>
      <c r="V403" s="431"/>
      <c r="W403" s="431"/>
      <c r="X403" s="431"/>
      <c r="Y403" s="431"/>
      <c r="Z403" s="431"/>
      <c r="AA403" s="431"/>
      <c r="AB403" s="431"/>
      <c r="AC403" s="431"/>
      <c r="AD403" s="431"/>
      <c r="AE403" s="431"/>
      <c r="AF403" s="431"/>
      <c r="AG403" s="431"/>
      <c r="AH403" s="431"/>
      <c r="AI403" s="431"/>
    </row>
    <row r="404" spans="2:35" x14ac:dyDescent="0.25">
      <c r="C404" s="442"/>
      <c r="AH404" s="431"/>
      <c r="AI404" s="431"/>
    </row>
    <row r="405" spans="2:35" x14ac:dyDescent="0.25">
      <c r="B405" s="434" t="s">
        <v>116</v>
      </c>
      <c r="E405" s="423">
        <v>2017</v>
      </c>
      <c r="F405" s="423">
        <v>2018</v>
      </c>
      <c r="G405" s="423">
        <v>2019</v>
      </c>
      <c r="H405" s="423">
        <v>2020</v>
      </c>
      <c r="I405" s="423">
        <v>2021</v>
      </c>
      <c r="J405" s="423">
        <v>2022</v>
      </c>
      <c r="K405" s="423">
        <v>2023</v>
      </c>
      <c r="L405" s="423">
        <v>2024</v>
      </c>
      <c r="M405" s="423">
        <v>2025</v>
      </c>
      <c r="N405" s="423">
        <v>2026</v>
      </c>
      <c r="O405" s="423">
        <v>2027</v>
      </c>
      <c r="P405" s="423">
        <v>2028</v>
      </c>
      <c r="Q405" s="423">
        <v>2029</v>
      </c>
      <c r="R405" s="423">
        <v>2030</v>
      </c>
      <c r="S405" s="423">
        <v>2031</v>
      </c>
      <c r="T405" s="423">
        <v>2032</v>
      </c>
      <c r="U405" s="423">
        <v>2033</v>
      </c>
      <c r="V405" s="423">
        <v>2034</v>
      </c>
      <c r="W405" s="423">
        <v>2035</v>
      </c>
      <c r="X405" s="423">
        <v>2036</v>
      </c>
      <c r="Y405" s="423">
        <v>2037</v>
      </c>
      <c r="Z405" s="423">
        <v>2038</v>
      </c>
      <c r="AA405" s="423">
        <v>2039</v>
      </c>
      <c r="AB405" s="423">
        <v>2040</v>
      </c>
      <c r="AC405" s="423">
        <v>2041</v>
      </c>
      <c r="AD405" s="423">
        <v>2042</v>
      </c>
      <c r="AE405" s="423">
        <v>2043</v>
      </c>
      <c r="AF405" s="423">
        <v>2044</v>
      </c>
      <c r="AG405" s="423">
        <v>2045</v>
      </c>
    </row>
    <row r="406" spans="2:35" x14ac:dyDescent="0.25">
      <c r="B406" s="421" t="s">
        <v>98</v>
      </c>
      <c r="E406" s="428">
        <f t="shared" ref="E406:AG406" si="139">E392*E336</f>
        <v>113657.40000000001</v>
      </c>
      <c r="F406" s="428">
        <f t="shared" si="139"/>
        <v>96039.012676619459</v>
      </c>
      <c r="G406" s="428">
        <f t="shared" si="139"/>
        <v>96458.619146812431</v>
      </c>
      <c r="H406" s="428">
        <f t="shared" si="139"/>
        <v>86540.441030408983</v>
      </c>
      <c r="I406" s="428">
        <f t="shared" si="139"/>
        <v>93534.251098052278</v>
      </c>
      <c r="J406" s="428">
        <f t="shared" si="139"/>
        <v>98198.075664899749</v>
      </c>
      <c r="K406" s="428">
        <f t="shared" si="139"/>
        <v>99280.384902759441</v>
      </c>
      <c r="L406" s="428">
        <f t="shared" si="139"/>
        <v>99434.573284162529</v>
      </c>
      <c r="M406" s="428">
        <f t="shared" si="139"/>
        <v>99911.452439572095</v>
      </c>
      <c r="N406" s="428">
        <f t="shared" si="139"/>
        <v>100360.98134716498</v>
      </c>
      <c r="O406" s="428">
        <f t="shared" si="139"/>
        <v>100770.42181645062</v>
      </c>
      <c r="P406" s="428">
        <f t="shared" si="139"/>
        <v>101231.30583517115</v>
      </c>
      <c r="Q406" s="428">
        <f t="shared" si="139"/>
        <v>101737.89209452676</v>
      </c>
      <c r="R406" s="428">
        <f t="shared" si="139"/>
        <v>102259.67276334298</v>
      </c>
      <c r="S406" s="428">
        <f t="shared" si="139"/>
        <v>102762.36208112899</v>
      </c>
      <c r="T406" s="428">
        <f t="shared" si="139"/>
        <v>103312.42482943727</v>
      </c>
      <c r="U406" s="428">
        <f t="shared" si="139"/>
        <v>103912.77346618651</v>
      </c>
      <c r="V406" s="428">
        <f t="shared" si="139"/>
        <v>104565.07227478876</v>
      </c>
      <c r="W406" s="428">
        <f t="shared" si="139"/>
        <v>105209.21159304824</v>
      </c>
      <c r="X406" s="428">
        <f t="shared" si="139"/>
        <v>105824.88333178374</v>
      </c>
      <c r="Y406" s="428">
        <f t="shared" si="139"/>
        <v>106489.39824650274</v>
      </c>
      <c r="Z406" s="428">
        <f t="shared" si="139"/>
        <v>107157.84834970554</v>
      </c>
      <c r="AA406" s="428">
        <f t="shared" si="139"/>
        <v>107925.54135336755</v>
      </c>
      <c r="AB406" s="428">
        <f t="shared" si="139"/>
        <v>108580.97963632425</v>
      </c>
      <c r="AC406" s="428">
        <f t="shared" si="139"/>
        <v>109316.564414066</v>
      </c>
      <c r="AD406" s="428">
        <f t="shared" si="139"/>
        <v>110130.16779728972</v>
      </c>
      <c r="AE406" s="428">
        <f t="shared" si="139"/>
        <v>110850.76672921034</v>
      </c>
      <c r="AF406" s="428">
        <f t="shared" si="139"/>
        <v>111558.09228829764</v>
      </c>
      <c r="AG406" s="428">
        <f t="shared" si="139"/>
        <v>112430.50466484406</v>
      </c>
    </row>
    <row r="407" spans="2:35" x14ac:dyDescent="0.25">
      <c r="B407" s="421" t="s">
        <v>38</v>
      </c>
      <c r="C407" s="442"/>
      <c r="E407" s="428">
        <f t="shared" ref="E407:AG407" si="140">E393*E337</f>
        <v>3256934.3999999999</v>
      </c>
      <c r="F407" s="428">
        <f t="shared" si="140"/>
        <v>3422296.8831135682</v>
      </c>
      <c r="G407" s="428">
        <f t="shared" si="140"/>
        <v>3271155.2289445559</v>
      </c>
      <c r="H407" s="428">
        <f t="shared" si="140"/>
        <v>3448086.3112735297</v>
      </c>
      <c r="I407" s="428">
        <f t="shared" si="140"/>
        <v>3420217.3983832933</v>
      </c>
      <c r="J407" s="428">
        <f t="shared" si="140"/>
        <v>3590757.0000722767</v>
      </c>
      <c r="K407" s="428">
        <f t="shared" si="140"/>
        <v>3630333.2284838138</v>
      </c>
      <c r="L407" s="428">
        <f t="shared" si="140"/>
        <v>3635971.3533259174</v>
      </c>
      <c r="M407" s="428">
        <f t="shared" si="140"/>
        <v>3653409.1407151404</v>
      </c>
      <c r="N407" s="428">
        <f t="shared" si="140"/>
        <v>3669846.8260846823</v>
      </c>
      <c r="O407" s="428">
        <f t="shared" si="140"/>
        <v>3684818.6187725277</v>
      </c>
      <c r="P407" s="428">
        <f t="shared" si="140"/>
        <v>3701671.5204738774</v>
      </c>
      <c r="Q407" s="428">
        <f t="shared" si="140"/>
        <v>3720195.5917920256</v>
      </c>
      <c r="R407" s="428">
        <f t="shared" si="140"/>
        <v>3739275.2690297742</v>
      </c>
      <c r="S407" s="428">
        <f t="shared" si="140"/>
        <v>3757656.8429504419</v>
      </c>
      <c r="T407" s="428">
        <f t="shared" si="140"/>
        <v>3777770.6960029909</v>
      </c>
      <c r="U407" s="428">
        <f t="shared" si="140"/>
        <v>3799723.3264928944</v>
      </c>
      <c r="V407" s="428">
        <f t="shared" si="140"/>
        <v>3823575.591389819</v>
      </c>
      <c r="W407" s="428">
        <f t="shared" si="140"/>
        <v>3847129.4925268935</v>
      </c>
      <c r="X407" s="428">
        <f t="shared" si="140"/>
        <v>3869642.4347677906</v>
      </c>
      <c r="Y407" s="428">
        <f t="shared" si="140"/>
        <v>3893941.3995440686</v>
      </c>
      <c r="Z407" s="428">
        <f t="shared" si="140"/>
        <v>3918384.2602724731</v>
      </c>
      <c r="AA407" s="428">
        <f t="shared" si="140"/>
        <v>3946456.0835555769</v>
      </c>
      <c r="AB407" s="428">
        <f t="shared" si="140"/>
        <v>3970423.1479476886</v>
      </c>
      <c r="AC407" s="428">
        <f t="shared" si="140"/>
        <v>3997320.8867469323</v>
      </c>
      <c r="AD407" s="428">
        <f t="shared" si="140"/>
        <v>4027071.4905526778</v>
      </c>
      <c r="AE407" s="428">
        <f t="shared" si="140"/>
        <v>4053421.2498684144</v>
      </c>
      <c r="AF407" s="428">
        <f t="shared" si="140"/>
        <v>4079285.6487929914</v>
      </c>
      <c r="AG407" s="428">
        <f t="shared" si="140"/>
        <v>4111186.689896116</v>
      </c>
      <c r="AH407" s="431"/>
      <c r="AI407" s="431"/>
    </row>
    <row r="408" spans="2:35" x14ac:dyDescent="0.25">
      <c r="B408" s="421" t="s">
        <v>39</v>
      </c>
      <c r="C408" s="442"/>
      <c r="E408" s="428">
        <f t="shared" ref="E408:AG408" si="141">E394*E338</f>
        <v>328848</v>
      </c>
      <c r="F408" s="428">
        <f t="shared" si="141"/>
        <v>344887.27366426942</v>
      </c>
      <c r="G408" s="428">
        <f t="shared" si="141"/>
        <v>340388.25648322498</v>
      </c>
      <c r="H408" s="428">
        <f t="shared" si="141"/>
        <v>336679.79490359448</v>
      </c>
      <c r="I408" s="428">
        <f t="shared" si="141"/>
        <v>349733.16322063922</v>
      </c>
      <c r="J408" s="428">
        <f t="shared" si="141"/>
        <v>367171.63200957316</v>
      </c>
      <c r="K408" s="428">
        <f t="shared" si="141"/>
        <v>371218.48574385693</v>
      </c>
      <c r="L408" s="428">
        <f t="shared" si="141"/>
        <v>371795.01027606748</v>
      </c>
      <c r="M408" s="428">
        <f t="shared" si="141"/>
        <v>373578.1052764277</v>
      </c>
      <c r="N408" s="428">
        <f t="shared" si="141"/>
        <v>375258.935185963</v>
      </c>
      <c r="O408" s="428">
        <f t="shared" si="141"/>
        <v>376789.87073943939</v>
      </c>
      <c r="P408" s="428">
        <f t="shared" si="141"/>
        <v>378513.15845332725</v>
      </c>
      <c r="Q408" s="428">
        <f t="shared" si="141"/>
        <v>380407.33104623994</v>
      </c>
      <c r="R408" s="428">
        <f t="shared" si="141"/>
        <v>382358.31693290925</v>
      </c>
      <c r="S408" s="428">
        <f t="shared" si="141"/>
        <v>384237.91850305733</v>
      </c>
      <c r="T408" s="428">
        <f t="shared" si="141"/>
        <v>386294.65368484677</v>
      </c>
      <c r="U408" s="428">
        <f t="shared" si="141"/>
        <v>388539.41242617031</v>
      </c>
      <c r="V408" s="428">
        <f t="shared" si="141"/>
        <v>390978.41763569921</v>
      </c>
      <c r="W408" s="428">
        <f t="shared" si="141"/>
        <v>393386.91376075515</v>
      </c>
      <c r="X408" s="428">
        <f t="shared" si="141"/>
        <v>395688.96698901907</v>
      </c>
      <c r="Y408" s="428">
        <f t="shared" si="141"/>
        <v>398173.64934231376</v>
      </c>
      <c r="Z408" s="428">
        <f t="shared" si="141"/>
        <v>400673.04572710127</v>
      </c>
      <c r="AA408" s="428">
        <f t="shared" si="141"/>
        <v>403543.52043985232</v>
      </c>
      <c r="AB408" s="428">
        <f t="shared" si="141"/>
        <v>405994.26443259628</v>
      </c>
      <c r="AC408" s="428">
        <f t="shared" si="141"/>
        <v>408744.68353700428</v>
      </c>
      <c r="AD408" s="428">
        <f t="shared" si="141"/>
        <v>411786.82137936057</v>
      </c>
      <c r="AE408" s="428">
        <f t="shared" si="141"/>
        <v>414481.20702863275</v>
      </c>
      <c r="AF408" s="428">
        <f t="shared" si="141"/>
        <v>417125.9623166938</v>
      </c>
      <c r="AG408" s="428">
        <f t="shared" si="141"/>
        <v>420387.99239124451</v>
      </c>
      <c r="AH408" s="431"/>
      <c r="AI408" s="431"/>
    </row>
    <row r="409" spans="2:35" x14ac:dyDescent="0.25">
      <c r="B409" s="421" t="s">
        <v>99</v>
      </c>
      <c r="C409" s="442"/>
      <c r="E409" s="428">
        <f>E395*1991*12</f>
        <v>1481304</v>
      </c>
      <c r="F409" s="428">
        <f t="shared" ref="F409:AG409" si="142">F395*F339</f>
        <v>1556686.9406472407</v>
      </c>
      <c r="G409" s="428">
        <f t="shared" si="142"/>
        <v>1520004.4055190873</v>
      </c>
      <c r="H409" s="428">
        <f t="shared" si="142"/>
        <v>1100805.8225990573</v>
      </c>
      <c r="I409" s="428">
        <f t="shared" si="142"/>
        <v>1269019.9823629858</v>
      </c>
      <c r="J409" s="428">
        <f t="shared" si="142"/>
        <v>1332296.1245257158</v>
      </c>
      <c r="K409" s="428">
        <f t="shared" si="142"/>
        <v>1346980.2860367778</v>
      </c>
      <c r="L409" s="428">
        <f t="shared" si="142"/>
        <v>1349072.2270610724</v>
      </c>
      <c r="M409" s="428">
        <f t="shared" si="142"/>
        <v>1355542.2545673891</v>
      </c>
      <c r="N409" s="428">
        <f t="shared" si="142"/>
        <v>1361641.2093319616</v>
      </c>
      <c r="O409" s="428">
        <f t="shared" si="142"/>
        <v>1367196.2667682676</v>
      </c>
      <c r="P409" s="428">
        <f t="shared" si="142"/>
        <v>1373449.2812783746</v>
      </c>
      <c r="Q409" s="428">
        <f t="shared" si="142"/>
        <v>1380322.3580215548</v>
      </c>
      <c r="R409" s="428">
        <f t="shared" si="142"/>
        <v>1387401.5839453756</v>
      </c>
      <c r="S409" s="428">
        <f t="shared" si="142"/>
        <v>1394221.7891825149</v>
      </c>
      <c r="T409" s="428">
        <f t="shared" si="142"/>
        <v>1401684.730414866</v>
      </c>
      <c r="U409" s="428">
        <f t="shared" si="142"/>
        <v>1409829.9222293647</v>
      </c>
      <c r="V409" s="428">
        <f t="shared" si="142"/>
        <v>1418679.9446849902</v>
      </c>
      <c r="W409" s="428">
        <f t="shared" si="142"/>
        <v>1427419.2637761326</v>
      </c>
      <c r="X409" s="428">
        <f t="shared" si="142"/>
        <v>1435772.3507989014</v>
      </c>
      <c r="Y409" s="428">
        <f t="shared" si="142"/>
        <v>1444788.1144946264</v>
      </c>
      <c r="Z409" s="428">
        <f t="shared" si="142"/>
        <v>1453857.2686089592</v>
      </c>
      <c r="AA409" s="428">
        <f t="shared" si="142"/>
        <v>1464272.8944415334</v>
      </c>
      <c r="AB409" s="428">
        <f t="shared" si="142"/>
        <v>1473165.5115150993</v>
      </c>
      <c r="AC409" s="428">
        <f t="shared" si="142"/>
        <v>1483145.5110416661</v>
      </c>
      <c r="AD409" s="428">
        <f t="shared" si="142"/>
        <v>1494184.0230189166</v>
      </c>
      <c r="AE409" s="428">
        <f t="shared" si="142"/>
        <v>1503960.7030387106</v>
      </c>
      <c r="AF409" s="428">
        <f t="shared" si="142"/>
        <v>1513557.2974197022</v>
      </c>
      <c r="AG409" s="428">
        <f t="shared" si="142"/>
        <v>1525393.6966606351</v>
      </c>
      <c r="AH409" s="431"/>
      <c r="AI409" s="431"/>
    </row>
    <row r="410" spans="2:35" x14ac:dyDescent="0.25">
      <c r="B410" s="421" t="s">
        <v>100</v>
      </c>
      <c r="C410" s="442"/>
      <c r="E410" s="428">
        <f>E396*E340</f>
        <v>6000</v>
      </c>
      <c r="F410" s="428">
        <f t="shared" ref="F410:AG410" si="143">F396*F340</f>
        <v>6049.7975776022022</v>
      </c>
      <c r="G410" s="428">
        <f t="shared" si="143"/>
        <v>6837.8978090016471</v>
      </c>
      <c r="H410" s="428">
        <f t="shared" si="143"/>
        <v>11875.305301340448</v>
      </c>
      <c r="I410" s="428">
        <f t="shared" si="143"/>
        <v>15402.595843148702</v>
      </c>
      <c r="J410" s="428">
        <f t="shared" si="143"/>
        <v>16170.603327500021</v>
      </c>
      <c r="K410" s="428">
        <f t="shared" si="143"/>
        <v>16348.830785060816</v>
      </c>
      <c r="L410" s="428">
        <f t="shared" si="143"/>
        <v>16374.221498030458</v>
      </c>
      <c r="M410" s="428">
        <f t="shared" si="143"/>
        <v>16452.750772713971</v>
      </c>
      <c r="N410" s="428">
        <f t="shared" si="143"/>
        <v>16526.77619123373</v>
      </c>
      <c r="O410" s="428">
        <f t="shared" si="143"/>
        <v>16594.20011344619</v>
      </c>
      <c r="P410" s="428">
        <f t="shared" si="143"/>
        <v>16670.095415836295</v>
      </c>
      <c r="Q410" s="428">
        <f t="shared" si="143"/>
        <v>16753.516658011711</v>
      </c>
      <c r="R410" s="428">
        <f t="shared" si="143"/>
        <v>16839.440014067874</v>
      </c>
      <c r="S410" s="428">
        <f t="shared" si="143"/>
        <v>16922.219533929627</v>
      </c>
      <c r="T410" s="428">
        <f t="shared" si="143"/>
        <v>17012.800193967014</v>
      </c>
      <c r="U410" s="428">
        <f t="shared" si="143"/>
        <v>17111.661598300489</v>
      </c>
      <c r="V410" s="428">
        <f t="shared" si="143"/>
        <v>17219.077810008177</v>
      </c>
      <c r="W410" s="428">
        <f t="shared" si="143"/>
        <v>17325.150371335807</v>
      </c>
      <c r="X410" s="428">
        <f t="shared" si="143"/>
        <v>17426.535081775735</v>
      </c>
      <c r="Y410" s="428">
        <f t="shared" si="143"/>
        <v>17535.962960258788</v>
      </c>
      <c r="Z410" s="428">
        <f t="shared" si="143"/>
        <v>17646.038859301912</v>
      </c>
      <c r="AA410" s="428">
        <f t="shared" si="143"/>
        <v>17772.457416442267</v>
      </c>
      <c r="AB410" s="428">
        <f t="shared" si="143"/>
        <v>17880.390615821027</v>
      </c>
      <c r="AC410" s="428">
        <f t="shared" si="143"/>
        <v>18001.521804737607</v>
      </c>
      <c r="AD410" s="428">
        <f t="shared" si="143"/>
        <v>18135.500576591741</v>
      </c>
      <c r="AE410" s="428">
        <f t="shared" si="143"/>
        <v>18254.163996494925</v>
      </c>
      <c r="AF410" s="428">
        <f t="shared" si="143"/>
        <v>18370.641646000346</v>
      </c>
      <c r="AG410" s="428">
        <f t="shared" si="143"/>
        <v>18514.304690144665</v>
      </c>
      <c r="AH410" s="431"/>
      <c r="AI410" s="431"/>
    </row>
    <row r="411" spans="2:35" x14ac:dyDescent="0.25">
      <c r="B411" s="421" t="s">
        <v>101</v>
      </c>
      <c r="E411" s="428">
        <f>E397*116*12</f>
        <v>696000</v>
      </c>
      <c r="F411" s="428">
        <f t="shared" ref="F411:AG411" si="144">F397*F341</f>
        <v>427395.3704800331</v>
      </c>
      <c r="G411" s="428">
        <f t="shared" si="144"/>
        <v>443623.2032077547</v>
      </c>
      <c r="H411" s="428">
        <f t="shared" si="144"/>
        <v>282058.77942825219</v>
      </c>
      <c r="I411" s="428">
        <f t="shared" si="144"/>
        <v>344200.48001982679</v>
      </c>
      <c r="J411" s="428">
        <f t="shared" si="144"/>
        <v>361363.07699143596</v>
      </c>
      <c r="K411" s="428">
        <f t="shared" si="144"/>
        <v>365345.91060402</v>
      </c>
      <c r="L411" s="428">
        <f t="shared" si="144"/>
        <v>365913.31467546313</v>
      </c>
      <c r="M411" s="428">
        <f t="shared" si="144"/>
        <v>367668.20159951993</v>
      </c>
      <c r="N411" s="428">
        <f t="shared" si="144"/>
        <v>369322.44123858074</v>
      </c>
      <c r="O411" s="428">
        <f t="shared" si="144"/>
        <v>370829.15780938987</v>
      </c>
      <c r="P411" s="428">
        <f t="shared" si="144"/>
        <v>372525.18358192511</v>
      </c>
      <c r="Q411" s="428">
        <f t="shared" si="144"/>
        <v>374389.39088133303</v>
      </c>
      <c r="R411" s="428">
        <f t="shared" si="144"/>
        <v>376309.51270369458</v>
      </c>
      <c r="S411" s="428">
        <f t="shared" si="144"/>
        <v>378159.3794899417</v>
      </c>
      <c r="T411" s="428">
        <f t="shared" si="144"/>
        <v>380183.5776824333</v>
      </c>
      <c r="U411" s="428">
        <f t="shared" si="144"/>
        <v>382392.82495305839</v>
      </c>
      <c r="V411" s="428">
        <f t="shared" si="144"/>
        <v>384793.24576577113</v>
      </c>
      <c r="W411" s="428">
        <f t="shared" si="144"/>
        <v>387163.64013940148</v>
      </c>
      <c r="X411" s="428">
        <f t="shared" si="144"/>
        <v>389429.27551381901</v>
      </c>
      <c r="Y411" s="428">
        <f t="shared" si="144"/>
        <v>391874.65087034844</v>
      </c>
      <c r="Z411" s="428">
        <f t="shared" si="144"/>
        <v>394334.50748640782</v>
      </c>
      <c r="AA411" s="428">
        <f t="shared" si="144"/>
        <v>397159.57207254891</v>
      </c>
      <c r="AB411" s="428">
        <f t="shared" si="144"/>
        <v>399571.54596412973</v>
      </c>
      <c r="AC411" s="428">
        <f t="shared" si="144"/>
        <v>402278.45418888866</v>
      </c>
      <c r="AD411" s="428">
        <f t="shared" si="144"/>
        <v>405272.466240771</v>
      </c>
      <c r="AE411" s="428">
        <f t="shared" si="144"/>
        <v>407924.22744436312</v>
      </c>
      <c r="AF411" s="428">
        <f t="shared" si="144"/>
        <v>410527.1434255144</v>
      </c>
      <c r="AG411" s="428">
        <f t="shared" si="144"/>
        <v>413737.5690744858</v>
      </c>
    </row>
    <row r="412" spans="2:35" x14ac:dyDescent="0.25">
      <c r="B412" s="421" t="s">
        <v>102</v>
      </c>
      <c r="E412" s="428">
        <f>E398*E342</f>
        <v>0</v>
      </c>
      <c r="F412" s="428">
        <f t="shared" ref="F412:AG412" si="145">F398*F342</f>
        <v>0</v>
      </c>
      <c r="G412" s="428">
        <f t="shared" si="145"/>
        <v>300</v>
      </c>
      <c r="H412" s="428">
        <f t="shared" si="145"/>
        <v>600</v>
      </c>
      <c r="I412" s="428">
        <f t="shared" si="145"/>
        <v>900</v>
      </c>
      <c r="J412" s="428">
        <f t="shared" si="145"/>
        <v>1200</v>
      </c>
      <c r="K412" s="428">
        <f t="shared" si="145"/>
        <v>1500</v>
      </c>
      <c r="L412" s="428">
        <f t="shared" si="145"/>
        <v>1800</v>
      </c>
      <c r="M412" s="428">
        <f t="shared" si="145"/>
        <v>2100</v>
      </c>
      <c r="N412" s="428">
        <f t="shared" si="145"/>
        <v>2400</v>
      </c>
      <c r="O412" s="428">
        <f t="shared" si="145"/>
        <v>2700</v>
      </c>
      <c r="P412" s="428">
        <f t="shared" si="145"/>
        <v>3000</v>
      </c>
      <c r="Q412" s="428">
        <f t="shared" si="145"/>
        <v>3300</v>
      </c>
      <c r="R412" s="428">
        <f t="shared" si="145"/>
        <v>3600</v>
      </c>
      <c r="S412" s="428">
        <f t="shared" si="145"/>
        <v>3900</v>
      </c>
      <c r="T412" s="428">
        <f t="shared" si="145"/>
        <v>4200</v>
      </c>
      <c r="U412" s="428">
        <f t="shared" si="145"/>
        <v>4500</v>
      </c>
      <c r="V412" s="428">
        <f t="shared" si="145"/>
        <v>4800</v>
      </c>
      <c r="W412" s="428">
        <f t="shared" si="145"/>
        <v>5100</v>
      </c>
      <c r="X412" s="428">
        <f t="shared" si="145"/>
        <v>5400</v>
      </c>
      <c r="Y412" s="428">
        <f t="shared" si="145"/>
        <v>5700</v>
      </c>
      <c r="Z412" s="428">
        <f t="shared" si="145"/>
        <v>6000</v>
      </c>
      <c r="AA412" s="428">
        <f t="shared" si="145"/>
        <v>6300</v>
      </c>
      <c r="AB412" s="428">
        <f t="shared" si="145"/>
        <v>6600</v>
      </c>
      <c r="AC412" s="428">
        <f t="shared" si="145"/>
        <v>6900</v>
      </c>
      <c r="AD412" s="428">
        <f t="shared" si="145"/>
        <v>7200</v>
      </c>
      <c r="AE412" s="428">
        <f t="shared" si="145"/>
        <v>7500</v>
      </c>
      <c r="AF412" s="428">
        <f t="shared" si="145"/>
        <v>7800</v>
      </c>
      <c r="AG412" s="428">
        <f t="shared" si="145"/>
        <v>8100</v>
      </c>
    </row>
    <row r="413" spans="2:35" x14ac:dyDescent="0.25">
      <c r="B413" s="421" t="s">
        <v>103</v>
      </c>
      <c r="C413" s="442"/>
      <c r="E413" s="428">
        <f>E399*22*12</f>
        <v>39600</v>
      </c>
      <c r="F413" s="428">
        <f t="shared" ref="F413:AG413" si="146">F399*F343</f>
        <v>-167020.52156057488</v>
      </c>
      <c r="G413" s="428">
        <f t="shared" si="146"/>
        <v>12912.486652977408</v>
      </c>
      <c r="H413" s="428">
        <f t="shared" si="146"/>
        <v>39413.790554414787</v>
      </c>
      <c r="I413" s="428">
        <f t="shared" si="146"/>
        <v>35454.806981519505</v>
      </c>
      <c r="J413" s="428">
        <f t="shared" si="146"/>
        <v>37222.662049283972</v>
      </c>
      <c r="K413" s="428">
        <f t="shared" si="146"/>
        <v>37632.918876832679</v>
      </c>
      <c r="L413" s="428">
        <f t="shared" si="146"/>
        <v>37691.365052829839</v>
      </c>
      <c r="M413" s="428">
        <f t="shared" si="146"/>
        <v>37872.12940610222</v>
      </c>
      <c r="N413" s="428">
        <f t="shared" si="146"/>
        <v>38042.526458136257</v>
      </c>
      <c r="O413" s="428">
        <f t="shared" si="146"/>
        <v>38197.727709426836</v>
      </c>
      <c r="P413" s="428">
        <f t="shared" si="146"/>
        <v>38372.428995135255</v>
      </c>
      <c r="Q413" s="428">
        <f t="shared" si="146"/>
        <v>38564.454032317779</v>
      </c>
      <c r="R413" s="428">
        <f t="shared" si="146"/>
        <v>38762.2386158515</v>
      </c>
      <c r="S413" s="428">
        <f t="shared" si="146"/>
        <v>38952.78649028833</v>
      </c>
      <c r="T413" s="428">
        <f t="shared" si="146"/>
        <v>39161.291592323629</v>
      </c>
      <c r="U413" s="428">
        <f t="shared" si="146"/>
        <v>39388.857909343147</v>
      </c>
      <c r="V413" s="428">
        <f t="shared" si="146"/>
        <v>39636.116299523914</v>
      </c>
      <c r="W413" s="428">
        <f t="shared" si="146"/>
        <v>39880.281778265555</v>
      </c>
      <c r="X413" s="428">
        <f t="shared" si="146"/>
        <v>40113.656423431225</v>
      </c>
      <c r="Y413" s="428">
        <f t="shared" si="146"/>
        <v>40365.545413412059</v>
      </c>
      <c r="Z413" s="428">
        <f t="shared" si="146"/>
        <v>40618.926063896848</v>
      </c>
      <c r="AA413" s="428">
        <f t="shared" si="146"/>
        <v>40909.925424520021</v>
      </c>
      <c r="AB413" s="428">
        <f t="shared" si="146"/>
        <v>41158.373854241952</v>
      </c>
      <c r="AC413" s="428">
        <f t="shared" si="146"/>
        <v>41437.2023690075</v>
      </c>
      <c r="AD413" s="428">
        <f t="shared" si="146"/>
        <v>41745.604377609336</v>
      </c>
      <c r="AE413" s="428">
        <f t="shared" si="146"/>
        <v>42018.752403518607</v>
      </c>
      <c r="AF413" s="428">
        <f t="shared" si="146"/>
        <v>42286.869065341729</v>
      </c>
      <c r="AG413" s="428">
        <f t="shared" si="146"/>
        <v>42617.563030981299</v>
      </c>
      <c r="AH413" s="431"/>
      <c r="AI413" s="431"/>
    </row>
    <row r="414" spans="2:35" x14ac:dyDescent="0.25">
      <c r="B414" s="421" t="s">
        <v>104</v>
      </c>
      <c r="C414" s="442"/>
      <c r="E414" s="428">
        <f>E400*E344</f>
        <v>32400</v>
      </c>
      <c r="F414" s="428">
        <f t="shared" ref="F414:AG414" si="147">F400*F344</f>
        <v>35556.529957012361</v>
      </c>
      <c r="G414" s="428">
        <f t="shared" si="147"/>
        <v>30512.734819989255</v>
      </c>
      <c r="H414" s="428">
        <f t="shared" si="147"/>
        <v>66753.172890918868</v>
      </c>
      <c r="I414" s="428">
        <f t="shared" si="147"/>
        <v>55473.498522299844</v>
      </c>
      <c r="J414" s="428">
        <f t="shared" si="147"/>
        <v>58239.52981222875</v>
      </c>
      <c r="K414" s="428">
        <f t="shared" si="147"/>
        <v>58881.428145750877</v>
      </c>
      <c r="L414" s="428">
        <f t="shared" si="147"/>
        <v>58972.874528733664</v>
      </c>
      <c r="M414" s="428">
        <f t="shared" si="147"/>
        <v>59255.703062798639</v>
      </c>
      <c r="N414" s="428">
        <f t="shared" si="147"/>
        <v>59522.310651979467</v>
      </c>
      <c r="O414" s="428">
        <f t="shared" si="147"/>
        <v>59765.142502357732</v>
      </c>
      <c r="P414" s="428">
        <f t="shared" si="147"/>
        <v>60038.484605718833</v>
      </c>
      <c r="Q414" s="428">
        <f t="shared" si="147"/>
        <v>60338.931894063724</v>
      </c>
      <c r="R414" s="428">
        <f t="shared" si="147"/>
        <v>60648.390716053953</v>
      </c>
      <c r="S414" s="428">
        <f t="shared" si="147"/>
        <v>60946.526797756735</v>
      </c>
      <c r="T414" s="428">
        <f t="shared" si="147"/>
        <v>61272.759217402279</v>
      </c>
      <c r="U414" s="428">
        <f t="shared" si="147"/>
        <v>61628.815301912553</v>
      </c>
      <c r="V414" s="428">
        <f t="shared" si="147"/>
        <v>62015.682108139103</v>
      </c>
      <c r="W414" s="428">
        <f t="shared" si="147"/>
        <v>62397.709665960283</v>
      </c>
      <c r="X414" s="428">
        <f t="shared" si="147"/>
        <v>62762.8536093609</v>
      </c>
      <c r="Y414" s="428">
        <f t="shared" si="147"/>
        <v>63156.965570561799</v>
      </c>
      <c r="Z414" s="428">
        <f t="shared" si="147"/>
        <v>63553.411421968449</v>
      </c>
      <c r="AA414" s="428">
        <f t="shared" si="147"/>
        <v>64008.716470164982</v>
      </c>
      <c r="AB414" s="428">
        <f t="shared" si="147"/>
        <v>64397.445242718488</v>
      </c>
      <c r="AC414" s="428">
        <f t="shared" si="147"/>
        <v>64833.707473955117</v>
      </c>
      <c r="AD414" s="428">
        <f t="shared" si="147"/>
        <v>65316.241150625981</v>
      </c>
      <c r="AE414" s="428">
        <f t="shared" si="147"/>
        <v>65743.615543597436</v>
      </c>
      <c r="AF414" s="428">
        <f t="shared" si="147"/>
        <v>66163.117735534383</v>
      </c>
      <c r="AG414" s="428">
        <f t="shared" si="147"/>
        <v>66680.529978782593</v>
      </c>
      <c r="AH414" s="431"/>
      <c r="AI414" s="431"/>
    </row>
    <row r="415" spans="2:35" x14ac:dyDescent="0.25">
      <c r="B415" s="421" t="s">
        <v>105</v>
      </c>
      <c r="C415" s="442"/>
      <c r="E415" s="428">
        <f>E401*E345</f>
        <v>252000</v>
      </c>
      <c r="F415" s="428">
        <f t="shared" ref="F415:AG415" si="148">F401*F345</f>
        <v>259478.35866586262</v>
      </c>
      <c r="G415" s="428">
        <f t="shared" si="148"/>
        <v>252036.41608965505</v>
      </c>
      <c r="H415" s="428">
        <f t="shared" si="148"/>
        <v>124233.17998946496</v>
      </c>
      <c r="I415" s="428">
        <f t="shared" si="148"/>
        <v>158594.4550388958</v>
      </c>
      <c r="J415" s="428">
        <f t="shared" si="148"/>
        <v>166502.32522434054</v>
      </c>
      <c r="K415" s="428">
        <f t="shared" si="148"/>
        <v>168337.46306686179</v>
      </c>
      <c r="L415" s="428">
        <f t="shared" si="148"/>
        <v>168598.90122491494</v>
      </c>
      <c r="M415" s="428">
        <f t="shared" si="148"/>
        <v>169407.48619655595</v>
      </c>
      <c r="N415" s="428">
        <f t="shared" si="148"/>
        <v>170169.69673747526</v>
      </c>
      <c r="O415" s="428">
        <f t="shared" si="148"/>
        <v>170863.93427436589</v>
      </c>
      <c r="P415" s="428">
        <f t="shared" si="148"/>
        <v>171645.39827206766</v>
      </c>
      <c r="Q415" s="428">
        <f t="shared" si="148"/>
        <v>172504.35390371611</v>
      </c>
      <c r="R415" s="428">
        <f t="shared" si="148"/>
        <v>173389.07281523006</v>
      </c>
      <c r="S415" s="428">
        <f t="shared" si="148"/>
        <v>174241.42088529232</v>
      </c>
      <c r="T415" s="428">
        <f t="shared" si="148"/>
        <v>175174.09421918899</v>
      </c>
      <c r="U415" s="428">
        <f t="shared" si="148"/>
        <v>176192.03111140593</v>
      </c>
      <c r="V415" s="428">
        <f t="shared" si="148"/>
        <v>177298.05348137548</v>
      </c>
      <c r="W415" s="428">
        <f t="shared" si="148"/>
        <v>178390.24081328022</v>
      </c>
      <c r="X415" s="428">
        <f t="shared" si="148"/>
        <v>179434.15919335306</v>
      </c>
      <c r="Y415" s="428">
        <f t="shared" si="148"/>
        <v>180560.89490276287</v>
      </c>
      <c r="Z415" s="428">
        <f t="shared" si="148"/>
        <v>181694.3030243183</v>
      </c>
      <c r="AA415" s="428">
        <f t="shared" si="148"/>
        <v>182995.98505120835</v>
      </c>
      <c r="AB415" s="428">
        <f t="shared" si="148"/>
        <v>184107.33063934138</v>
      </c>
      <c r="AC415" s="428">
        <f t="shared" si="148"/>
        <v>185354.57072082305</v>
      </c>
      <c r="AD415" s="428">
        <f t="shared" si="148"/>
        <v>186734.09729708117</v>
      </c>
      <c r="AE415" s="428">
        <f t="shared" si="148"/>
        <v>187955.92773425183</v>
      </c>
      <c r="AF415" s="428">
        <f t="shared" si="148"/>
        <v>189155.25215564412</v>
      </c>
      <c r="AG415" s="428">
        <f t="shared" si="148"/>
        <v>190634.49386446504</v>
      </c>
      <c r="AH415" s="431"/>
      <c r="AI415" s="431"/>
    </row>
    <row r="416" spans="2:35" x14ac:dyDescent="0.25">
      <c r="B416" s="421" t="s">
        <v>106</v>
      </c>
      <c r="C416" s="442"/>
      <c r="E416" s="428">
        <f>E402*E346</f>
        <v>24000</v>
      </c>
      <c r="F416" s="428">
        <f t="shared" ref="F416:AG416" si="149">F402*F346</f>
        <v>31452.556057554862</v>
      </c>
      <c r="G416" s="428">
        <f t="shared" si="149"/>
        <v>34496.636233683574</v>
      </c>
      <c r="H416" s="428">
        <f t="shared" si="149"/>
        <v>41580.471415603257</v>
      </c>
      <c r="I416" s="428">
        <f t="shared" si="149"/>
        <v>48420.565323093942</v>
      </c>
      <c r="J416" s="428">
        <f t="shared" si="149"/>
        <v>50834.921769458764</v>
      </c>
      <c r="K416" s="428">
        <f t="shared" si="149"/>
        <v>51395.20877166756</v>
      </c>
      <c r="L416" s="428">
        <f t="shared" si="149"/>
        <v>51475.028607782609</v>
      </c>
      <c r="M416" s="428">
        <f t="shared" si="149"/>
        <v>51721.898155832176</v>
      </c>
      <c r="N416" s="428">
        <f t="shared" si="149"/>
        <v>51954.609099461835</v>
      </c>
      <c r="O416" s="428">
        <f t="shared" si="149"/>
        <v>52166.567165691275</v>
      </c>
      <c r="P416" s="428">
        <f t="shared" si="149"/>
        <v>52405.156393411016</v>
      </c>
      <c r="Q416" s="428">
        <f t="shared" si="149"/>
        <v>52667.404636968298</v>
      </c>
      <c r="R416" s="428">
        <f t="shared" si="149"/>
        <v>52937.518682487935</v>
      </c>
      <c r="S416" s="428">
        <f t="shared" si="149"/>
        <v>53197.749567573672</v>
      </c>
      <c r="T416" s="428">
        <f t="shared" si="149"/>
        <v>53482.504605686299</v>
      </c>
      <c r="U416" s="428">
        <f t="shared" si="149"/>
        <v>53793.291510387906</v>
      </c>
      <c r="V416" s="428">
        <f t="shared" si="149"/>
        <v>54130.971843541935</v>
      </c>
      <c r="W416" s="428">
        <f t="shared" si="149"/>
        <v>54464.428193176456</v>
      </c>
      <c r="X416" s="428">
        <f t="shared" si="149"/>
        <v>54783.147521048915</v>
      </c>
      <c r="Y416" s="428">
        <f t="shared" si="149"/>
        <v>55127.151855916491</v>
      </c>
      <c r="Z416" s="428">
        <f t="shared" si="149"/>
        <v>55473.193348817615</v>
      </c>
      <c r="AA416" s="428">
        <f t="shared" si="149"/>
        <v>55870.610645642199</v>
      </c>
      <c r="AB416" s="428">
        <f t="shared" si="149"/>
        <v>56209.916213630248</v>
      </c>
      <c r="AC416" s="428">
        <f t="shared" si="149"/>
        <v>56590.711808433058</v>
      </c>
      <c r="AD416" s="428">
        <f t="shared" si="149"/>
        <v>57011.895869907778</v>
      </c>
      <c r="AE416" s="428">
        <f t="shared" si="149"/>
        <v>57384.933631425083</v>
      </c>
      <c r="AF416" s="428">
        <f t="shared" si="149"/>
        <v>57751.100068173226</v>
      </c>
      <c r="AG416" s="428">
        <f t="shared" si="149"/>
        <v>58202.728214775467</v>
      </c>
      <c r="AH416" s="431"/>
      <c r="AI416" s="431"/>
    </row>
    <row r="417" spans="2:35" x14ac:dyDescent="0.25">
      <c r="E417" s="431">
        <f>SUM(E406:E416)</f>
        <v>6230743.7999999998</v>
      </c>
      <c r="F417" s="431">
        <f t="shared" ref="F417:AG417" si="150">SUM(F406:F416)</f>
        <v>6012822.2012791885</v>
      </c>
      <c r="G417" s="431">
        <f t="shared" si="150"/>
        <v>6008725.8849067427</v>
      </c>
      <c r="H417" s="431">
        <f t="shared" si="150"/>
        <v>5538627.0693865847</v>
      </c>
      <c r="I417" s="431">
        <f t="shared" si="150"/>
        <v>5790951.1967937555</v>
      </c>
      <c r="J417" s="431">
        <f t="shared" si="150"/>
        <v>6079955.9514467139</v>
      </c>
      <c r="K417" s="431">
        <f t="shared" si="150"/>
        <v>6147254.1454174006</v>
      </c>
      <c r="L417" s="431">
        <f t="shared" si="150"/>
        <v>6157098.8695349749</v>
      </c>
      <c r="M417" s="431">
        <f t="shared" si="150"/>
        <v>6186919.1221920513</v>
      </c>
      <c r="N417" s="431">
        <f t="shared" si="150"/>
        <v>6215046.312326639</v>
      </c>
      <c r="O417" s="431">
        <f t="shared" si="150"/>
        <v>6240691.907671364</v>
      </c>
      <c r="P417" s="431">
        <f t="shared" si="150"/>
        <v>6269522.0133048426</v>
      </c>
      <c r="Q417" s="431">
        <f t="shared" si="150"/>
        <v>6301181.2249607584</v>
      </c>
      <c r="R417" s="431">
        <f t="shared" si="150"/>
        <v>6333781.0162187889</v>
      </c>
      <c r="S417" s="431">
        <f t="shared" si="150"/>
        <v>6365198.9954819251</v>
      </c>
      <c r="T417" s="431">
        <f t="shared" si="150"/>
        <v>6399549.5324431425</v>
      </c>
      <c r="U417" s="431">
        <f t="shared" si="150"/>
        <v>6437012.9169990253</v>
      </c>
      <c r="V417" s="431">
        <f t="shared" si="150"/>
        <v>6477692.1732936557</v>
      </c>
      <c r="W417" s="431">
        <f t="shared" si="150"/>
        <v>6517866.3326182496</v>
      </c>
      <c r="X417" s="431">
        <f t="shared" si="150"/>
        <v>6556278.2632302828</v>
      </c>
      <c r="Y417" s="431">
        <f t="shared" si="150"/>
        <v>6597713.7332007717</v>
      </c>
      <c r="Z417" s="431">
        <f t="shared" si="150"/>
        <v>6639392.8031629501</v>
      </c>
      <c r="AA417" s="431">
        <f t="shared" si="150"/>
        <v>6687215.3068708573</v>
      </c>
      <c r="AB417" s="431">
        <f t="shared" si="150"/>
        <v>6728088.9060615925</v>
      </c>
      <c r="AC417" s="431">
        <f t="shared" si="150"/>
        <v>6773923.8141055144</v>
      </c>
      <c r="AD417" s="431">
        <f t="shared" si="150"/>
        <v>6824588.3082608329</v>
      </c>
      <c r="AE417" s="431">
        <f t="shared" si="150"/>
        <v>6869495.5474186195</v>
      </c>
      <c r="AF417" s="431">
        <f t="shared" si="150"/>
        <v>6913581.1249138918</v>
      </c>
      <c r="AG417" s="431">
        <f t="shared" si="150"/>
        <v>6967886.072466475</v>
      </c>
    </row>
    <row r="419" spans="2:35" x14ac:dyDescent="0.25">
      <c r="B419" s="434" t="s">
        <v>117</v>
      </c>
      <c r="E419" s="423">
        <v>2017</v>
      </c>
      <c r="F419" s="423">
        <v>2018</v>
      </c>
      <c r="G419" s="423">
        <v>2019</v>
      </c>
      <c r="H419" s="423">
        <v>2020</v>
      </c>
      <c r="I419" s="423">
        <v>2021</v>
      </c>
      <c r="J419" s="423">
        <v>2022</v>
      </c>
      <c r="K419" s="423">
        <v>2023</v>
      </c>
      <c r="L419" s="423">
        <v>2024</v>
      </c>
      <c r="M419" s="423">
        <v>2025</v>
      </c>
      <c r="N419" s="423">
        <v>2026</v>
      </c>
      <c r="O419" s="423">
        <v>2027</v>
      </c>
      <c r="P419" s="423">
        <v>2028</v>
      </c>
      <c r="Q419" s="423">
        <v>2029</v>
      </c>
      <c r="R419" s="423">
        <v>2030</v>
      </c>
      <c r="S419" s="423">
        <v>2031</v>
      </c>
      <c r="T419" s="423">
        <v>2032</v>
      </c>
      <c r="U419" s="423">
        <v>2033</v>
      </c>
      <c r="V419" s="423">
        <v>2034</v>
      </c>
      <c r="W419" s="423">
        <v>2035</v>
      </c>
      <c r="X419" s="423">
        <v>2036</v>
      </c>
      <c r="Y419" s="423">
        <v>2037</v>
      </c>
      <c r="Z419" s="423">
        <v>2038</v>
      </c>
      <c r="AA419" s="423">
        <v>2039</v>
      </c>
      <c r="AB419" s="423">
        <v>2040</v>
      </c>
      <c r="AC419" s="423">
        <v>2041</v>
      </c>
      <c r="AD419" s="423">
        <v>2042</v>
      </c>
      <c r="AE419" s="423">
        <v>2043</v>
      </c>
      <c r="AF419" s="423">
        <v>2044</v>
      </c>
      <c r="AG419" s="423">
        <v>2045</v>
      </c>
      <c r="AH419" s="431"/>
      <c r="AI419" s="431"/>
    </row>
    <row r="420" spans="2:35" x14ac:dyDescent="0.25">
      <c r="B420" s="421" t="s">
        <v>98</v>
      </c>
      <c r="E420" s="446">
        <f t="shared" ref="E420:E425" si="151">(SUM(E364,E378)-E406)/E280</f>
        <v>1.9766970974151536</v>
      </c>
      <c r="F420" s="446">
        <f t="shared" ref="F420:AG430" si="152">(SUM(F364,F378)-F406)/F280</f>
        <v>2.1569647992899688</v>
      </c>
      <c r="G420" s="446">
        <f t="shared" si="152"/>
        <v>2.2100707266326585</v>
      </c>
      <c r="H420" s="446">
        <f t="shared" si="152"/>
        <v>2.418811000245312</v>
      </c>
      <c r="I420" s="446">
        <f t="shared" si="152"/>
        <v>2.314955626672933</v>
      </c>
      <c r="J420" s="446">
        <f t="shared" si="152"/>
        <v>2.2706904645894586</v>
      </c>
      <c r="K420" s="446">
        <f t="shared" si="152"/>
        <v>2.3009255961875139</v>
      </c>
      <c r="L420" s="446">
        <f t="shared" si="152"/>
        <v>2.3438358815801545</v>
      </c>
      <c r="M420" s="446">
        <f t="shared" si="152"/>
        <v>2.365269996070126</v>
      </c>
      <c r="N420" s="446">
        <f t="shared" si="152"/>
        <v>2.3978629199774999</v>
      </c>
      <c r="O420" s="446">
        <f t="shared" si="152"/>
        <v>2.4072891273906136</v>
      </c>
      <c r="P420" s="446">
        <f t="shared" si="152"/>
        <v>2.4315113049515329</v>
      </c>
      <c r="Q420" s="446">
        <f t="shared" si="152"/>
        <v>2.4541131062441379</v>
      </c>
      <c r="R420" s="446">
        <f t="shared" si="152"/>
        <v>2.4858899343728389</v>
      </c>
      <c r="S420" s="446">
        <f t="shared" si="152"/>
        <v>2.528001438711756</v>
      </c>
      <c r="T420" s="446">
        <f t="shared" si="152"/>
        <v>2.5467183131536588</v>
      </c>
      <c r="U420" s="446">
        <f t="shared" si="152"/>
        <v>2.5637592390605479</v>
      </c>
      <c r="V420" s="446">
        <f t="shared" si="152"/>
        <v>2.5791069435653244</v>
      </c>
      <c r="W420" s="446">
        <f t="shared" si="152"/>
        <v>2.6066790571384049</v>
      </c>
      <c r="X420" s="446">
        <f t="shared" si="152"/>
        <v>2.641280156071907</v>
      </c>
      <c r="Y420" s="446">
        <f t="shared" si="152"/>
        <v>2.6531427882259364</v>
      </c>
      <c r="Z420" s="446">
        <f t="shared" si="152"/>
        <v>2.6641837371559252</v>
      </c>
      <c r="AA420" s="446">
        <f t="shared" si="152"/>
        <v>2.6728265029163736</v>
      </c>
      <c r="AB420" s="446">
        <f t="shared" si="152"/>
        <v>2.7295599256246494</v>
      </c>
      <c r="AC420" s="446">
        <f t="shared" si="152"/>
        <v>2.7570111793507293</v>
      </c>
      <c r="AD420" s="446">
        <f t="shared" si="152"/>
        <v>2.7620035507465488</v>
      </c>
      <c r="AE420" s="446">
        <f t="shared" si="152"/>
        <v>2.7679447041188032</v>
      </c>
      <c r="AF420" s="446">
        <f t="shared" si="152"/>
        <v>2.7734320270348629</v>
      </c>
      <c r="AG420" s="446">
        <f t="shared" si="152"/>
        <v>2.7755034970637729</v>
      </c>
      <c r="AH420" s="431"/>
      <c r="AI420" s="431"/>
    </row>
    <row r="421" spans="2:35" x14ac:dyDescent="0.25">
      <c r="B421" s="421" t="s">
        <v>38</v>
      </c>
      <c r="E421" s="446">
        <f t="shared" si="151"/>
        <v>3.1126084998190207</v>
      </c>
      <c r="F421" s="446">
        <f>(SUM(F365,F379)-F407)/F281</f>
        <v>3.1496677343554143</v>
      </c>
      <c r="G421" s="446">
        <f t="shared" ref="G421:T421" si="153">(SUM(G365,G379)-G407)/G281</f>
        <v>3.3000775465703427</v>
      </c>
      <c r="H421" s="446">
        <f t="shared" si="153"/>
        <v>3.1585536546720698</v>
      </c>
      <c r="I421" s="446">
        <f t="shared" si="153"/>
        <v>3.2036979879525327</v>
      </c>
      <c r="J421" s="446">
        <f t="shared" si="153"/>
        <v>3.1456701699000953</v>
      </c>
      <c r="K421" s="446">
        <f t="shared" si="153"/>
        <v>3.1795360063813343</v>
      </c>
      <c r="L421" s="446">
        <f t="shared" si="153"/>
        <v>3.2355348617756459</v>
      </c>
      <c r="M421" s="446">
        <f t="shared" si="153"/>
        <v>3.2685033290108323</v>
      </c>
      <c r="N421" s="446">
        <f t="shared" si="153"/>
        <v>3.3149067985309153</v>
      </c>
      <c r="O421" s="446">
        <f t="shared" si="153"/>
        <v>3.331077776200587</v>
      </c>
      <c r="P421" s="446">
        <f t="shared" si="153"/>
        <v>3.3644186591702772</v>
      </c>
      <c r="Q421" s="446">
        <f t="shared" si="153"/>
        <v>3.395779414637726</v>
      </c>
      <c r="R421" s="446">
        <f t="shared" si="153"/>
        <v>3.4407553617534807</v>
      </c>
      <c r="S421" s="446">
        <f t="shared" si="153"/>
        <v>3.4973108464983711</v>
      </c>
      <c r="T421" s="446">
        <f t="shared" si="153"/>
        <v>3.5241141883704987</v>
      </c>
      <c r="U421" s="446">
        <f t="shared" si="152"/>
        <v>3.5488463965533685</v>
      </c>
      <c r="V421" s="446">
        <f t="shared" si="152"/>
        <v>3.5714783728292434</v>
      </c>
      <c r="W421" s="446">
        <f t="shared" si="152"/>
        <v>3.6120891270500333</v>
      </c>
      <c r="X421" s="446">
        <f t="shared" si="152"/>
        <v>3.659563952752126</v>
      </c>
      <c r="Y421" s="446">
        <f t="shared" si="152"/>
        <v>3.6781061771147985</v>
      </c>
      <c r="Z421" s="446">
        <f t="shared" si="152"/>
        <v>3.6957327934484741</v>
      </c>
      <c r="AA421" s="446">
        <f t="shared" si="152"/>
        <v>3.7102618394980498</v>
      </c>
      <c r="AB421" s="446">
        <f t="shared" si="152"/>
        <v>3.7945643771651043</v>
      </c>
      <c r="AC421" s="446">
        <f t="shared" si="152"/>
        <v>3.8333578160864077</v>
      </c>
      <c r="AD421" s="446">
        <f t="shared" si="152"/>
        <v>3.8434981056898851</v>
      </c>
      <c r="AE421" s="446">
        <f t="shared" si="152"/>
        <v>3.8551548081826494</v>
      </c>
      <c r="AF421" s="446">
        <f t="shared" si="152"/>
        <v>3.8663869844237126</v>
      </c>
      <c r="AG421" s="446">
        <f t="shared" si="152"/>
        <v>3.8730617800996638</v>
      </c>
      <c r="AH421" s="431"/>
      <c r="AI421" s="431"/>
    </row>
    <row r="422" spans="2:35" x14ac:dyDescent="0.25">
      <c r="B422" s="421" t="s">
        <v>39</v>
      </c>
      <c r="E422" s="446">
        <f t="shared" si="151"/>
        <v>1.3804103303584587</v>
      </c>
      <c r="F422" s="446">
        <f t="shared" si="152"/>
        <v>1.4109554975071887</v>
      </c>
      <c r="G422" s="446">
        <f t="shared" si="152"/>
        <v>1.4557910124314464</v>
      </c>
      <c r="H422" s="446">
        <f t="shared" si="152"/>
        <v>1.7203101452028096</v>
      </c>
      <c r="I422" s="446">
        <f t="shared" si="152"/>
        <v>1.606876959984284</v>
      </c>
      <c r="J422" s="446">
        <f t="shared" si="152"/>
        <v>1.5729466062466071</v>
      </c>
      <c r="K422" s="446">
        <f t="shared" si="152"/>
        <v>1.6009623010173577</v>
      </c>
      <c r="L422" s="446">
        <f t="shared" si="152"/>
        <v>1.6340071134656953</v>
      </c>
      <c r="M422" s="446">
        <f t="shared" si="152"/>
        <v>1.6460372750809309</v>
      </c>
      <c r="N422" s="446">
        <f t="shared" si="152"/>
        <v>1.6678533190344229</v>
      </c>
      <c r="O422" s="446">
        <f t="shared" si="152"/>
        <v>1.6729571641752539</v>
      </c>
      <c r="P422" s="446">
        <f t="shared" si="152"/>
        <v>1.6907090446653568</v>
      </c>
      <c r="Q422" s="446">
        <f t="shared" si="152"/>
        <v>1.7071515266282526</v>
      </c>
      <c r="R422" s="446">
        <f t="shared" si="152"/>
        <v>1.7278165218810111</v>
      </c>
      <c r="S422" s="446">
        <f t="shared" si="152"/>
        <v>1.7586836767083265</v>
      </c>
      <c r="T422" s="446">
        <f t="shared" si="152"/>
        <v>1.7719040253236764</v>
      </c>
      <c r="U422" s="446">
        <f t="shared" si="152"/>
        <v>1.783783340454598</v>
      </c>
      <c r="V422" s="446">
        <f t="shared" si="152"/>
        <v>1.7943117990936517</v>
      </c>
      <c r="W422" s="446">
        <f t="shared" si="152"/>
        <v>1.8107042729030554</v>
      </c>
      <c r="X422" s="446">
        <f t="shared" si="152"/>
        <v>1.8355462265540254</v>
      </c>
      <c r="Y422" s="446">
        <f t="shared" si="152"/>
        <v>1.8432421932892658</v>
      </c>
      <c r="Z422" s="446">
        <f t="shared" si="152"/>
        <v>1.8502215504066322</v>
      </c>
      <c r="AA422" s="446">
        <f t="shared" si="152"/>
        <v>1.8553553929962401</v>
      </c>
      <c r="AB422" s="446">
        <f t="shared" si="152"/>
        <v>1.8847917905678184</v>
      </c>
      <c r="AC422" s="446">
        <f t="shared" si="152"/>
        <v>1.9039016884985696</v>
      </c>
      <c r="AD422" s="446">
        <f t="shared" si="152"/>
        <v>1.9061120585584772</v>
      </c>
      <c r="AE422" s="446">
        <f t="shared" si="152"/>
        <v>1.9088775619540337</v>
      </c>
      <c r="AF422" s="446">
        <f t="shared" si="152"/>
        <v>1.9112008027919525</v>
      </c>
      <c r="AG422" s="446">
        <f t="shared" si="152"/>
        <v>1.9109879719586349</v>
      </c>
      <c r="AH422" s="431"/>
      <c r="AI422" s="431"/>
    </row>
    <row r="423" spans="2:35" x14ac:dyDescent="0.25">
      <c r="B423" s="421" t="s">
        <v>99</v>
      </c>
      <c r="E423" s="446">
        <f t="shared" si="151"/>
        <v>1.3648725440421439</v>
      </c>
      <c r="F423" s="446">
        <f t="shared" si="152"/>
        <v>1.3942498713916778</v>
      </c>
      <c r="G423" s="446">
        <f t="shared" si="152"/>
        <v>1.4390480540200981</v>
      </c>
      <c r="H423" s="446">
        <f t="shared" si="152"/>
        <v>1.7357009864089961</v>
      </c>
      <c r="I423" s="446">
        <f t="shared" si="152"/>
        <v>1.6116042381832738</v>
      </c>
      <c r="J423" s="446">
        <f t="shared" si="152"/>
        <v>1.5779495309979685</v>
      </c>
      <c r="K423" s="446">
        <f t="shared" si="152"/>
        <v>1.6059092555290106</v>
      </c>
      <c r="L423" s="446">
        <f t="shared" si="152"/>
        <v>1.6386907048642549</v>
      </c>
      <c r="M423" s="446">
        <f t="shared" si="152"/>
        <v>1.6504653232484248</v>
      </c>
      <c r="N423" s="446">
        <f t="shared" si="152"/>
        <v>1.6719913458120499</v>
      </c>
      <c r="O423" s="446">
        <f t="shared" si="152"/>
        <v>1.6769846308105711</v>
      </c>
      <c r="P423" s="446">
        <f t="shared" si="152"/>
        <v>1.6945663379519147</v>
      </c>
      <c r="Q423" s="446">
        <f t="shared" si="152"/>
        <v>1.7108472006546844</v>
      </c>
      <c r="R423" s="446">
        <f t="shared" si="152"/>
        <v>1.7312081880052217</v>
      </c>
      <c r="S423" s="446">
        <f t="shared" si="152"/>
        <v>1.7617729054042466</v>
      </c>
      <c r="T423" s="446">
        <f t="shared" si="152"/>
        <v>1.7748503166517671</v>
      </c>
      <c r="U423" s="446">
        <f t="shared" si="152"/>
        <v>1.7865958699551827</v>
      </c>
      <c r="V423" s="446">
        <f t="shared" si="152"/>
        <v>1.7969999319071643</v>
      </c>
      <c r="W423" s="446">
        <f t="shared" si="152"/>
        <v>1.8130853910544695</v>
      </c>
      <c r="X423" s="446">
        <f t="shared" si="152"/>
        <v>1.837666467535831</v>
      </c>
      <c r="Y423" s="446">
        <f t="shared" si="152"/>
        <v>1.8452567060834963</v>
      </c>
      <c r="Z423" s="446">
        <f t="shared" si="152"/>
        <v>1.8521333572933931</v>
      </c>
      <c r="AA423" s="446">
        <f t="shared" si="152"/>
        <v>1.8571794094032339</v>
      </c>
      <c r="AB423" s="446">
        <f t="shared" si="152"/>
        <v>1.8858457893548306</v>
      </c>
      <c r="AC423" s="446">
        <f t="shared" si="152"/>
        <v>1.9047343283266083</v>
      </c>
      <c r="AD423" s="446">
        <f t="shared" si="152"/>
        <v>1.9068773934922154</v>
      </c>
      <c r="AE423" s="446">
        <f t="shared" si="152"/>
        <v>1.9095653001803548</v>
      </c>
      <c r="AF423" s="446">
        <f t="shared" si="152"/>
        <v>1.911811466471071</v>
      </c>
      <c r="AG423" s="446">
        <f t="shared" si="152"/>
        <v>1.9115451699478556</v>
      </c>
      <c r="AH423" s="431"/>
      <c r="AI423" s="431"/>
    </row>
    <row r="424" spans="2:35" x14ac:dyDescent="0.25">
      <c r="B424" s="421" t="s">
        <v>100</v>
      </c>
      <c r="E424" s="446">
        <f t="shared" si="151"/>
        <v>1.3414042221281628</v>
      </c>
      <c r="F424" s="446">
        <f t="shared" si="152"/>
        <v>1.3716275030243705</v>
      </c>
      <c r="G424" s="446">
        <f t="shared" si="152"/>
        <v>1.4119777237960194</v>
      </c>
      <c r="H424" s="446">
        <f t="shared" si="152"/>
        <v>1.6903934106573129</v>
      </c>
      <c r="I424" s="446">
        <f t="shared" si="152"/>
        <v>1.5707050923399934</v>
      </c>
      <c r="J424" s="446">
        <f t="shared" si="152"/>
        <v>1.5383671428724064</v>
      </c>
      <c r="K424" s="446">
        <f t="shared" si="152"/>
        <v>1.5660681027280727</v>
      </c>
      <c r="L424" s="446">
        <f t="shared" si="152"/>
        <v>1.5975908465672135</v>
      </c>
      <c r="M424" s="446">
        <f t="shared" si="152"/>
        <v>1.6081321401097939</v>
      </c>
      <c r="N424" s="446">
        <f t="shared" si="152"/>
        <v>1.6282658444678484</v>
      </c>
      <c r="O424" s="446">
        <f t="shared" si="152"/>
        <v>1.6327435871186795</v>
      </c>
      <c r="P424" s="446">
        <f t="shared" si="152"/>
        <v>1.6495187817544692</v>
      </c>
      <c r="Q424" s="446">
        <f t="shared" si="152"/>
        <v>1.6650346875758335</v>
      </c>
      <c r="R424" s="446">
        <f t="shared" si="152"/>
        <v>1.6839230667017848</v>
      </c>
      <c r="S424" s="446">
        <f t="shared" si="152"/>
        <v>1.7130362938473336</v>
      </c>
      <c r="T424" s="446">
        <f t="shared" si="152"/>
        <v>1.7254406693177942</v>
      </c>
      <c r="U424" s="446">
        <f t="shared" si="152"/>
        <v>1.7365576657973871</v>
      </c>
      <c r="V424" s="446">
        <f t="shared" si="152"/>
        <v>1.7463785313227667</v>
      </c>
      <c r="W424" s="446">
        <f t="shared" si="152"/>
        <v>1.7609738230730971</v>
      </c>
      <c r="X424" s="446">
        <f t="shared" si="152"/>
        <v>1.7843071358561282</v>
      </c>
      <c r="Y424" s="446">
        <f t="shared" si="152"/>
        <v>1.7914067259276454</v>
      </c>
      <c r="Z424" s="446">
        <f t="shared" si="152"/>
        <v>1.797807752259549</v>
      </c>
      <c r="AA424" s="446">
        <f t="shared" si="152"/>
        <v>1.8024498964917299</v>
      </c>
      <c r="AB424" s="446">
        <f t="shared" si="152"/>
        <v>1.8273260014115809</v>
      </c>
      <c r="AC424" s="446">
        <f t="shared" si="152"/>
        <v>1.8451600976631526</v>
      </c>
      <c r="AD424" s="446">
        <f t="shared" si="152"/>
        <v>1.8470000410662291</v>
      </c>
      <c r="AE424" s="446">
        <f t="shared" si="152"/>
        <v>1.8493362155359689</v>
      </c>
      <c r="AF424" s="446">
        <f t="shared" si="152"/>
        <v>1.85123371373845</v>
      </c>
      <c r="AG424" s="446">
        <f t="shared" si="152"/>
        <v>1.850731911218584</v>
      </c>
    </row>
    <row r="425" spans="2:35" x14ac:dyDescent="0.25">
      <c r="B425" s="421" t="s">
        <v>101</v>
      </c>
      <c r="E425" s="446">
        <f t="shared" si="151"/>
        <v>1.2776675687034715</v>
      </c>
      <c r="F425" s="446">
        <f t="shared" si="152"/>
        <v>1.3498346228038269</v>
      </c>
      <c r="G425" s="446">
        <f t="shared" si="152"/>
        <v>1.3912955918150189</v>
      </c>
      <c r="H425" s="446">
        <f t="shared" si="152"/>
        <v>1.6780831956822215</v>
      </c>
      <c r="I425" s="446">
        <f t="shared" si="152"/>
        <v>1.5580394003729874</v>
      </c>
      <c r="J425" s="446">
        <f t="shared" si="152"/>
        <v>1.5256281989736522</v>
      </c>
      <c r="K425" s="446">
        <f t="shared" si="152"/>
        <v>1.553342523296495</v>
      </c>
      <c r="L425" s="446">
        <f t="shared" si="152"/>
        <v>1.5849353645266691</v>
      </c>
      <c r="M425" s="446">
        <f t="shared" si="152"/>
        <v>1.5955467780879959</v>
      </c>
      <c r="N425" s="446">
        <f t="shared" si="152"/>
        <v>1.6157587635278385</v>
      </c>
      <c r="O425" s="446">
        <f t="shared" si="152"/>
        <v>1.6202636764708234</v>
      </c>
      <c r="P425" s="446">
        <f t="shared" si="152"/>
        <v>1.6370829708756096</v>
      </c>
      <c r="Q425" s="446">
        <f t="shared" si="152"/>
        <v>1.6526405816926371</v>
      </c>
      <c r="R425" s="446">
        <f t="shared" si="152"/>
        <v>1.6716133229813026</v>
      </c>
      <c r="S425" s="446">
        <f t="shared" si="152"/>
        <v>1.7008081063166112</v>
      </c>
      <c r="T425" s="446">
        <f t="shared" si="152"/>
        <v>1.7132487523281437</v>
      </c>
      <c r="U425" s="446">
        <f t="shared" si="152"/>
        <v>1.7243994673799132</v>
      </c>
      <c r="V425" s="446">
        <f t="shared" si="152"/>
        <v>1.7342514533811111</v>
      </c>
      <c r="W425" s="446">
        <f t="shared" si="152"/>
        <v>1.7489324669920654</v>
      </c>
      <c r="X425" s="446">
        <f t="shared" si="152"/>
        <v>1.7723353803008899</v>
      </c>
      <c r="Y425" s="446">
        <f t="shared" si="152"/>
        <v>1.779460538761731</v>
      </c>
      <c r="Z425" s="446">
        <f t="shared" si="152"/>
        <v>1.7858862274822349</v>
      </c>
      <c r="AA425" s="446">
        <f t="shared" si="152"/>
        <v>1.790548988583436</v>
      </c>
      <c r="AB425" s="446">
        <f t="shared" si="152"/>
        <v>1.8156493561218836</v>
      </c>
      <c r="AC425" s="446">
        <f t="shared" si="152"/>
        <v>1.8335417540632708</v>
      </c>
      <c r="AD425" s="446">
        <f t="shared" si="152"/>
        <v>1.8353963569086307</v>
      </c>
      <c r="AE425" s="446">
        <f t="shared" si="152"/>
        <v>1.8377498287592402</v>
      </c>
      <c r="AF425" s="446">
        <f t="shared" si="152"/>
        <v>1.8396643856239412</v>
      </c>
      <c r="AG425" s="446">
        <f t="shared" si="152"/>
        <v>1.8391733006059969</v>
      </c>
    </row>
    <row r="426" spans="2:35" x14ac:dyDescent="0.25">
      <c r="B426" s="421" t="s">
        <v>102</v>
      </c>
      <c r="C426" s="422"/>
      <c r="E426" s="446">
        <v>0</v>
      </c>
      <c r="F426" s="446">
        <v>1</v>
      </c>
      <c r="G426" s="446">
        <v>2</v>
      </c>
      <c r="H426" s="446">
        <v>3</v>
      </c>
      <c r="I426" s="446">
        <v>4</v>
      </c>
      <c r="J426" s="446">
        <v>5</v>
      </c>
      <c r="K426" s="446">
        <v>6</v>
      </c>
      <c r="L426" s="446">
        <v>7</v>
      </c>
      <c r="M426" s="446">
        <v>8</v>
      </c>
      <c r="N426" s="446">
        <v>9</v>
      </c>
      <c r="O426" s="446">
        <v>10</v>
      </c>
      <c r="P426" s="446">
        <v>11</v>
      </c>
      <c r="Q426" s="446">
        <v>12</v>
      </c>
      <c r="R426" s="446">
        <v>13</v>
      </c>
      <c r="S426" s="446">
        <v>14</v>
      </c>
      <c r="T426" s="446">
        <v>15</v>
      </c>
      <c r="U426" s="446">
        <v>16</v>
      </c>
      <c r="V426" s="446">
        <v>17</v>
      </c>
      <c r="W426" s="446">
        <v>18</v>
      </c>
      <c r="X426" s="446">
        <v>19</v>
      </c>
      <c r="Y426" s="446">
        <v>20</v>
      </c>
      <c r="Z426" s="446">
        <v>21</v>
      </c>
      <c r="AA426" s="446">
        <v>22</v>
      </c>
      <c r="AB426" s="446">
        <v>23</v>
      </c>
      <c r="AC426" s="446">
        <v>24</v>
      </c>
      <c r="AD426" s="446">
        <v>25</v>
      </c>
      <c r="AE426" s="446">
        <v>26</v>
      </c>
      <c r="AF426" s="446">
        <v>27</v>
      </c>
      <c r="AG426" s="446">
        <v>28</v>
      </c>
    </row>
    <row r="427" spans="2:35" x14ac:dyDescent="0.25">
      <c r="B427" s="421" t="s">
        <v>103</v>
      </c>
      <c r="E427" s="446">
        <f>(SUM(E371,E385)-E413)/E287</f>
        <v>-6.8361000422017995</v>
      </c>
      <c r="F427" s="446">
        <f t="shared" si="152"/>
        <v>-17.875621916559908</v>
      </c>
      <c r="G427" s="446">
        <f t="shared" si="152"/>
        <v>13.282324785831946</v>
      </c>
      <c r="H427" s="446">
        <f t="shared" si="152"/>
        <v>-7.2239399807179403</v>
      </c>
      <c r="I427" s="446">
        <f t="shared" si="152"/>
        <v>-5.713346936720928</v>
      </c>
      <c r="J427" s="446">
        <f t="shared" si="152"/>
        <v>-5.9169436577995214</v>
      </c>
      <c r="K427" s="446">
        <f t="shared" si="152"/>
        <v>-5.7966981726261366</v>
      </c>
      <c r="L427" s="446">
        <f t="shared" si="152"/>
        <v>-5.5989638345211086</v>
      </c>
      <c r="M427" s="446">
        <f t="shared" si="152"/>
        <v>-5.4587651237774715</v>
      </c>
      <c r="N427" s="446">
        <f t="shared" si="152"/>
        <v>-5.295376975458236</v>
      </c>
      <c r="O427" s="446">
        <f t="shared" si="152"/>
        <v>-5.2364321480669318</v>
      </c>
      <c r="P427" s="446">
        <f t="shared" si="152"/>
        <v>-5.1177847212072782</v>
      </c>
      <c r="Q427" s="446">
        <f t="shared" si="152"/>
        <v>-5.0060313677003681</v>
      </c>
      <c r="R427" s="446">
        <f t="shared" si="152"/>
        <v>-4.8131389620535696</v>
      </c>
      <c r="S427" s="446">
        <f t="shared" si="152"/>
        <v>-4.6142757439791646</v>
      </c>
      <c r="T427" s="446">
        <f t="shared" si="152"/>
        <v>-4.5184226827456921</v>
      </c>
      <c r="U427" s="446">
        <f t="shared" si="152"/>
        <v>-4.4298093637025167</v>
      </c>
      <c r="V427" s="446">
        <f t="shared" si="152"/>
        <v>-4.3485425165458818</v>
      </c>
      <c r="W427" s="446">
        <f t="shared" si="152"/>
        <v>-4.1624200357849759</v>
      </c>
      <c r="X427" s="446">
        <f t="shared" si="152"/>
        <v>-3.9962616736487946</v>
      </c>
      <c r="Y427" s="446">
        <f t="shared" si="152"/>
        <v>-3.9302534164598373</v>
      </c>
      <c r="Z427" s="446">
        <f t="shared" si="152"/>
        <v>-3.8673393615153726</v>
      </c>
      <c r="AA427" s="446">
        <f t="shared" si="152"/>
        <v>-3.8153196086989816</v>
      </c>
      <c r="AB427" s="446">
        <f t="shared" si="152"/>
        <v>-3.3668708987522558</v>
      </c>
      <c r="AC427" s="446">
        <f t="shared" si="152"/>
        <v>-3.2316732169187365</v>
      </c>
      <c r="AD427" s="446">
        <f t="shared" si="152"/>
        <v>-3.1958405846826183</v>
      </c>
      <c r="AE427" s="446">
        <f t="shared" si="152"/>
        <v>-3.1543027747970243</v>
      </c>
      <c r="AF427" s="446">
        <f t="shared" si="152"/>
        <v>-3.1140982611716588</v>
      </c>
      <c r="AG427" s="446">
        <f t="shared" si="152"/>
        <v>-3.0902316770493314</v>
      </c>
      <c r="AH427" s="447"/>
      <c r="AI427" s="447"/>
    </row>
    <row r="428" spans="2:35" x14ac:dyDescent="0.25">
      <c r="B428" s="421" t="s">
        <v>104</v>
      </c>
      <c r="E428" s="446">
        <f>(SUM(E372,E386)-E414)/E288</f>
        <v>1.5869519510560914</v>
      </c>
      <c r="F428" s="446">
        <f t="shared" si="152"/>
        <v>1.5856725099163169</v>
      </c>
      <c r="G428" s="446">
        <f t="shared" si="152"/>
        <v>1.7542507002589249</v>
      </c>
      <c r="H428" s="446">
        <f t="shared" si="152"/>
        <v>1.6388525011497064</v>
      </c>
      <c r="I428" s="446">
        <f t="shared" si="152"/>
        <v>1.5829239376017166</v>
      </c>
      <c r="J428" s="446">
        <f t="shared" si="152"/>
        <v>1.5331800619258218</v>
      </c>
      <c r="K428" s="446">
        <f t="shared" si="152"/>
        <v>1.5881950987119691</v>
      </c>
      <c r="L428" s="446">
        <f t="shared" si="152"/>
        <v>1.6373330924734006</v>
      </c>
      <c r="M428" s="446">
        <f t="shared" si="152"/>
        <v>1.6513827545138542</v>
      </c>
      <c r="N428" s="446">
        <f t="shared" si="152"/>
        <v>1.6745178996576631</v>
      </c>
      <c r="O428" s="446">
        <f t="shared" si="152"/>
        <v>1.6812712547540927</v>
      </c>
      <c r="P428" s="446">
        <f t="shared" si="152"/>
        <v>1.7077494724865074</v>
      </c>
      <c r="Q428" s="446">
        <f t="shared" si="152"/>
        <v>1.7323542826475447</v>
      </c>
      <c r="R428" s="446">
        <f t="shared" si="152"/>
        <v>1.7628991430084258</v>
      </c>
      <c r="S428" s="446">
        <f t="shared" si="152"/>
        <v>1.8033212836225052</v>
      </c>
      <c r="T428" s="446">
        <f t="shared" si="152"/>
        <v>1.8233712537243976</v>
      </c>
      <c r="U428" s="446">
        <f t="shared" si="152"/>
        <v>1.8415043564480087</v>
      </c>
      <c r="V428" s="446">
        <f t="shared" si="152"/>
        <v>1.8577059008115016</v>
      </c>
      <c r="W428" s="446">
        <f t="shared" si="152"/>
        <v>1.8821600734355319</v>
      </c>
      <c r="X428" s="446">
        <f t="shared" si="152"/>
        <v>1.9141419725302078</v>
      </c>
      <c r="Y428" s="446">
        <f t="shared" si="152"/>
        <v>1.9263309571778557</v>
      </c>
      <c r="Z428" s="446">
        <f t="shared" si="152"/>
        <v>1.9374691376101107</v>
      </c>
      <c r="AA428" s="446">
        <f t="shared" si="152"/>
        <v>1.9459955971017704</v>
      </c>
      <c r="AB428" s="446">
        <f t="shared" si="152"/>
        <v>1.9888230118400176</v>
      </c>
      <c r="AC428" s="446">
        <f t="shared" si="152"/>
        <v>2.012801415277675</v>
      </c>
      <c r="AD428" s="446">
        <f t="shared" si="152"/>
        <v>2.0171976812455767</v>
      </c>
      <c r="AE428" s="446">
        <f t="shared" si="152"/>
        <v>2.0223091215694664</v>
      </c>
      <c r="AF428" s="446">
        <f t="shared" si="152"/>
        <v>2.0267653123837981</v>
      </c>
      <c r="AG428" s="446">
        <f t="shared" si="152"/>
        <v>2.0276531142142624</v>
      </c>
      <c r="AH428" s="447"/>
      <c r="AI428" s="447"/>
    </row>
    <row r="429" spans="2:35" x14ac:dyDescent="0.25">
      <c r="B429" s="421" t="s">
        <v>105</v>
      </c>
      <c r="E429" s="446">
        <f>(SUM(E373,E387)-E415)/E289</f>
        <v>0.93302463066472607</v>
      </c>
      <c r="F429" s="446">
        <f t="shared" si="152"/>
        <v>0.96795852219015599</v>
      </c>
      <c r="G429" s="446">
        <f t="shared" si="152"/>
        <v>0.99683846737940851</v>
      </c>
      <c r="H429" s="446">
        <f t="shared" si="152"/>
        <v>1.2519233932146052</v>
      </c>
      <c r="I429" s="446">
        <f t="shared" si="152"/>
        <v>1.149239904429515</v>
      </c>
      <c r="J429" s="446">
        <f t="shared" si="152"/>
        <v>1.1251959029962635</v>
      </c>
      <c r="K429" s="446">
        <f t="shared" si="152"/>
        <v>1.1345408938051005</v>
      </c>
      <c r="L429" s="446">
        <f t="shared" si="152"/>
        <v>1.1574516986958661</v>
      </c>
      <c r="M429" s="446">
        <f t="shared" si="152"/>
        <v>1.1691817267450852</v>
      </c>
      <c r="N429" s="446">
        <f t="shared" si="152"/>
        <v>1.1913283408881858</v>
      </c>
      <c r="O429" s="446">
        <f t="shared" si="152"/>
        <v>1.195735377432487</v>
      </c>
      <c r="P429" s="446">
        <f t="shared" si="152"/>
        <v>1.2081007495195561</v>
      </c>
      <c r="Q429" s="446">
        <f t="shared" si="152"/>
        <v>1.2195138962549725</v>
      </c>
      <c r="R429" s="446">
        <f t="shared" si="152"/>
        <v>1.2345948098700643</v>
      </c>
      <c r="S429" s="446">
        <f t="shared" si="152"/>
        <v>1.2600805227680902</v>
      </c>
      <c r="T429" s="446">
        <f t="shared" si="152"/>
        <v>1.26912069826393</v>
      </c>
      <c r="U429" s="446">
        <f t="shared" si="152"/>
        <v>1.277182683535123</v>
      </c>
      <c r="V429" s="446">
        <f t="shared" si="152"/>
        <v>1.2842592815160072</v>
      </c>
      <c r="W429" s="446">
        <f t="shared" si="152"/>
        <v>1.2963575287686748</v>
      </c>
      <c r="X429" s="446">
        <f t="shared" si="152"/>
        <v>1.3173233064445014</v>
      </c>
      <c r="Y429" s="446">
        <f t="shared" si="152"/>
        <v>1.3223088698409544</v>
      </c>
      <c r="Z429" s="446">
        <f t="shared" si="152"/>
        <v>1.326798011292154</v>
      </c>
      <c r="AA429" s="446">
        <f t="shared" si="152"/>
        <v>1.3299133459579806</v>
      </c>
      <c r="AB429" s="446">
        <f t="shared" si="152"/>
        <v>1.3534292954701672</v>
      </c>
      <c r="AC429" s="446">
        <f t="shared" si="152"/>
        <v>1.3700773898197254</v>
      </c>
      <c r="AD429" s="446">
        <f t="shared" si="152"/>
        <v>1.3710221527997462</v>
      </c>
      <c r="AE429" s="446">
        <f t="shared" si="152"/>
        <v>1.3724534613781885</v>
      </c>
      <c r="AF429" s="446">
        <f t="shared" si="152"/>
        <v>1.3735886023664732</v>
      </c>
      <c r="AG429" s="446">
        <f t="shared" si="152"/>
        <v>1.3728084539090581</v>
      </c>
      <c r="AH429" s="447"/>
      <c r="AI429" s="447"/>
    </row>
    <row r="430" spans="2:35" x14ac:dyDescent="0.25">
      <c r="B430" s="421" t="s">
        <v>106</v>
      </c>
      <c r="E430" s="446">
        <f>(SUM(E374,E388)-E416)/E290</f>
        <v>0.76238953089742856</v>
      </c>
      <c r="F430" s="446">
        <f t="shared" si="152"/>
        <v>0.78990667627483335</v>
      </c>
      <c r="G430" s="446">
        <f t="shared" si="152"/>
        <v>0.81613484360577537</v>
      </c>
      <c r="H430" s="446">
        <f t="shared" si="152"/>
        <v>1.0579819848038625</v>
      </c>
      <c r="I430" s="446">
        <f t="shared" si="152"/>
        <v>0.95576997788495166</v>
      </c>
      <c r="J430" s="446">
        <f t="shared" si="152"/>
        <v>0.93159462744076005</v>
      </c>
      <c r="K430" s="446">
        <f t="shared" si="152"/>
        <v>0.94096606157209928</v>
      </c>
      <c r="L430" s="446">
        <f t="shared" si="152"/>
        <v>0.96400237877906902</v>
      </c>
      <c r="M430" s="446">
        <f t="shared" si="152"/>
        <v>0.9758545090739813</v>
      </c>
      <c r="N430" s="446">
        <f t="shared" si="152"/>
        <v>0.99813950400940188</v>
      </c>
      <c r="O430" s="446">
        <f t="shared" si="152"/>
        <v>1.0025988910972017</v>
      </c>
      <c r="P430" s="446">
        <f t="shared" si="152"/>
        <v>1.0150451838541077</v>
      </c>
      <c r="Q430" s="446">
        <f t="shared" si="152"/>
        <v>1.0265351568326353</v>
      </c>
      <c r="R430" s="446">
        <f t="shared" si="152"/>
        <v>1.041761471848683</v>
      </c>
      <c r="S430" s="446">
        <f t="shared" si="152"/>
        <v>1.0673914782626663</v>
      </c>
      <c r="T430" s="446">
        <f t="shared" si="152"/>
        <v>1.0764995071306744</v>
      </c>
      <c r="U430" s="446">
        <f t="shared" si="152"/>
        <v>1.0846249564148784</v>
      </c>
      <c r="V430" s="446">
        <f t="shared" si="152"/>
        <v>1.0917605393437142</v>
      </c>
      <c r="W430" s="446">
        <f t="shared" si="152"/>
        <v>1.1040057051466334</v>
      </c>
      <c r="X430" s="446">
        <f t="shared" ref="X430:AG430" si="154">(SUM(X374,X388)-X416)/X290</f>
        <v>1.1250958352053306</v>
      </c>
      <c r="Y430" s="446">
        <f t="shared" si="154"/>
        <v>1.1301313988190298</v>
      </c>
      <c r="Z430" s="446">
        <f t="shared" si="154"/>
        <v>1.1346690848536496</v>
      </c>
      <c r="AA430" s="446">
        <f t="shared" si="154"/>
        <v>1.1378258444026226</v>
      </c>
      <c r="AB430" s="446">
        <f t="shared" si="154"/>
        <v>1.1617116721301761</v>
      </c>
      <c r="AC430" s="446">
        <f t="shared" si="154"/>
        <v>1.1784651679744367</v>
      </c>
      <c r="AD430" s="446">
        <f t="shared" si="154"/>
        <v>1.1794415169145351</v>
      </c>
      <c r="AE430" s="446">
        <f t="shared" si="154"/>
        <v>1.1809093010193739</v>
      </c>
      <c r="AF430" s="446">
        <f t="shared" si="154"/>
        <v>1.1820806536727857</v>
      </c>
      <c r="AG430" s="446">
        <f t="shared" si="154"/>
        <v>1.1813254568508065</v>
      </c>
    </row>
    <row r="431" spans="2:35" x14ac:dyDescent="0.25">
      <c r="E431" s="423"/>
      <c r="F431" s="423"/>
      <c r="G431" s="423"/>
      <c r="H431" s="423"/>
      <c r="I431" s="423"/>
      <c r="J431" s="423"/>
      <c r="K431" s="423"/>
      <c r="L431" s="423"/>
      <c r="M431" s="423"/>
      <c r="N431" s="423"/>
      <c r="O431" s="423"/>
      <c r="P431" s="423"/>
      <c r="Q431" s="423"/>
      <c r="R431" s="423"/>
      <c r="S431" s="423"/>
      <c r="T431" s="423"/>
      <c r="U431" s="423"/>
      <c r="V431" s="423"/>
      <c r="W431" s="423"/>
      <c r="X431" s="423"/>
      <c r="Y431" s="423"/>
      <c r="Z431" s="423"/>
      <c r="AA431" s="423"/>
      <c r="AB431" s="423"/>
      <c r="AC431" s="423"/>
      <c r="AD431" s="423"/>
      <c r="AE431" s="423"/>
      <c r="AF431" s="423"/>
      <c r="AG431" s="423"/>
    </row>
    <row r="433" spans="2:33" x14ac:dyDescent="0.25">
      <c r="B433" s="422" t="s">
        <v>701</v>
      </c>
      <c r="E433" s="423">
        <v>2017</v>
      </c>
      <c r="F433" s="423">
        <v>2018</v>
      </c>
      <c r="G433" s="423">
        <v>2019</v>
      </c>
      <c r="H433" s="423">
        <v>2020</v>
      </c>
      <c r="I433" s="423">
        <v>2021</v>
      </c>
      <c r="J433" s="423">
        <v>2022</v>
      </c>
      <c r="K433" s="423">
        <v>2023</v>
      </c>
      <c r="L433" s="423">
        <v>2024</v>
      </c>
      <c r="M433" s="423">
        <v>2025</v>
      </c>
      <c r="N433" s="423">
        <v>2026</v>
      </c>
      <c r="O433" s="423">
        <v>2027</v>
      </c>
      <c r="P433" s="423">
        <v>2028</v>
      </c>
      <c r="Q433" s="423">
        <v>2029</v>
      </c>
      <c r="R433" s="423">
        <v>2030</v>
      </c>
      <c r="S433" s="423">
        <v>2031</v>
      </c>
      <c r="T433" s="423">
        <v>2032</v>
      </c>
      <c r="U433" s="423">
        <v>2033</v>
      </c>
      <c r="V433" s="423">
        <v>2034</v>
      </c>
      <c r="W433" s="423">
        <v>2035</v>
      </c>
      <c r="X433" s="423">
        <v>2036</v>
      </c>
      <c r="Y433" s="423">
        <v>2037</v>
      </c>
      <c r="Z433" s="423">
        <v>2038</v>
      </c>
      <c r="AA433" s="423">
        <v>2039</v>
      </c>
      <c r="AB433" s="423">
        <v>2040</v>
      </c>
      <c r="AC433" s="423">
        <v>2041</v>
      </c>
      <c r="AD433" s="423">
        <v>2042</v>
      </c>
      <c r="AE433" s="423">
        <v>2043</v>
      </c>
      <c r="AF433" s="423">
        <v>2044</v>
      </c>
      <c r="AG433" s="423">
        <v>2045</v>
      </c>
    </row>
    <row r="434" spans="2:33" x14ac:dyDescent="0.25">
      <c r="B434" s="421" t="s">
        <v>98</v>
      </c>
      <c r="E434" s="446">
        <v>1.57186</v>
      </c>
      <c r="F434" s="446">
        <f>E434+($M434-$E434)/8</f>
        <v>1.6502785366151462</v>
      </c>
      <c r="G434" s="446">
        <f>F434+($M434-$E434)/8</f>
        <v>1.7286970732302924</v>
      </c>
      <c r="H434" s="446">
        <f>G434+($M434-$E434)/8</f>
        <v>1.8071156098454386</v>
      </c>
      <c r="I434" s="446">
        <f>H434+($M434-$E434)/8</f>
        <v>1.8855341464605848</v>
      </c>
      <c r="J434" s="446">
        <f>'Supply Porfolio (Live)'!G$76</f>
        <v>2.866395486343015</v>
      </c>
      <c r="K434" s="446">
        <f>'Supply Porfolio (Live)'!H$76</f>
        <v>2.5688336671134255</v>
      </c>
      <c r="L434" s="446">
        <f>'Supply Porfolio (Live)'!I$76</f>
        <v>2.1122061440888533</v>
      </c>
      <c r="M434" s="446">
        <f>'Supply Porfolio (Live)'!J$76</f>
        <v>2.1992082929211691</v>
      </c>
      <c r="N434" s="446">
        <f>'Supply Porfolio (Live)'!K$76</f>
        <v>2.2275158954645495</v>
      </c>
      <c r="O434" s="446">
        <f>'Supply Porfolio (Live)'!L$76</f>
        <v>2.2724134571940438</v>
      </c>
      <c r="P434" s="446">
        <f>'Supply Porfolio (Live)'!M$76</f>
        <v>2.3069957145856441</v>
      </c>
      <c r="Q434" s="446">
        <f>'Supply Porfolio (Live)'!N$76</f>
        <v>2.3324832211813211</v>
      </c>
      <c r="R434" s="446">
        <f>'Supply Porfolio (Live)'!O$76</f>
        <v>2.3834296842647058</v>
      </c>
      <c r="S434" s="446">
        <f>'Supply Porfolio (Live)'!P$76</f>
        <v>2.417623622846925</v>
      </c>
      <c r="T434" s="446">
        <f>'Supply Porfolio (Live)'!Q$76</f>
        <v>2.4439044897677324</v>
      </c>
      <c r="U434" s="446">
        <f>'Supply Porfolio (Live)'!R$76</f>
        <v>2.4624544245713564</v>
      </c>
      <c r="V434" s="446">
        <f>'Supply Porfolio (Live)'!S$76</f>
        <v>2.4711537184280541</v>
      </c>
      <c r="W434" s="446">
        <f>'Supply Porfolio (Live)'!T$76</f>
        <v>2.5392164550816676</v>
      </c>
      <c r="X434" s="446">
        <f>'Supply Porfolio (Live)'!U$76</f>
        <v>2.5631401833794909</v>
      </c>
      <c r="Y434" s="446">
        <f>'Supply Porfolio (Live)'!V$76</f>
        <v>2.5806222561009</v>
      </c>
      <c r="Z434" s="446">
        <f>'Supply Porfolio (Live)'!W$76</f>
        <v>2.6013569497739559</v>
      </c>
      <c r="AA434" s="446">
        <f>'Supply Porfolio (Live)'!X$76</f>
        <v>2.6056286410345071</v>
      </c>
      <c r="AB434" s="446">
        <f>'Supply Porfolio (Live)'!Y$76</f>
        <v>2.7970599816523833</v>
      </c>
      <c r="AC434" s="446">
        <f>'Supply Porfolio (Live)'!Z$76</f>
        <v>2.809845651654967</v>
      </c>
      <c r="AD434" s="446">
        <f>'Supply Porfolio (Live)'!AA$76</f>
        <v>2.8137896313043176</v>
      </c>
      <c r="AE434" s="446">
        <f>'Supply Porfolio (Live)'!AB$76</f>
        <v>2.8351977155153363</v>
      </c>
      <c r="AF434" s="446">
        <f>'Supply Porfolio (Live)'!AC$76</f>
        <v>2.8606866336161625</v>
      </c>
      <c r="AG434" s="446">
        <f>'Supply Porfolio (Live)'!AD$76</f>
        <v>2.8665413961349269</v>
      </c>
    </row>
    <row r="435" spans="2:33" x14ac:dyDescent="0.25">
      <c r="B435" s="421" t="s">
        <v>38</v>
      </c>
      <c r="E435" s="446">
        <v>1.57186</v>
      </c>
      <c r="F435" s="446">
        <f t="shared" ref="F435:I444" si="155">E435+($M435-$E435)/8</f>
        <v>1.6502785366151462</v>
      </c>
      <c r="G435" s="446">
        <f t="shared" si="155"/>
        <v>1.7286970732302924</v>
      </c>
      <c r="H435" s="446">
        <f t="shared" si="155"/>
        <v>1.8071156098454386</v>
      </c>
      <c r="I435" s="446">
        <f t="shared" si="155"/>
        <v>1.8855341464605848</v>
      </c>
      <c r="J435" s="446">
        <f>'Supply Porfolio (Live)'!G$76</f>
        <v>2.866395486343015</v>
      </c>
      <c r="K435" s="446">
        <f>'Supply Porfolio (Live)'!H$76</f>
        <v>2.5688336671134255</v>
      </c>
      <c r="L435" s="446">
        <f>'Supply Porfolio (Live)'!I$76</f>
        <v>2.1122061440888533</v>
      </c>
      <c r="M435" s="446">
        <f>'Supply Porfolio (Live)'!J$76</f>
        <v>2.1992082929211691</v>
      </c>
      <c r="N435" s="446">
        <f>'Supply Porfolio (Live)'!K$76</f>
        <v>2.2275158954645495</v>
      </c>
      <c r="O435" s="446">
        <f>'Supply Porfolio (Live)'!L$76</f>
        <v>2.2724134571940438</v>
      </c>
      <c r="P435" s="446">
        <f>'Supply Porfolio (Live)'!M$76</f>
        <v>2.3069957145856441</v>
      </c>
      <c r="Q435" s="446">
        <f>'Supply Porfolio (Live)'!N$76</f>
        <v>2.3324832211813211</v>
      </c>
      <c r="R435" s="446">
        <f>'Supply Porfolio (Live)'!O$76</f>
        <v>2.3834296842647058</v>
      </c>
      <c r="S435" s="446">
        <f>'Supply Porfolio (Live)'!P$76</f>
        <v>2.417623622846925</v>
      </c>
      <c r="T435" s="446">
        <f>'Supply Porfolio (Live)'!Q$76</f>
        <v>2.4439044897677324</v>
      </c>
      <c r="U435" s="446">
        <f>'Supply Porfolio (Live)'!R$76</f>
        <v>2.4624544245713564</v>
      </c>
      <c r="V435" s="446">
        <f>'Supply Porfolio (Live)'!S$76</f>
        <v>2.4711537184280541</v>
      </c>
      <c r="W435" s="446">
        <f>'Supply Porfolio (Live)'!T$76</f>
        <v>2.5392164550816676</v>
      </c>
      <c r="X435" s="446">
        <f>'Supply Porfolio (Live)'!U$76</f>
        <v>2.5631401833794909</v>
      </c>
      <c r="Y435" s="446">
        <f>'Supply Porfolio (Live)'!V$76</f>
        <v>2.5806222561009</v>
      </c>
      <c r="Z435" s="446">
        <f>'Supply Porfolio (Live)'!W$76</f>
        <v>2.6013569497739559</v>
      </c>
      <c r="AA435" s="446">
        <f>'Supply Porfolio (Live)'!X$76</f>
        <v>2.6056286410345071</v>
      </c>
      <c r="AB435" s="446">
        <f>'Supply Porfolio (Live)'!Y$76</f>
        <v>2.7970599816523833</v>
      </c>
      <c r="AC435" s="446">
        <f>'Supply Porfolio (Live)'!Z$76</f>
        <v>2.809845651654967</v>
      </c>
      <c r="AD435" s="446">
        <f>'Supply Porfolio (Live)'!AA$76</f>
        <v>2.8137896313043176</v>
      </c>
      <c r="AE435" s="446">
        <f>'Supply Porfolio (Live)'!AB$76</f>
        <v>2.8351977155153363</v>
      </c>
      <c r="AF435" s="446">
        <f>'Supply Porfolio (Live)'!AC$76</f>
        <v>2.8606866336161625</v>
      </c>
      <c r="AG435" s="446">
        <f>'Supply Porfolio (Live)'!AD$76</f>
        <v>2.8665413961349269</v>
      </c>
    </row>
    <row r="436" spans="2:33" x14ac:dyDescent="0.25">
      <c r="B436" s="421" t="s">
        <v>39</v>
      </c>
      <c r="E436" s="446">
        <v>1.57186</v>
      </c>
      <c r="F436" s="446">
        <f t="shared" si="155"/>
        <v>1.6502785366151462</v>
      </c>
      <c r="G436" s="446">
        <f t="shared" si="155"/>
        <v>1.7286970732302924</v>
      </c>
      <c r="H436" s="446">
        <f t="shared" si="155"/>
        <v>1.8071156098454386</v>
      </c>
      <c r="I436" s="446">
        <f t="shared" si="155"/>
        <v>1.8855341464605848</v>
      </c>
      <c r="J436" s="446">
        <f>'Supply Porfolio (Live)'!G$76</f>
        <v>2.866395486343015</v>
      </c>
      <c r="K436" s="446">
        <f>'Supply Porfolio (Live)'!H$76</f>
        <v>2.5688336671134255</v>
      </c>
      <c r="L436" s="446">
        <f>'Supply Porfolio (Live)'!I$76</f>
        <v>2.1122061440888533</v>
      </c>
      <c r="M436" s="446">
        <f>'Supply Porfolio (Live)'!J$76</f>
        <v>2.1992082929211691</v>
      </c>
      <c r="N436" s="446">
        <f>'Supply Porfolio (Live)'!K$76</f>
        <v>2.2275158954645495</v>
      </c>
      <c r="O436" s="446">
        <f>'Supply Porfolio (Live)'!L$76</f>
        <v>2.2724134571940438</v>
      </c>
      <c r="P436" s="446">
        <f>'Supply Porfolio (Live)'!M$76</f>
        <v>2.3069957145856441</v>
      </c>
      <c r="Q436" s="446">
        <f>'Supply Porfolio (Live)'!N$76</f>
        <v>2.3324832211813211</v>
      </c>
      <c r="R436" s="446">
        <f>'Supply Porfolio (Live)'!O$76</f>
        <v>2.3834296842647058</v>
      </c>
      <c r="S436" s="446">
        <f>'Supply Porfolio (Live)'!P$76</f>
        <v>2.417623622846925</v>
      </c>
      <c r="T436" s="446">
        <f>'Supply Porfolio (Live)'!Q$76</f>
        <v>2.4439044897677324</v>
      </c>
      <c r="U436" s="446">
        <f>'Supply Porfolio (Live)'!R$76</f>
        <v>2.4624544245713564</v>
      </c>
      <c r="V436" s="446">
        <f>'Supply Porfolio (Live)'!S$76</f>
        <v>2.4711537184280541</v>
      </c>
      <c r="W436" s="446">
        <f>'Supply Porfolio (Live)'!T$76</f>
        <v>2.5392164550816676</v>
      </c>
      <c r="X436" s="446">
        <f>'Supply Porfolio (Live)'!U$76</f>
        <v>2.5631401833794909</v>
      </c>
      <c r="Y436" s="446">
        <f>'Supply Porfolio (Live)'!V$76</f>
        <v>2.5806222561009</v>
      </c>
      <c r="Z436" s="446">
        <f>'Supply Porfolio (Live)'!W$76</f>
        <v>2.6013569497739559</v>
      </c>
      <c r="AA436" s="446">
        <f>'Supply Porfolio (Live)'!X$76</f>
        <v>2.6056286410345071</v>
      </c>
      <c r="AB436" s="446">
        <f>'Supply Porfolio (Live)'!Y$76</f>
        <v>2.7970599816523833</v>
      </c>
      <c r="AC436" s="446">
        <f>'Supply Porfolio (Live)'!Z$76</f>
        <v>2.809845651654967</v>
      </c>
      <c r="AD436" s="446">
        <f>'Supply Porfolio (Live)'!AA$76</f>
        <v>2.8137896313043176</v>
      </c>
      <c r="AE436" s="446">
        <f>'Supply Porfolio (Live)'!AB$76</f>
        <v>2.8351977155153363</v>
      </c>
      <c r="AF436" s="446">
        <f>'Supply Porfolio (Live)'!AC$76</f>
        <v>2.8606866336161625</v>
      </c>
      <c r="AG436" s="446">
        <f>'Supply Porfolio (Live)'!AD$76</f>
        <v>2.8665413961349269</v>
      </c>
    </row>
    <row r="437" spans="2:33" x14ac:dyDescent="0.25">
      <c r="B437" s="421" t="s">
        <v>99</v>
      </c>
      <c r="E437" s="446">
        <v>1.57186</v>
      </c>
      <c r="F437" s="446">
        <f t="shared" si="155"/>
        <v>1.6502785366151462</v>
      </c>
      <c r="G437" s="446">
        <f t="shared" si="155"/>
        <v>1.7286970732302924</v>
      </c>
      <c r="H437" s="446">
        <f t="shared" si="155"/>
        <v>1.8071156098454386</v>
      </c>
      <c r="I437" s="446">
        <f t="shared" si="155"/>
        <v>1.8855341464605848</v>
      </c>
      <c r="J437" s="446">
        <f>'Supply Porfolio (Live)'!G$76</f>
        <v>2.866395486343015</v>
      </c>
      <c r="K437" s="446">
        <f>'Supply Porfolio (Live)'!H$76</f>
        <v>2.5688336671134255</v>
      </c>
      <c r="L437" s="446">
        <f>'Supply Porfolio (Live)'!I$76</f>
        <v>2.1122061440888533</v>
      </c>
      <c r="M437" s="446">
        <f>'Supply Porfolio (Live)'!J$76</f>
        <v>2.1992082929211691</v>
      </c>
      <c r="N437" s="446">
        <f>'Supply Porfolio (Live)'!K$76</f>
        <v>2.2275158954645495</v>
      </c>
      <c r="O437" s="446">
        <f>'Supply Porfolio (Live)'!L$76</f>
        <v>2.2724134571940438</v>
      </c>
      <c r="P437" s="446">
        <f>'Supply Porfolio (Live)'!M$76</f>
        <v>2.3069957145856441</v>
      </c>
      <c r="Q437" s="446">
        <f>'Supply Porfolio (Live)'!N$76</f>
        <v>2.3324832211813211</v>
      </c>
      <c r="R437" s="446">
        <f>'Supply Porfolio (Live)'!O$76</f>
        <v>2.3834296842647058</v>
      </c>
      <c r="S437" s="446">
        <f>'Supply Porfolio (Live)'!P$76</f>
        <v>2.417623622846925</v>
      </c>
      <c r="T437" s="446">
        <f>'Supply Porfolio (Live)'!Q$76</f>
        <v>2.4439044897677324</v>
      </c>
      <c r="U437" s="446">
        <f>'Supply Porfolio (Live)'!R$76</f>
        <v>2.4624544245713564</v>
      </c>
      <c r="V437" s="446">
        <f>'Supply Porfolio (Live)'!S$76</f>
        <v>2.4711537184280541</v>
      </c>
      <c r="W437" s="446">
        <f>'Supply Porfolio (Live)'!T$76</f>
        <v>2.5392164550816676</v>
      </c>
      <c r="X437" s="446">
        <f>'Supply Porfolio (Live)'!U$76</f>
        <v>2.5631401833794909</v>
      </c>
      <c r="Y437" s="446">
        <f>'Supply Porfolio (Live)'!V$76</f>
        <v>2.5806222561009</v>
      </c>
      <c r="Z437" s="446">
        <f>'Supply Porfolio (Live)'!W$76</f>
        <v>2.6013569497739559</v>
      </c>
      <c r="AA437" s="446">
        <f>'Supply Porfolio (Live)'!X$76</f>
        <v>2.6056286410345071</v>
      </c>
      <c r="AB437" s="446">
        <f>'Supply Porfolio (Live)'!Y$76</f>
        <v>2.7970599816523833</v>
      </c>
      <c r="AC437" s="446">
        <f>'Supply Porfolio (Live)'!Z$76</f>
        <v>2.809845651654967</v>
      </c>
      <c r="AD437" s="446">
        <f>'Supply Porfolio (Live)'!AA$76</f>
        <v>2.8137896313043176</v>
      </c>
      <c r="AE437" s="446">
        <f>'Supply Porfolio (Live)'!AB$76</f>
        <v>2.8351977155153363</v>
      </c>
      <c r="AF437" s="446">
        <f>'Supply Porfolio (Live)'!AC$76</f>
        <v>2.8606866336161625</v>
      </c>
      <c r="AG437" s="446">
        <f>'Supply Porfolio (Live)'!AD$76</f>
        <v>2.8665413961349269</v>
      </c>
    </row>
    <row r="438" spans="2:33" x14ac:dyDescent="0.25">
      <c r="B438" s="421" t="s">
        <v>100</v>
      </c>
      <c r="E438" s="446">
        <v>1.57186</v>
      </c>
      <c r="F438" s="446">
        <f t="shared" si="155"/>
        <v>1.6502785366151462</v>
      </c>
      <c r="G438" s="446">
        <f t="shared" si="155"/>
        <v>1.7286970732302924</v>
      </c>
      <c r="H438" s="446">
        <f t="shared" si="155"/>
        <v>1.8071156098454386</v>
      </c>
      <c r="I438" s="446">
        <f t="shared" si="155"/>
        <v>1.8855341464605848</v>
      </c>
      <c r="J438" s="446">
        <f>'Supply Porfolio (Live)'!G$76</f>
        <v>2.866395486343015</v>
      </c>
      <c r="K438" s="446">
        <f>'Supply Porfolio (Live)'!H$76</f>
        <v>2.5688336671134255</v>
      </c>
      <c r="L438" s="446">
        <f>'Supply Porfolio (Live)'!I$76</f>
        <v>2.1122061440888533</v>
      </c>
      <c r="M438" s="446">
        <f>'Supply Porfolio (Live)'!J$76</f>
        <v>2.1992082929211691</v>
      </c>
      <c r="N438" s="446">
        <f>'Supply Porfolio (Live)'!K$76</f>
        <v>2.2275158954645495</v>
      </c>
      <c r="O438" s="446">
        <f>'Supply Porfolio (Live)'!L$76</f>
        <v>2.2724134571940438</v>
      </c>
      <c r="P438" s="446">
        <f>'Supply Porfolio (Live)'!M$76</f>
        <v>2.3069957145856441</v>
      </c>
      <c r="Q438" s="446">
        <f>'Supply Porfolio (Live)'!N$76</f>
        <v>2.3324832211813211</v>
      </c>
      <c r="R438" s="446">
        <f>'Supply Porfolio (Live)'!O$76</f>
        <v>2.3834296842647058</v>
      </c>
      <c r="S438" s="446">
        <f>'Supply Porfolio (Live)'!P$76</f>
        <v>2.417623622846925</v>
      </c>
      <c r="T438" s="446">
        <f>'Supply Porfolio (Live)'!Q$76</f>
        <v>2.4439044897677324</v>
      </c>
      <c r="U438" s="446">
        <f>'Supply Porfolio (Live)'!R$76</f>
        <v>2.4624544245713564</v>
      </c>
      <c r="V438" s="446">
        <f>'Supply Porfolio (Live)'!S$76</f>
        <v>2.4711537184280541</v>
      </c>
      <c r="W438" s="446">
        <f>'Supply Porfolio (Live)'!T$76</f>
        <v>2.5392164550816676</v>
      </c>
      <c r="X438" s="446">
        <f>'Supply Porfolio (Live)'!U$76</f>
        <v>2.5631401833794909</v>
      </c>
      <c r="Y438" s="446">
        <f>'Supply Porfolio (Live)'!V$76</f>
        <v>2.5806222561009</v>
      </c>
      <c r="Z438" s="446">
        <f>'Supply Porfolio (Live)'!W$76</f>
        <v>2.6013569497739559</v>
      </c>
      <c r="AA438" s="446">
        <f>'Supply Porfolio (Live)'!X$76</f>
        <v>2.6056286410345071</v>
      </c>
      <c r="AB438" s="446">
        <f>'Supply Porfolio (Live)'!Y$76</f>
        <v>2.7970599816523833</v>
      </c>
      <c r="AC438" s="446">
        <f>'Supply Porfolio (Live)'!Z$76</f>
        <v>2.809845651654967</v>
      </c>
      <c r="AD438" s="446">
        <f>'Supply Porfolio (Live)'!AA$76</f>
        <v>2.8137896313043176</v>
      </c>
      <c r="AE438" s="446">
        <f>'Supply Porfolio (Live)'!AB$76</f>
        <v>2.8351977155153363</v>
      </c>
      <c r="AF438" s="446">
        <f>'Supply Porfolio (Live)'!AC$76</f>
        <v>2.8606866336161625</v>
      </c>
      <c r="AG438" s="446">
        <f>'Supply Porfolio (Live)'!AD$76</f>
        <v>2.8665413961349269</v>
      </c>
    </row>
    <row r="439" spans="2:33" x14ac:dyDescent="0.25">
      <c r="B439" s="421" t="s">
        <v>101</v>
      </c>
      <c r="E439" s="446">
        <v>1.57186</v>
      </c>
      <c r="F439" s="446">
        <f t="shared" si="155"/>
        <v>1.6502785366151462</v>
      </c>
      <c r="G439" s="446">
        <f t="shared" si="155"/>
        <v>1.7286970732302924</v>
      </c>
      <c r="H439" s="446">
        <f t="shared" si="155"/>
        <v>1.8071156098454386</v>
      </c>
      <c r="I439" s="446">
        <f t="shared" si="155"/>
        <v>1.8855341464605848</v>
      </c>
      <c r="J439" s="446">
        <f>'Supply Porfolio (Live)'!G$76</f>
        <v>2.866395486343015</v>
      </c>
      <c r="K439" s="446">
        <f>'Supply Porfolio (Live)'!H$76</f>
        <v>2.5688336671134255</v>
      </c>
      <c r="L439" s="446">
        <f>'Supply Porfolio (Live)'!I$76</f>
        <v>2.1122061440888533</v>
      </c>
      <c r="M439" s="446">
        <f>'Supply Porfolio (Live)'!J$76</f>
        <v>2.1992082929211691</v>
      </c>
      <c r="N439" s="446">
        <f>'Supply Porfolio (Live)'!K$76</f>
        <v>2.2275158954645495</v>
      </c>
      <c r="O439" s="446">
        <f>'Supply Porfolio (Live)'!L$76</f>
        <v>2.2724134571940438</v>
      </c>
      <c r="P439" s="446">
        <f>'Supply Porfolio (Live)'!M$76</f>
        <v>2.3069957145856441</v>
      </c>
      <c r="Q439" s="446">
        <f>'Supply Porfolio (Live)'!N$76</f>
        <v>2.3324832211813211</v>
      </c>
      <c r="R439" s="446">
        <f>'Supply Porfolio (Live)'!O$76</f>
        <v>2.3834296842647058</v>
      </c>
      <c r="S439" s="446">
        <f>'Supply Porfolio (Live)'!P$76</f>
        <v>2.417623622846925</v>
      </c>
      <c r="T439" s="446">
        <f>'Supply Porfolio (Live)'!Q$76</f>
        <v>2.4439044897677324</v>
      </c>
      <c r="U439" s="446">
        <f>'Supply Porfolio (Live)'!R$76</f>
        <v>2.4624544245713564</v>
      </c>
      <c r="V439" s="446">
        <f>'Supply Porfolio (Live)'!S$76</f>
        <v>2.4711537184280541</v>
      </c>
      <c r="W439" s="446">
        <f>'Supply Porfolio (Live)'!T$76</f>
        <v>2.5392164550816676</v>
      </c>
      <c r="X439" s="446">
        <f>'Supply Porfolio (Live)'!U$76</f>
        <v>2.5631401833794909</v>
      </c>
      <c r="Y439" s="446">
        <f>'Supply Porfolio (Live)'!V$76</f>
        <v>2.5806222561009</v>
      </c>
      <c r="Z439" s="446">
        <f>'Supply Porfolio (Live)'!W$76</f>
        <v>2.6013569497739559</v>
      </c>
      <c r="AA439" s="446">
        <f>'Supply Porfolio (Live)'!X$76</f>
        <v>2.6056286410345071</v>
      </c>
      <c r="AB439" s="446">
        <f>'Supply Porfolio (Live)'!Y$76</f>
        <v>2.7970599816523833</v>
      </c>
      <c r="AC439" s="446">
        <f>'Supply Porfolio (Live)'!Z$76</f>
        <v>2.809845651654967</v>
      </c>
      <c r="AD439" s="446">
        <f>'Supply Porfolio (Live)'!AA$76</f>
        <v>2.8137896313043176</v>
      </c>
      <c r="AE439" s="446">
        <f>'Supply Porfolio (Live)'!AB$76</f>
        <v>2.8351977155153363</v>
      </c>
      <c r="AF439" s="446">
        <f>'Supply Porfolio (Live)'!AC$76</f>
        <v>2.8606866336161625</v>
      </c>
      <c r="AG439" s="446">
        <f>'Supply Porfolio (Live)'!AD$76</f>
        <v>2.8665413961349269</v>
      </c>
    </row>
    <row r="440" spans="2:33" x14ac:dyDescent="0.25">
      <c r="B440" s="421" t="s">
        <v>102</v>
      </c>
      <c r="E440" s="446">
        <v>1.57186</v>
      </c>
      <c r="F440" s="446">
        <f t="shared" si="155"/>
        <v>1.6502785366151462</v>
      </c>
      <c r="G440" s="446">
        <f t="shared" si="155"/>
        <v>1.7286970732302924</v>
      </c>
      <c r="H440" s="446">
        <f t="shared" si="155"/>
        <v>1.8071156098454386</v>
      </c>
      <c r="I440" s="446">
        <f t="shared" si="155"/>
        <v>1.8855341464605848</v>
      </c>
      <c r="J440" s="446">
        <f>'Supply Porfolio (Live)'!G$76</f>
        <v>2.866395486343015</v>
      </c>
      <c r="K440" s="446">
        <f>'Supply Porfolio (Live)'!H$76</f>
        <v>2.5688336671134255</v>
      </c>
      <c r="L440" s="446">
        <f>'Supply Porfolio (Live)'!I$76</f>
        <v>2.1122061440888533</v>
      </c>
      <c r="M440" s="446">
        <f>'Supply Porfolio (Live)'!J$76</f>
        <v>2.1992082929211691</v>
      </c>
      <c r="N440" s="446">
        <f>'Supply Porfolio (Live)'!K$76</f>
        <v>2.2275158954645495</v>
      </c>
      <c r="O440" s="446">
        <f>'Supply Porfolio (Live)'!L$76</f>
        <v>2.2724134571940438</v>
      </c>
      <c r="P440" s="446">
        <f>'Supply Porfolio (Live)'!M$76</f>
        <v>2.3069957145856441</v>
      </c>
      <c r="Q440" s="446">
        <f>'Supply Porfolio (Live)'!N$76</f>
        <v>2.3324832211813211</v>
      </c>
      <c r="R440" s="446">
        <f>'Supply Porfolio (Live)'!O$76</f>
        <v>2.3834296842647058</v>
      </c>
      <c r="S440" s="446">
        <f>'Supply Porfolio (Live)'!P$76</f>
        <v>2.417623622846925</v>
      </c>
      <c r="T440" s="446">
        <f>'Supply Porfolio (Live)'!Q$76</f>
        <v>2.4439044897677324</v>
      </c>
      <c r="U440" s="446">
        <f>'Supply Porfolio (Live)'!R$76</f>
        <v>2.4624544245713564</v>
      </c>
      <c r="V440" s="446">
        <f>'Supply Porfolio (Live)'!S$76</f>
        <v>2.4711537184280541</v>
      </c>
      <c r="W440" s="446">
        <f>'Supply Porfolio (Live)'!T$76</f>
        <v>2.5392164550816676</v>
      </c>
      <c r="X440" s="446">
        <f>'Supply Porfolio (Live)'!U$76</f>
        <v>2.5631401833794909</v>
      </c>
      <c r="Y440" s="446">
        <f>'Supply Porfolio (Live)'!V$76</f>
        <v>2.5806222561009</v>
      </c>
      <c r="Z440" s="446">
        <f>'Supply Porfolio (Live)'!W$76</f>
        <v>2.6013569497739559</v>
      </c>
      <c r="AA440" s="446">
        <f>'Supply Porfolio (Live)'!X$76</f>
        <v>2.6056286410345071</v>
      </c>
      <c r="AB440" s="446">
        <f>'Supply Porfolio (Live)'!Y$76</f>
        <v>2.7970599816523833</v>
      </c>
      <c r="AC440" s="446">
        <f>'Supply Porfolio (Live)'!Z$76</f>
        <v>2.809845651654967</v>
      </c>
      <c r="AD440" s="446">
        <f>'Supply Porfolio (Live)'!AA$76</f>
        <v>2.8137896313043176</v>
      </c>
      <c r="AE440" s="446">
        <f>'Supply Porfolio (Live)'!AB$76</f>
        <v>2.8351977155153363</v>
      </c>
      <c r="AF440" s="446">
        <f>'Supply Porfolio (Live)'!AC$76</f>
        <v>2.8606866336161625</v>
      </c>
      <c r="AG440" s="446">
        <f>'Supply Porfolio (Live)'!AD$76</f>
        <v>2.8665413961349269</v>
      </c>
    </row>
    <row r="441" spans="2:33" x14ac:dyDescent="0.25">
      <c r="B441" s="421" t="s">
        <v>103</v>
      </c>
      <c r="E441" s="446">
        <v>1.57186</v>
      </c>
      <c r="F441" s="446">
        <f t="shared" si="155"/>
        <v>1.6502785366151462</v>
      </c>
      <c r="G441" s="446">
        <f t="shared" si="155"/>
        <v>1.7286970732302924</v>
      </c>
      <c r="H441" s="446">
        <f t="shared" si="155"/>
        <v>1.8071156098454386</v>
      </c>
      <c r="I441" s="446">
        <f t="shared" si="155"/>
        <v>1.8855341464605848</v>
      </c>
      <c r="J441" s="446">
        <f>'Supply Porfolio (Live)'!G$76</f>
        <v>2.866395486343015</v>
      </c>
      <c r="K441" s="446">
        <f>'Supply Porfolio (Live)'!H$76</f>
        <v>2.5688336671134255</v>
      </c>
      <c r="L441" s="446">
        <f>'Supply Porfolio (Live)'!I$76</f>
        <v>2.1122061440888533</v>
      </c>
      <c r="M441" s="446">
        <f>'Supply Porfolio (Live)'!J$76</f>
        <v>2.1992082929211691</v>
      </c>
      <c r="N441" s="446">
        <f>'Supply Porfolio (Live)'!K$76</f>
        <v>2.2275158954645495</v>
      </c>
      <c r="O441" s="446">
        <f>'Supply Porfolio (Live)'!L$76</f>
        <v>2.2724134571940438</v>
      </c>
      <c r="P441" s="446">
        <f>'Supply Porfolio (Live)'!M$76</f>
        <v>2.3069957145856441</v>
      </c>
      <c r="Q441" s="446">
        <f>'Supply Porfolio (Live)'!N$76</f>
        <v>2.3324832211813211</v>
      </c>
      <c r="R441" s="446">
        <f>'Supply Porfolio (Live)'!O$76</f>
        <v>2.3834296842647058</v>
      </c>
      <c r="S441" s="446">
        <f>'Supply Porfolio (Live)'!P$76</f>
        <v>2.417623622846925</v>
      </c>
      <c r="T441" s="446">
        <f>'Supply Porfolio (Live)'!Q$76</f>
        <v>2.4439044897677324</v>
      </c>
      <c r="U441" s="446">
        <f>'Supply Porfolio (Live)'!R$76</f>
        <v>2.4624544245713564</v>
      </c>
      <c r="V441" s="446">
        <f>'Supply Porfolio (Live)'!S$76</f>
        <v>2.4711537184280541</v>
      </c>
      <c r="W441" s="446">
        <f>'Supply Porfolio (Live)'!T$76</f>
        <v>2.5392164550816676</v>
      </c>
      <c r="X441" s="446">
        <f>'Supply Porfolio (Live)'!U$76</f>
        <v>2.5631401833794909</v>
      </c>
      <c r="Y441" s="446">
        <f>'Supply Porfolio (Live)'!V$76</f>
        <v>2.5806222561009</v>
      </c>
      <c r="Z441" s="446">
        <f>'Supply Porfolio (Live)'!W$76</f>
        <v>2.6013569497739559</v>
      </c>
      <c r="AA441" s="446">
        <f>'Supply Porfolio (Live)'!X$76</f>
        <v>2.6056286410345071</v>
      </c>
      <c r="AB441" s="446">
        <f>'Supply Porfolio (Live)'!Y$76</f>
        <v>2.7970599816523833</v>
      </c>
      <c r="AC441" s="446">
        <f>'Supply Porfolio (Live)'!Z$76</f>
        <v>2.809845651654967</v>
      </c>
      <c r="AD441" s="446">
        <f>'Supply Porfolio (Live)'!AA$76</f>
        <v>2.8137896313043176</v>
      </c>
      <c r="AE441" s="446">
        <f>'Supply Porfolio (Live)'!AB$76</f>
        <v>2.8351977155153363</v>
      </c>
      <c r="AF441" s="446">
        <f>'Supply Porfolio (Live)'!AC$76</f>
        <v>2.8606866336161625</v>
      </c>
      <c r="AG441" s="446">
        <f>'Supply Porfolio (Live)'!AD$76</f>
        <v>2.8665413961349269</v>
      </c>
    </row>
    <row r="442" spans="2:33" x14ac:dyDescent="0.25">
      <c r="B442" s="421" t="s">
        <v>104</v>
      </c>
      <c r="E442" s="446">
        <v>1.57186</v>
      </c>
      <c r="F442" s="446">
        <f t="shared" si="155"/>
        <v>1.6502785366151462</v>
      </c>
      <c r="G442" s="446">
        <f t="shared" si="155"/>
        <v>1.7286970732302924</v>
      </c>
      <c r="H442" s="446">
        <f t="shared" si="155"/>
        <v>1.8071156098454386</v>
      </c>
      <c r="I442" s="446">
        <f t="shared" si="155"/>
        <v>1.8855341464605848</v>
      </c>
      <c r="J442" s="446">
        <f>'Supply Porfolio (Live)'!G$76</f>
        <v>2.866395486343015</v>
      </c>
      <c r="K442" s="446">
        <f>'Supply Porfolio (Live)'!H$76</f>
        <v>2.5688336671134255</v>
      </c>
      <c r="L442" s="446">
        <f>'Supply Porfolio (Live)'!I$76</f>
        <v>2.1122061440888533</v>
      </c>
      <c r="M442" s="446">
        <f>'Supply Porfolio (Live)'!J$76</f>
        <v>2.1992082929211691</v>
      </c>
      <c r="N442" s="446">
        <f>'Supply Porfolio (Live)'!K$76</f>
        <v>2.2275158954645495</v>
      </c>
      <c r="O442" s="446">
        <f>'Supply Porfolio (Live)'!L$76</f>
        <v>2.2724134571940438</v>
      </c>
      <c r="P442" s="446">
        <f>'Supply Porfolio (Live)'!M$76</f>
        <v>2.3069957145856441</v>
      </c>
      <c r="Q442" s="446">
        <f>'Supply Porfolio (Live)'!N$76</f>
        <v>2.3324832211813211</v>
      </c>
      <c r="R442" s="446">
        <f>'Supply Porfolio (Live)'!O$76</f>
        <v>2.3834296842647058</v>
      </c>
      <c r="S442" s="446">
        <f>'Supply Porfolio (Live)'!P$76</f>
        <v>2.417623622846925</v>
      </c>
      <c r="T442" s="446">
        <f>'Supply Porfolio (Live)'!Q$76</f>
        <v>2.4439044897677324</v>
      </c>
      <c r="U442" s="446">
        <f>'Supply Porfolio (Live)'!R$76</f>
        <v>2.4624544245713564</v>
      </c>
      <c r="V442" s="446">
        <f>'Supply Porfolio (Live)'!S$76</f>
        <v>2.4711537184280541</v>
      </c>
      <c r="W442" s="446">
        <f>'Supply Porfolio (Live)'!T$76</f>
        <v>2.5392164550816676</v>
      </c>
      <c r="X442" s="446">
        <f>'Supply Porfolio (Live)'!U$76</f>
        <v>2.5631401833794909</v>
      </c>
      <c r="Y442" s="446">
        <f>'Supply Porfolio (Live)'!V$76</f>
        <v>2.5806222561009</v>
      </c>
      <c r="Z442" s="446">
        <f>'Supply Porfolio (Live)'!W$76</f>
        <v>2.6013569497739559</v>
      </c>
      <c r="AA442" s="446">
        <f>'Supply Porfolio (Live)'!X$76</f>
        <v>2.6056286410345071</v>
      </c>
      <c r="AB442" s="446">
        <f>'Supply Porfolio (Live)'!Y$76</f>
        <v>2.7970599816523833</v>
      </c>
      <c r="AC442" s="446">
        <f>'Supply Porfolio (Live)'!Z$76</f>
        <v>2.809845651654967</v>
      </c>
      <c r="AD442" s="446">
        <f>'Supply Porfolio (Live)'!AA$76</f>
        <v>2.8137896313043176</v>
      </c>
      <c r="AE442" s="446">
        <f>'Supply Porfolio (Live)'!AB$76</f>
        <v>2.8351977155153363</v>
      </c>
      <c r="AF442" s="446">
        <f>'Supply Porfolio (Live)'!AC$76</f>
        <v>2.8606866336161625</v>
      </c>
      <c r="AG442" s="446">
        <f>'Supply Porfolio (Live)'!AD$76</f>
        <v>2.8665413961349269</v>
      </c>
    </row>
    <row r="443" spans="2:33" x14ac:dyDescent="0.25">
      <c r="B443" s="421" t="s">
        <v>105</v>
      </c>
      <c r="E443" s="446">
        <v>1.57186</v>
      </c>
      <c r="F443" s="446">
        <f t="shared" si="155"/>
        <v>1.6502785366151462</v>
      </c>
      <c r="G443" s="446">
        <f t="shared" si="155"/>
        <v>1.7286970732302924</v>
      </c>
      <c r="H443" s="446">
        <f t="shared" si="155"/>
        <v>1.8071156098454386</v>
      </c>
      <c r="I443" s="446">
        <f t="shared" si="155"/>
        <v>1.8855341464605848</v>
      </c>
      <c r="J443" s="446">
        <f>'Supply Porfolio (Live)'!G$76</f>
        <v>2.866395486343015</v>
      </c>
      <c r="K443" s="446">
        <f>'Supply Porfolio (Live)'!H$76</f>
        <v>2.5688336671134255</v>
      </c>
      <c r="L443" s="446">
        <f>'Supply Porfolio (Live)'!I$76</f>
        <v>2.1122061440888533</v>
      </c>
      <c r="M443" s="446">
        <f>'Supply Porfolio (Live)'!J$76</f>
        <v>2.1992082929211691</v>
      </c>
      <c r="N443" s="446">
        <f>'Supply Porfolio (Live)'!K$76</f>
        <v>2.2275158954645495</v>
      </c>
      <c r="O443" s="446">
        <f>'Supply Porfolio (Live)'!L$76</f>
        <v>2.2724134571940438</v>
      </c>
      <c r="P443" s="446">
        <f>'Supply Porfolio (Live)'!M$76</f>
        <v>2.3069957145856441</v>
      </c>
      <c r="Q443" s="446">
        <f>'Supply Porfolio (Live)'!N$76</f>
        <v>2.3324832211813211</v>
      </c>
      <c r="R443" s="446">
        <f>'Supply Porfolio (Live)'!O$76</f>
        <v>2.3834296842647058</v>
      </c>
      <c r="S443" s="446">
        <f>'Supply Porfolio (Live)'!P$76</f>
        <v>2.417623622846925</v>
      </c>
      <c r="T443" s="446">
        <f>'Supply Porfolio (Live)'!Q$76</f>
        <v>2.4439044897677324</v>
      </c>
      <c r="U443" s="446">
        <f>'Supply Porfolio (Live)'!R$76</f>
        <v>2.4624544245713564</v>
      </c>
      <c r="V443" s="446">
        <f>'Supply Porfolio (Live)'!S$76</f>
        <v>2.4711537184280541</v>
      </c>
      <c r="W443" s="446">
        <f>'Supply Porfolio (Live)'!T$76</f>
        <v>2.5392164550816676</v>
      </c>
      <c r="X443" s="446">
        <f>'Supply Porfolio (Live)'!U$76</f>
        <v>2.5631401833794909</v>
      </c>
      <c r="Y443" s="446">
        <f>'Supply Porfolio (Live)'!V$76</f>
        <v>2.5806222561009</v>
      </c>
      <c r="Z443" s="446">
        <f>'Supply Porfolio (Live)'!W$76</f>
        <v>2.6013569497739559</v>
      </c>
      <c r="AA443" s="446">
        <f>'Supply Porfolio (Live)'!X$76</f>
        <v>2.6056286410345071</v>
      </c>
      <c r="AB443" s="446">
        <f>'Supply Porfolio (Live)'!Y$76</f>
        <v>2.7970599816523833</v>
      </c>
      <c r="AC443" s="446">
        <f>'Supply Porfolio (Live)'!Z$76</f>
        <v>2.809845651654967</v>
      </c>
      <c r="AD443" s="446">
        <f>'Supply Porfolio (Live)'!AA$76</f>
        <v>2.8137896313043176</v>
      </c>
      <c r="AE443" s="446">
        <f>'Supply Porfolio (Live)'!AB$76</f>
        <v>2.8351977155153363</v>
      </c>
      <c r="AF443" s="446">
        <f>'Supply Porfolio (Live)'!AC$76</f>
        <v>2.8606866336161625</v>
      </c>
      <c r="AG443" s="446">
        <f>'Supply Porfolio (Live)'!AD$76</f>
        <v>2.8665413961349269</v>
      </c>
    </row>
    <row r="444" spans="2:33" x14ac:dyDescent="0.25">
      <c r="B444" s="421" t="s">
        <v>106</v>
      </c>
      <c r="E444" s="446">
        <v>1.57186</v>
      </c>
      <c r="F444" s="446">
        <f t="shared" si="155"/>
        <v>1.6502785366151462</v>
      </c>
      <c r="G444" s="446">
        <f t="shared" si="155"/>
        <v>1.7286970732302924</v>
      </c>
      <c r="H444" s="446">
        <f t="shared" si="155"/>
        <v>1.8071156098454386</v>
      </c>
      <c r="I444" s="446">
        <f t="shared" si="155"/>
        <v>1.8855341464605848</v>
      </c>
      <c r="J444" s="446">
        <f>'Supply Porfolio (Live)'!G$76</f>
        <v>2.866395486343015</v>
      </c>
      <c r="K444" s="446">
        <f>'Supply Porfolio (Live)'!H$76</f>
        <v>2.5688336671134255</v>
      </c>
      <c r="L444" s="446">
        <f>'Supply Porfolio (Live)'!I$76</f>
        <v>2.1122061440888533</v>
      </c>
      <c r="M444" s="446">
        <f>'Supply Porfolio (Live)'!J$76</f>
        <v>2.1992082929211691</v>
      </c>
      <c r="N444" s="446">
        <f>'Supply Porfolio (Live)'!K$76</f>
        <v>2.2275158954645495</v>
      </c>
      <c r="O444" s="446">
        <f>'Supply Porfolio (Live)'!L$76</f>
        <v>2.2724134571940438</v>
      </c>
      <c r="P444" s="446">
        <f>'Supply Porfolio (Live)'!M$76</f>
        <v>2.3069957145856441</v>
      </c>
      <c r="Q444" s="446">
        <f>'Supply Porfolio (Live)'!N$76</f>
        <v>2.3324832211813211</v>
      </c>
      <c r="R444" s="446">
        <f>'Supply Porfolio (Live)'!O$76</f>
        <v>2.3834296842647058</v>
      </c>
      <c r="S444" s="446">
        <f>'Supply Porfolio (Live)'!P$76</f>
        <v>2.417623622846925</v>
      </c>
      <c r="T444" s="446">
        <f>'Supply Porfolio (Live)'!Q$76</f>
        <v>2.4439044897677324</v>
      </c>
      <c r="U444" s="446">
        <f>'Supply Porfolio (Live)'!R$76</f>
        <v>2.4624544245713564</v>
      </c>
      <c r="V444" s="446">
        <f>'Supply Porfolio (Live)'!S$76</f>
        <v>2.4711537184280541</v>
      </c>
      <c r="W444" s="446">
        <f>'Supply Porfolio (Live)'!T$76</f>
        <v>2.5392164550816676</v>
      </c>
      <c r="X444" s="446">
        <f>'Supply Porfolio (Live)'!U$76</f>
        <v>2.5631401833794909</v>
      </c>
      <c r="Y444" s="446">
        <f>'Supply Porfolio (Live)'!V$76</f>
        <v>2.5806222561009</v>
      </c>
      <c r="Z444" s="446">
        <f>'Supply Porfolio (Live)'!W$76</f>
        <v>2.6013569497739559</v>
      </c>
      <c r="AA444" s="446">
        <f>'Supply Porfolio (Live)'!X$76</f>
        <v>2.6056286410345071</v>
      </c>
      <c r="AB444" s="446">
        <f>'Supply Porfolio (Live)'!Y$76</f>
        <v>2.7970599816523833</v>
      </c>
      <c r="AC444" s="446">
        <f>'Supply Porfolio (Live)'!Z$76</f>
        <v>2.809845651654967</v>
      </c>
      <c r="AD444" s="446">
        <f>'Supply Porfolio (Live)'!AA$76</f>
        <v>2.8137896313043176</v>
      </c>
      <c r="AE444" s="446">
        <f>'Supply Porfolio (Live)'!AB$76</f>
        <v>2.8351977155153363</v>
      </c>
      <c r="AF444" s="446">
        <f>'Supply Porfolio (Live)'!AC$76</f>
        <v>2.8606866336161625</v>
      </c>
      <c r="AG444" s="446">
        <f>'Supply Porfolio (Live)'!AD$76</f>
        <v>2.8665413961349269</v>
      </c>
    </row>
    <row r="447" spans="2:33" x14ac:dyDescent="0.25">
      <c r="F447" s="447" t="s">
        <v>0</v>
      </c>
    </row>
    <row r="448" spans="2:33" x14ac:dyDescent="0.25">
      <c r="B448" s="422" t="s">
        <v>118</v>
      </c>
      <c r="C448" s="422" t="s">
        <v>119</v>
      </c>
      <c r="E448" s="423">
        <v>2022</v>
      </c>
      <c r="F448" s="423">
        <v>2023</v>
      </c>
      <c r="G448" s="423">
        <v>2024</v>
      </c>
      <c r="H448" s="423">
        <v>2025</v>
      </c>
      <c r="I448" s="423">
        <v>2026</v>
      </c>
      <c r="J448" s="423">
        <v>2027</v>
      </c>
      <c r="K448" s="423">
        <v>2028</v>
      </c>
      <c r="L448" s="423">
        <v>2029</v>
      </c>
      <c r="M448" s="423">
        <v>2030</v>
      </c>
      <c r="N448" s="423">
        <v>2031</v>
      </c>
      <c r="O448" s="423">
        <v>2032</v>
      </c>
      <c r="P448" s="423">
        <v>2033</v>
      </c>
      <c r="Q448" s="423">
        <v>2034</v>
      </c>
      <c r="R448" s="423">
        <v>2035</v>
      </c>
      <c r="S448" s="423">
        <v>2036</v>
      </c>
      <c r="T448" s="423">
        <v>2037</v>
      </c>
      <c r="U448" s="423">
        <v>2038</v>
      </c>
      <c r="V448" s="423">
        <v>2039</v>
      </c>
      <c r="W448" s="423">
        <v>2040</v>
      </c>
      <c r="X448" s="423">
        <v>2041</v>
      </c>
      <c r="Y448" s="423">
        <v>2042</v>
      </c>
      <c r="Z448" s="423">
        <v>2043</v>
      </c>
      <c r="AA448" s="423">
        <v>2044</v>
      </c>
      <c r="AB448" s="423">
        <v>2045</v>
      </c>
    </row>
    <row r="449" spans="2:28" x14ac:dyDescent="0.25">
      <c r="B449" s="421" t="s">
        <v>98</v>
      </c>
      <c r="C449" s="448">
        <v>38.322722937529804</v>
      </c>
      <c r="E449" s="447">
        <f>(J420+J434)*$C449+J392</f>
        <v>210.417121603862</v>
      </c>
      <c r="F449" s="447">
        <f t="shared" ref="F449:AB454" si="156">(K420+K434)*$C449+K392</f>
        <v>200.17243501995117</v>
      </c>
      <c r="G449" s="447">
        <f t="shared" si="156"/>
        <v>184.3176639477025</v>
      </c>
      <c r="H449" s="447">
        <f t="shared" si="156"/>
        <v>188.4732368233835</v>
      </c>
      <c r="I449" s="447">
        <f t="shared" si="156"/>
        <v>190.80711082530547</v>
      </c>
      <c r="J449" s="447">
        <f t="shared" si="156"/>
        <v>192.88894557907994</v>
      </c>
      <c r="K449" s="447">
        <f t="shared" si="156"/>
        <v>195.1424916472634</v>
      </c>
      <c r="L449" s="447">
        <f t="shared" si="156"/>
        <v>196.98540486972354</v>
      </c>
      <c r="M449" s="447">
        <f t="shared" si="156"/>
        <v>200.15558663932492</v>
      </c>
      <c r="N449" s="447">
        <f t="shared" si="156"/>
        <v>203.07981898701715</v>
      </c>
      <c r="O449" s="447">
        <f t="shared" si="156"/>
        <v>204.80425496207491</v>
      </c>
      <c r="P449" s="447">
        <f t="shared" si="156"/>
        <v>206.1681936561921</v>
      </c>
      <c r="Q449" s="447">
        <f t="shared" si="156"/>
        <v>207.08974011187811</v>
      </c>
      <c r="R449" s="447">
        <f t="shared" si="156"/>
        <v>210.75472798028784</v>
      </c>
      <c r="S449" s="447">
        <f t="shared" si="156"/>
        <v>212.99755871924074</v>
      </c>
      <c r="T449" s="447">
        <f t="shared" si="156"/>
        <v>214.12212771386575</v>
      </c>
      <c r="U449" s="447">
        <f t="shared" si="156"/>
        <v>215.33985686150422</v>
      </c>
      <c r="V449" s="447">
        <f t="shared" si="156"/>
        <v>215.83477401980861</v>
      </c>
      <c r="W449" s="447">
        <f t="shared" si="156"/>
        <v>225.34512348761439</v>
      </c>
      <c r="X449" s="447">
        <f t="shared" si="156"/>
        <v>226.88711196752647</v>
      </c>
      <c r="Y449" s="447">
        <f t="shared" si="156"/>
        <v>227.22957727270301</v>
      </c>
      <c r="Z449" s="447">
        <f t="shared" si="156"/>
        <v>228.27767452715949</v>
      </c>
      <c r="AA449" s="447">
        <f t="shared" si="156"/>
        <v>229.46476842929576</v>
      </c>
      <c r="AB449" s="447">
        <f t="shared" si="156"/>
        <v>229.76852324315868</v>
      </c>
    </row>
    <row r="450" spans="2:28" x14ac:dyDescent="0.25">
      <c r="B450" s="421" t="s">
        <v>38</v>
      </c>
      <c r="C450" s="448">
        <v>10.461283837955103</v>
      </c>
      <c r="E450" s="447">
        <f>(J421+J435)*$C450+J393</f>
        <v>72.493925282380985</v>
      </c>
      <c r="F450" s="447">
        <f>(K421+K435)*$C450+K393</f>
        <v>69.735326759921975</v>
      </c>
      <c r="G450" s="447">
        <f t="shared" si="156"/>
        <v>65.544236554220049</v>
      </c>
      <c r="H450" s="447">
        <f t="shared" si="156"/>
        <v>66.799283221116525</v>
      </c>
      <c r="I450" s="447">
        <f t="shared" si="156"/>
        <v>67.580856951810333</v>
      </c>
      <c r="J450" s="447">
        <f t="shared" si="156"/>
        <v>68.219712276034358</v>
      </c>
      <c r="K450" s="447">
        <f t="shared" si="156"/>
        <v>68.930275526519068</v>
      </c>
      <c r="L450" s="447">
        <f t="shared" si="156"/>
        <v>69.524981331655894</v>
      </c>
      <c r="M450" s="447">
        <f t="shared" si="156"/>
        <v>70.528452891169849</v>
      </c>
      <c r="N450" s="447">
        <f t="shared" si="156"/>
        <v>71.477808366725483</v>
      </c>
      <c r="O450" s="447">
        <f t="shared" si="156"/>
        <v>72.03313734222165</v>
      </c>
      <c r="P450" s="447">
        <f t="shared" si="156"/>
        <v>72.485924125118316</v>
      </c>
      <c r="Q450" s="447">
        <f t="shared" si="156"/>
        <v>72.813689434978812</v>
      </c>
      <c r="R450" s="447">
        <f t="shared" si="156"/>
        <v>73.950553668677358</v>
      </c>
      <c r="S450" s="447">
        <f t="shared" si="156"/>
        <v>74.697474207690036</v>
      </c>
      <c r="T450" s="447">
        <f t="shared" si="156"/>
        <v>75.074334604549449</v>
      </c>
      <c r="U450" s="447">
        <f t="shared" si="156"/>
        <v>75.475643156925642</v>
      </c>
      <c r="V450" s="447">
        <f t="shared" si="156"/>
        <v>75.672323006289716</v>
      </c>
      <c r="W450" s="447">
        <f t="shared" si="156"/>
        <v>78.556853370768536</v>
      </c>
      <c r="X450" s="447">
        <f t="shared" si="156"/>
        <v>79.096437069330122</v>
      </c>
      <c r="Y450" s="447">
        <f t="shared" si="156"/>
        <v>79.243776607634146</v>
      </c>
      <c r="Z450" s="447">
        <f t="shared" si="156"/>
        <v>79.589676726383857</v>
      </c>
      <c r="AA450" s="447">
        <f t="shared" si="156"/>
        <v>79.973826517134697</v>
      </c>
      <c r="AB450" s="447">
        <f>(AG421+AG435)*$C450+AG393</f>
        <v>80.104901781773791</v>
      </c>
    </row>
    <row r="451" spans="2:28" x14ac:dyDescent="0.25">
      <c r="B451" s="421" t="s">
        <v>39</v>
      </c>
      <c r="C451" s="448">
        <v>446.99679487179486</v>
      </c>
      <c r="E451" s="447">
        <f t="shared" ref="E451:E459" si="157">(J422+J436)*$C451+J394</f>
        <v>2046.371686727008</v>
      </c>
      <c r="F451" s="447">
        <f t="shared" si="156"/>
        <v>1925.885433023793</v>
      </c>
      <c r="G451" s="447">
        <f t="shared" si="156"/>
        <v>1736.5453190331089</v>
      </c>
      <c r="H451" s="447">
        <f t="shared" si="156"/>
        <v>1780.812444391913</v>
      </c>
      <c r="I451" s="447">
        <f t="shared" si="156"/>
        <v>1803.2175537233018</v>
      </c>
      <c r="J451" s="447">
        <f t="shared" si="156"/>
        <v>1825.568022333418</v>
      </c>
      <c r="K451" s="447">
        <f t="shared" si="156"/>
        <v>1848.9612142289177</v>
      </c>
      <c r="L451" s="447">
        <f t="shared" si="156"/>
        <v>1867.7037847236109</v>
      </c>
      <c r="M451" s="447">
        <f t="shared" si="156"/>
        <v>1899.7138770759618</v>
      </c>
      <c r="N451" s="447">
        <f t="shared" si="156"/>
        <v>1928.7959773008781</v>
      </c>
      <c r="O451" s="447">
        <f t="shared" si="156"/>
        <v>1946.4528940390805</v>
      </c>
      <c r="P451" s="447">
        <f t="shared" si="156"/>
        <v>1960.0546712301752</v>
      </c>
      <c r="Q451" s="447">
        <f t="shared" si="156"/>
        <v>1968.6494149683645</v>
      </c>
      <c r="R451" s="447">
        <f t="shared" si="156"/>
        <v>2006.4006233555558</v>
      </c>
      <c r="S451" s="447">
        <f t="shared" si="156"/>
        <v>2028.1987268864036</v>
      </c>
      <c r="T451" s="447">
        <f t="shared" si="156"/>
        <v>2039.4532298246818</v>
      </c>
      <c r="U451" s="447">
        <f t="shared" si="156"/>
        <v>2051.8413217009147</v>
      </c>
      <c r="V451" s="447">
        <f t="shared" si="156"/>
        <v>2056.0455651859938</v>
      </c>
      <c r="W451" s="447">
        <f t="shared" si="156"/>
        <v>2154.7727362472629</v>
      </c>
      <c r="X451" s="447">
        <f t="shared" si="156"/>
        <v>2169.0299528840792</v>
      </c>
      <c r="Y451" s="447">
        <f t="shared" si="156"/>
        <v>2171.7809274786373</v>
      </c>
      <c r="Z451" s="447">
        <f t="shared" si="156"/>
        <v>2182.5864436593292</v>
      </c>
      <c r="AA451" s="447">
        <f t="shared" si="156"/>
        <v>2195.0183895634132</v>
      </c>
      <c r="AB451" s="447">
        <f t="shared" si="156"/>
        <v>2197.5403149436938</v>
      </c>
    </row>
    <row r="452" spans="2:28" x14ac:dyDescent="0.25">
      <c r="B452" s="421" t="s">
        <v>99</v>
      </c>
      <c r="C452" s="448">
        <v>470.20914950611086</v>
      </c>
      <c r="E452" s="447">
        <f t="shared" si="157"/>
        <v>2151.7716907156255</v>
      </c>
      <c r="F452" s="447">
        <f t="shared" si="156"/>
        <v>2025.0023190623556</v>
      </c>
      <c r="G452" s="447">
        <f t="shared" si="156"/>
        <v>1825.7060172313923</v>
      </c>
      <c r="H452" s="447">
        <f t="shared" si="156"/>
        <v>1872.1517569352188</v>
      </c>
      <c r="I452" s="447">
        <f t="shared" si="156"/>
        <v>1895.5839834135904</v>
      </c>
      <c r="J452" s="447">
        <f t="shared" si="156"/>
        <v>1919.0431160217101</v>
      </c>
      <c r="K452" s="447">
        <f t="shared" si="156"/>
        <v>1943.5710894196129</v>
      </c>
      <c r="L452" s="447">
        <f t="shared" si="156"/>
        <v>1963.2109588236926</v>
      </c>
      <c r="M452" s="447">
        <f t="shared" si="156"/>
        <v>1996.7403744456763</v>
      </c>
      <c r="N452" s="447">
        <f t="shared" si="156"/>
        <v>2027.1904869977757</v>
      </c>
      <c r="O452" s="447">
        <f t="shared" si="156"/>
        <v>2045.6971095013303</v>
      </c>
      <c r="P452" s="447">
        <f t="shared" si="156"/>
        <v>2059.9423251980134</v>
      </c>
      <c r="Q452" s="447">
        <f t="shared" si="156"/>
        <v>2068.9248978855258</v>
      </c>
      <c r="R452" s="447">
        <f t="shared" si="156"/>
        <v>2108.4921494655491</v>
      </c>
      <c r="S452" s="447">
        <f t="shared" si="156"/>
        <v>2131.2995524677294</v>
      </c>
      <c r="T452" s="447">
        <f t="shared" si="156"/>
        <v>2143.0887826257135</v>
      </c>
      <c r="U452" s="447">
        <f t="shared" si="156"/>
        <v>2156.0718896198464</v>
      </c>
      <c r="V452" s="447">
        <f t="shared" si="156"/>
        <v>2160.4531778053547</v>
      </c>
      <c r="W452" s="447">
        <f t="shared" si="156"/>
        <v>2263.9451398025603</v>
      </c>
      <c r="X452" s="447">
        <f t="shared" si="156"/>
        <v>2278.8386426656739</v>
      </c>
      <c r="Y452" s="447">
        <f t="shared" si="156"/>
        <v>2281.7008268311206</v>
      </c>
      <c r="Z452" s="447">
        <f t="shared" si="156"/>
        <v>2293.0309822183203</v>
      </c>
      <c r="AA452" s="447">
        <f t="shared" si="156"/>
        <v>2306.0722726615481</v>
      </c>
      <c r="AB452" s="447">
        <f t="shared" si="156"/>
        <v>2308.7000205043591</v>
      </c>
    </row>
    <row r="453" spans="2:28" x14ac:dyDescent="0.25">
      <c r="B453" s="421" t="s">
        <v>100</v>
      </c>
      <c r="C453" s="448">
        <v>11992.25</v>
      </c>
      <c r="E453" s="447">
        <f t="shared" si="157"/>
        <v>53323.014640208632</v>
      </c>
      <c r="F453" s="447">
        <f t="shared" si="156"/>
        <v>50086.775749381704</v>
      </c>
      <c r="G453" s="447">
        <f t="shared" si="156"/>
        <v>44988.812961195217</v>
      </c>
      <c r="H453" s="447">
        <f t="shared" si="156"/>
        <v>46158.578308015567</v>
      </c>
      <c r="I453" s="447">
        <f t="shared" si="156"/>
        <v>46739.498570704302</v>
      </c>
      <c r="J453" s="447">
        <f t="shared" si="156"/>
        <v>47331.619564659253</v>
      </c>
      <c r="K453" s="447">
        <f t="shared" si="156"/>
        <v>47947.510968734721</v>
      </c>
      <c r="L453" s="447">
        <f t="shared" si="156"/>
        <v>48439.234141292989</v>
      </c>
      <c r="M453" s="447">
        <f t="shared" si="156"/>
        <v>49276.711027777892</v>
      </c>
      <c r="N453" s="447">
        <f t="shared" si="156"/>
        <v>50035.906385976727</v>
      </c>
      <c r="O453" s="447">
        <f t="shared" si="156"/>
        <v>50499.82948404341</v>
      </c>
      <c r="P453" s="447">
        <f t="shared" si="156"/>
        <v>50855.602740724564</v>
      </c>
      <c r="Q453" s="447">
        <f t="shared" si="156"/>
        <v>51077.701122074286</v>
      </c>
      <c r="R453" s="447">
        <f t="shared" si="156"/>
        <v>52068.956863201478</v>
      </c>
      <c r="S453" s="447">
        <f t="shared" si="156"/>
        <v>52635.675114103353</v>
      </c>
      <c r="T453" s="447">
        <f t="shared" si="156"/>
        <v>52930.46455973183</v>
      </c>
      <c r="U453" s="447">
        <f t="shared" si="156"/>
        <v>53255.882897961303</v>
      </c>
      <c r="V453" s="447">
        <f t="shared" si="156"/>
        <v>53362.779841649011</v>
      </c>
      <c r="W453" s="447">
        <f t="shared" si="156"/>
        <v>55956.792805398829</v>
      </c>
      <c r="X453" s="447">
        <f t="shared" si="156"/>
        <v>56323.992697260219</v>
      </c>
      <c r="Y453" s="447">
        <f t="shared" si="156"/>
        <v>56393.354948485685</v>
      </c>
      <c r="Z453" s="447">
        <f t="shared" si="156"/>
        <v>56678.102034650015</v>
      </c>
      <c r="AA453" s="447">
        <f t="shared" si="156"/>
        <v>57006.526785563357</v>
      </c>
      <c r="AB453" s="447">
        <f t="shared" si="156"/>
        <v>57070.720820110146</v>
      </c>
    </row>
    <row r="454" spans="2:28" x14ac:dyDescent="0.25">
      <c r="B454" s="421" t="s">
        <v>101</v>
      </c>
      <c r="C454" s="448">
        <v>6673.9109195402298</v>
      </c>
      <c r="E454" s="447">
        <f t="shared" si="157"/>
        <v>29811.97483231423</v>
      </c>
      <c r="F454" s="447">
        <f t="shared" si="156"/>
        <v>28011.036689445511</v>
      </c>
      <c r="G454" s="447">
        <f t="shared" si="156"/>
        <v>25174.393085434574</v>
      </c>
      <c r="H454" s="447">
        <f t="shared" si="156"/>
        <v>25825.857305388727</v>
      </c>
      <c r="I454" s="447">
        <f t="shared" si="156"/>
        <v>26149.672713441549</v>
      </c>
      <c r="J454" s="447">
        <f t="shared" si="156"/>
        <v>26479.380428610519</v>
      </c>
      <c r="K454" s="447">
        <f t="shared" si="156"/>
        <v>26822.429806425738</v>
      </c>
      <c r="L454" s="447">
        <f t="shared" si="156"/>
        <v>27096.361263720195</v>
      </c>
      <c r="M454" s="447">
        <f t="shared" si="156"/>
        <v>27562.995805264389</v>
      </c>
      <c r="N454" s="447">
        <f t="shared" si="156"/>
        <v>27986.046488645472</v>
      </c>
      <c r="O454" s="447">
        <f t="shared" si="156"/>
        <v>28244.470416625736</v>
      </c>
      <c r="P454" s="447">
        <f t="shared" si="156"/>
        <v>28442.689908013086</v>
      </c>
      <c r="Q454" s="447">
        <f t="shared" si="156"/>
        <v>28566.499497228142</v>
      </c>
      <c r="R454" s="447">
        <f t="shared" si="156"/>
        <v>29118.723915642549</v>
      </c>
      <c r="S454" s="447">
        <f t="shared" si="156"/>
        <v>29434.577705846328</v>
      </c>
      <c r="T454" s="447">
        <f t="shared" si="156"/>
        <v>29598.804174733195</v>
      </c>
      <c r="U454" s="447">
        <f t="shared" si="156"/>
        <v>29780.070147368464</v>
      </c>
      <c r="V454" s="447">
        <f t="shared" si="156"/>
        <v>29839.697886545677</v>
      </c>
      <c r="W454" s="447">
        <f t="shared" si="156"/>
        <v>31284.811218036863</v>
      </c>
      <c r="X454" s="447">
        <f t="shared" si="156"/>
        <v>31489.553910678529</v>
      </c>
      <c r="Y454" s="447">
        <f t="shared" si="156"/>
        <v>31528.253133707829</v>
      </c>
      <c r="Z454" s="447">
        <f t="shared" si="156"/>
        <v>31686.835642172795</v>
      </c>
      <c r="AA454" s="447">
        <f t="shared" si="156"/>
        <v>31869.723992978579</v>
      </c>
      <c r="AB454" s="447">
        <f t="shared" si="156"/>
        <v>31905.520698820194</v>
      </c>
    </row>
    <row r="455" spans="2:28" x14ac:dyDescent="0.25">
      <c r="B455" s="421" t="s">
        <v>102</v>
      </c>
      <c r="C455" s="448" t="s">
        <v>0</v>
      </c>
      <c r="E455" s="447" t="s">
        <v>0</v>
      </c>
      <c r="F455" s="447" t="s">
        <v>0</v>
      </c>
      <c r="G455" s="447" t="s">
        <v>0</v>
      </c>
      <c r="H455" s="447" t="s">
        <v>0</v>
      </c>
      <c r="I455" s="447" t="s">
        <v>0</v>
      </c>
      <c r="J455" s="447" t="s">
        <v>0</v>
      </c>
      <c r="K455" s="447" t="s">
        <v>0</v>
      </c>
      <c r="L455" s="447" t="s">
        <v>0</v>
      </c>
      <c r="M455" s="447" t="s">
        <v>0</v>
      </c>
      <c r="N455" s="447" t="s">
        <v>0</v>
      </c>
      <c r="O455" s="447" t="s">
        <v>0</v>
      </c>
      <c r="P455" s="447" t="s">
        <v>0</v>
      </c>
      <c r="Q455" s="447" t="s">
        <v>0</v>
      </c>
      <c r="R455" s="447" t="s">
        <v>0</v>
      </c>
      <c r="S455" s="447" t="s">
        <v>0</v>
      </c>
      <c r="T455" s="447" t="s">
        <v>0</v>
      </c>
      <c r="U455" s="447" t="s">
        <v>0</v>
      </c>
      <c r="V455" s="447" t="s">
        <v>0</v>
      </c>
      <c r="W455" s="447" t="s">
        <v>0</v>
      </c>
      <c r="X455" s="447" t="s">
        <v>0</v>
      </c>
      <c r="Y455" s="447" t="s">
        <v>0</v>
      </c>
      <c r="Z455" s="447" t="s">
        <v>0</v>
      </c>
      <c r="AA455" s="447" t="s">
        <v>0</v>
      </c>
      <c r="AB455" s="447" t="s">
        <v>0</v>
      </c>
    </row>
    <row r="456" spans="2:28" x14ac:dyDescent="0.25">
      <c r="B456" s="421" t="s">
        <v>103</v>
      </c>
      <c r="C456" s="448">
        <v>7.3787878787878789</v>
      </c>
      <c r="E456" s="447">
        <f t="shared" si="157"/>
        <v>127.4906521287982</v>
      </c>
      <c r="F456" s="447">
        <f t="shared" ref="F456:O459" si="158">(K427+K441)*$C456+K399</f>
        <v>126.18227251235318</v>
      </c>
      <c r="G456" s="447">
        <f t="shared" si="158"/>
        <v>124.27195461756806</v>
      </c>
      <c r="H456" s="447">
        <f t="shared" si="158"/>
        <v>125.94842156625728</v>
      </c>
      <c r="I456" s="447">
        <f t="shared" si="158"/>
        <v>127.3629038491375</v>
      </c>
      <c r="J456" s="447">
        <f t="shared" si="158"/>
        <v>128.12913481128641</v>
      </c>
      <c r="K456" s="447">
        <f t="shared" si="158"/>
        <v>129.25978414811007</v>
      </c>
      <c r="L456" s="447">
        <f t="shared" si="158"/>
        <v>130.27245534310947</v>
      </c>
      <c r="M456" s="447">
        <f t="shared" si="158"/>
        <v>132.07169063207309</v>
      </c>
      <c r="N456" s="447">
        <f t="shared" si="158"/>
        <v>133.79136995467576</v>
      </c>
      <c r="O456" s="447">
        <f t="shared" si="158"/>
        <v>134.69257030332929</v>
      </c>
      <c r="P456" s="447">
        <f t="shared" ref="P456:Y459" si="159">(U427+U441)*$C456+U399</f>
        <v>135.48330522186552</v>
      </c>
      <c r="Q456" s="447">
        <f t="shared" si="159"/>
        <v>136.14714629267604</v>
      </c>
      <c r="R456" s="447">
        <f t="shared" si="159"/>
        <v>138.02272509390136</v>
      </c>
      <c r="S456" s="447">
        <f t="shared" si="159"/>
        <v>139.42530051877043</v>
      </c>
      <c r="T456" s="447">
        <f t="shared" si="159"/>
        <v>140.04135795310904</v>
      </c>
      <c r="U456" s="447">
        <f t="shared" si="159"/>
        <v>140.65858432548379</v>
      </c>
      <c r="V456" s="447">
        <f t="shared" si="159"/>
        <v>141.07394695071821</v>
      </c>
      <c r="W456" s="447">
        <f t="shared" si="159"/>
        <v>145.79548611170244</v>
      </c>
      <c r="X456" s="447">
        <f t="shared" si="159"/>
        <v>146.88742387449309</v>
      </c>
      <c r="Y456" s="447">
        <f t="shared" si="159"/>
        <v>147.18092705613284</v>
      </c>
      <c r="Z456" s="447">
        <f t="shared" ref="Z456:Z459" si="160">(AE427+AE441)*$C456+AE399</f>
        <v>147.64539145651239</v>
      </c>
      <c r="AA456" s="447">
        <f t="shared" ref="AA456:AB459" si="161">(AF427+AF441)*$C456+AF399</f>
        <v>148.13012935424959</v>
      </c>
      <c r="AB456" s="447">
        <f t="shared" si="161"/>
        <v>148.34943686658613</v>
      </c>
    </row>
    <row r="457" spans="2:28" x14ac:dyDescent="0.25">
      <c r="B457" s="421" t="s">
        <v>104</v>
      </c>
      <c r="C457" s="448">
        <v>137.85185185185185</v>
      </c>
      <c r="E457" s="447">
        <f t="shared" si="157"/>
        <v>756.48963669098555</v>
      </c>
      <c r="F457" s="447">
        <f t="shared" si="158"/>
        <v>723.05411357044886</v>
      </c>
      <c r="G457" s="447">
        <f t="shared" si="158"/>
        <v>666.88092735128544</v>
      </c>
      <c r="H457" s="447">
        <f t="shared" si="158"/>
        <v>680.81110661307991</v>
      </c>
      <c r="I457" s="447">
        <f t="shared" si="158"/>
        <v>687.90258464610656</v>
      </c>
      <c r="J457" s="447">
        <f t="shared" si="158"/>
        <v>695.02275918040607</v>
      </c>
      <c r="K457" s="447">
        <f t="shared" si="158"/>
        <v>703.44005875120536</v>
      </c>
      <c r="L457" s="447">
        <f t="shared" si="158"/>
        <v>710.34537737966809</v>
      </c>
      <c r="M457" s="447">
        <f t="shared" si="158"/>
        <v>721.57910722631834</v>
      </c>
      <c r="N457" s="447">
        <f t="shared" si="158"/>
        <v>731.86507192145257</v>
      </c>
      <c r="O457" s="447">
        <f t="shared" si="158"/>
        <v>738.25186360287807</v>
      </c>
      <c r="P457" s="447">
        <f t="shared" si="159"/>
        <v>743.3086882575584</v>
      </c>
      <c r="Q457" s="447">
        <f t="shared" si="159"/>
        <v>746.74131491887499</v>
      </c>
      <c r="R457" s="447">
        <f t="shared" si="159"/>
        <v>759.49494219040798</v>
      </c>
      <c r="S457" s="447">
        <f t="shared" si="159"/>
        <v>767.20163645540356</v>
      </c>
      <c r="T457" s="447">
        <f t="shared" si="159"/>
        <v>771.29184666013066</v>
      </c>
      <c r="U457" s="447">
        <f t="shared" si="159"/>
        <v>775.68558137938874</v>
      </c>
      <c r="V457" s="447">
        <f t="shared" si="159"/>
        <v>777.44983016086007</v>
      </c>
      <c r="W457" s="447">
        <f t="shared" si="159"/>
        <v>809.74283339921169</v>
      </c>
      <c r="X457" s="447">
        <f t="shared" si="159"/>
        <v>814.81082900456647</v>
      </c>
      <c r="Y457" s="447">
        <f t="shared" si="159"/>
        <v>815.96054730780384</v>
      </c>
      <c r="Z457" s="447">
        <f t="shared" si="160"/>
        <v>819.61631287517162</v>
      </c>
      <c r="AA457" s="447">
        <f t="shared" si="161"/>
        <v>823.74430159303154</v>
      </c>
      <c r="AB457" s="447">
        <f t="shared" si="161"/>
        <v>824.67377657480301</v>
      </c>
    </row>
    <row r="458" spans="2:28" x14ac:dyDescent="0.25">
      <c r="B458" s="421" t="s">
        <v>105</v>
      </c>
      <c r="C458" s="448">
        <v>21831.833333333332</v>
      </c>
      <c r="E458" s="447">
        <f t="shared" si="157"/>
        <v>88143.757946823578</v>
      </c>
      <c r="F458" s="447">
        <f t="shared" si="158"/>
        <v>81851.456184879775</v>
      </c>
      <c r="G458" s="447">
        <f t="shared" si="158"/>
        <v>72382.625080702186</v>
      </c>
      <c r="H458" s="447">
        <f t="shared" si="158"/>
        <v>74538.129511017047</v>
      </c>
      <c r="I458" s="447">
        <f t="shared" si="158"/>
        <v>75639.637560680188</v>
      </c>
      <c r="J458" s="447">
        <f t="shared" si="158"/>
        <v>76716.047332760645</v>
      </c>
      <c r="K458" s="447">
        <f t="shared" si="158"/>
        <v>77741.000154934038</v>
      </c>
      <c r="L458" s="447">
        <f t="shared" si="158"/>
        <v>78546.609068349586</v>
      </c>
      <c r="M458" s="447">
        <f t="shared" si="158"/>
        <v>79988.107751867938</v>
      </c>
      <c r="N458" s="447">
        <f t="shared" si="158"/>
        <v>81291.023956376084</v>
      </c>
      <c r="O458" s="447">
        <f t="shared" si="158"/>
        <v>82062.147067575905</v>
      </c>
      <c r="P458" s="447">
        <f t="shared" si="159"/>
        <v>82643.134071329303</v>
      </c>
      <c r="Q458" s="447">
        <f t="shared" si="159"/>
        <v>82987.550712612094</v>
      </c>
      <c r="R458" s="447">
        <f t="shared" si="159"/>
        <v>84737.611953090032</v>
      </c>
      <c r="S458" s="447">
        <f t="shared" si="159"/>
        <v>85717.63216592242</v>
      </c>
      <c r="T458" s="447">
        <f t="shared" si="159"/>
        <v>86208.141853041569</v>
      </c>
      <c r="U458" s="447">
        <f t="shared" si="159"/>
        <v>86758.82441750179</v>
      </c>
      <c r="V458" s="447">
        <f t="shared" si="159"/>
        <v>86920.096736355481</v>
      </c>
      <c r="W458" s="447">
        <f t="shared" si="159"/>
        <v>91612.790149926674</v>
      </c>
      <c r="X458" s="447">
        <f t="shared" si="159"/>
        <v>92255.383187635234</v>
      </c>
      <c r="Y458" s="447">
        <f t="shared" si="159"/>
        <v>92362.113401929222</v>
      </c>
      <c r="Z458" s="447">
        <f t="shared" si="160"/>
        <v>92860.739218743285</v>
      </c>
      <c r="AA458" s="447">
        <f t="shared" si="161"/>
        <v>93441.991239433555</v>
      </c>
      <c r="AB458" s="447">
        <f t="shared" si="161"/>
        <v>93552.779367851937</v>
      </c>
    </row>
    <row r="459" spans="2:28" x14ac:dyDescent="0.25">
      <c r="B459" s="421" t="s">
        <v>106</v>
      </c>
      <c r="C459" s="448">
        <v>3993.2916666666665</v>
      </c>
      <c r="E459" s="447">
        <f t="shared" si="157"/>
        <v>16166.482271455132</v>
      </c>
      <c r="F459" s="447">
        <f t="shared" si="158"/>
        <v>15015.654008228834</v>
      </c>
      <c r="G459" s="447">
        <f t="shared" si="158"/>
        <v>13284.19785929745</v>
      </c>
      <c r="H459" s="447">
        <f t="shared" si="158"/>
        <v>13678.951828350549</v>
      </c>
      <c r="I459" s="447">
        <f t="shared" si="158"/>
        <v>13880.982826257667</v>
      </c>
      <c r="J459" s="447">
        <f t="shared" si="158"/>
        <v>14078.079518661862</v>
      </c>
      <c r="K459" s="447">
        <f t="shared" si="158"/>
        <v>14265.878236065306</v>
      </c>
      <c r="L459" s="447">
        <f t="shared" si="158"/>
        <v>14413.540097103314</v>
      </c>
      <c r="M459" s="447">
        <f t="shared" si="158"/>
        <v>14677.787300447961</v>
      </c>
      <c r="N459" s="447">
        <f t="shared" si="158"/>
        <v>14916.681761468422</v>
      </c>
      <c r="O459" s="447">
        <f t="shared" si="158"/>
        <v>15057.999944114434</v>
      </c>
      <c r="P459" s="447">
        <f t="shared" si="159"/>
        <v>15164.522533097488</v>
      </c>
      <c r="Q459" s="447">
        <f t="shared" si="159"/>
        <v>15227.755814607855</v>
      </c>
      <c r="R459" s="447">
        <f t="shared" si="159"/>
        <v>15548.448692255006</v>
      </c>
      <c r="S459" s="447">
        <f t="shared" si="159"/>
        <v>15728.202157714612</v>
      </c>
      <c r="T459" s="447">
        <f t="shared" si="159"/>
        <v>15818.12164724463</v>
      </c>
      <c r="U459" s="447">
        <f t="shared" si="159"/>
        <v>15919.041630528129</v>
      </c>
      <c r="V459" s="447">
        <f t="shared" si="159"/>
        <v>15948.705601242043</v>
      </c>
      <c r="W459" s="447">
        <f t="shared" si="159"/>
        <v>16808.529855286113</v>
      </c>
      <c r="X459" s="447">
        <f t="shared" si="159"/>
        <v>16926.488360102601</v>
      </c>
      <c r="Y459" s="447">
        <f t="shared" si="159"/>
        <v>16946.136667256109</v>
      </c>
      <c r="Z459" s="447">
        <f t="shared" si="160"/>
        <v>17037.486681569586</v>
      </c>
      <c r="AA459" s="447">
        <f t="shared" si="161"/>
        <v>17143.948918603561</v>
      </c>
      <c r="AB459" s="447">
        <f t="shared" si="161"/>
        <v>17164.312971804153</v>
      </c>
    </row>
  </sheetData>
  <sheetProtection algorithmName="SHA-512" hashValue="RR3OV5XowgblishpWp1+JW+Aas0ecqmN4lQY8aLtCnOVdEFNjo4/yJMXunhSyECP0qvdUxgtJGUOOSkwh+DDnQ==" saltValue="SQ3SRx9Jzhu1zKehox1Wog==" spinCount="100000" sheet="1" objects="1" scenarios="1"/>
  <pageMargins left="0.7" right="0.7" top="0.75" bottom="0.75" header="0.3" footer="0.3"/>
  <pageSetup orientation="portrait" r:id="rId1"/>
  <ignoredErrors>
    <ignoredError sqref="E348" unlocked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21ED2E45BFC74BB8C2A8333FB84D54" ma:contentTypeVersion="6" ma:contentTypeDescription="Create a new document." ma:contentTypeScope="" ma:versionID="80ed8a16179cdcfd72049d2456aa7c75">
  <xsd:schema xmlns:xsd="http://www.w3.org/2001/XMLSchema" xmlns:xs="http://www.w3.org/2001/XMLSchema" xmlns:p="http://schemas.microsoft.com/office/2006/metadata/properties" xmlns:ns2="50e689ec-2bf7-4608-8c92-d0f0c07ff9b3" xmlns:ns3="fda7035a-416a-484d-b426-13c3a22aceb1" targetNamespace="http://schemas.microsoft.com/office/2006/metadata/properties" ma:root="true" ma:fieldsID="6df0e1858bef8f9e0335d0df85375162" ns2:_="" ns3:_="">
    <xsd:import namespace="50e689ec-2bf7-4608-8c92-d0f0c07ff9b3"/>
    <xsd:import namespace="fda7035a-416a-484d-b426-13c3a22aceb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e689ec-2bf7-4608-8c92-d0f0c07ff9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a7035a-416a-484d-b426-13c3a22aceb1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D09BB97-04FE-473E-A1FD-2D0E5B7FBABA}">
  <ds:schemaRefs>
    <ds:schemaRef ds:uri="http://schemas.microsoft.com/office/2006/metadata/properties"/>
    <ds:schemaRef ds:uri="http://schemas.openxmlformats.org/package/2006/metadata/core-properties"/>
    <ds:schemaRef ds:uri="9c7abb1a-c3d5-4d44-89f7-bc2c1c7dd36b"/>
    <ds:schemaRef ds:uri="http://purl.org/dc/terms/"/>
    <ds:schemaRef ds:uri="d2ed87d7-195b-432b-af66-22b5ff58ebb3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sharepoint/v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19F0B8F-79AE-4435-B267-095763A0BCF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C250B3B-38F8-4ECD-8EC6-88B10CCD874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Cover</vt:lpstr>
      <vt:lpstr>Summary Dashboard</vt:lpstr>
      <vt:lpstr>Dash Demand</vt:lpstr>
      <vt:lpstr>Rates Dashboard</vt:lpstr>
      <vt:lpstr>Customer Defection</vt:lpstr>
      <vt:lpstr>Supply Porfolio (Live)</vt:lpstr>
      <vt:lpstr>Supply Porfolio (Status Quo)</vt:lpstr>
      <vt:lpstr>SNG Plant</vt:lpstr>
      <vt:lpstr>Oahu COS and Allocation</vt:lpstr>
      <vt:lpstr> HG CapEx Plan</vt:lpstr>
      <vt:lpstr>Demand Guide</vt:lpstr>
      <vt:lpstr> Summary Data</vt:lpstr>
      <vt:lpstr>Historical Correlation Matrix</vt:lpstr>
      <vt:lpstr>Historical Data</vt:lpstr>
      <vt:lpstr>Hist Reg (Oahu)</vt:lpstr>
      <vt:lpstr>Hist Reg (Neigh Isl)</vt:lpstr>
      <vt:lpstr>Projected Econometric Drivers</vt:lpstr>
      <vt:lpstr>Energy Efficiency</vt:lpstr>
      <vt:lpstr>List</vt:lpstr>
      <vt:lpstr>Scenario List</vt:lpstr>
      <vt:lpstr>Supply Summary</vt:lpstr>
      <vt:lpstr>Ranking</vt:lpstr>
      <vt:lpstr>1. Dashboard</vt:lpstr>
      <vt:lpstr>2. SNG Firm</vt:lpstr>
      <vt:lpstr>3. SNG Interruptible</vt:lpstr>
      <vt:lpstr>4. Propane</vt:lpstr>
      <vt:lpstr>5. LNG- ISO_Expansion</vt:lpstr>
      <vt:lpstr>6. LNG- ISO</vt:lpstr>
      <vt:lpstr>7a. Green Hydrogen</vt:lpstr>
      <vt:lpstr>7b.GH Assumptions</vt:lpstr>
      <vt:lpstr>8a. RNG</vt:lpstr>
      <vt:lpstr>8b. RNG S.C.</vt:lpstr>
      <vt:lpstr>9. Indices-Hist</vt:lpstr>
      <vt:lpstr>10. Indices-Forecast</vt:lpstr>
      <vt:lpstr>11. Public Sources</vt:lpstr>
      <vt:lpstr>12. Reg LNG</vt:lpstr>
      <vt:lpstr>13. Reg SNG INT</vt:lpstr>
      <vt:lpstr>14. Reg Propane</vt:lpstr>
      <vt:lpstr>15. Emissions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Yeung, Denny K.</dc:creator>
  <cp:keywords/>
  <dc:description/>
  <cp:lastModifiedBy>Yeung, Denny K.</cp:lastModifiedBy>
  <cp:revision/>
  <dcterms:created xsi:type="dcterms:W3CDTF">2021-06-11T19:50:24Z</dcterms:created>
  <dcterms:modified xsi:type="dcterms:W3CDTF">2023-04-06T20:52:36Z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0x0101001B21ED2E45BFC74BB8C2A8333FB84D54</vt:lpwstr>
  </property>
</Properties>
</file>